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2986" yWindow="65206" windowWidth="16140" windowHeight="11760" tabRatio="857" firstSheet="1" activeTab="14"/>
  </bookViews>
  <sheets>
    <sheet name="RESUMO" sheetId="1" r:id="rId1"/>
    <sheet name="CFF" sheetId="2" r:id="rId2"/>
    <sheet name="QUANT" sheetId="3" r:id="rId3"/>
    <sheet name="ORÇA " sheetId="4" r:id="rId4"/>
    <sheet name="TRANSP" sheetId="5" r:id="rId5"/>
    <sheet name="MEMORIAL DE CALCULO" sheetId="6" r:id="rId6"/>
    <sheet name="BLD" sheetId="7" r:id="rId7"/>
    <sheet name="TERRAP E PAVIM" sheetId="8" r:id="rId8"/>
    <sheet name="BDI" sheetId="9" r:id="rId9"/>
    <sheet name="BDI DIFERENCIADO" sheetId="10" r:id="rId10"/>
    <sheet name="DRENO" sheetId="11" r:id="rId11"/>
    <sheet name="SN HOR" sheetId="12" r:id="rId12"/>
    <sheet name="SN VERT" sheetId="13" state="hidden" r:id="rId13"/>
    <sheet name="TAB REAJUSTAMENTO" sheetId="14" r:id="rId14"/>
    <sheet name="DMT" sheetId="15" r:id="rId15"/>
  </sheets>
  <externalReferences>
    <externalReference r:id="rId18"/>
  </externalReferences>
  <definedNames>
    <definedName name="_xlnm.Print_Area" localSheetId="8">'BDI'!$A$1:$I$34</definedName>
    <definedName name="_xlnm.Print_Area" localSheetId="9">'BDI DIFERENCIADO'!$A$1:$I$34</definedName>
    <definedName name="_xlnm.Print_Area" localSheetId="1">'CFF'!$A$1:$W$42</definedName>
    <definedName name="_xlnm.Print_Area" localSheetId="3">'ORÇA '!$A$1:$K$84</definedName>
    <definedName name="_xlnm.Print_Area" localSheetId="2">'QUANT'!$A$1:$G$55</definedName>
    <definedName name="_xlnm.Print_Area" localSheetId="0">'RESUMO'!$A$2:$C$51</definedName>
    <definedName name="_xlnm.Print_Area" localSheetId="11">'SN HOR'!$A$1:$G$35</definedName>
    <definedName name="_xlnm.Print_Area" localSheetId="7">'TERRAP E PAVIM'!$A$1:$Y$24</definedName>
    <definedName name="_xlnm.Print_Area" localSheetId="4">'TRANSP'!$A$1:$J$34</definedName>
    <definedName name="_xlnm.Print_Titles" localSheetId="3">'ORÇA '!$1:$6</definedName>
    <definedName name="_xlnm.Print_Titles" localSheetId="2">'QUANT'!$1:$5</definedName>
    <definedName name="Z_E8D46A29_8D28_49CA_936A_9705D639E1C7_.wvu.PrintArea" localSheetId="3" hidden="1">'ORÇA '!$B$1:$K$77</definedName>
  </definedNames>
  <calcPr fullCalcOnLoad="1"/>
</workbook>
</file>

<file path=xl/sharedStrings.xml><?xml version="1.0" encoding="utf-8"?>
<sst xmlns="http://schemas.openxmlformats.org/spreadsheetml/2006/main" count="840" uniqueCount="452">
  <si>
    <t>QUADRO DE QUANTIDADES</t>
  </si>
  <si>
    <t>DISCRIMINAÇÃO</t>
  </si>
  <si>
    <t>UNIDADE</t>
  </si>
  <si>
    <t>QUANTIDADE</t>
  </si>
  <si>
    <t>TERRAPLENAGEM</t>
  </si>
  <si>
    <t>m³</t>
  </si>
  <si>
    <t>PAVIMENTAÇÃO</t>
  </si>
  <si>
    <t>m²</t>
  </si>
  <si>
    <t>DRENAGEM</t>
  </si>
  <si>
    <t>m</t>
  </si>
  <si>
    <t>unid</t>
  </si>
  <si>
    <t>OBRAS COMPLEMENTARES</t>
  </si>
  <si>
    <t>PLANILHA ORÇAMENTÁRIA</t>
  </si>
  <si>
    <t>x</t>
  </si>
  <si>
    <t>UNID.</t>
  </si>
  <si>
    <t>QUANT.</t>
  </si>
  <si>
    <t>P. UNIT.</t>
  </si>
  <si>
    <t>SUBTOTAL</t>
  </si>
  <si>
    <t>TOTAL</t>
  </si>
  <si>
    <t>CÓDIGO</t>
  </si>
  <si>
    <t>SERVIÇO</t>
  </si>
  <si>
    <t>MATERIAL</t>
  </si>
  <si>
    <t>UNID</t>
  </si>
  <si>
    <t>F.UTILIZAÇÃO</t>
  </si>
  <si>
    <t>PESO(T) A TRANSPORTAR</t>
  </si>
  <si>
    <t>DMT(KM)</t>
  </si>
  <si>
    <t>MOMENTO DE TRANSPORTE(t.km)</t>
  </si>
  <si>
    <t>FATOR</t>
  </si>
  <si>
    <t>Solo</t>
  </si>
  <si>
    <t>t/m³</t>
  </si>
  <si>
    <t xml:space="preserve">Base </t>
  </si>
  <si>
    <t>2 S 02 200 01</t>
  </si>
  <si>
    <t>II</t>
  </si>
  <si>
    <t>III</t>
  </si>
  <si>
    <t>IV</t>
  </si>
  <si>
    <t>SERVIÇOS PRELIMINARES</t>
  </si>
  <si>
    <t>V</t>
  </si>
  <si>
    <t xml:space="preserve">ANEXO </t>
  </si>
  <si>
    <t>VALOR (R$)</t>
  </si>
  <si>
    <t>VI</t>
  </si>
  <si>
    <t>TOTAL  GERAL</t>
  </si>
  <si>
    <t>LOCAL</t>
  </si>
  <si>
    <t>ITEM</t>
  </si>
  <si>
    <t>2.0</t>
  </si>
  <si>
    <t>3.0</t>
  </si>
  <si>
    <t>3.2</t>
  </si>
  <si>
    <t>OBRA</t>
  </si>
  <si>
    <t>PAVIMENTAÇÃO DE VIAS URBANAS</t>
  </si>
  <si>
    <t>4.0</t>
  </si>
  <si>
    <t>4.1</t>
  </si>
  <si>
    <t>5.0</t>
  </si>
  <si>
    <t>ÁREA (m²)</t>
  </si>
  <si>
    <t>3.1</t>
  </si>
  <si>
    <t>5.1</t>
  </si>
  <si>
    <t>2.1</t>
  </si>
  <si>
    <t>2.2</t>
  </si>
  <si>
    <t>1.0</t>
  </si>
  <si>
    <t>1.1</t>
  </si>
  <si>
    <t>1.2</t>
  </si>
  <si>
    <t>MEMÓRIA DE CÁLCULO DE VOLUMES DA DRENAGEM</t>
  </si>
  <si>
    <t>COMP. DO LANCE</t>
  </si>
  <si>
    <t>DIAMETRO (m)</t>
  </si>
  <si>
    <t xml:space="preserve">LARGURA </t>
  </si>
  <si>
    <t>CORTE</t>
  </si>
  <si>
    <t xml:space="preserve">CORTE </t>
  </si>
  <si>
    <t>ALTURA MEDIA</t>
  </si>
  <si>
    <t>VOLUME</t>
  </si>
  <si>
    <t>AREA FUNDO DE VALA</t>
  </si>
  <si>
    <t>MEDIA DE ESC</t>
  </si>
  <si>
    <t>MONTANTE</t>
  </si>
  <si>
    <t>JUZANTE</t>
  </si>
  <si>
    <t>DOS CORTES</t>
  </si>
  <si>
    <t>DE CORTE PRIMEIRA CAT</t>
  </si>
  <si>
    <t>BOCAS DE LOBOS DUPLAS</t>
  </si>
  <si>
    <t>ESCAVAÇÃO</t>
  </si>
  <si>
    <t>TUBO 600MM</t>
  </si>
  <si>
    <t>TUBO 800MM</t>
  </si>
  <si>
    <t>BOCA DE LOBO DUPLA (UNIDADES)</t>
  </si>
  <si>
    <t>TOTAL DE BOTA FORA</t>
  </si>
  <si>
    <t xml:space="preserve">(3) REATERRO E COMPACTAÇÃO DE VALAS </t>
  </si>
  <si>
    <t>REGULARIZAÇÃO DE FUNDO DE VALA</t>
  </si>
  <si>
    <t>74010/001</t>
  </si>
  <si>
    <t>Carga e descarga mecânica de solo utilizando caminhão basculante 5m³ /11t e pa carregadeira sobre pneus * 105 hp * cap. 1,72m3</t>
  </si>
  <si>
    <t>Espalhamento de material em bota fora, com utilizacao de trator de esteiras de 165 HP</t>
  </si>
  <si>
    <t>5.2</t>
  </si>
  <si>
    <t>5.3</t>
  </si>
  <si>
    <t>ÁREA</t>
  </si>
  <si>
    <t>BOCAS DE LOBOS SIMPLES</t>
  </si>
  <si>
    <t>BLS - Boca de lobo simples, c/abertura na guia 1,00m  conforme projeto  tipo</t>
  </si>
  <si>
    <t>BLD - Boca de lobo dupla, c/abertura pela guia 1,00m - conforme protjeto tipo</t>
  </si>
  <si>
    <t>COMP.</t>
  </si>
  <si>
    <t>Poco de visita em alvenaria, para rede d=0,80 m, parte fixa c/ 1,00 m de altura</t>
  </si>
  <si>
    <t>Aluguel container/sanit c/2 vasos/1 lavat/1 mic/4 chuv larg2,20m compr=6,20m alt=2,50m chapa aco c/nerv trapez forro c/isolam termo/acustico chassis reforc piso compens naval inclinst eletr/hidr excl transp/carga/descarga</t>
  </si>
  <si>
    <t>mês</t>
  </si>
  <si>
    <t>3.3</t>
  </si>
  <si>
    <t>3.4</t>
  </si>
  <si>
    <t>txkm</t>
  </si>
  <si>
    <t>Reaterro mecanizado de vala com retroescavadeira (capacidade da caçamb a da retro: 0,26 m³ / potência: 88 hp), largura de 0,8 a 1,5 m, profun didade de 1,5 a 3,0 m, com solo (sem substituição) de 1ª categoria em locais com baixo nível de interferência. af_04/2016</t>
  </si>
  <si>
    <t>massa</t>
  </si>
  <si>
    <t>CUSTO HORÁRIO</t>
  </si>
  <si>
    <t>PLANILHA DE COMPOSIÇÃO DE PREÇO UNITÁRIO</t>
  </si>
  <si>
    <t>Código:</t>
  </si>
  <si>
    <t>Unidade:</t>
  </si>
  <si>
    <t>COMP</t>
  </si>
  <si>
    <t xml:space="preserve">     (A) EQUIPAMENTO</t>
  </si>
  <si>
    <t>UTILIZAÇÃO</t>
  </si>
  <si>
    <t>CUSTO OPERACÃO</t>
  </si>
  <si>
    <t>PROD.</t>
  </si>
  <si>
    <t>IMPROD.</t>
  </si>
  <si>
    <t>Adc M.O. - Ferramentas</t>
  </si>
  <si>
    <t>Total (A)</t>
  </si>
  <si>
    <t xml:space="preserve">     (B) MÃO DE OBRA SUPLEMENTAR</t>
  </si>
  <si>
    <t>SÁLARIO           / HORA</t>
  </si>
  <si>
    <t>Total (B)</t>
  </si>
  <si>
    <t>PRODUÇÃO HORÁRIA/EQUIPE (C) =</t>
  </si>
  <si>
    <t>CUSTO TOTAL DE EXECUÇÃO: (A)+(B)</t>
  </si>
  <si>
    <t>C U S T O   U N I T Á R I O   D E   E X E C U Ç Ã O :   (D)  =  [ (A) + (B) ]  /  (C)</t>
  </si>
  <si>
    <t xml:space="preserve">     (E) MATERIAIS E ATIVIDADES AUXILIARES</t>
  </si>
  <si>
    <t>CONSUMO UNITÁRIO</t>
  </si>
  <si>
    <t>PREÇO UNITÁRIO</t>
  </si>
  <si>
    <t>CUSTO UNITÁRIO</t>
  </si>
  <si>
    <t>Total (E)</t>
  </si>
  <si>
    <t xml:space="preserve">     (F) TRANSPORTES</t>
  </si>
  <si>
    <t>D M T   (km)</t>
  </si>
  <si>
    <t>CONS. UNIT.           ( t / un )</t>
  </si>
  <si>
    <t>T/RP</t>
  </si>
  <si>
    <t>PAV</t>
  </si>
  <si>
    <t>Total (F)</t>
  </si>
  <si>
    <t xml:space="preserve">     C U S T O   U N I T Á R I O   T O T A L   D E   E X E C U Ç Ã O:   (D) + (E) + (F)</t>
  </si>
  <si>
    <t xml:space="preserve">     B O N I F I C A Ç Ã O: </t>
  </si>
  <si>
    <t>(</t>
  </si>
  <si>
    <t>)</t>
  </si>
  <si>
    <t xml:space="preserve">    P R E Ç O   U N I T Á R I O   T O T A L</t>
  </si>
  <si>
    <t>Serviço: PREÇO COM BASE NA SICRO 2 DNIT</t>
  </si>
  <si>
    <t>Alvenaria de tijolos AC</t>
  </si>
  <si>
    <t>Kg</t>
  </si>
  <si>
    <t>LOGRADOURO</t>
  </si>
  <si>
    <t>ESTACAS</t>
  </si>
  <si>
    <t>EXTENSÃO (m)</t>
  </si>
  <si>
    <t>LARGURA TOTAL  (m)</t>
  </si>
  <si>
    <t>SUBLEITO (m²)</t>
  </si>
  <si>
    <t>REFORÇO DO SUBLEITO (m³)</t>
  </si>
  <si>
    <t>SUB-BASE (m³)</t>
  </si>
  <si>
    <t>BASE (m³)</t>
  </si>
  <si>
    <t>IMPRIM. (m²)</t>
  </si>
  <si>
    <t>INICIAL</t>
  </si>
  <si>
    <t>FINAL</t>
  </si>
  <si>
    <t>FOLGA</t>
  </si>
  <si>
    <t xml:space="preserve">ACOST. LE OU (ESTACIONAMENTO) </t>
  </si>
  <si>
    <t xml:space="preserve">LARGURA DA PISTA </t>
  </si>
  <si>
    <t>ACOST. LD OU (ESTACIONAMENTO)</t>
  </si>
  <si>
    <t>CORTE (m³)</t>
  </si>
  <si>
    <t>ATERRO (m³)</t>
  </si>
  <si>
    <t xml:space="preserve">LE </t>
  </si>
  <si>
    <t>LD</t>
  </si>
  <si>
    <t>+</t>
  </si>
  <si>
    <t>TUBO 600MM (18 RAMAL)</t>
  </si>
  <si>
    <t>TUBO 1200MM</t>
  </si>
  <si>
    <t>73847/001</t>
  </si>
  <si>
    <t>TUBO 1000MM</t>
  </si>
  <si>
    <t>PINTURA DE LIGAÇÃO. (m²)</t>
  </si>
  <si>
    <t xml:space="preserve"> RESUMO  DOS  PREÇOS</t>
  </si>
  <si>
    <t xml:space="preserve">SERVIÇOS                    </t>
  </si>
  <si>
    <t xml:space="preserve">BATA BASE:  </t>
  </si>
  <si>
    <t xml:space="preserve">ÁREA (m²): </t>
  </si>
  <si>
    <t>DATA BASE:</t>
  </si>
  <si>
    <t>LIMPEZA CAMADA VEGETAL (m²)</t>
  </si>
  <si>
    <t>Despesas Financeiras</t>
  </si>
  <si>
    <t>Riscos</t>
  </si>
  <si>
    <t>CPRB</t>
  </si>
  <si>
    <t>BDI - BENEFICIOS E DESPESAS INDIRETAS</t>
  </si>
  <si>
    <t>PERCENTUAL</t>
  </si>
  <si>
    <t>BDI</t>
  </si>
  <si>
    <t>CUSTO OBRA</t>
  </si>
  <si>
    <t>Outras Fontes</t>
  </si>
  <si>
    <t>VALOR DA OBRA</t>
  </si>
  <si>
    <t>( % )</t>
  </si>
  <si>
    <t>R$</t>
  </si>
  <si>
    <t>ADMINISTRAÇÃO DA OBRA</t>
  </si>
  <si>
    <t>Administração Central</t>
  </si>
  <si>
    <t>1.3</t>
  </si>
  <si>
    <t>LUCRO</t>
  </si>
  <si>
    <t>Lucro Operacional</t>
  </si>
  <si>
    <t>TRIBUTOS</t>
  </si>
  <si>
    <t>Não incidem IRPJ e CSLL na composição de Tributos.</t>
  </si>
  <si>
    <t xml:space="preserve">TAXA DE BDI A SER APLICADA 
SOBRE O CUSTO DIRETO </t>
  </si>
  <si>
    <t xml:space="preserve">De acordo com o ACÓRDÃO Nº 2622/2013 – TCU – Plenário </t>
  </si>
  <si>
    <t>PREFEITURA MUNICIPAL DE VÁRZEA GRANDE</t>
  </si>
  <si>
    <t>BAIRRO: ALAMEDA</t>
  </si>
  <si>
    <t xml:space="preserve">B.D.I. </t>
  </si>
  <si>
    <t>Isolamento de obra com tela plástica com malha de 5mm e estrutura de madeira pontaleteada</t>
  </si>
  <si>
    <t>Limpeza mecanizada de área com remoção de camada vegetal, utilizando motoniveladora</t>
  </si>
  <si>
    <t>73822/002</t>
  </si>
  <si>
    <t>Regularização e compactação de subleito até 20 cm de espessura</t>
  </si>
  <si>
    <t>2.4</t>
  </si>
  <si>
    <t>Execução e compactação de sub base com solo estabilizado granulometricamente - exclusive escavação, carga e transporte e solo. af_09/2017</t>
  </si>
  <si>
    <t>Execução e compactação de base com solo estabilizado granulometricamente - exclusive escavação, carga e transporte e solo. af_09/2017</t>
  </si>
  <si>
    <t>96387</t>
  </si>
  <si>
    <t>Execução de imprimação com asfalto diluído CM-30. af_09/2017</t>
  </si>
  <si>
    <t>Transporte com caminhão basculante de 14 m3, em via urbana em revestimento primário (unidade: tonxkm). af_04/2016</t>
  </si>
  <si>
    <t>Transporte com caminhão basculante de 14 m3, em via urbana pavimentada, dmt até 30 km (unidade: tonxkm). af_12/2016</t>
  </si>
  <si>
    <t>Transporte comercial com caminhao basculante 6 m3, rodovia pavimentada</t>
  </si>
  <si>
    <t>Guia (meio-fio) e sarjeta conjugados de concreto, moldada in loco em trecho reto com extrusora, guia 13 cm base x 22 cm altura, sarjeta 30 cm base x 8,5 cm altura. af_06/2016</t>
  </si>
  <si>
    <t>6.0</t>
  </si>
  <si>
    <t>SINALIZAÇÃO HORIZONTAL/VERTICAL</t>
  </si>
  <si>
    <t>6.1</t>
  </si>
  <si>
    <t>Sinalizacao horizontal com tinta retrorrefletiva a base de resina acrilica  c/ micro esfera de vidro</t>
  </si>
  <si>
    <t>6.2</t>
  </si>
  <si>
    <t>6.3</t>
  </si>
  <si>
    <t>SENTIDO</t>
  </si>
  <si>
    <t>COMPRIMENTO</t>
  </si>
  <si>
    <t>ESPESSURA</t>
  </si>
  <si>
    <t>Área</t>
  </si>
  <si>
    <t>TIPO DE PINTURA</t>
  </si>
  <si>
    <t>(m)</t>
  </si>
  <si>
    <t>(m²)</t>
  </si>
  <si>
    <t>Ambos (ida e volta)</t>
  </si>
  <si>
    <t>2X4</t>
  </si>
  <si>
    <t>Contínua</t>
  </si>
  <si>
    <t>FAIXA AMARELA</t>
  </si>
  <si>
    <t xml:space="preserve">TOTAL </t>
  </si>
  <si>
    <t>EXTENSÃO TOTAL</t>
  </si>
  <si>
    <t>RESUMO DA SINALIZAÇÃO</t>
  </si>
  <si>
    <t>FAIXA BRANCA CONTÍNUA</t>
  </si>
  <si>
    <t>FAIXA AMARELA 2X4</t>
  </si>
  <si>
    <t>FAIXA AMARELA CONTÍNUA</t>
  </si>
  <si>
    <t>TOTAL DE PINTURA DE FAIXAS</t>
  </si>
  <si>
    <t xml:space="preserve">SETAS  E ZEBRADOS </t>
  </si>
  <si>
    <t>LOCAL - Dist.</t>
  </si>
  <si>
    <t>SIINAL DE PLACA</t>
  </si>
  <si>
    <t>OBSERVAÇÕES</t>
  </si>
  <si>
    <t>do bordo (Metros)</t>
  </si>
  <si>
    <t>TIPO</t>
  </si>
  <si>
    <t>DIMENSÕES</t>
  </si>
  <si>
    <t>ÁREAS(m²)</t>
  </si>
  <si>
    <t>Regulamentação</t>
  </si>
  <si>
    <t>R-01</t>
  </si>
  <si>
    <t>TOTAL (m²)</t>
  </si>
  <si>
    <t>Escoramento de vala, tipo pontaleteamento, com profundidade de 0 a 1,5 m, largura maior ou igual a 1,5 m e menor que 2,5 m, em local com nível alto de interferência. af_06/2016</t>
  </si>
  <si>
    <t>VII</t>
  </si>
  <si>
    <t>Prazo ( dias consecutivos )</t>
  </si>
  <si>
    <t>Ítem</t>
  </si>
  <si>
    <t>Etapas de Serviço</t>
  </si>
  <si>
    <t>%</t>
  </si>
  <si>
    <t>Valor (R$)</t>
  </si>
  <si>
    <t>TOTAL ( % e R$ )</t>
  </si>
  <si>
    <t>DESEMBOLSO</t>
  </si>
  <si>
    <t xml:space="preserve"> SIMPLES</t>
  </si>
  <si>
    <t>ACUMULADO</t>
  </si>
  <si>
    <t>TUBULAÇÃO</t>
  </si>
  <si>
    <t>1.4</t>
  </si>
  <si>
    <t>Seguro e Garantia</t>
  </si>
  <si>
    <t>PIS</t>
  </si>
  <si>
    <t>COFINS</t>
  </si>
  <si>
    <t>ISSqn</t>
  </si>
  <si>
    <t>Formula para o calculo do BDI:</t>
  </si>
  <si>
    <t>Placa esmaltada para identificação NR de Rua, dimensões 45X25cm</t>
  </si>
  <si>
    <t>Indicativa</t>
  </si>
  <si>
    <t>I-01</t>
  </si>
  <si>
    <t>45X25 CM</t>
  </si>
  <si>
    <t>73916/002</t>
  </si>
  <si>
    <t>BAIRRO</t>
  </si>
  <si>
    <t>Descontínua</t>
  </si>
  <si>
    <t>ENSAIOS TECNOLÓGICOS DE SOLO E ASFALTO</t>
  </si>
  <si>
    <t>74021/003</t>
  </si>
  <si>
    <t>Ensaio de regularição de sub-leito</t>
  </si>
  <si>
    <t>74021/006</t>
  </si>
  <si>
    <t>Ensaio de base estabilizada granulometricamente</t>
  </si>
  <si>
    <t>73900/012</t>
  </si>
  <si>
    <t>74022/030</t>
  </si>
  <si>
    <t>un</t>
  </si>
  <si>
    <t>ton</t>
  </si>
  <si>
    <t>74209/001</t>
  </si>
  <si>
    <t>Placa de obra em chapa de aço galvanizado</t>
  </si>
  <si>
    <t>2.3</t>
  </si>
  <si>
    <t>Ensaio de Sub-base estabilizada granulometricamente)</t>
  </si>
  <si>
    <t>FORNECIMENTO/ASSENTAMENTO DE TUBOS TIPO PA-1 e PA-2</t>
  </si>
  <si>
    <t>Tubo de concreto armado PA-1 PB NBR- 8890/2007 DN 600mm</t>
  </si>
  <si>
    <t>Tubo de concreto armado PA-1 PB NBR- 8890/2007 DN 800mm</t>
  </si>
  <si>
    <t xml:space="preserve">ASSENTAMENTO E REJUNTAMENTO DE TUBO DE CONCRETO </t>
  </si>
  <si>
    <t>Assentamento de tubo de concreto diâmetro de 600mm</t>
  </si>
  <si>
    <t>Assentamento de tubo de concreto diâmetro de 800mm</t>
  </si>
  <si>
    <t>ÓRGÃOS ACESSÓRIOS</t>
  </si>
  <si>
    <t>m/unid</t>
  </si>
  <si>
    <t>Caixa de Ligação e Passagem - CPL-02</t>
  </si>
  <si>
    <t>Poço de Visita</t>
  </si>
  <si>
    <t>Boca para bueiro simples tubular, diâmetro =0,80m, em concreto ciclópico, incluindo formas, escavação, Reaterro e materiais, excluindo material Reaterro jazida e transporte.</t>
  </si>
  <si>
    <t>73856/003</t>
  </si>
  <si>
    <t>2.5</t>
  </si>
  <si>
    <t>7.0</t>
  </si>
  <si>
    <t>7.1</t>
  </si>
  <si>
    <t>7.2</t>
  </si>
  <si>
    <t>8.0</t>
  </si>
  <si>
    <t>8.1</t>
  </si>
  <si>
    <t>8.2</t>
  </si>
  <si>
    <t>VIII</t>
  </si>
  <si>
    <t>FAIXA BRANCA RETENÇÃO 0,40m</t>
  </si>
  <si>
    <t>Ensaio de reforço do subleito estabilizada granulometricamente)</t>
  </si>
  <si>
    <t>ADMINISTRAÇÃO LOCAL</t>
  </si>
  <si>
    <t>Execução de depósito em canteiro de obra</t>
  </si>
  <si>
    <t>74205/001</t>
  </si>
  <si>
    <t>Escavacao mecanica de material 1a. categoria, proveniente de corte de subleito (c/trator esteiras 160hp)</t>
  </si>
  <si>
    <r>
      <t>(</t>
    </r>
    <r>
      <rPr>
        <sz val="10"/>
        <color indexed="10"/>
        <rFont val="TIMES NEW ROMAN"/>
        <family val="1"/>
      </rPr>
      <t>M980</t>
    </r>
    <r>
      <rPr>
        <sz val="10"/>
        <rFont val="Times New Roman"/>
        <family val="1"/>
      </rPr>
      <t>) (S/C)</t>
    </r>
  </si>
  <si>
    <t>Indenização de jazida não condiz com o preço praticado na região (Preço praticado na jazida)</t>
  </si>
  <si>
    <t>5.4</t>
  </si>
  <si>
    <t>5.5</t>
  </si>
  <si>
    <t>5.6</t>
  </si>
  <si>
    <t>5.7</t>
  </si>
  <si>
    <t>3.5</t>
  </si>
  <si>
    <t>3.6</t>
  </si>
  <si>
    <t>5.8</t>
  </si>
  <si>
    <t>5.9</t>
  </si>
  <si>
    <t>5.10</t>
  </si>
  <si>
    <t>8.3</t>
  </si>
  <si>
    <t>8.5</t>
  </si>
  <si>
    <t>8.6</t>
  </si>
  <si>
    <t>8.7</t>
  </si>
  <si>
    <t>8.8</t>
  </si>
  <si>
    <t>8.9</t>
  </si>
  <si>
    <t>8.10</t>
  </si>
  <si>
    <t>9.0</t>
  </si>
  <si>
    <t>9.1</t>
  </si>
  <si>
    <t>9.2</t>
  </si>
  <si>
    <t>10.0</t>
  </si>
  <si>
    <t>10.1</t>
  </si>
  <si>
    <t>10.2</t>
  </si>
  <si>
    <t>11.0</t>
  </si>
  <si>
    <t>11.2</t>
  </si>
  <si>
    <t>11.3</t>
  </si>
  <si>
    <t>11.4</t>
  </si>
  <si>
    <t>11.5</t>
  </si>
  <si>
    <t xml:space="preserve">Ensaio de concreto asfáltico para cada 10 ton </t>
  </si>
  <si>
    <t>74219/001</t>
  </si>
  <si>
    <t>Passadicos de madeira para pedestres</t>
  </si>
  <si>
    <t>Regularizacao e compactacao manual de terreno (fundo de valas)</t>
  </si>
  <si>
    <t>Fornecimento e aplicação de Lastro de Brita  (com preparo de fundo de valas)</t>
  </si>
  <si>
    <t>IX</t>
  </si>
  <si>
    <t>X</t>
  </si>
  <si>
    <t>XI</t>
  </si>
  <si>
    <t>Pintura de ligação com emulsão RR-2C</t>
  </si>
  <si>
    <t>A</t>
  </si>
  <si>
    <t>Obs: Inclui Pista de rolamento</t>
  </si>
  <si>
    <t>Engenheiro civil de obra júnior com encargos complementares</t>
  </si>
  <si>
    <t>Topografo com encargos complementares</t>
  </si>
  <si>
    <t>Auxiliar de topógrafo com encargos complementares</t>
  </si>
  <si>
    <t>Mestre de obras com encargos complementares</t>
  </si>
  <si>
    <t>Chefe de escritório com encargos complementares</t>
  </si>
  <si>
    <t>Apontador ou apropriador com encargos complementares</t>
  </si>
  <si>
    <t>Carga, manobras e descarga de areia, brita, pedra de mao e solos com caminhao basculante 6 m3 (descarga livre)</t>
  </si>
  <si>
    <t xml:space="preserve">Transporte com caminhão basculante 14m3 em vias urbanas   pavimentada DMT = 8,6 (BOTA-FORA), ( NA JAZIDA ) </t>
  </si>
  <si>
    <t>Espalhamento de material em bota fora, com utilização de trator de esteiras de 165 hp</t>
  </si>
  <si>
    <t>Construção de pavimento com aplicação de concreto betuminoso usinado a quente (cbuq), camada de rolamento, com espessura de 4,0 cm  exclusive transporte. af_03/2017</t>
  </si>
  <si>
    <t>Escavação mecanizada de vala com prof. até 1,5 m (média entre montante e jusante/uma composição por trecho), com retroescavadeira (0,26 m3/88 hp), larg. de 1,5 m a 2,5 m, em solo de 1a categoria, em locais com baixo nível de interferência. af_01/2015</t>
  </si>
  <si>
    <t>sinapi</t>
  </si>
  <si>
    <t>SECO</t>
  </si>
  <si>
    <t>Encargo mensalista</t>
  </si>
  <si>
    <t>custo unit</t>
  </si>
  <si>
    <t>qtd</t>
  </si>
  <si>
    <t>valor</t>
  </si>
  <si>
    <t>Confecção de placa em aço nº 16 galvanizado, com película retrorrefletiva tipo I + III</t>
  </si>
  <si>
    <t>Pintura de setas e zebrados - tinta base acrílica - espessura de 0,6 mm</t>
  </si>
  <si>
    <t>P9824 SERVENTE</t>
  </si>
  <si>
    <t>Formas de tábuas de pinho para dispositivos de drenagem - utilização de 3 vezes - confecção, instalação e retirada</t>
  </si>
  <si>
    <t>Concreto fck = 25 MPa - confecção em betoneira e lançamento manual - areia e brita comerciais</t>
  </si>
  <si>
    <t>Armação em aço CA-50 - fornecimento, preparo e colocação</t>
  </si>
  <si>
    <t>Argamassa de cimento e areia 1:3 - areia comercial</t>
  </si>
  <si>
    <t>Chaminé dos poços de visita - CPV 03 - areia e brita comerciais</t>
  </si>
  <si>
    <t>11.1</t>
  </si>
  <si>
    <t>8.4</t>
  </si>
  <si>
    <t>SICRO 3 REAJUSTADO DE SET P/NOV 2017</t>
  </si>
  <si>
    <t>P. UNIT. COM BDI</t>
  </si>
  <si>
    <t>REAJUSTADO PELO INDICE DE SINALIZAÇÃO VERTICAL DO DNIT</t>
  </si>
  <si>
    <t>REAJUSTADO PELO INDICE DE DRENAGEM DO DNIT</t>
  </si>
  <si>
    <t>REAJUSTADO PELO INDICE DE SINALIZAÇÃO HORIZONTAL DO DNIT</t>
  </si>
  <si>
    <t>CODIGO</t>
  </si>
  <si>
    <t>BANCO</t>
  </si>
  <si>
    <t>SINAPI</t>
  </si>
  <si>
    <t>SICRO 3</t>
  </si>
  <si>
    <t>COTAÇÃO</t>
  </si>
  <si>
    <t>2.6</t>
  </si>
  <si>
    <t>Tipo  de transporte 93598  -  Transporte  local em rodovia  não  pavimentada (const)</t>
  </si>
  <si>
    <t>Tipo de transporte 95879 Transporte local em rodov. pavim. (const.)</t>
  </si>
  <si>
    <t>Tipo  de transporte 72843  -  Transporte  comercial c/basculante 6m³ em rodovia pavimentada</t>
  </si>
  <si>
    <t>m³xkm</t>
  </si>
  <si>
    <t>Tipo de transporte 93593 Transporte local em rodov. pavim. (const.)</t>
  </si>
  <si>
    <t>MOMENTO DE TRANSPORTE(m³.km)</t>
  </si>
  <si>
    <t>B.D.I. DIFERENCIADO</t>
  </si>
  <si>
    <t>Transporte com caminhão basculante de 14 m3, em via urbana em revestimento primário (unidade: m3xkm). af_04/2016</t>
  </si>
  <si>
    <t xml:space="preserve">Limpa rodas </t>
  </si>
  <si>
    <t>TOTAL/m² (R$)</t>
  </si>
  <si>
    <t>LANÇAMENTO PELA LATERAL DA RUA Z</t>
  </si>
  <si>
    <t>TOTAL (un)</t>
  </si>
  <si>
    <t>MEIO-FIO COM SARJETA  30cm (m)</t>
  </si>
  <si>
    <t>CBUQ(m³)  ESP. = 4,00cm</t>
  </si>
  <si>
    <t>Ensaio de resistência a compressão simples do concreto - meio-fio, sarjetas e calçadas (considerado 1,0 amostra a cada 200 m)</t>
  </si>
  <si>
    <t xml:space="preserve"> OBRA: PAVIMENTAÇÃO DE VIAS URBANAS</t>
  </si>
  <si>
    <t>QUADRO RESUMO DAS DISTÂNCIAS DE TRANSPORTES</t>
  </si>
  <si>
    <t>Serviço</t>
  </si>
  <si>
    <t>Material de Jazida</t>
  </si>
  <si>
    <t>Concretos, argamassas e pavimentação</t>
  </si>
  <si>
    <t>Formas e escoramentos</t>
  </si>
  <si>
    <t>Concretos e cercas</t>
  </si>
  <si>
    <t>Cimento</t>
  </si>
  <si>
    <t>Areia</t>
  </si>
  <si>
    <t>Brita</t>
  </si>
  <si>
    <t>Brita, pó de pedra e pedra de mão</t>
  </si>
  <si>
    <t>Massa</t>
  </si>
  <si>
    <t>Madeiras e pregos</t>
  </si>
  <si>
    <t>Aços e arames</t>
  </si>
  <si>
    <t>Material</t>
  </si>
  <si>
    <t>Percurso</t>
  </si>
  <si>
    <t>Origem</t>
  </si>
  <si>
    <t>Destino</t>
  </si>
  <si>
    <t>J-01</t>
  </si>
  <si>
    <t>Pista</t>
  </si>
  <si>
    <t>Várzea grande</t>
  </si>
  <si>
    <t>A-01</t>
  </si>
  <si>
    <t>Brita Guia</t>
  </si>
  <si>
    <t>Usina</t>
  </si>
  <si>
    <t>Transp. Local (DMT)</t>
  </si>
  <si>
    <t>NP</t>
  </si>
  <si>
    <t>P</t>
  </si>
  <si>
    <t>Total</t>
  </si>
  <si>
    <t>Transp. Comercial (DMT)</t>
  </si>
  <si>
    <t>Rua Chapada dos Guimarães</t>
  </si>
  <si>
    <t>Rua Jangada</t>
  </si>
  <si>
    <t>Rua N. Sra Do Livramento</t>
  </si>
  <si>
    <t>Rua Barão de Melgaõ</t>
  </si>
  <si>
    <t>Rua Rosário Oeste</t>
  </si>
  <si>
    <t>Rua N. Sra. Do Livramento</t>
  </si>
  <si>
    <t>Rua Barão de Melgaço</t>
  </si>
  <si>
    <t>RUA JANGADA SENTIDO CHAPADA DOS GUIMARÃES (DOURADO)</t>
  </si>
  <si>
    <t>Esquina com a Rua Dourado (posicionar a 10 metros do bordo da pista transversal)</t>
  </si>
  <si>
    <t>RUA N. SRA. DO LIVRAMENTO SENTIDO RUA JANGADA</t>
  </si>
  <si>
    <t>Esquina com a Rua Jangada (posicionar a 10 metros do bordo da pista transversal)</t>
  </si>
  <si>
    <t>RUA BARÃO DE MELGADO SENTIDO RUA JANGADA</t>
  </si>
  <si>
    <t>RUA ROSÁRIO OESTE SENTIDO RUA PIRAPORÃ</t>
  </si>
  <si>
    <t>Esquina com a Rua Piraporã(posicionar a 10 metros do bordo da pista transversal)</t>
  </si>
  <si>
    <t>RUA ROSÁRIO OESTE SENTIDO RUA JACARANDÁ</t>
  </si>
  <si>
    <t>Esquina com a Rua Jacarandá (posicionar a 10 metros do bordo da pista transversal)</t>
  </si>
  <si>
    <t>JARDIM ESMERALDA</t>
  </si>
  <si>
    <t xml:space="preserve">RUA CHAPADA DOS GUIMARÃES(DOURADO), RUA JANGADA, RUA N. SRA DO LIVRAMENTO, RUA BARÃO DE MELGAÇO E RUA ROSÁRIO OESTE </t>
  </si>
  <si>
    <t>TERRAPLENAGEM E PAVIMENTAÇÃO - JARDIM ESMERALDA</t>
  </si>
  <si>
    <r>
      <t xml:space="preserve">NOTA DE  SERVIÇO DE  SINALIZAÇÃO  HORIZONTAL - </t>
    </r>
    <r>
      <rPr>
        <b/>
        <sz val="12"/>
        <rFont val="Times New Roman"/>
        <family val="1"/>
      </rPr>
      <t>FAIXA AMARELA</t>
    </r>
    <r>
      <rPr>
        <sz val="12"/>
        <color indexed="13"/>
        <rFont val="Times New Roman"/>
        <family val="1"/>
      </rPr>
      <t xml:space="preserve"> </t>
    </r>
    <r>
      <rPr>
        <sz val="12"/>
        <rFont val="Times New Roman"/>
        <family val="1"/>
      </rPr>
      <t>- JARDIM ESMERALDA</t>
    </r>
  </si>
  <si>
    <t>NOTA  DE  SERVIÇO DE SINALIZAÇÃO VERTICAL DO BAIRRO JARDIM ESMERALDA</t>
  </si>
  <si>
    <t>SINAPI 01/2018</t>
  </si>
  <si>
    <t>Sicro-3  01/2018</t>
  </si>
  <si>
    <t>4.2</t>
  </si>
  <si>
    <t>4.3</t>
  </si>
  <si>
    <t>4.4</t>
  </si>
  <si>
    <t>4.5</t>
  </si>
  <si>
    <t>4.6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</si>
</sst>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_);_(* \(#,##0\);_(* &quot;-&quot;_);_(@_)"/>
    <numFmt numFmtId="171" formatCode="_(&quot;R$ &quot;* #,##0.00_);_(&quot;R$ &quot;* \(#,##0.00\);_(&quot;R$ &quot;* &quot;-&quot;??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mmmm\-yy"/>
    <numFmt numFmtId="177" formatCode="#,##0.000"/>
    <numFmt numFmtId="178" formatCode="0.000"/>
    <numFmt numFmtId="179" formatCode="0.0000"/>
    <numFmt numFmtId="180" formatCode="_(* #,##0.000_);_(* \(#,##0.000\);_(* &quot;-&quot;??_);_(@_)"/>
    <numFmt numFmtId="181" formatCode="_(* #,##0.0_);_(* \(#,##0.0\);_(* &quot;-&quot;??_);_(@_)"/>
    <numFmt numFmtId="182" formatCode="&quot;Cr$&quot;#,##0_);\(&quot;Cr$&quot;#,##0\)"/>
    <numFmt numFmtId="183" formatCode="#,##0.0000"/>
    <numFmt numFmtId="184" formatCode="0.0"/>
    <numFmt numFmtId="185" formatCode="_(* #,##0.0000_);_(* \(#,##0.0000\);_(* &quot;-&quot;??_);_(@_)"/>
    <numFmt numFmtId="186" formatCode="#,##0.00000"/>
    <numFmt numFmtId="187" formatCode="_-* #,##0.000_-;\-* #,##0.000_-;_-* &quot;-&quot;???_-;_-@_-"/>
    <numFmt numFmtId="188" formatCode="_(* #,##0.000_);_(* \(#,##0.000\);_(* \-???_);_(@_)"/>
    <numFmt numFmtId="189" formatCode="_(* #,##0.000_);_(* \(#,##0.000\);_(* \-??_);_(@_)"/>
    <numFmt numFmtId="190" formatCode="_(* #,##0.00_);_(* \(#,##0.00\);_(* \-??_);_(@_)"/>
    <numFmt numFmtId="191" formatCode="#,##0.00_);[Red]\(#,##0.00\)"/>
    <numFmt numFmtId="192" formatCode="_([$€-2]* #,##0.00_);_([$€-2]* \(#,##0.00\);_([$€-2]* &quot;-&quot;??_)"/>
    <numFmt numFmtId="193" formatCode="[$-416]dddd\,\ d&quot; de &quot;mmmm&quot; de &quot;yyyy"/>
    <numFmt numFmtId="194" formatCode="_-* #,##0.0_-;\-* #,##0.0_-;_-* &quot;-&quot;?_-;_-@_-"/>
    <numFmt numFmtId="195" formatCode="&quot;Sim&quot;;&quot;Sim&quot;;&quot;Não&quot;"/>
    <numFmt numFmtId="196" formatCode="&quot;Verdadeiro&quot;;&quot;Verdadeiro&quot;;&quot;Falso&quot;"/>
    <numFmt numFmtId="197" formatCode="&quot;Ativado&quot;;&quot;Ativado&quot;;&quot;Desativado&quot;"/>
    <numFmt numFmtId="198" formatCode="[$€-2]\ #,##0.00_);[Red]\([$€-2]\ #,##0.00\)"/>
    <numFmt numFmtId="199" formatCode="_-* #,##0.000_-;\-* #,##0.000_-;_-* &quot;-&quot;??_-;_-@_-"/>
    <numFmt numFmtId="200" formatCode="0.000000"/>
    <numFmt numFmtId="201" formatCode="0.00000"/>
    <numFmt numFmtId="202" formatCode="#,##0.000000"/>
    <numFmt numFmtId="203" formatCode="#,##0.0000000"/>
    <numFmt numFmtId="204" formatCode="#,##0.00_ ;[Red]\-#,##0.00\ "/>
    <numFmt numFmtId="205" formatCode="#,##0.00_ ;\-#,##0.00\ "/>
    <numFmt numFmtId="206" formatCode="_(* #,##0_);_(* \(#,##0\);_(* &quot;-&quot;??_);_(@_)"/>
    <numFmt numFmtId="207" formatCode="0.0%"/>
    <numFmt numFmtId="208" formatCode="#,##0.000_);[Red]\(#,##0.000\)"/>
    <numFmt numFmtId="209" formatCode="&quot;R$&quot;\ #,##0.00"/>
    <numFmt numFmtId="210" formatCode="[$-F800]dddd\,\ mmmm\ dd\,\ yyyy"/>
  </numFmts>
  <fonts count="10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u val="single"/>
      <sz val="10"/>
      <color indexed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lv"/>
      <family val="0"/>
    </font>
    <font>
      <b/>
      <sz val="8"/>
      <name val="Times New Roman"/>
      <family val="1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34"/>
      <name val="Arial"/>
      <family val="2"/>
    </font>
    <font>
      <b/>
      <sz val="10"/>
      <color indexed="9"/>
      <name val="Arial"/>
      <family val="2"/>
    </font>
    <font>
      <sz val="10"/>
      <color indexed="34"/>
      <name val="Arial"/>
      <family val="2"/>
    </font>
    <font>
      <sz val="10"/>
      <color indexed="32"/>
      <name val="Arial"/>
      <family val="2"/>
    </font>
    <font>
      <u val="single"/>
      <sz val="9"/>
      <color indexed="12"/>
      <name val="Arial"/>
      <family val="2"/>
    </font>
    <font>
      <sz val="10"/>
      <color indexed="36"/>
      <name val="Arial"/>
      <family val="2"/>
    </font>
    <font>
      <sz val="10"/>
      <color indexed="37"/>
      <name val="Arial"/>
      <family val="2"/>
    </font>
    <font>
      <b/>
      <sz val="10"/>
      <color indexed="22"/>
      <name val="Arial"/>
      <family val="2"/>
    </font>
    <font>
      <i/>
      <sz val="10"/>
      <color indexed="23"/>
      <name val="Arial"/>
      <family val="2"/>
    </font>
    <font>
      <b/>
      <sz val="15"/>
      <color indexed="32"/>
      <name val="Arial"/>
      <family val="2"/>
    </font>
    <font>
      <b/>
      <sz val="18"/>
      <color indexed="32"/>
      <name val="Cambria"/>
      <family val="1"/>
    </font>
    <font>
      <b/>
      <sz val="13"/>
      <color indexed="32"/>
      <name val="Arial"/>
      <family val="2"/>
    </font>
    <font>
      <b/>
      <sz val="11"/>
      <color indexed="32"/>
      <name val="Arial"/>
      <family val="2"/>
    </font>
    <font>
      <sz val="12"/>
      <color indexed="8"/>
      <name val="Calibri"/>
      <family val="2"/>
    </font>
    <font>
      <sz val="12"/>
      <color indexed="13"/>
      <name val="Times New Roman"/>
      <family val="1"/>
    </font>
    <font>
      <b/>
      <sz val="16"/>
      <name val="Arial"/>
      <family val="2"/>
    </font>
    <font>
      <sz val="10"/>
      <color indexed="10"/>
      <name val="TIMES NEW ROMAN"/>
      <family val="1"/>
    </font>
    <font>
      <b/>
      <sz val="12"/>
      <name val="MS Sans Serif"/>
      <family val="2"/>
    </font>
    <font>
      <sz val="12"/>
      <name val="Calibri"/>
      <family val="2"/>
    </font>
    <font>
      <sz val="11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u val="single"/>
      <sz val="10"/>
      <color indexed="2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u val="single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u val="single"/>
      <sz val="12"/>
      <color rgb="FF00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3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 style="double"/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/>
      <right/>
      <top/>
      <bottom style="thick">
        <color indexed="3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32"/>
      </top>
      <bottom style="double">
        <color indexed="3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/>
      <top>
        <color indexed="63"/>
      </top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/>
      <top style="medium"/>
      <bottom/>
    </border>
    <border>
      <left/>
      <right style="thin">
        <color rgb="FF000000"/>
      </right>
      <top style="medium"/>
      <bottom/>
    </border>
    <border>
      <left style="thin">
        <color rgb="FF000000"/>
      </left>
      <right/>
      <top/>
      <bottom style="medium"/>
    </border>
    <border>
      <left/>
      <right style="thin">
        <color rgb="FF000000"/>
      </right>
      <top/>
      <bottom style="medium"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/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8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82" fillId="8" borderId="0" applyNumberFormat="0" applyBorder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0" fillId="2" borderId="0" applyNumberFormat="0" applyFont="0" applyFill="0" applyProtection="0">
      <alignment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0" fillId="2" borderId="0" applyNumberFormat="0" applyFont="0" applyFill="0" applyProtection="0">
      <alignment/>
    </xf>
    <xf numFmtId="0" fontId="17" fillId="2" borderId="0" applyNumberFormat="0" applyBorder="0" applyAlignment="0" applyProtection="0"/>
    <xf numFmtId="0" fontId="82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0" fillId="3" borderId="0" applyNumberFormat="0" applyFont="0" applyFill="0" applyProtection="0">
      <alignment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0" fillId="3" borderId="0" applyNumberFormat="0" applyFont="0" applyFill="0" applyProtection="0">
      <alignment/>
    </xf>
    <xf numFmtId="0" fontId="17" fillId="3" borderId="0" applyNumberFormat="0" applyBorder="0" applyAlignment="0" applyProtection="0"/>
    <xf numFmtId="0" fontId="82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0" fillId="4" borderId="0" applyNumberFormat="0" applyFont="0" applyFill="0" applyProtection="0">
      <alignment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0" fillId="4" borderId="0" applyNumberFormat="0" applyFont="0" applyFill="0" applyProtection="0">
      <alignment/>
    </xf>
    <xf numFmtId="0" fontId="17" fillId="4" borderId="0" applyNumberFormat="0" applyBorder="0" applyAlignment="0" applyProtection="0"/>
    <xf numFmtId="0" fontId="82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0" fillId="2" borderId="0" applyNumberFormat="0" applyFont="0" applyFill="0" applyProtection="0">
      <alignment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0" fillId="2" borderId="0" applyNumberFormat="0" applyFont="0" applyFill="0" applyProtection="0">
      <alignment/>
    </xf>
    <xf numFmtId="0" fontId="17" fillId="5" borderId="0" applyNumberFormat="0" applyBorder="0" applyAlignment="0" applyProtection="0"/>
    <xf numFmtId="0" fontId="82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0" fillId="4" borderId="0" applyNumberFormat="0" applyFont="0" applyFill="0" applyProtection="0">
      <alignment/>
    </xf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0" fillId="4" borderId="0" applyNumberFormat="0" applyFont="0" applyFill="0" applyProtection="0">
      <alignment/>
    </xf>
    <xf numFmtId="0" fontId="17" fillId="6" borderId="0" applyNumberFormat="0" applyBorder="0" applyAlignment="0" applyProtection="0"/>
    <xf numFmtId="0" fontId="82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0" fillId="3" borderId="0" applyNumberFormat="0" applyFont="0" applyFill="0" applyProtection="0">
      <alignment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0" fillId="3" borderId="0" applyNumberFormat="0" applyFont="0" applyFill="0" applyProtection="0">
      <alignment/>
    </xf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3" borderId="0" applyNumberFormat="0" applyBorder="0" applyAlignment="0" applyProtection="0"/>
    <xf numFmtId="0" fontId="82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0" fillId="2" borderId="0" applyNumberFormat="0" applyFont="0" applyFill="0" applyProtection="0">
      <alignment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0" fillId="2" borderId="0" applyNumberFormat="0" applyFont="0" applyFill="0" applyProtection="0">
      <alignment/>
    </xf>
    <xf numFmtId="0" fontId="17" fillId="8" borderId="0" applyNumberFormat="0" applyBorder="0" applyAlignment="0" applyProtection="0"/>
    <xf numFmtId="0" fontId="82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0" fillId="9" borderId="0" applyNumberFormat="0" applyFont="0" applyFill="0" applyProtection="0">
      <alignment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0" fillId="9" borderId="0" applyNumberFormat="0" applyFont="0" applyFill="0" applyProtection="0">
      <alignment/>
    </xf>
    <xf numFmtId="0" fontId="17" fillId="9" borderId="0" applyNumberFormat="0" applyBorder="0" applyAlignment="0" applyProtection="0"/>
    <xf numFmtId="0" fontId="82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Font="0" applyFill="0" applyProtection="0">
      <alignment/>
    </xf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Font="0" applyFill="0" applyProtection="0">
      <alignment/>
    </xf>
    <xf numFmtId="0" fontId="17" fillId="12" borderId="0" applyNumberFormat="0" applyBorder="0" applyAlignment="0" applyProtection="0"/>
    <xf numFmtId="0" fontId="82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0" fillId="2" borderId="0" applyNumberFormat="0" applyFont="0" applyFill="0" applyProtection="0">
      <alignment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0" fillId="2" borderId="0" applyNumberFormat="0" applyFont="0" applyFill="0" applyProtection="0">
      <alignment/>
    </xf>
    <xf numFmtId="0" fontId="17" fillId="5" borderId="0" applyNumberFormat="0" applyBorder="0" applyAlignment="0" applyProtection="0"/>
    <xf numFmtId="0" fontId="82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0" fillId="2" borderId="0" applyNumberFormat="0" applyFont="0" applyFill="0" applyProtection="0">
      <alignment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0" fillId="2" borderId="0" applyNumberFormat="0" applyFont="0" applyFill="0" applyProtection="0">
      <alignment/>
    </xf>
    <xf numFmtId="0" fontId="17" fillId="8" borderId="0" applyNumberFormat="0" applyBorder="0" applyAlignment="0" applyProtection="0"/>
    <xf numFmtId="0" fontId="82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0" fillId="17" borderId="0" applyNumberFormat="0" applyFont="0" applyFill="0" applyProtection="0">
      <alignment/>
    </xf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0" fillId="17" borderId="0" applyNumberFormat="0" applyFont="0" applyFill="0" applyProtection="0">
      <alignment/>
    </xf>
    <xf numFmtId="0" fontId="17" fillId="13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83" fillId="6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45" fillId="18" borderId="0" applyNumberFormat="0" applyFont="0" applyFill="0" applyProtection="0">
      <alignment/>
    </xf>
    <xf numFmtId="0" fontId="45" fillId="18" borderId="0" applyNumberFormat="0" applyFont="0" applyFill="0" applyProtection="0">
      <alignment/>
    </xf>
    <xf numFmtId="0" fontId="18" fillId="6" borderId="0" applyNumberFormat="0" applyBorder="0" applyAlignment="0" applyProtection="0"/>
    <xf numFmtId="0" fontId="45" fillId="18" borderId="0" applyNumberFormat="0" applyFont="0" applyFill="0" applyProtection="0">
      <alignment/>
    </xf>
    <xf numFmtId="0" fontId="18" fillId="18" borderId="0" applyNumberFormat="0" applyBorder="0" applyAlignment="0" applyProtection="0"/>
    <xf numFmtId="0" fontId="45" fillId="18" borderId="0" applyNumberFormat="0" applyFont="0" applyFill="0" applyProtection="0">
      <alignment/>
    </xf>
    <xf numFmtId="0" fontId="83" fillId="2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45" fillId="9" borderId="0" applyNumberFormat="0" applyFont="0" applyFill="0" applyProtection="0">
      <alignment/>
    </xf>
    <xf numFmtId="0" fontId="45" fillId="9" borderId="0" applyNumberFormat="0" applyFont="0" applyFill="0" applyProtection="0">
      <alignment/>
    </xf>
    <xf numFmtId="0" fontId="18" fillId="22" borderId="0" applyNumberFormat="0" applyBorder="0" applyAlignment="0" applyProtection="0"/>
    <xf numFmtId="0" fontId="45" fillId="9" borderId="0" applyNumberFormat="0" applyFont="0" applyFill="0" applyProtection="0">
      <alignment/>
    </xf>
    <xf numFmtId="0" fontId="18" fillId="9" borderId="0" applyNumberFormat="0" applyBorder="0" applyAlignment="0" applyProtection="0"/>
    <xf numFmtId="0" fontId="45" fillId="9" borderId="0" applyNumberFormat="0" applyFont="0" applyFill="0" applyProtection="0">
      <alignment/>
    </xf>
    <xf numFmtId="0" fontId="83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45" fillId="16" borderId="0" applyNumberFormat="0" applyFont="0" applyFill="0" applyProtection="0">
      <alignment/>
    </xf>
    <xf numFmtId="0" fontId="45" fillId="16" borderId="0" applyNumberFormat="0" applyFont="0" applyFill="0" applyProtection="0">
      <alignment/>
    </xf>
    <xf numFmtId="0" fontId="18" fillId="13" borderId="0" applyNumberFormat="0" applyBorder="0" applyAlignment="0" applyProtection="0"/>
    <xf numFmtId="0" fontId="45" fillId="16" borderId="0" applyNumberFormat="0" applyFont="0" applyFill="0" applyProtection="0">
      <alignment/>
    </xf>
    <xf numFmtId="0" fontId="18" fillId="12" borderId="0" applyNumberFormat="0" applyBorder="0" applyAlignment="0" applyProtection="0"/>
    <xf numFmtId="0" fontId="45" fillId="16" borderId="0" applyNumberFormat="0" applyFont="0" applyFill="0" applyProtection="0">
      <alignment/>
    </xf>
    <xf numFmtId="0" fontId="83" fillId="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45" fillId="23" borderId="0" applyNumberFormat="0" applyFont="0" applyFill="0" applyProtection="0">
      <alignment/>
    </xf>
    <xf numFmtId="0" fontId="45" fillId="23" borderId="0" applyNumberFormat="0" applyFont="0" applyFill="0" applyProtection="0">
      <alignment/>
    </xf>
    <xf numFmtId="0" fontId="18" fillId="3" borderId="0" applyNumberFormat="0" applyBorder="0" applyAlignment="0" applyProtection="0"/>
    <xf numFmtId="0" fontId="45" fillId="23" borderId="0" applyNumberFormat="0" applyFont="0" applyFill="0" applyProtection="0">
      <alignment/>
    </xf>
    <xf numFmtId="0" fontId="18" fillId="19" borderId="0" applyNumberFormat="0" applyBorder="0" applyAlignment="0" applyProtection="0"/>
    <xf numFmtId="0" fontId="45" fillId="23" borderId="0" applyNumberFormat="0" applyFont="0" applyFill="0" applyProtection="0">
      <alignment/>
    </xf>
    <xf numFmtId="0" fontId="83" fillId="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45" fillId="20" borderId="0" applyNumberFormat="0" applyFont="0" applyFill="0" applyProtection="0">
      <alignment/>
    </xf>
    <xf numFmtId="0" fontId="45" fillId="20" borderId="0" applyNumberFormat="0" applyFont="0" applyFill="0" applyProtection="0">
      <alignment/>
    </xf>
    <xf numFmtId="0" fontId="18" fillId="6" borderId="0" applyNumberFormat="0" applyBorder="0" applyAlignment="0" applyProtection="0"/>
    <xf numFmtId="0" fontId="45" fillId="20" borderId="0" applyNumberFormat="0" applyFont="0" applyFill="0" applyProtection="0">
      <alignment/>
    </xf>
    <xf numFmtId="0" fontId="18" fillId="20" borderId="0" applyNumberFormat="0" applyBorder="0" applyAlignment="0" applyProtection="0"/>
    <xf numFmtId="0" fontId="45" fillId="20" borderId="0" applyNumberFormat="0" applyFont="0" applyFill="0" applyProtection="0">
      <alignment/>
    </xf>
    <xf numFmtId="0" fontId="83" fillId="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45" fillId="17" borderId="0" applyNumberFormat="0" applyFont="0" applyFill="0" applyProtection="0">
      <alignment/>
    </xf>
    <xf numFmtId="0" fontId="45" fillId="17" borderId="0" applyNumberFormat="0" applyFont="0" applyFill="0" applyProtection="0">
      <alignment/>
    </xf>
    <xf numFmtId="0" fontId="18" fillId="9" borderId="0" applyNumberFormat="0" applyBorder="0" applyAlignment="0" applyProtection="0"/>
    <xf numFmtId="0" fontId="45" fillId="17" borderId="0" applyNumberFormat="0" applyFont="0" applyFill="0" applyProtection="0">
      <alignment/>
    </xf>
    <xf numFmtId="0" fontId="18" fillId="21" borderId="0" applyNumberFormat="0" applyBorder="0" applyAlignment="0" applyProtection="0"/>
    <xf numFmtId="0" fontId="45" fillId="17" borderId="0" applyNumberFormat="0" applyFont="0" applyFill="0" applyProtection="0">
      <alignment/>
    </xf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2" borderId="0" applyNumberFormat="0" applyBorder="0" applyAlignment="0" applyProtection="0"/>
    <xf numFmtId="0" fontId="25" fillId="3" borderId="0" applyNumberFormat="0" applyBorder="0" applyAlignment="0" applyProtection="0"/>
    <xf numFmtId="0" fontId="84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6" fillId="4" borderId="0" applyNumberFormat="0" applyFont="0" applyFill="0" applyProtection="0">
      <alignment/>
    </xf>
    <xf numFmtId="0" fontId="46" fillId="4" borderId="0" applyNumberFormat="0" applyFont="0" applyFill="0" applyProtection="0">
      <alignment/>
    </xf>
    <xf numFmtId="0" fontId="19" fillId="6" borderId="0" applyNumberFormat="0" applyBorder="0" applyAlignment="0" applyProtection="0"/>
    <xf numFmtId="0" fontId="46" fillId="4" borderId="0" applyNumberFormat="0" applyFont="0" applyFill="0" applyProtection="0">
      <alignment/>
    </xf>
    <xf numFmtId="0" fontId="19" fillId="4" borderId="0" applyNumberFormat="0" applyBorder="0" applyAlignment="0" applyProtection="0"/>
    <xf numFmtId="0" fontId="46" fillId="4" borderId="0" applyNumberFormat="0" applyFont="0" applyFill="0" applyProtection="0">
      <alignment/>
    </xf>
    <xf numFmtId="0" fontId="34" fillId="27" borderId="1" applyNumberFormat="0" applyAlignment="0" applyProtection="0"/>
    <xf numFmtId="0" fontId="20" fillId="28" borderId="2" applyNumberFormat="0" applyAlignment="0" applyProtection="0"/>
    <xf numFmtId="0" fontId="34" fillId="27" borderId="1" applyNumberFormat="0" applyAlignment="0" applyProtection="0"/>
    <xf numFmtId="0" fontId="34" fillId="27" borderId="1" applyNumberFormat="0" applyAlignment="0" applyProtection="0"/>
    <xf numFmtId="0" fontId="47" fillId="29" borderId="1" applyNumberFormat="0" applyFont="0" applyProtection="0">
      <alignment/>
    </xf>
    <xf numFmtId="0" fontId="34" fillId="27" borderId="1" applyNumberFormat="0" applyAlignment="0" applyProtection="0"/>
    <xf numFmtId="0" fontId="20" fillId="28" borderId="1" applyNumberFormat="0" applyAlignment="0" applyProtection="0"/>
    <xf numFmtId="0" fontId="47" fillId="29" borderId="1" applyNumberFormat="0" applyFont="0" applyProtection="0">
      <alignment/>
    </xf>
    <xf numFmtId="0" fontId="34" fillId="27" borderId="1" applyNumberFormat="0" applyAlignment="0" applyProtection="0"/>
    <xf numFmtId="0" fontId="47" fillId="29" borderId="1" applyNumberFormat="0" applyFont="0" applyProtection="0">
      <alignment/>
    </xf>
    <xf numFmtId="0" fontId="0" fillId="0" borderId="0">
      <alignment/>
      <protection/>
    </xf>
    <xf numFmtId="0" fontId="85" fillId="30" borderId="3" applyNumberFormat="0" applyAlignment="0" applyProtection="0"/>
    <xf numFmtId="0" fontId="21" fillId="31" borderId="4" applyNumberFormat="0" applyAlignment="0" applyProtection="0"/>
    <xf numFmtId="0" fontId="21" fillId="31" borderId="4" applyNumberFormat="0" applyAlignment="0" applyProtection="0"/>
    <xf numFmtId="0" fontId="48" fillId="31" borderId="4" applyNumberFormat="0" applyFont="0" applyProtection="0">
      <alignment/>
    </xf>
    <xf numFmtId="0" fontId="21" fillId="31" borderId="4" applyNumberFormat="0" applyAlignment="0" applyProtection="0"/>
    <xf numFmtId="0" fontId="21" fillId="31" borderId="4" applyNumberFormat="0" applyAlignment="0" applyProtection="0"/>
    <xf numFmtId="0" fontId="48" fillId="31" borderId="4" applyNumberFormat="0" applyFont="0" applyProtection="0">
      <alignment/>
    </xf>
    <xf numFmtId="0" fontId="21" fillId="31" borderId="4" applyNumberFormat="0" applyAlignment="0" applyProtection="0"/>
    <xf numFmtId="0" fontId="48" fillId="31" borderId="4" applyNumberFormat="0" applyFont="0" applyProtection="0">
      <alignment/>
    </xf>
    <xf numFmtId="0" fontId="22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49" fillId="0" borderId="7" applyNumberFormat="0" applyFont="0" applyAlignment="0" applyProtection="0"/>
    <xf numFmtId="0" fontId="35" fillId="0" borderId="6" applyNumberFormat="0" applyFill="0" applyAlignment="0" applyProtection="0"/>
    <xf numFmtId="0" fontId="22" fillId="0" borderId="5" applyNumberFormat="0" applyFill="0" applyAlignment="0" applyProtection="0"/>
    <xf numFmtId="0" fontId="49" fillId="0" borderId="7" applyNumberFormat="0" applyFont="0" applyAlignment="0" applyProtection="0"/>
    <xf numFmtId="0" fontId="35" fillId="0" borderId="6" applyNumberFormat="0" applyFill="0" applyAlignment="0" applyProtection="0"/>
    <xf numFmtId="0" fontId="49" fillId="0" borderId="7" applyNumberFormat="0" applyFont="0" applyAlignment="0" applyProtection="0"/>
    <xf numFmtId="0" fontId="21" fillId="31" borderId="4" applyNumberFormat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83" fillId="32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45" fillId="24" borderId="0" applyNumberFormat="0" applyFont="0" applyFill="0" applyProtection="0">
      <alignment/>
    </xf>
    <xf numFmtId="0" fontId="45" fillId="24" borderId="0" applyNumberFormat="0" applyFont="0" applyFill="0" applyProtection="0">
      <alignment/>
    </xf>
    <xf numFmtId="0" fontId="18" fillId="32" borderId="0" applyNumberFormat="0" applyBorder="0" applyAlignment="0" applyProtection="0"/>
    <xf numFmtId="0" fontId="45" fillId="24" borderId="0" applyNumberFormat="0" applyFont="0" applyFill="0" applyProtection="0">
      <alignment/>
    </xf>
    <xf numFmtId="0" fontId="18" fillId="24" borderId="0" applyNumberFormat="0" applyBorder="0" applyAlignment="0" applyProtection="0"/>
    <xf numFmtId="0" fontId="45" fillId="24" borderId="0" applyNumberFormat="0" applyFont="0" applyFill="0" applyProtection="0">
      <alignment/>
    </xf>
    <xf numFmtId="0" fontId="83" fillId="2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5" fillId="33" borderId="0" applyNumberFormat="0" applyFont="0" applyFill="0" applyProtection="0">
      <alignment/>
    </xf>
    <xf numFmtId="0" fontId="45" fillId="33" borderId="0" applyNumberFormat="0" applyFont="0" applyFill="0" applyProtection="0">
      <alignment/>
    </xf>
    <xf numFmtId="0" fontId="18" fillId="22" borderId="0" applyNumberFormat="0" applyBorder="0" applyAlignment="0" applyProtection="0"/>
    <xf numFmtId="0" fontId="45" fillId="33" borderId="0" applyNumberFormat="0" applyFont="0" applyFill="0" applyProtection="0">
      <alignment/>
    </xf>
    <xf numFmtId="0" fontId="18" fillId="25" borderId="0" applyNumberFormat="0" applyBorder="0" applyAlignment="0" applyProtection="0"/>
    <xf numFmtId="0" fontId="45" fillId="33" borderId="0" applyNumberFormat="0" applyFont="0" applyFill="0" applyProtection="0">
      <alignment/>
    </xf>
    <xf numFmtId="0" fontId="83" fillId="13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45" fillId="34" borderId="0" applyNumberFormat="0" applyFont="0" applyFill="0" applyProtection="0">
      <alignment/>
    </xf>
    <xf numFmtId="0" fontId="45" fillId="34" borderId="0" applyNumberFormat="0" applyFont="0" applyFill="0" applyProtection="0">
      <alignment/>
    </xf>
    <xf numFmtId="0" fontId="18" fillId="13" borderId="0" applyNumberFormat="0" applyBorder="0" applyAlignment="0" applyProtection="0"/>
    <xf numFmtId="0" fontId="45" fillId="34" borderId="0" applyNumberFormat="0" applyFont="0" applyFill="0" applyProtection="0">
      <alignment/>
    </xf>
    <xf numFmtId="0" fontId="18" fillId="26" borderId="0" applyNumberFormat="0" applyBorder="0" applyAlignment="0" applyProtection="0"/>
    <xf numFmtId="0" fontId="45" fillId="34" borderId="0" applyNumberFormat="0" applyFont="0" applyFill="0" applyProtection="0">
      <alignment/>
    </xf>
    <xf numFmtId="0" fontId="83" fillId="3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45" fillId="23" borderId="0" applyNumberFormat="0" applyFont="0" applyFill="0" applyProtection="0">
      <alignment/>
    </xf>
    <xf numFmtId="0" fontId="45" fillId="23" borderId="0" applyNumberFormat="0" applyFont="0" applyFill="0" applyProtection="0">
      <alignment/>
    </xf>
    <xf numFmtId="0" fontId="18" fillId="35" borderId="0" applyNumberFormat="0" applyBorder="0" applyAlignment="0" applyProtection="0"/>
    <xf numFmtId="0" fontId="45" fillId="23" borderId="0" applyNumberFormat="0" applyFont="0" applyFill="0" applyProtection="0">
      <alignment/>
    </xf>
    <xf numFmtId="0" fontId="18" fillId="19" borderId="0" applyNumberFormat="0" applyBorder="0" applyAlignment="0" applyProtection="0"/>
    <xf numFmtId="0" fontId="45" fillId="23" borderId="0" applyNumberFormat="0" applyFont="0" applyFill="0" applyProtection="0">
      <alignment/>
    </xf>
    <xf numFmtId="0" fontId="83" fillId="3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45" fillId="20" borderId="0" applyNumberFormat="0" applyFont="0" applyFill="0" applyProtection="0">
      <alignment/>
    </xf>
    <xf numFmtId="0" fontId="45" fillId="20" borderId="0" applyNumberFormat="0" applyFont="0" applyFill="0" applyProtection="0">
      <alignment/>
    </xf>
    <xf numFmtId="0" fontId="18" fillId="20" borderId="0" applyNumberFormat="0" applyBorder="0" applyAlignment="0" applyProtection="0"/>
    <xf numFmtId="0" fontId="45" fillId="20" borderId="0" applyNumberFormat="0" applyFont="0" applyFill="0" applyProtection="0">
      <alignment/>
    </xf>
    <xf numFmtId="0" fontId="18" fillId="20" borderId="0" applyNumberFormat="0" applyBorder="0" applyAlignment="0" applyProtection="0"/>
    <xf numFmtId="0" fontId="45" fillId="20" borderId="0" applyNumberFormat="0" applyFont="0" applyFill="0" applyProtection="0">
      <alignment/>
    </xf>
    <xf numFmtId="0" fontId="83" fillId="25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5" fillId="25" borderId="0" applyNumberFormat="0" applyFont="0" applyFill="0" applyProtection="0">
      <alignment/>
    </xf>
    <xf numFmtId="0" fontId="45" fillId="25" borderId="0" applyNumberFormat="0" applyFont="0" applyFill="0" applyProtection="0">
      <alignment/>
    </xf>
    <xf numFmtId="0" fontId="18" fillId="25" borderId="0" applyNumberFormat="0" applyBorder="0" applyAlignment="0" applyProtection="0"/>
    <xf numFmtId="0" fontId="45" fillId="25" borderId="0" applyNumberFormat="0" applyFont="0" applyFill="0" applyProtection="0">
      <alignment/>
    </xf>
    <xf numFmtId="0" fontId="18" fillId="22" borderId="0" applyNumberFormat="0" applyBorder="0" applyAlignment="0" applyProtection="0"/>
    <xf numFmtId="0" fontId="45" fillId="25" borderId="0" applyNumberFormat="0" applyFont="0" applyFill="0" applyProtection="0">
      <alignment/>
    </xf>
    <xf numFmtId="0" fontId="86" fillId="15" borderId="2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50" fillId="3" borderId="1" applyNumberFormat="0" applyFont="0" applyProtection="0">
      <alignment/>
    </xf>
    <xf numFmtId="0" fontId="23" fillId="7" borderId="1" applyNumberFormat="0" applyAlignment="0" applyProtection="0"/>
    <xf numFmtId="0" fontId="23" fillId="15" borderId="1" applyNumberFormat="0" applyAlignment="0" applyProtection="0"/>
    <xf numFmtId="0" fontId="50" fillId="3" borderId="1" applyNumberFormat="0" applyFont="0" applyProtection="0">
      <alignment/>
    </xf>
    <xf numFmtId="0" fontId="23" fillId="7" borderId="1" applyNumberFormat="0" applyAlignment="0" applyProtection="0"/>
    <xf numFmtId="0" fontId="50" fillId="3" borderId="1" applyNumberFormat="0" applyFont="0" applyProtection="0">
      <alignment/>
    </xf>
    <xf numFmtId="0" fontId="42" fillId="0" borderId="0">
      <alignment/>
      <protection/>
    </xf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0" fontId="0" fillId="0" borderId="0" applyBorder="0" applyProtection="0">
      <alignment/>
    </xf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9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52" fillId="3" borderId="0" applyNumberFormat="0" applyFont="0" applyFill="0" applyProtection="0">
      <alignment/>
    </xf>
    <xf numFmtId="0" fontId="52" fillId="3" borderId="0" applyNumberFormat="0" applyFont="0" applyFill="0" applyProtection="0">
      <alignment/>
    </xf>
    <xf numFmtId="0" fontId="25" fillId="5" borderId="0" applyNumberFormat="0" applyBorder="0" applyAlignment="0" applyProtection="0"/>
    <xf numFmtId="0" fontId="52" fillId="3" borderId="0" applyNumberFormat="0" applyFont="0" applyFill="0" applyProtection="0">
      <alignment/>
    </xf>
    <xf numFmtId="0" fontId="25" fillId="3" borderId="0" applyNumberFormat="0" applyBorder="0" applyAlignment="0" applyProtection="0"/>
    <xf numFmtId="0" fontId="52" fillId="3" borderId="0" applyNumberFormat="0" applyFont="0" applyFill="0" applyProtection="0">
      <alignment/>
    </xf>
    <xf numFmtId="0" fontId="23" fillId="7" borderId="1" applyNumberFormat="0" applyAlignment="0" applyProtection="0"/>
    <xf numFmtId="0" fontId="35" fillId="0" borderId="6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37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53" fillId="10" borderId="0" applyNumberFormat="0" applyFont="0" applyFill="0" applyProtection="0">
      <alignment/>
    </xf>
    <xf numFmtId="0" fontId="53" fillId="10" borderId="0" applyNumberFormat="0" applyFont="0" applyFill="0" applyProtection="0">
      <alignment/>
    </xf>
    <xf numFmtId="0" fontId="26" fillId="15" borderId="0" applyNumberFormat="0" applyBorder="0" applyAlignment="0" applyProtection="0"/>
    <xf numFmtId="0" fontId="53" fillId="10" borderId="0" applyNumberFormat="0" applyFont="0" applyFill="0" applyProtection="0">
      <alignment/>
    </xf>
    <xf numFmtId="0" fontId="37" fillId="15" borderId="0" applyNumberFormat="0" applyBorder="0" applyAlignment="0" applyProtection="0"/>
    <xf numFmtId="0" fontId="53" fillId="10" borderId="0" applyNumberFormat="0" applyFont="0" applyFill="0" applyProtection="0">
      <alignment/>
    </xf>
    <xf numFmtId="0" fontId="37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38" borderId="11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36" fillId="10" borderId="12" applyNumberFormat="0" applyFont="0" applyAlignment="0" applyProtection="0"/>
    <xf numFmtId="0" fontId="17" fillId="10" borderId="12" applyNumberFormat="0" applyFont="0" applyAlignment="0" applyProtection="0"/>
    <xf numFmtId="0" fontId="0" fillId="10" borderId="12" applyNumberFormat="0" applyFont="0" applyBorder="0" applyProtection="0">
      <alignment/>
    </xf>
    <xf numFmtId="0" fontId="36" fillId="10" borderId="12" applyNumberFormat="0" applyFont="0" applyAlignment="0" applyProtection="0"/>
    <xf numFmtId="0" fontId="36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0" fillId="10" borderId="12" applyNumberFormat="0" applyFont="0" applyBorder="0" applyProtection="0">
      <alignment/>
    </xf>
    <xf numFmtId="0" fontId="36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17" fillId="10" borderId="12" applyNumberFormat="0" applyFont="0" applyAlignment="0" applyProtection="0"/>
    <xf numFmtId="0" fontId="0" fillId="10" borderId="12" applyNumberFormat="0" applyFont="0" applyAlignment="0" applyProtection="0"/>
    <xf numFmtId="0" fontId="27" fillId="27" borderId="13" applyNumberFormat="0" applyAlignment="0" applyProtection="0"/>
    <xf numFmtId="0" fontId="43" fillId="0" borderId="14" applyNumberFormat="0" applyFont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0" fillId="28" borderId="15" applyNumberFormat="0" applyAlignment="0" applyProtection="0"/>
    <xf numFmtId="0" fontId="27" fillId="27" borderId="13" applyNumberFormat="0" applyAlignment="0" applyProtection="0"/>
    <xf numFmtId="0" fontId="27" fillId="27" borderId="13" applyNumberFormat="0" applyAlignment="0" applyProtection="0"/>
    <xf numFmtId="0" fontId="54" fillId="29" borderId="13" applyNumberFormat="0" applyFont="0" applyProtection="0">
      <alignment/>
    </xf>
    <xf numFmtId="0" fontId="27" fillId="27" borderId="13" applyNumberFormat="0" applyAlignment="0" applyProtection="0"/>
    <xf numFmtId="0" fontId="27" fillId="28" borderId="13" applyNumberFormat="0" applyAlignment="0" applyProtection="0"/>
    <xf numFmtId="0" fontId="54" fillId="29" borderId="13" applyNumberFormat="0" applyFont="0" applyProtection="0">
      <alignment/>
    </xf>
    <xf numFmtId="0" fontId="27" fillId="27" borderId="13" applyNumberFormat="0" applyAlignment="0" applyProtection="0"/>
    <xf numFmtId="0" fontId="54" fillId="29" borderId="13" applyNumberFormat="0" applyFont="0" applyProtection="0">
      <alignment/>
    </xf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0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ont="0" applyFill="0" applyAlignment="0" applyProtection="0"/>
    <xf numFmtId="0" fontId="44" fillId="0" borderId="0" applyNumberFormat="0" applyFont="0" applyFill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ont="0" applyFill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ont="0" applyFill="0" applyAlignment="0" applyProtection="0"/>
    <xf numFmtId="0" fontId="9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5" fillId="0" borderId="0" applyNumberFormat="0" applyFont="0" applyFill="0" applyAlignment="0" applyProtection="0"/>
    <xf numFmtId="0" fontId="55" fillId="0" borderId="0" applyNumberFormat="0" applyFont="0" applyFill="0" applyAlignment="0" applyProtection="0"/>
    <xf numFmtId="0" fontId="28" fillId="0" borderId="0" applyNumberFormat="0" applyFill="0" applyBorder="0" applyAlignment="0" applyProtection="0"/>
    <xf numFmtId="0" fontId="55" fillId="0" borderId="0" applyNumberFormat="0" applyFont="0" applyFill="0" applyAlignment="0" applyProtection="0"/>
    <xf numFmtId="0" fontId="28" fillId="0" borderId="0" applyNumberFormat="0" applyFill="0" applyBorder="0" applyAlignment="0" applyProtection="0"/>
    <xf numFmtId="0" fontId="55" fillId="0" borderId="0" applyNumberFormat="0" applyFont="0" applyFill="0" applyAlignment="0" applyProtection="0"/>
    <xf numFmtId="0" fontId="3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6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56" fillId="0" borderId="17" applyNumberFormat="0" applyFont="0" applyAlignment="0" applyProtection="0"/>
    <xf numFmtId="0" fontId="39" fillId="0" borderId="8" applyNumberFormat="0" applyFill="0" applyAlignment="0" applyProtection="0"/>
    <xf numFmtId="0" fontId="30" fillId="0" borderId="16" applyNumberFormat="0" applyFill="0" applyAlignment="0" applyProtection="0"/>
    <xf numFmtId="0" fontId="56" fillId="0" borderId="17" applyNumberFormat="0" applyFont="0" applyAlignment="0" applyProtection="0"/>
    <xf numFmtId="0" fontId="39" fillId="0" borderId="8" applyNumberFormat="0" applyFill="0" applyAlignment="0" applyProtection="0"/>
    <xf numFmtId="0" fontId="56" fillId="0" borderId="17" applyNumberFormat="0" applyFont="0" applyAlignment="0" applyProtection="0"/>
    <xf numFmtId="0" fontId="57" fillId="0" borderId="0" applyNumberFormat="0" applyFont="0" applyFill="0" applyAlignment="0" applyProtection="0"/>
    <xf numFmtId="0" fontId="31" fillId="0" borderId="18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58" fillId="0" borderId="9" applyNumberFormat="0" applyFont="0" applyAlignment="0" applyProtection="0"/>
    <xf numFmtId="0" fontId="40" fillId="0" borderId="9" applyNumberFormat="0" applyFill="0" applyAlignment="0" applyProtection="0"/>
    <xf numFmtId="0" fontId="31" fillId="0" borderId="18" applyNumberFormat="0" applyFill="0" applyAlignment="0" applyProtection="0"/>
    <xf numFmtId="0" fontId="58" fillId="0" borderId="9" applyNumberFormat="0" applyFont="0" applyAlignment="0" applyProtection="0"/>
    <xf numFmtId="0" fontId="40" fillId="0" borderId="9" applyNumberFormat="0" applyFill="0" applyAlignment="0" applyProtection="0"/>
    <xf numFmtId="0" fontId="58" fillId="0" borderId="9" applyNumberFormat="0" applyFont="0" applyAlignment="0" applyProtection="0"/>
    <xf numFmtId="0" fontId="32" fillId="0" borderId="19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59" fillId="0" borderId="17" applyNumberFormat="0" applyFont="0" applyAlignment="0" applyProtection="0"/>
    <xf numFmtId="0" fontId="41" fillId="0" borderId="10" applyNumberFormat="0" applyFill="0" applyAlignment="0" applyProtection="0"/>
    <xf numFmtId="0" fontId="32" fillId="0" borderId="19" applyNumberFormat="0" applyFill="0" applyAlignment="0" applyProtection="0"/>
    <xf numFmtId="0" fontId="59" fillId="0" borderId="17" applyNumberFormat="0" applyFont="0" applyAlignment="0" applyProtection="0"/>
    <xf numFmtId="0" fontId="41" fillId="0" borderId="10" applyNumberFormat="0" applyFill="0" applyAlignment="0" applyProtection="0"/>
    <xf numFmtId="0" fontId="59" fillId="0" borderId="17" applyNumberFormat="0" applyFont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9" fillId="0" borderId="0" applyNumberFormat="0" applyFont="0" applyFill="0" applyAlignment="0" applyProtection="0"/>
    <xf numFmtId="0" fontId="59" fillId="0" borderId="0" applyNumberFormat="0" applyFont="0" applyFill="0" applyAlignment="0" applyProtection="0"/>
    <xf numFmtId="0" fontId="32" fillId="0" borderId="0" applyNumberFormat="0" applyFill="0" applyBorder="0" applyAlignment="0" applyProtection="0"/>
    <xf numFmtId="0" fontId="59" fillId="0" borderId="0" applyNumberFormat="0" applyFont="0" applyFill="0" applyAlignment="0" applyProtection="0"/>
    <xf numFmtId="0" fontId="41" fillId="0" borderId="0" applyNumberFormat="0" applyFill="0" applyBorder="0" applyAlignment="0" applyProtection="0"/>
    <xf numFmtId="0" fontId="59" fillId="0" borderId="0" applyNumberFormat="0" applyFon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7" fillId="0" borderId="0" applyNumberFormat="0" applyFont="0" applyFill="0" applyAlignment="0" applyProtection="0"/>
    <xf numFmtId="0" fontId="57" fillId="0" borderId="0" applyNumberFormat="0" applyFont="0" applyFill="0" applyAlignment="0" applyProtection="0"/>
    <xf numFmtId="0" fontId="29" fillId="0" borderId="0" applyNumberFormat="0" applyFill="0" applyBorder="0" applyAlignment="0" applyProtection="0"/>
    <xf numFmtId="0" fontId="57" fillId="0" borderId="0" applyNumberFormat="0" applyFont="0" applyFill="0" applyAlignment="0" applyProtection="0"/>
    <xf numFmtId="0" fontId="38" fillId="0" borderId="0" applyNumberFormat="0" applyFill="0" applyBorder="0" applyAlignment="0" applyProtection="0"/>
    <xf numFmtId="0" fontId="57" fillId="0" borderId="0" applyNumberFormat="0" applyFont="0" applyFill="0" applyAlignment="0" applyProtection="0"/>
    <xf numFmtId="0" fontId="93" fillId="0" borderId="20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1" fillId="0" borderId="22" applyNumberFormat="0" applyFont="0" applyAlignment="0" applyProtection="0"/>
    <xf numFmtId="0" fontId="33" fillId="0" borderId="21" applyNumberFormat="0" applyFill="0" applyAlignment="0" applyProtection="0"/>
    <xf numFmtId="0" fontId="33" fillId="0" borderId="20" applyNumberFormat="0" applyFill="0" applyAlignment="0" applyProtection="0"/>
    <xf numFmtId="0" fontId="1" fillId="0" borderId="22" applyNumberFormat="0" applyFont="0" applyAlignment="0" applyProtection="0"/>
    <xf numFmtId="0" fontId="33" fillId="0" borderId="21" applyNumberFormat="0" applyFill="0" applyAlignment="0" applyProtection="0"/>
    <xf numFmtId="0" fontId="1" fillId="0" borderId="22" applyNumberFormat="0" applyFont="0" applyAlignment="0" applyProtection="0"/>
    <xf numFmtId="0" fontId="33" fillId="0" borderId="21" applyNumberFormat="0" applyFill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7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23" xfId="0" applyFont="1" applyBorder="1" applyAlignment="1">
      <alignment horizontal="center"/>
    </xf>
    <xf numFmtId="4" fontId="4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23" xfId="0" applyNumberFormat="1" applyFont="1" applyBorder="1" applyAlignment="1">
      <alignment vertical="center"/>
    </xf>
    <xf numFmtId="0" fontId="9" fillId="28" borderId="24" xfId="0" applyNumberFormat="1" applyFont="1" applyFill="1" applyBorder="1" applyAlignment="1">
      <alignment horizontal="center" vertical="center"/>
    </xf>
    <xf numFmtId="0" fontId="9" fillId="28" borderId="23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4" fontId="0" fillId="0" borderId="26" xfId="0" applyNumberFormat="1" applyFont="1" applyBorder="1" applyAlignment="1">
      <alignment/>
    </xf>
    <xf numFmtId="172" fontId="9" fillId="0" borderId="23" xfId="844" applyFont="1" applyBorder="1" applyAlignment="1">
      <alignment vertical="center"/>
    </xf>
    <xf numFmtId="0" fontId="0" fillId="0" borderId="23" xfId="0" applyFont="1" applyBorder="1" applyAlignment="1">
      <alignment/>
    </xf>
    <xf numFmtId="180" fontId="0" fillId="0" borderId="0" xfId="0" applyNumberFormat="1" applyAlignment="1">
      <alignment/>
    </xf>
    <xf numFmtId="0" fontId="0" fillId="0" borderId="23" xfId="0" applyFont="1" applyBorder="1" applyAlignment="1">
      <alignment horizontal="left"/>
    </xf>
    <xf numFmtId="177" fontId="0" fillId="0" borderId="23" xfId="0" applyNumberFormat="1" applyFont="1" applyBorder="1" applyAlignment="1">
      <alignment/>
    </xf>
    <xf numFmtId="172" fontId="0" fillId="0" borderId="23" xfId="844" applyFont="1" applyBorder="1" applyAlignment="1">
      <alignment/>
    </xf>
    <xf numFmtId="185" fontId="0" fillId="0" borderId="23" xfId="844" applyNumberFormat="1" applyFont="1" applyBorder="1" applyAlignment="1">
      <alignment/>
    </xf>
    <xf numFmtId="180" fontId="9" fillId="0" borderId="23" xfId="844" applyNumberFormat="1" applyFont="1" applyBorder="1" applyAlignment="1">
      <alignment horizontal="right" vertical="center"/>
    </xf>
    <xf numFmtId="178" fontId="0" fillId="0" borderId="0" xfId="0" applyNumberFormat="1" applyAlignment="1">
      <alignment/>
    </xf>
    <xf numFmtId="4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4" fillId="0" borderId="23" xfId="0" applyFont="1" applyBorder="1" applyAlignment="1">
      <alignment horizontal="center" vertical="center"/>
    </xf>
    <xf numFmtId="0" fontId="0" fillId="28" borderId="0" xfId="0" applyFill="1" applyAlignment="1">
      <alignment/>
    </xf>
    <xf numFmtId="0" fontId="5" fillId="0" borderId="23" xfId="0" applyFont="1" applyBorder="1" applyAlignment="1">
      <alignment horizontal="center" vertical="center"/>
    </xf>
    <xf numFmtId="0" fontId="4" fillId="28" borderId="23" xfId="0" applyFont="1" applyFill="1" applyBorder="1" applyAlignment="1">
      <alignment horizontal="center" vertical="center"/>
    </xf>
    <xf numFmtId="172" fontId="0" fillId="0" borderId="0" xfId="844" applyFont="1" applyAlignment="1">
      <alignment/>
    </xf>
    <xf numFmtId="172" fontId="0" fillId="0" borderId="23" xfId="844" applyFont="1" applyFill="1" applyBorder="1" applyAlignment="1">
      <alignment vertical="center"/>
    </xf>
    <xf numFmtId="172" fontId="0" fillId="0" borderId="23" xfId="844" applyNumberFormat="1" applyFont="1" applyFill="1" applyBorder="1" applyAlignment="1">
      <alignment horizontal="center" vertical="center"/>
    </xf>
    <xf numFmtId="172" fontId="0" fillId="0" borderId="23" xfId="844" applyNumberFormat="1" applyFont="1" applyFill="1" applyBorder="1" applyAlignment="1">
      <alignment horizontal="right" vertical="center"/>
    </xf>
    <xf numFmtId="172" fontId="0" fillId="0" borderId="23" xfId="844" applyNumberFormat="1" applyFont="1" applyFill="1" applyBorder="1" applyAlignment="1">
      <alignment horizontal="left" vertical="center"/>
    </xf>
    <xf numFmtId="181" fontId="0" fillId="0" borderId="23" xfId="844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172" fontId="0" fillId="0" borderId="23" xfId="844" applyFont="1" applyFill="1" applyBorder="1" applyAlignment="1">
      <alignment horizontal="center" vertical="center"/>
    </xf>
    <xf numFmtId="4" fontId="0" fillId="28" borderId="27" xfId="0" applyNumberFormat="1" applyFont="1" applyFill="1" applyBorder="1" applyAlignment="1">
      <alignment/>
    </xf>
    <xf numFmtId="172" fontId="10" fillId="28" borderId="25" xfId="844" applyFont="1" applyFill="1" applyBorder="1" applyAlignment="1">
      <alignment/>
    </xf>
    <xf numFmtId="4" fontId="0" fillId="28" borderId="26" xfId="0" applyNumberFormat="1" applyFont="1" applyFill="1" applyBorder="1" applyAlignment="1">
      <alignment/>
    </xf>
    <xf numFmtId="4" fontId="0" fillId="28" borderId="25" xfId="0" applyNumberFormat="1" applyFont="1" applyFill="1" applyBorder="1" applyAlignment="1">
      <alignment/>
    </xf>
    <xf numFmtId="172" fontId="0" fillId="28" borderId="27" xfId="844" applyFont="1" applyFill="1" applyBorder="1" applyAlignment="1">
      <alignment/>
    </xf>
    <xf numFmtId="4" fontId="9" fillId="28" borderId="25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3" xfId="0" applyNumberFormat="1" applyFont="1" applyBorder="1" applyAlignment="1">
      <alignment/>
    </xf>
    <xf numFmtId="0" fontId="16" fillId="39" borderId="27" xfId="844" applyNumberFormat="1" applyFont="1" applyFill="1" applyBorder="1" applyAlignment="1" applyProtection="1">
      <alignment/>
      <protection/>
    </xf>
    <xf numFmtId="2" fontId="1" fillId="39" borderId="26" xfId="0" applyNumberFormat="1" applyFont="1" applyFill="1" applyBorder="1" applyAlignment="1" applyProtection="1">
      <alignment horizontal="center" vertical="center" wrapText="1"/>
      <protection/>
    </xf>
    <xf numFmtId="39" fontId="0" fillId="39" borderId="28" xfId="844" applyNumberFormat="1" applyFont="1" applyFill="1" applyBorder="1" applyAlignment="1" applyProtection="1">
      <alignment/>
      <protection/>
    </xf>
    <xf numFmtId="39" fontId="1" fillId="39" borderId="23" xfId="844" applyNumberFormat="1" applyFont="1" applyFill="1" applyBorder="1" applyAlignment="1" applyProtection="1">
      <alignment/>
      <protection/>
    </xf>
    <xf numFmtId="4" fontId="0" fillId="39" borderId="28" xfId="844" applyNumberFormat="1" applyFont="1" applyFill="1" applyBorder="1" applyAlignment="1" applyProtection="1">
      <alignment vertical="center" wrapText="1"/>
      <protection/>
    </xf>
    <xf numFmtId="4" fontId="0" fillId="39" borderId="29" xfId="844" applyNumberFormat="1" applyFont="1" applyFill="1" applyBorder="1" applyAlignment="1" applyProtection="1">
      <alignment vertical="center" wrapText="1"/>
      <protection/>
    </xf>
    <xf numFmtId="4" fontId="0" fillId="39" borderId="30" xfId="844" applyNumberFormat="1" applyFont="1" applyFill="1" applyBorder="1" applyAlignment="1" applyProtection="1">
      <alignment vertical="center" wrapText="1"/>
      <protection/>
    </xf>
    <xf numFmtId="39" fontId="1" fillId="39" borderId="23" xfId="844" applyNumberFormat="1" applyFont="1" applyFill="1" applyBorder="1" applyAlignment="1" applyProtection="1">
      <alignment vertical="center" wrapText="1"/>
      <protection/>
    </xf>
    <xf numFmtId="4" fontId="0" fillId="39" borderId="31" xfId="844" applyNumberFormat="1" applyFont="1" applyFill="1" applyBorder="1" applyAlignment="1" applyProtection="1">
      <alignment vertical="center" wrapText="1"/>
      <protection/>
    </xf>
    <xf numFmtId="172" fontId="1" fillId="39" borderId="23" xfId="844" applyFont="1" applyFill="1" applyBorder="1" applyAlignment="1" applyProtection="1">
      <alignment vertical="center" wrapText="1"/>
      <protection/>
    </xf>
    <xf numFmtId="39" fontId="1" fillId="39" borderId="23" xfId="844" applyNumberFormat="1" applyFont="1" applyFill="1" applyBorder="1" applyAlignment="1" applyProtection="1">
      <alignment horizontal="right" vertical="center" wrapText="1"/>
      <protection/>
    </xf>
    <xf numFmtId="0" fontId="1" fillId="39" borderId="32" xfId="0" applyFont="1" applyFill="1" applyBorder="1" applyAlignment="1" applyProtection="1">
      <alignment vertical="center"/>
      <protection/>
    </xf>
    <xf numFmtId="0" fontId="1" fillId="39" borderId="33" xfId="0" applyFont="1" applyFill="1" applyBorder="1" applyAlignment="1" applyProtection="1">
      <alignment vertical="center"/>
      <protection/>
    </xf>
    <xf numFmtId="0" fontId="1" fillId="39" borderId="33" xfId="0" applyFont="1" applyFill="1" applyBorder="1" applyAlignment="1" applyProtection="1">
      <alignment horizontal="right" vertical="center"/>
      <protection/>
    </xf>
    <xf numFmtId="172" fontId="1" fillId="39" borderId="23" xfId="844" applyFont="1" applyFill="1" applyBorder="1" applyAlignment="1" applyProtection="1">
      <alignment horizontal="right" vertical="center" wrapText="1"/>
      <protection/>
    </xf>
    <xf numFmtId="17" fontId="11" fillId="39" borderId="34" xfId="0" applyNumberFormat="1" applyFont="1" applyFill="1" applyBorder="1" applyAlignment="1" applyProtection="1">
      <alignment vertical="center"/>
      <protection/>
    </xf>
    <xf numFmtId="199" fontId="0" fillId="0" borderId="0" xfId="0" applyNumberFormat="1" applyAlignment="1">
      <alignment/>
    </xf>
    <xf numFmtId="0" fontId="4" fillId="0" borderId="23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72" fillId="0" borderId="35" xfId="0" applyFont="1" applyBorder="1" applyAlignment="1">
      <alignment horizontal="center"/>
    </xf>
    <xf numFmtId="4" fontId="72" fillId="0" borderId="36" xfId="0" applyNumberFormat="1" applyFont="1" applyBorder="1" applyAlignment="1">
      <alignment horizontal="center"/>
    </xf>
    <xf numFmtId="4" fontId="73" fillId="0" borderId="36" xfId="0" applyNumberFormat="1" applyFont="1" applyBorder="1" applyAlignment="1">
      <alignment horizontal="center"/>
    </xf>
    <xf numFmtId="0" fontId="73" fillId="0" borderId="36" xfId="0" applyFont="1" applyBorder="1" applyAlignment="1">
      <alignment horizontal="center"/>
    </xf>
    <xf numFmtId="0" fontId="74" fillId="0" borderId="37" xfId="0" applyFont="1" applyBorder="1" applyAlignment="1">
      <alignment horizontal="center"/>
    </xf>
    <xf numFmtId="0" fontId="73" fillId="0" borderId="35" xfId="0" applyFont="1" applyBorder="1" applyAlignment="1">
      <alignment horizontal="center"/>
    </xf>
    <xf numFmtId="0" fontId="73" fillId="40" borderId="35" xfId="0" applyFont="1" applyFill="1" applyBorder="1" applyAlignment="1">
      <alignment horizontal="center"/>
    </xf>
    <xf numFmtId="4" fontId="73" fillId="40" borderId="36" xfId="0" applyNumberFormat="1" applyFont="1" applyFill="1" applyBorder="1" applyAlignment="1">
      <alignment horizontal="center"/>
    </xf>
    <xf numFmtId="4" fontId="72" fillId="40" borderId="36" xfId="0" applyNumberFormat="1" applyFont="1" applyFill="1" applyBorder="1" applyAlignment="1">
      <alignment horizontal="center"/>
    </xf>
    <xf numFmtId="0" fontId="73" fillId="40" borderId="36" xfId="0" applyFont="1" applyFill="1" applyBorder="1" applyAlignment="1">
      <alignment horizontal="center"/>
    </xf>
    <xf numFmtId="0" fontId="74" fillId="40" borderId="37" xfId="0" applyFont="1" applyFill="1" applyBorder="1" applyAlignment="1">
      <alignment horizontal="center"/>
    </xf>
    <xf numFmtId="0" fontId="94" fillId="40" borderId="35" xfId="0" applyFont="1" applyFill="1" applyBorder="1" applyAlignment="1">
      <alignment horizontal="center"/>
    </xf>
    <xf numFmtId="4" fontId="94" fillId="40" borderId="36" xfId="0" applyNumberFormat="1" applyFont="1" applyFill="1" applyBorder="1" applyAlignment="1">
      <alignment horizontal="center"/>
    </xf>
    <xf numFmtId="4" fontId="95" fillId="40" borderId="36" xfId="0" applyNumberFormat="1" applyFont="1" applyFill="1" applyBorder="1" applyAlignment="1">
      <alignment horizontal="center"/>
    </xf>
    <xf numFmtId="0" fontId="94" fillId="40" borderId="36" xfId="0" applyFont="1" applyFill="1" applyBorder="1" applyAlignment="1">
      <alignment horizontal="center"/>
    </xf>
    <xf numFmtId="0" fontId="91" fillId="40" borderId="37" xfId="0" applyFont="1" applyFill="1" applyBorder="1" applyAlignment="1">
      <alignment horizontal="center"/>
    </xf>
    <xf numFmtId="172" fontId="73" fillId="0" borderId="36" xfId="0" applyNumberFormat="1" applyFont="1" applyBorder="1" applyAlignment="1">
      <alignment horizontal="center"/>
    </xf>
    <xf numFmtId="4" fontId="73" fillId="0" borderId="36" xfId="0" applyNumberFormat="1" applyFont="1" applyBorder="1" applyAlignment="1">
      <alignment horizontal="right"/>
    </xf>
    <xf numFmtId="4" fontId="73" fillId="0" borderId="36" xfId="0" applyNumberFormat="1" applyFont="1" applyBorder="1" applyAlignment="1">
      <alignment/>
    </xf>
    <xf numFmtId="0" fontId="73" fillId="0" borderId="36" xfId="0" applyFont="1" applyBorder="1" applyAlignment="1">
      <alignment/>
    </xf>
    <xf numFmtId="0" fontId="73" fillId="0" borderId="37" xfId="0" applyFont="1" applyBorder="1" applyAlignment="1">
      <alignment/>
    </xf>
    <xf numFmtId="0" fontId="73" fillId="39" borderId="0" xfId="0" applyFont="1" applyFill="1" applyBorder="1" applyAlignment="1">
      <alignment/>
    </xf>
    <xf numFmtId="0" fontId="72" fillId="0" borderId="38" xfId="0" applyFont="1" applyBorder="1" applyAlignment="1">
      <alignment horizontal="center"/>
    </xf>
    <xf numFmtId="0" fontId="0" fillId="39" borderId="39" xfId="0" applyFont="1" applyFill="1" applyBorder="1" applyAlignment="1">
      <alignment/>
    </xf>
    <xf numFmtId="0" fontId="0" fillId="39" borderId="40" xfId="0" applyFont="1" applyFill="1" applyBorder="1" applyAlignment="1">
      <alignment/>
    </xf>
    <xf numFmtId="4" fontId="73" fillId="41" borderId="36" xfId="0" applyNumberFormat="1" applyFont="1" applyFill="1" applyBorder="1" applyAlignment="1">
      <alignment horizontal="center"/>
    </xf>
    <xf numFmtId="0" fontId="4" fillId="28" borderId="23" xfId="0" applyFont="1" applyFill="1" applyBorder="1" applyAlignment="1">
      <alignment horizontal="center"/>
    </xf>
    <xf numFmtId="0" fontId="4" fillId="28" borderId="23" xfId="0" applyFont="1" applyFill="1" applyBorder="1" applyAlignment="1">
      <alignment horizontal="left"/>
    </xf>
    <xf numFmtId="2" fontId="4" fillId="28" borderId="23" xfId="0" applyNumberFormat="1" applyFont="1" applyFill="1" applyBorder="1" applyAlignment="1">
      <alignment horizontal="center"/>
    </xf>
    <xf numFmtId="172" fontId="4" fillId="28" borderId="23" xfId="844" applyFont="1" applyFill="1" applyBorder="1" applyAlignment="1">
      <alignment horizontal="center"/>
    </xf>
    <xf numFmtId="172" fontId="4" fillId="28" borderId="23" xfId="844" applyFont="1" applyFill="1" applyBorder="1" applyAlignment="1">
      <alignment horizontal="left"/>
    </xf>
    <xf numFmtId="40" fontId="4" fillId="28" borderId="23" xfId="0" applyNumberFormat="1" applyFont="1" applyFill="1" applyBorder="1" applyAlignment="1">
      <alignment horizontal="center"/>
    </xf>
    <xf numFmtId="40" fontId="4" fillId="28" borderId="23" xfId="0" applyNumberFormat="1" applyFont="1" applyFill="1" applyBorder="1" applyAlignment="1">
      <alignment horizontal="left"/>
    </xf>
    <xf numFmtId="40" fontId="4" fillId="28" borderId="23" xfId="0" applyNumberFormat="1" applyFont="1" applyFill="1" applyBorder="1" applyAlignment="1">
      <alignment horizontal="center" vertical="center" wrapText="1"/>
    </xf>
    <xf numFmtId="0" fontId="4" fillId="28" borderId="23" xfId="0" applyFont="1" applyFill="1" applyBorder="1" applyAlignment="1">
      <alignment horizontal="center" vertical="center" wrapText="1"/>
    </xf>
    <xf numFmtId="40" fontId="4" fillId="28" borderId="23" xfId="0" applyNumberFormat="1" applyFont="1" applyFill="1" applyBorder="1" applyAlignment="1">
      <alignment horizontal="right"/>
    </xf>
    <xf numFmtId="2" fontId="4" fillId="28" borderId="23" xfId="0" applyNumberFormat="1" applyFont="1" applyFill="1" applyBorder="1" applyAlignment="1">
      <alignment horizontal="right"/>
    </xf>
    <xf numFmtId="172" fontId="4" fillId="28" borderId="23" xfId="844" applyFont="1" applyFill="1" applyBorder="1" applyAlignment="1">
      <alignment horizontal="right"/>
    </xf>
    <xf numFmtId="0" fontId="0" fillId="39" borderId="25" xfId="0" applyFill="1" applyBorder="1" applyAlignment="1">
      <alignment horizontal="left" vertical="center"/>
    </xf>
    <xf numFmtId="43" fontId="0" fillId="0" borderId="0" xfId="0" applyNumberFormat="1" applyAlignment="1">
      <alignment/>
    </xf>
    <xf numFmtId="0" fontId="1" fillId="0" borderId="23" xfId="546" applyFont="1" applyFill="1" applyBorder="1" applyAlignment="1">
      <alignment horizontal="left"/>
      <protection/>
    </xf>
    <xf numFmtId="0" fontId="1" fillId="0" borderId="23" xfId="0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0" fontId="8" fillId="27" borderId="24" xfId="0" applyFont="1" applyFill="1" applyBorder="1" applyAlignment="1">
      <alignment horizontal="center" vertical="center"/>
    </xf>
    <xf numFmtId="0" fontId="8" fillId="27" borderId="41" xfId="0" applyFont="1" applyFill="1" applyBorder="1" applyAlignment="1">
      <alignment horizontal="center" vertical="center"/>
    </xf>
    <xf numFmtId="0" fontId="8" fillId="27" borderId="34" xfId="0" applyFont="1" applyFill="1" applyBorder="1" applyAlignment="1">
      <alignment horizontal="center" vertical="center"/>
    </xf>
    <xf numFmtId="0" fontId="8" fillId="39" borderId="25" xfId="0" applyFont="1" applyFill="1" applyBorder="1" applyAlignment="1">
      <alignment horizontal="center" vertical="center"/>
    </xf>
    <xf numFmtId="0" fontId="8" fillId="39" borderId="32" xfId="0" applyFont="1" applyFill="1" applyBorder="1" applyAlignment="1">
      <alignment horizontal="left" vertical="center" indent="1"/>
    </xf>
    <xf numFmtId="0" fontId="8" fillId="39" borderId="33" xfId="0" applyFont="1" applyFill="1" applyBorder="1" applyAlignment="1">
      <alignment horizontal="left" vertical="center" indent="1"/>
    </xf>
    <xf numFmtId="2" fontId="8" fillId="39" borderId="27" xfId="0" applyNumberFormat="1" applyFont="1" applyFill="1" applyBorder="1" applyAlignment="1">
      <alignment horizontal="center" vertical="center"/>
    </xf>
    <xf numFmtId="0" fontId="8" fillId="39" borderId="42" xfId="0" applyFont="1" applyFill="1" applyBorder="1" applyAlignment="1">
      <alignment horizontal="left" vertical="center" indent="1"/>
    </xf>
    <xf numFmtId="0" fontId="8" fillId="39" borderId="0" xfId="0" applyFont="1" applyFill="1" applyBorder="1" applyAlignment="1">
      <alignment horizontal="left" vertical="center" indent="1"/>
    </xf>
    <xf numFmtId="0" fontId="8" fillId="39" borderId="43" xfId="0" applyFont="1" applyFill="1" applyBorder="1" applyAlignment="1">
      <alignment horizontal="left" vertical="center" indent="1"/>
    </xf>
    <xf numFmtId="0" fontId="8" fillId="39" borderId="44" xfId="0" applyFont="1" applyFill="1" applyBorder="1" applyAlignment="1">
      <alignment horizontal="left" vertical="center" indent="1"/>
    </xf>
    <xf numFmtId="2" fontId="8" fillId="39" borderId="26" xfId="0" applyNumberFormat="1" applyFont="1" applyFill="1" applyBorder="1" applyAlignment="1">
      <alignment horizontal="center" vertical="center"/>
    </xf>
    <xf numFmtId="172" fontId="8" fillId="0" borderId="23" xfId="0" applyNumberFormat="1" applyFont="1" applyBorder="1" applyAlignment="1">
      <alignment horizontal="center" vertical="center"/>
    </xf>
    <xf numFmtId="39" fontId="8" fillId="42" borderId="23" xfId="0" applyNumberFormat="1" applyFont="1" applyFill="1" applyBorder="1" applyAlignment="1">
      <alignment horizontal="center" vertical="center"/>
    </xf>
    <xf numFmtId="0" fontId="0" fillId="0" borderId="23" xfId="546" applyFont="1" applyFill="1" applyBorder="1" applyAlignment="1">
      <alignment vertical="center"/>
      <protection/>
    </xf>
    <xf numFmtId="172" fontId="1" fillId="0" borderId="23" xfId="844" applyFont="1" applyBorder="1" applyAlignment="1">
      <alignment horizontal="right" vertical="center"/>
    </xf>
    <xf numFmtId="0" fontId="0" fillId="0" borderId="23" xfId="0" applyBorder="1" applyAlignment="1">
      <alignment vertical="center" wrapText="1"/>
    </xf>
    <xf numFmtId="0" fontId="0" fillId="39" borderId="0" xfId="0" applyFont="1" applyFill="1" applyBorder="1" applyAlignment="1">
      <alignment/>
    </xf>
    <xf numFmtId="0" fontId="0" fillId="0" borderId="0" xfId="0" applyAlignment="1">
      <alignment/>
    </xf>
    <xf numFmtId="0" fontId="96" fillId="39" borderId="0" xfId="0" applyFont="1" applyFill="1" applyBorder="1" applyAlignment="1">
      <alignment/>
    </xf>
    <xf numFmtId="0" fontId="97" fillId="39" borderId="0" xfId="0" applyFont="1" applyFill="1" applyBorder="1" applyAlignment="1">
      <alignment/>
    </xf>
    <xf numFmtId="0" fontId="97" fillId="39" borderId="45" xfId="0" applyFont="1" applyFill="1" applyBorder="1" applyAlignment="1">
      <alignment/>
    </xf>
    <xf numFmtId="4" fontId="97" fillId="39" borderId="0" xfId="0" applyNumberFormat="1" applyFont="1" applyFill="1" applyBorder="1" applyAlignment="1">
      <alignment/>
    </xf>
    <xf numFmtId="0" fontId="98" fillId="39" borderId="45" xfId="0" applyFont="1" applyFill="1" applyBorder="1" applyAlignment="1">
      <alignment/>
    </xf>
    <xf numFmtId="40" fontId="97" fillId="39" borderId="0" xfId="0" applyNumberFormat="1" applyFont="1" applyFill="1" applyBorder="1" applyAlignment="1">
      <alignment/>
    </xf>
    <xf numFmtId="0" fontId="96" fillId="39" borderId="46" xfId="0" applyFont="1" applyFill="1" applyBorder="1" applyAlignment="1">
      <alignment/>
    </xf>
    <xf numFmtId="40" fontId="97" fillId="39" borderId="46" xfId="0" applyNumberFormat="1" applyFont="1" applyFill="1" applyBorder="1" applyAlignment="1">
      <alignment/>
    </xf>
    <xf numFmtId="0" fontId="97" fillId="39" borderId="46" xfId="0" applyFont="1" applyFill="1" applyBorder="1" applyAlignment="1">
      <alignment/>
    </xf>
    <xf numFmtId="0" fontId="97" fillId="39" borderId="47" xfId="0" applyFont="1" applyFill="1" applyBorder="1" applyAlignment="1">
      <alignment/>
    </xf>
    <xf numFmtId="0" fontId="0" fillId="39" borderId="48" xfId="0" applyFont="1" applyFill="1" applyBorder="1" applyAlignment="1">
      <alignment/>
    </xf>
    <xf numFmtId="0" fontId="73" fillId="39" borderId="49" xfId="0" applyFont="1" applyFill="1" applyBorder="1" applyAlignment="1">
      <alignment/>
    </xf>
    <xf numFmtId="0" fontId="0" fillId="39" borderId="49" xfId="0" applyFont="1" applyFill="1" applyBorder="1" applyAlignment="1">
      <alignment/>
    </xf>
    <xf numFmtId="0" fontId="96" fillId="39" borderId="49" xfId="0" applyFont="1" applyFill="1" applyBorder="1" applyAlignment="1">
      <alignment/>
    </xf>
    <xf numFmtId="0" fontId="97" fillId="39" borderId="49" xfId="0" applyFont="1" applyFill="1" applyBorder="1" applyAlignment="1">
      <alignment/>
    </xf>
    <xf numFmtId="0" fontId="97" fillId="39" borderId="50" xfId="0" applyFont="1" applyFill="1" applyBorder="1" applyAlignment="1">
      <alignment/>
    </xf>
    <xf numFmtId="0" fontId="99" fillId="39" borderId="0" xfId="0" applyFont="1" applyFill="1" applyBorder="1" applyAlignment="1">
      <alignment vertical="center" wrapText="1"/>
    </xf>
    <xf numFmtId="0" fontId="4" fillId="0" borderId="23" xfId="462" applyFont="1" applyFill="1" applyBorder="1" applyAlignment="1">
      <alignment horizontal="left" vertical="center"/>
      <protection/>
    </xf>
    <xf numFmtId="0" fontId="4" fillId="0" borderId="23" xfId="462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right"/>
    </xf>
    <xf numFmtId="0" fontId="11" fillId="0" borderId="24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11" fillId="0" borderId="41" xfId="0" applyNumberFormat="1" applyFont="1" applyBorder="1" applyAlignment="1">
      <alignment horizontal="left" vertical="center"/>
    </xf>
    <xf numFmtId="172" fontId="9" fillId="0" borderId="34" xfId="844" applyFont="1" applyBorder="1" applyAlignment="1">
      <alignment vertical="center"/>
    </xf>
    <xf numFmtId="0" fontId="5" fillId="0" borderId="23" xfId="462" applyFont="1" applyFill="1" applyBorder="1" applyAlignment="1">
      <alignment horizontal="left" vertical="center"/>
      <protection/>
    </xf>
    <xf numFmtId="0" fontId="5" fillId="0" borderId="23" xfId="462" applyFont="1" applyFill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0" fillId="0" borderId="23" xfId="546" applyFont="1" applyFill="1" applyBorder="1" applyAlignment="1">
      <alignment horizontal="left"/>
      <protection/>
    </xf>
    <xf numFmtId="0" fontId="1" fillId="0" borderId="23" xfId="546" applyFont="1" applyFill="1" applyBorder="1" applyAlignment="1">
      <alignment horizontal="left" vertical="center"/>
      <protection/>
    </xf>
    <xf numFmtId="0" fontId="5" fillId="39" borderId="24" xfId="0" applyFont="1" applyFill="1" applyBorder="1" applyAlignment="1">
      <alignment/>
    </xf>
    <xf numFmtId="0" fontId="5" fillId="39" borderId="41" xfId="0" applyFont="1" applyFill="1" applyBorder="1" applyAlignment="1">
      <alignment/>
    </xf>
    <xf numFmtId="0" fontId="5" fillId="39" borderId="34" xfId="0" applyFont="1" applyFill="1" applyBorder="1" applyAlignment="1">
      <alignment/>
    </xf>
    <xf numFmtId="172" fontId="0" fillId="0" borderId="24" xfId="844" applyNumberFormat="1" applyFont="1" applyFill="1" applyBorder="1" applyAlignment="1">
      <alignment horizontal="center" vertical="center"/>
    </xf>
    <xf numFmtId="2" fontId="0" fillId="0" borderId="24" xfId="546" applyNumberFormat="1" applyFont="1" applyFill="1" applyBorder="1" applyAlignment="1">
      <alignment horizontal="right"/>
      <protection/>
    </xf>
    <xf numFmtId="172" fontId="1" fillId="0" borderId="24" xfId="546" applyNumberFormat="1" applyFont="1" applyFill="1" applyBorder="1" applyAlignment="1">
      <alignment horizontal="right"/>
      <protection/>
    </xf>
    <xf numFmtId="4" fontId="1" fillId="0" borderId="24" xfId="546" applyNumberFormat="1" applyFont="1" applyFill="1" applyBorder="1" applyAlignment="1">
      <alignment horizontal="right"/>
      <protection/>
    </xf>
    <xf numFmtId="172" fontId="0" fillId="39" borderId="0" xfId="844" applyFont="1" applyFill="1" applyBorder="1" applyAlignment="1">
      <alignment vertical="center"/>
    </xf>
    <xf numFmtId="0" fontId="1" fillId="39" borderId="0" xfId="546" applyFont="1" applyFill="1" applyBorder="1" applyAlignment="1">
      <alignment horizontal="left"/>
      <protection/>
    </xf>
    <xf numFmtId="172" fontId="1" fillId="39" borderId="0" xfId="844" applyFont="1" applyFill="1" applyBorder="1" applyAlignment="1">
      <alignment horizontal="right"/>
    </xf>
    <xf numFmtId="184" fontId="1" fillId="39" borderId="0" xfId="546" applyNumberFormat="1" applyFont="1" applyFill="1" applyBorder="1" applyAlignment="1">
      <alignment horizontal="right"/>
      <protection/>
    </xf>
    <xf numFmtId="43" fontId="1" fillId="39" borderId="0" xfId="546" applyNumberFormat="1" applyFont="1" applyFill="1" applyBorder="1" applyAlignment="1">
      <alignment horizontal="left"/>
      <protection/>
    </xf>
    <xf numFmtId="172" fontId="0" fillId="39" borderId="42" xfId="844" applyFont="1" applyFill="1" applyBorder="1" applyAlignment="1">
      <alignment vertical="center"/>
    </xf>
    <xf numFmtId="172" fontId="0" fillId="39" borderId="51" xfId="844" applyFont="1" applyFill="1" applyBorder="1" applyAlignment="1">
      <alignment horizontal="right" vertical="center"/>
    </xf>
    <xf numFmtId="0" fontId="1" fillId="39" borderId="42" xfId="546" applyFont="1" applyFill="1" applyBorder="1" applyAlignment="1">
      <alignment horizontal="left"/>
      <protection/>
    </xf>
    <xf numFmtId="172" fontId="1" fillId="39" borderId="51" xfId="844" applyFont="1" applyFill="1" applyBorder="1" applyAlignment="1">
      <alignment horizontal="right"/>
    </xf>
    <xf numFmtId="0" fontId="15" fillId="39" borderId="43" xfId="546" applyFont="1" applyFill="1" applyBorder="1" applyAlignment="1">
      <alignment horizontal="left"/>
      <protection/>
    </xf>
    <xf numFmtId="0" fontId="15" fillId="39" borderId="44" xfId="546" applyFont="1" applyFill="1" applyBorder="1" applyAlignment="1">
      <alignment horizontal="left"/>
      <protection/>
    </xf>
    <xf numFmtId="172" fontId="15" fillId="39" borderId="44" xfId="844" applyFont="1" applyFill="1" applyBorder="1" applyAlignment="1">
      <alignment horizontal="right"/>
    </xf>
    <xf numFmtId="172" fontId="15" fillId="39" borderId="52" xfId="844" applyFont="1" applyFill="1" applyBorder="1" applyAlignment="1">
      <alignment horizontal="right"/>
    </xf>
    <xf numFmtId="172" fontId="0" fillId="0" borderId="42" xfId="844" applyFont="1" applyFill="1" applyBorder="1" applyAlignment="1">
      <alignment horizontal="center" vertical="center"/>
    </xf>
    <xf numFmtId="172" fontId="0" fillId="0" borderId="0" xfId="844" applyFont="1" applyFill="1" applyBorder="1" applyAlignment="1">
      <alignment horizontal="center" vertical="center"/>
    </xf>
    <xf numFmtId="172" fontId="0" fillId="0" borderId="51" xfId="844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182" fontId="5" fillId="0" borderId="23" xfId="545" applyNumberFormat="1" applyFont="1" applyFill="1" applyBorder="1" applyAlignment="1" applyProtection="1">
      <alignment horizontal="left" vertical="center"/>
      <protection locked="0"/>
    </xf>
    <xf numFmtId="0" fontId="4" fillId="0" borderId="23" xfId="0" applyFont="1" applyBorder="1" applyAlignment="1">
      <alignment horizontal="centerContinuous" vertical="center"/>
    </xf>
    <xf numFmtId="177" fontId="4" fillId="0" borderId="23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462" applyFont="1" applyFill="1" applyBorder="1" applyAlignment="1">
      <alignment vertical="center" wrapText="1"/>
      <protection/>
    </xf>
    <xf numFmtId="0" fontId="4" fillId="0" borderId="23" xfId="462" applyFont="1" applyFill="1" applyBorder="1" applyAlignment="1">
      <alignment horizontal="left" vertical="center" wrapText="1"/>
      <protection/>
    </xf>
    <xf numFmtId="0" fontId="4" fillId="0" borderId="23" xfId="462" applyFont="1" applyFill="1" applyBorder="1" applyAlignment="1">
      <alignment vertical="center"/>
      <protection/>
    </xf>
    <xf numFmtId="178" fontId="4" fillId="0" borderId="23" xfId="462" applyNumberFormat="1" applyFont="1" applyFill="1" applyBorder="1" applyAlignment="1">
      <alignment horizontal="right" vertical="center"/>
      <protection/>
    </xf>
    <xf numFmtId="0" fontId="4" fillId="0" borderId="23" xfId="473" applyFont="1" applyFill="1" applyBorder="1" applyAlignment="1">
      <alignment horizontal="center" vertical="center"/>
      <protection/>
    </xf>
    <xf numFmtId="3" fontId="4" fillId="0" borderId="23" xfId="545" applyNumberFormat="1" applyFont="1" applyFill="1" applyBorder="1" applyAlignment="1" applyProtection="1">
      <alignment horizontal="center" vertical="center"/>
      <protection locked="0"/>
    </xf>
    <xf numFmtId="177" fontId="4" fillId="0" borderId="23" xfId="0" applyNumberFormat="1" applyFont="1" applyBorder="1" applyAlignment="1">
      <alignment horizontal="center" vertical="center"/>
    </xf>
    <xf numFmtId="0" fontId="5" fillId="0" borderId="23" xfId="462" applyFont="1" applyFill="1" applyBorder="1" applyAlignment="1">
      <alignment vertical="center"/>
      <protection/>
    </xf>
    <xf numFmtId="0" fontId="4" fillId="39" borderId="23" xfId="462" applyFont="1" applyFill="1" applyBorder="1" applyAlignment="1">
      <alignment vertical="center" wrapText="1"/>
      <protection/>
    </xf>
    <xf numFmtId="0" fontId="8" fillId="39" borderId="24" xfId="0" applyFont="1" applyFill="1" applyBorder="1" applyAlignment="1">
      <alignment horizontal="center" vertical="center"/>
    </xf>
    <xf numFmtId="0" fontId="8" fillId="39" borderId="41" xfId="0" applyFont="1" applyFill="1" applyBorder="1" applyAlignment="1">
      <alignment horizontal="center" vertical="center"/>
    </xf>
    <xf numFmtId="0" fontId="8" fillId="39" borderId="34" xfId="0" applyFont="1" applyFill="1" applyBorder="1" applyAlignment="1">
      <alignment horizontal="center" vertical="center"/>
    </xf>
    <xf numFmtId="207" fontId="0" fillId="0" borderId="0" xfId="0" applyNumberFormat="1" applyAlignment="1">
      <alignment/>
    </xf>
    <xf numFmtId="210" fontId="8" fillId="39" borderId="24" xfId="0" applyNumberFormat="1" applyFont="1" applyFill="1" applyBorder="1" applyAlignment="1">
      <alignment horizontal="center" vertical="center"/>
    </xf>
    <xf numFmtId="210" fontId="8" fillId="39" borderId="41" xfId="0" applyNumberFormat="1" applyFont="1" applyFill="1" applyBorder="1" applyAlignment="1">
      <alignment horizontal="center" vertical="center"/>
    </xf>
    <xf numFmtId="210" fontId="8" fillId="39" borderId="34" xfId="0" applyNumberFormat="1" applyFont="1" applyFill="1" applyBorder="1" applyAlignment="1">
      <alignment horizontal="center" vertical="center"/>
    </xf>
    <xf numFmtId="39" fontId="0" fillId="0" borderId="0" xfId="0" applyNumberFormat="1" applyAlignment="1">
      <alignment/>
    </xf>
    <xf numFmtId="0" fontId="13" fillId="39" borderId="23" xfId="0" applyFont="1" applyFill="1" applyBorder="1" applyAlignment="1" applyProtection="1">
      <alignment horizontal="center" vertical="center" wrapText="1"/>
      <protection/>
    </xf>
    <xf numFmtId="172" fontId="0" fillId="39" borderId="53" xfId="844" applyFont="1" applyFill="1" applyBorder="1" applyAlignment="1" applyProtection="1">
      <alignment vertical="center" wrapText="1"/>
      <protection/>
    </xf>
    <xf numFmtId="172" fontId="0" fillId="39" borderId="28" xfId="844" applyFont="1" applyFill="1" applyBorder="1" applyAlignment="1" applyProtection="1">
      <alignment vertical="center" wrapText="1"/>
      <protection/>
    </xf>
    <xf numFmtId="172" fontId="0" fillId="39" borderId="30" xfId="844" applyFont="1" applyFill="1" applyBorder="1" applyAlignment="1" applyProtection="1">
      <alignment vertical="center" wrapText="1"/>
      <protection/>
    </xf>
    <xf numFmtId="2" fontId="9" fillId="0" borderId="54" xfId="0" applyNumberFormat="1" applyFont="1" applyFill="1" applyBorder="1" applyAlignment="1">
      <alignment horizontal="center" vertical="justify" wrapText="1"/>
    </xf>
    <xf numFmtId="2" fontId="9" fillId="0" borderId="55" xfId="0" applyNumberFormat="1" applyFont="1" applyFill="1" applyBorder="1" applyAlignment="1">
      <alignment horizontal="center" vertical="justify" wrapText="1"/>
    </xf>
    <xf numFmtId="2" fontId="9" fillId="0" borderId="56" xfId="0" applyNumberFormat="1" applyFont="1" applyFill="1" applyBorder="1" applyAlignment="1">
      <alignment horizontal="center" vertical="justify" wrapText="1"/>
    </xf>
    <xf numFmtId="0" fontId="0" fillId="0" borderId="39" xfId="462" applyFont="1" applyFill="1" applyBorder="1">
      <alignment/>
      <protection/>
    </xf>
    <xf numFmtId="0" fontId="0" fillId="0" borderId="0" xfId="462" applyFont="1" applyFill="1" applyBorder="1">
      <alignment/>
      <protection/>
    </xf>
    <xf numFmtId="0" fontId="0" fillId="0" borderId="45" xfId="462" applyFont="1" applyFill="1" applyBorder="1">
      <alignment/>
      <protection/>
    </xf>
    <xf numFmtId="2" fontId="17" fillId="0" borderId="23" xfId="0" applyNumberFormat="1" applyFont="1" applyFill="1" applyBorder="1" applyAlignment="1">
      <alignment vertical="center"/>
    </xf>
    <xf numFmtId="172" fontId="17" fillId="0" borderId="23" xfId="844" applyFont="1" applyFill="1" applyBorder="1" applyAlignment="1">
      <alignment vertical="center"/>
    </xf>
    <xf numFmtId="178" fontId="17" fillId="0" borderId="23" xfId="0" applyNumberFormat="1" applyFont="1" applyFill="1" applyBorder="1" applyAlignment="1">
      <alignment vertical="center"/>
    </xf>
    <xf numFmtId="40" fontId="17" fillId="0" borderId="57" xfId="844" applyNumberFormat="1" applyFont="1" applyFill="1" applyBorder="1" applyAlignment="1">
      <alignment vertical="center"/>
    </xf>
    <xf numFmtId="10" fontId="4" fillId="0" borderId="0" xfId="628" applyNumberFormat="1" applyFont="1" applyBorder="1" applyAlignment="1">
      <alignment/>
    </xf>
    <xf numFmtId="4" fontId="5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2" fontId="0" fillId="0" borderId="0" xfId="0" applyNumberFormat="1" applyAlignment="1">
      <alignment/>
    </xf>
    <xf numFmtId="177" fontId="4" fillId="0" borderId="23" xfId="462" applyNumberFormat="1" applyFont="1" applyFill="1" applyBorder="1" applyAlignment="1">
      <alignment horizontal="right" vertical="center"/>
      <protection/>
    </xf>
    <xf numFmtId="0" fontId="1" fillId="0" borderId="41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4" fontId="4" fillId="39" borderId="23" xfId="0" applyNumberFormat="1" applyFont="1" applyFill="1" applyBorder="1" applyAlignment="1">
      <alignment/>
    </xf>
    <xf numFmtId="4" fontId="4" fillId="39" borderId="0" xfId="0" applyNumberFormat="1" applyFont="1" applyFill="1" applyBorder="1" applyAlignment="1">
      <alignment/>
    </xf>
    <xf numFmtId="0" fontId="4" fillId="39" borderId="0" xfId="0" applyFont="1" applyFill="1" applyBorder="1" applyAlignment="1">
      <alignment/>
    </xf>
    <xf numFmtId="4" fontId="0" fillId="0" borderId="0" xfId="0" applyNumberFormat="1" applyFont="1" applyAlignment="1">
      <alignment/>
    </xf>
    <xf numFmtId="3" fontId="12" fillId="0" borderId="23" xfId="0" applyNumberFormat="1" applyFont="1" applyBorder="1" applyAlignment="1">
      <alignment horizontal="left" vertical="center" wrapText="1"/>
    </xf>
    <xf numFmtId="3" fontId="12" fillId="0" borderId="23" xfId="0" applyNumberFormat="1" applyFont="1" applyBorder="1" applyAlignment="1">
      <alignment horizontal="right" vertical="center"/>
    </xf>
    <xf numFmtId="3" fontId="12" fillId="0" borderId="23" xfId="0" applyNumberFormat="1" applyFont="1" applyBorder="1" applyAlignment="1" quotePrefix="1">
      <alignment horizontal="right" vertical="center"/>
    </xf>
    <xf numFmtId="4" fontId="12" fillId="0" borderId="23" xfId="0" applyNumberFormat="1" applyFont="1" applyBorder="1" applyAlignment="1">
      <alignment horizontal="right" vertical="center"/>
    </xf>
    <xf numFmtId="172" fontId="12" fillId="0" borderId="23" xfId="844" applyFont="1" applyBorder="1" applyAlignment="1">
      <alignment horizontal="right" vertical="center"/>
    </xf>
    <xf numFmtId="177" fontId="60" fillId="0" borderId="23" xfId="407" applyNumberFormat="1" applyFont="1" applyBorder="1" applyAlignment="1">
      <alignment horizontal="right" vertical="center"/>
      <protection/>
    </xf>
    <xf numFmtId="177" fontId="12" fillId="0" borderId="23" xfId="0" applyNumberFormat="1" applyFont="1" applyBorder="1" applyAlignment="1">
      <alignment horizontal="right" vertical="center"/>
    </xf>
    <xf numFmtId="191" fontId="12" fillId="0" borderId="23" xfId="844" applyNumberFormat="1" applyFont="1" applyBorder="1" applyAlignment="1">
      <alignment horizontal="right" vertical="center"/>
    </xf>
    <xf numFmtId="4" fontId="12" fillId="0" borderId="23" xfId="0" applyNumberFormat="1" applyFont="1" applyBorder="1" applyAlignment="1">
      <alignment horizontal="right"/>
    </xf>
    <xf numFmtId="177" fontId="12" fillId="0" borderId="23" xfId="0" applyNumberFormat="1" applyFont="1" applyBorder="1" applyAlignment="1">
      <alignment horizontal="right"/>
    </xf>
    <xf numFmtId="3" fontId="12" fillId="0" borderId="23" xfId="0" applyNumberFormat="1" applyFont="1" applyBorder="1" applyAlignment="1">
      <alignment horizontal="center"/>
    </xf>
    <xf numFmtId="3" fontId="12" fillId="0" borderId="23" xfId="0" applyNumberFormat="1" applyFont="1" applyBorder="1" applyAlignment="1" quotePrefix="1">
      <alignment horizontal="center"/>
    </xf>
    <xf numFmtId="4" fontId="12" fillId="0" borderId="23" xfId="0" applyNumberFormat="1" applyFont="1" applyBorder="1" applyAlignment="1">
      <alignment horizontal="center"/>
    </xf>
    <xf numFmtId="172" fontId="7" fillId="0" borderId="23" xfId="844" applyFont="1" applyBorder="1" applyAlignment="1">
      <alignment horizontal="center" vertical="center"/>
    </xf>
    <xf numFmtId="191" fontId="0" fillId="0" borderId="0" xfId="0" applyNumberFormat="1" applyAlignment="1">
      <alignment/>
    </xf>
    <xf numFmtId="0" fontId="0" fillId="0" borderId="23" xfId="0" applyFont="1" applyBorder="1" applyAlignment="1">
      <alignment horizontal="left" vertical="center"/>
    </xf>
    <xf numFmtId="0" fontId="68" fillId="28" borderId="23" xfId="0" applyFont="1" applyFill="1" applyBorder="1" applyAlignment="1">
      <alignment horizontal="center" vertical="center"/>
    </xf>
    <xf numFmtId="0" fontId="68" fillId="28" borderId="23" xfId="0" applyFont="1" applyFill="1" applyBorder="1" applyAlignment="1">
      <alignment vertical="center"/>
    </xf>
    <xf numFmtId="0" fontId="68" fillId="0" borderId="23" xfId="0" applyFont="1" applyFill="1" applyBorder="1" applyAlignment="1">
      <alignment horizontal="center" vertical="center"/>
    </xf>
    <xf numFmtId="2" fontId="68" fillId="28" borderId="23" xfId="0" applyNumberFormat="1" applyFont="1" applyFill="1" applyBorder="1" applyAlignment="1">
      <alignment horizontal="center" vertical="center"/>
    </xf>
    <xf numFmtId="178" fontId="68" fillId="28" borderId="23" xfId="0" applyNumberFormat="1" applyFont="1" applyFill="1" applyBorder="1" applyAlignment="1">
      <alignment horizontal="center" vertical="center"/>
    </xf>
    <xf numFmtId="0" fontId="68" fillId="28" borderId="23" xfId="0" applyFont="1" applyFill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/>
    </xf>
    <xf numFmtId="178" fontId="69" fillId="0" borderId="23" xfId="0" applyNumberFormat="1" applyFont="1" applyBorder="1" applyAlignment="1">
      <alignment horizontal="center" vertical="center"/>
    </xf>
    <xf numFmtId="0" fontId="70" fillId="39" borderId="24" xfId="0" applyFont="1" applyFill="1" applyBorder="1" applyAlignment="1">
      <alignment horizontal="left" vertical="center"/>
    </xf>
    <xf numFmtId="0" fontId="70" fillId="39" borderId="41" xfId="0" applyFont="1" applyFill="1" applyBorder="1" applyAlignment="1">
      <alignment horizontal="left" vertical="center"/>
    </xf>
    <xf numFmtId="0" fontId="68" fillId="39" borderId="23" xfId="0" applyFont="1" applyFill="1" applyBorder="1" applyAlignment="1">
      <alignment horizontal="center"/>
    </xf>
    <xf numFmtId="0" fontId="68" fillId="39" borderId="23" xfId="0" applyFont="1" applyFill="1" applyBorder="1" applyAlignment="1">
      <alignment horizontal="centerContinuous"/>
    </xf>
    <xf numFmtId="0" fontId="68" fillId="39" borderId="24" xfId="0" applyFont="1" applyFill="1" applyBorder="1" applyAlignment="1">
      <alignment vertical="center"/>
    </xf>
    <xf numFmtId="0" fontId="68" fillId="39" borderId="41" xfId="0" applyFont="1" applyFill="1" applyBorder="1" applyAlignment="1">
      <alignment vertical="center"/>
    </xf>
    <xf numFmtId="0" fontId="68" fillId="39" borderId="34" xfId="0" applyFont="1" applyFill="1" applyBorder="1" applyAlignment="1">
      <alignment vertical="center"/>
    </xf>
    <xf numFmtId="0" fontId="68" fillId="39" borderId="23" xfId="0" applyFont="1" applyFill="1" applyBorder="1" applyAlignment="1">
      <alignment vertical="center"/>
    </xf>
    <xf numFmtId="0" fontId="68" fillId="39" borderId="23" xfId="0" applyFont="1" applyFill="1" applyBorder="1" applyAlignment="1">
      <alignment horizontal="center" vertical="center" wrapText="1"/>
    </xf>
    <xf numFmtId="0" fontId="68" fillId="39" borderId="23" xfId="0" applyFont="1" applyFill="1" applyBorder="1" applyAlignment="1">
      <alignment horizontal="center" vertical="center"/>
    </xf>
    <xf numFmtId="2" fontId="68" fillId="39" borderId="23" xfId="0" applyNumberFormat="1" applyFont="1" applyFill="1" applyBorder="1" applyAlignment="1">
      <alignment horizontal="center" vertical="center"/>
    </xf>
    <xf numFmtId="178" fontId="68" fillId="39" borderId="23" xfId="0" applyNumberFormat="1" applyFont="1" applyFill="1" applyBorder="1" applyAlignment="1">
      <alignment horizontal="center" vertical="center"/>
    </xf>
    <xf numFmtId="0" fontId="68" fillId="39" borderId="34" xfId="0" applyFont="1" applyFill="1" applyBorder="1" applyAlignment="1">
      <alignment horizontal="center" vertical="center"/>
    </xf>
    <xf numFmtId="178" fontId="69" fillId="39" borderId="34" xfId="0" applyNumberFormat="1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172" fontId="0" fillId="0" borderId="57" xfId="0" applyNumberFormat="1" applyFont="1" applyBorder="1" applyAlignment="1">
      <alignment/>
    </xf>
    <xf numFmtId="0" fontId="0" fillId="0" borderId="58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/>
    </xf>
    <xf numFmtId="172" fontId="1" fillId="0" borderId="57" xfId="0" applyNumberFormat="1" applyFont="1" applyFill="1" applyBorder="1" applyAlignment="1">
      <alignment/>
    </xf>
    <xf numFmtId="0" fontId="1" fillId="0" borderId="59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9" fillId="0" borderId="59" xfId="0" applyFont="1" applyBorder="1" applyAlignment="1">
      <alignment horizontal="center" vertical="center"/>
    </xf>
    <xf numFmtId="3" fontId="0" fillId="0" borderId="58" xfId="0" applyNumberFormat="1" applyFont="1" applyBorder="1" applyAlignment="1">
      <alignment horizontal="center"/>
    </xf>
    <xf numFmtId="172" fontId="1" fillId="0" borderId="23" xfId="844" applyFont="1" applyFill="1" applyBorder="1" applyAlignment="1">
      <alignment horizontal="center" vertical="center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77" fontId="60" fillId="0" borderId="23" xfId="407" applyNumberFormat="1" applyFont="1" applyFill="1" applyBorder="1" applyAlignment="1">
      <alignment horizontal="right" vertical="center"/>
      <protection/>
    </xf>
    <xf numFmtId="177" fontId="12" fillId="0" borderId="23" xfId="0" applyNumberFormat="1" applyFont="1" applyFill="1" applyBorder="1" applyAlignment="1">
      <alignment horizontal="right"/>
    </xf>
    <xf numFmtId="177" fontId="65" fillId="0" borderId="23" xfId="407" applyNumberFormat="1" applyFont="1" applyFill="1" applyBorder="1" applyAlignment="1">
      <alignment horizontal="right" vertical="center"/>
      <protection/>
    </xf>
    <xf numFmtId="4" fontId="4" fillId="0" borderId="23" xfId="0" applyNumberFormat="1" applyFont="1" applyBorder="1" applyAlignment="1">
      <alignment horizontal="center" vertical="center"/>
    </xf>
    <xf numFmtId="0" fontId="68" fillId="39" borderId="23" xfId="0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/>
    </xf>
    <xf numFmtId="4" fontId="4" fillId="28" borderId="23" xfId="0" applyNumberFormat="1" applyFont="1" applyFill="1" applyBorder="1" applyAlignment="1">
      <alignment horizontal="center" vertical="center"/>
    </xf>
    <xf numFmtId="4" fontId="4" fillId="28" borderId="23" xfId="0" applyNumberFormat="1" applyFont="1" applyFill="1" applyBorder="1" applyAlignment="1">
      <alignment horizontal="center" vertical="center" wrapText="1"/>
    </xf>
    <xf numFmtId="0" fontId="4" fillId="39" borderId="23" xfId="462" applyFont="1" applyFill="1" applyBorder="1" applyAlignment="1">
      <alignment horizontal="left" vertical="center"/>
      <protection/>
    </xf>
    <xf numFmtId="0" fontId="12" fillId="0" borderId="23" xfId="0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3" fontId="12" fillId="0" borderId="23" xfId="0" applyNumberFormat="1" applyFont="1" applyFill="1" applyBorder="1" applyAlignment="1">
      <alignment horizontal="left" vertical="center" wrapText="1"/>
    </xf>
    <xf numFmtId="3" fontId="12" fillId="0" borderId="23" xfId="0" applyNumberFormat="1" applyFont="1" applyFill="1" applyBorder="1" applyAlignment="1">
      <alignment horizontal="center" vertical="center"/>
    </xf>
    <xf numFmtId="3" fontId="12" fillId="0" borderId="23" xfId="0" applyNumberFormat="1" applyFont="1" applyFill="1" applyBorder="1" applyAlignment="1" quotePrefix="1">
      <alignment horizontal="center" vertical="center"/>
    </xf>
    <xf numFmtId="4" fontId="12" fillId="0" borderId="23" xfId="0" applyNumberFormat="1" applyFont="1" applyFill="1" applyBorder="1" applyAlignment="1">
      <alignment horizontal="center" vertical="center"/>
    </xf>
    <xf numFmtId="177" fontId="12" fillId="0" borderId="23" xfId="0" applyNumberFormat="1" applyFont="1" applyFill="1" applyBorder="1" applyAlignment="1">
      <alignment horizontal="center" vertical="center"/>
    </xf>
    <xf numFmtId="191" fontId="12" fillId="0" borderId="23" xfId="844" applyNumberFormat="1" applyFont="1" applyFill="1" applyBorder="1" applyAlignment="1">
      <alignment horizontal="center" vertical="center"/>
    </xf>
    <xf numFmtId="172" fontId="12" fillId="0" borderId="23" xfId="844" applyFont="1" applyFill="1" applyBorder="1" applyAlignment="1">
      <alignment horizontal="right" vertical="center"/>
    </xf>
    <xf numFmtId="4" fontId="12" fillId="0" borderId="23" xfId="0" applyNumberFormat="1" applyFont="1" applyFill="1" applyBorder="1" applyAlignment="1">
      <alignment horizontal="right" vertical="center"/>
    </xf>
    <xf numFmtId="177" fontId="12" fillId="0" borderId="23" xfId="0" applyNumberFormat="1" applyFont="1" applyFill="1" applyBorder="1" applyAlignment="1">
      <alignment horizontal="right" vertical="center"/>
    </xf>
    <xf numFmtId="0" fontId="64" fillId="0" borderId="23" xfId="0" applyFont="1" applyFill="1" applyBorder="1" applyAlignment="1">
      <alignment horizontal="left" vertical="center"/>
    </xf>
    <xf numFmtId="3" fontId="12" fillId="0" borderId="23" xfId="0" applyNumberFormat="1" applyFont="1" applyFill="1" applyBorder="1" applyAlignment="1">
      <alignment horizontal="center"/>
    </xf>
    <xf numFmtId="3" fontId="12" fillId="0" borderId="23" xfId="0" applyNumberFormat="1" applyFont="1" applyFill="1" applyBorder="1" applyAlignment="1" quotePrefix="1">
      <alignment horizontal="center"/>
    </xf>
    <xf numFmtId="4" fontId="12" fillId="0" borderId="23" xfId="0" applyNumberFormat="1" applyFont="1" applyFill="1" applyBorder="1" applyAlignment="1">
      <alignment horizontal="center"/>
    </xf>
    <xf numFmtId="177" fontId="12" fillId="0" borderId="23" xfId="0" applyNumberFormat="1" applyFont="1" applyFill="1" applyBorder="1" applyAlignment="1">
      <alignment horizontal="center"/>
    </xf>
    <xf numFmtId="172" fontId="12" fillId="0" borderId="23" xfId="844" applyFont="1" applyFill="1" applyBorder="1" applyAlignment="1">
      <alignment horizontal="center"/>
    </xf>
    <xf numFmtId="172" fontId="12" fillId="0" borderId="23" xfId="844" applyFont="1" applyFill="1" applyBorder="1" applyAlignment="1">
      <alignment horizontal="right"/>
    </xf>
    <xf numFmtId="4" fontId="12" fillId="0" borderId="23" xfId="0" applyNumberFormat="1" applyFont="1" applyFill="1" applyBorder="1" applyAlignment="1">
      <alignment horizontal="right"/>
    </xf>
    <xf numFmtId="3" fontId="66" fillId="0" borderId="23" xfId="0" applyNumberFormat="1" applyFont="1" applyFill="1" applyBorder="1" applyAlignment="1">
      <alignment horizontal="left" vertical="center" wrapText="1"/>
    </xf>
    <xf numFmtId="2" fontId="0" fillId="0" borderId="23" xfId="0" applyNumberFormat="1" applyFill="1" applyBorder="1" applyAlignment="1">
      <alignment horizontal="center"/>
    </xf>
    <xf numFmtId="2" fontId="0" fillId="0" borderId="57" xfId="0" applyNumberFormat="1" applyFill="1" applyBorder="1" applyAlignment="1">
      <alignment horizontal="center"/>
    </xf>
    <xf numFmtId="0" fontId="4" fillId="0" borderId="23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/>
    </xf>
    <xf numFmtId="0" fontId="68" fillId="0" borderId="24" xfId="0" applyFont="1" applyFill="1" applyBorder="1" applyAlignment="1">
      <alignment vertical="center"/>
    </xf>
    <xf numFmtId="0" fontId="68" fillId="0" borderId="23" xfId="0" applyFont="1" applyFill="1" applyBorder="1" applyAlignment="1">
      <alignment horizontal="center" vertical="center" wrapText="1"/>
    </xf>
    <xf numFmtId="0" fontId="0" fillId="0" borderId="58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Alignment="1">
      <alignment/>
    </xf>
    <xf numFmtId="0" fontId="68" fillId="0" borderId="23" xfId="0" applyFont="1" applyFill="1" applyBorder="1" applyAlignment="1">
      <alignment horizontal="center"/>
    </xf>
    <xf numFmtId="0" fontId="68" fillId="0" borderId="41" xfId="0" applyFont="1" applyFill="1" applyBorder="1" applyAlignment="1">
      <alignment vertical="center"/>
    </xf>
    <xf numFmtId="0" fontId="68" fillId="0" borderId="34" xfId="0" applyFont="1" applyFill="1" applyBorder="1" applyAlignment="1">
      <alignment vertical="center"/>
    </xf>
    <xf numFmtId="0" fontId="68" fillId="0" borderId="23" xfId="0" applyFont="1" applyFill="1" applyBorder="1" applyAlignment="1">
      <alignment vertical="center"/>
    </xf>
    <xf numFmtId="2" fontId="68" fillId="0" borderId="23" xfId="0" applyNumberFormat="1" applyFont="1" applyFill="1" applyBorder="1" applyAlignment="1">
      <alignment horizontal="center" vertical="center"/>
    </xf>
    <xf numFmtId="178" fontId="68" fillId="0" borderId="23" xfId="0" applyNumberFormat="1" applyFont="1" applyFill="1" applyBorder="1" applyAlignment="1">
      <alignment horizontal="center" vertical="center"/>
    </xf>
    <xf numFmtId="4" fontId="68" fillId="0" borderId="23" xfId="0" applyNumberFormat="1" applyFont="1" applyFill="1" applyBorder="1" applyAlignment="1">
      <alignment horizontal="center" vertical="center"/>
    </xf>
    <xf numFmtId="0" fontId="79" fillId="0" borderId="61" xfId="0" applyFont="1" applyFill="1" applyBorder="1" applyAlignment="1">
      <alignment horizontal="center"/>
    </xf>
    <xf numFmtId="0" fontId="79" fillId="0" borderId="62" xfId="0" applyFont="1" applyFill="1" applyBorder="1" applyAlignment="1">
      <alignment/>
    </xf>
    <xf numFmtId="0" fontId="79" fillId="0" borderId="63" xfId="0" applyFont="1" applyFill="1" applyBorder="1" applyAlignment="1">
      <alignment horizontal="center"/>
    </xf>
    <xf numFmtId="0" fontId="79" fillId="0" borderId="64" xfId="0" applyFont="1" applyFill="1" applyBorder="1" applyAlignment="1">
      <alignment horizontal="center"/>
    </xf>
    <xf numFmtId="4" fontId="72" fillId="0" borderId="65" xfId="0" applyNumberFormat="1" applyFont="1" applyFill="1" applyBorder="1" applyAlignment="1">
      <alignment horizontal="center"/>
    </xf>
    <xf numFmtId="4" fontId="73" fillId="0" borderId="65" xfId="0" applyNumberFormat="1" applyFont="1" applyFill="1" applyBorder="1" applyAlignment="1">
      <alignment horizontal="center"/>
    </xf>
    <xf numFmtId="0" fontId="73" fillId="0" borderId="65" xfId="0" applyFont="1" applyFill="1" applyBorder="1" applyAlignment="1">
      <alignment horizontal="center"/>
    </xf>
    <xf numFmtId="0" fontId="74" fillId="0" borderId="66" xfId="0" applyFont="1" applyFill="1" applyBorder="1" applyAlignment="1">
      <alignment horizontal="center"/>
    </xf>
    <xf numFmtId="4" fontId="73" fillId="0" borderId="36" xfId="0" applyNumberFormat="1" applyFont="1" applyFill="1" applyBorder="1" applyAlignment="1">
      <alignment horizontal="center"/>
    </xf>
    <xf numFmtId="0" fontId="73" fillId="0" borderId="36" xfId="0" applyFont="1" applyFill="1" applyBorder="1" applyAlignment="1">
      <alignment horizontal="center"/>
    </xf>
    <xf numFmtId="0" fontId="74" fillId="0" borderId="37" xfId="0" applyFont="1" applyFill="1" applyBorder="1" applyAlignment="1">
      <alignment horizontal="center"/>
    </xf>
    <xf numFmtId="1" fontId="73" fillId="0" borderId="67" xfId="0" applyNumberFormat="1" applyFont="1" applyFill="1" applyBorder="1" applyAlignment="1">
      <alignment horizontal="left"/>
    </xf>
    <xf numFmtId="0" fontId="73" fillId="0" borderId="68" xfId="0" applyFont="1" applyFill="1" applyBorder="1" applyAlignment="1">
      <alignment/>
    </xf>
    <xf numFmtId="0" fontId="73" fillId="0" borderId="69" xfId="0" applyFont="1" applyFill="1" applyBorder="1" applyAlignment="1">
      <alignment/>
    </xf>
    <xf numFmtId="172" fontId="1" fillId="0" borderId="23" xfId="844" applyFont="1" applyFill="1" applyBorder="1" applyAlignment="1">
      <alignment horizontal="center" vertical="center" wrapText="1"/>
    </xf>
    <xf numFmtId="172" fontId="1" fillId="0" borderId="23" xfId="844" applyFont="1" applyFill="1" applyBorder="1" applyAlignment="1">
      <alignment horizontal="center" wrapText="1"/>
    </xf>
    <xf numFmtId="172" fontId="1" fillId="0" borderId="23" xfId="844" applyFont="1" applyFill="1" applyBorder="1" applyAlignment="1">
      <alignment horizontal="center" vertical="top" wrapText="1"/>
    </xf>
    <xf numFmtId="172" fontId="0" fillId="0" borderId="23" xfId="844" applyFont="1" applyFill="1" applyBorder="1" applyAlignment="1">
      <alignment horizontal="right" vertical="center"/>
    </xf>
    <xf numFmtId="172" fontId="1" fillId="0" borderId="23" xfId="844" applyFont="1" applyFill="1" applyBorder="1" applyAlignment="1">
      <alignment vertical="center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 wrapText="1"/>
    </xf>
    <xf numFmtId="172" fontId="0" fillId="0" borderId="23" xfId="844" applyFont="1" applyFill="1" applyBorder="1" applyAlignment="1">
      <alignment horizontal="center"/>
    </xf>
    <xf numFmtId="172" fontId="0" fillId="0" borderId="23" xfId="844" applyFont="1" applyFill="1" applyBorder="1" applyAlignment="1">
      <alignment/>
    </xf>
    <xf numFmtId="172" fontId="0" fillId="0" borderId="57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1" fillId="0" borderId="41" xfId="0" applyFont="1" applyFill="1" applyBorder="1" applyAlignment="1">
      <alignment vertical="center"/>
    </xf>
    <xf numFmtId="0" fontId="1" fillId="0" borderId="60" xfId="0" applyFont="1" applyFill="1" applyBorder="1" applyAlignment="1">
      <alignment vertical="center"/>
    </xf>
    <xf numFmtId="182" fontId="0" fillId="0" borderId="24" xfId="545" applyNumberFormat="1" applyFont="1" applyFill="1" applyBorder="1" applyAlignment="1">
      <alignment horizontal="left"/>
      <protection/>
    </xf>
    <xf numFmtId="182" fontId="0" fillId="0" borderId="34" xfId="545" applyNumberFormat="1" applyFont="1" applyFill="1" applyBorder="1" applyAlignment="1">
      <alignment horizontal="left"/>
      <protection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70" xfId="0" applyNumberFormat="1" applyFont="1" applyFill="1" applyBorder="1" applyAlignment="1">
      <alignment horizontal="left" vertical="center"/>
    </xf>
    <xf numFmtId="0" fontId="9" fillId="0" borderId="42" xfId="0" applyNumberFormat="1" applyFont="1" applyFill="1" applyBorder="1" applyAlignment="1">
      <alignment horizontal="left" vertical="center"/>
    </xf>
    <xf numFmtId="0" fontId="9" fillId="0" borderId="51" xfId="0" applyNumberFormat="1" applyFont="1" applyFill="1" applyBorder="1" applyAlignment="1">
      <alignment horizontal="left" vertical="center"/>
    </xf>
    <xf numFmtId="0" fontId="9" fillId="0" borderId="43" xfId="0" applyNumberFormat="1" applyFont="1" applyFill="1" applyBorder="1" applyAlignment="1">
      <alignment horizontal="left" vertical="center"/>
    </xf>
    <xf numFmtId="0" fontId="9" fillId="0" borderId="52" xfId="0" applyNumberFormat="1" applyFont="1" applyFill="1" applyBorder="1" applyAlignment="1">
      <alignment horizontal="left" vertical="center"/>
    </xf>
    <xf numFmtId="0" fontId="11" fillId="0" borderId="24" xfId="0" applyNumberFormat="1" applyFont="1" applyBorder="1" applyAlignment="1">
      <alignment horizontal="left" vertical="center"/>
    </xf>
    <xf numFmtId="0" fontId="11" fillId="0" borderId="34" xfId="0" applyNumberFormat="1" applyFont="1" applyBorder="1" applyAlignment="1">
      <alignment horizontal="left" vertical="center"/>
    </xf>
    <xf numFmtId="0" fontId="10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23" xfId="0" applyNumberFormat="1" applyFont="1" applyBorder="1" applyAlignment="1">
      <alignment horizontal="left"/>
    </xf>
    <xf numFmtId="0" fontId="10" fillId="0" borderId="27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9" fillId="0" borderId="23" xfId="0" applyNumberFormat="1" applyFont="1" applyFill="1" applyBorder="1" applyAlignment="1">
      <alignment horizontal="center" vertical="center"/>
    </xf>
    <xf numFmtId="0" fontId="9" fillId="39" borderId="23" xfId="0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3" xfId="0" applyNumberFormat="1" applyFont="1" applyBorder="1" applyAlignment="1">
      <alignment vertical="center"/>
    </xf>
    <xf numFmtId="0" fontId="10" fillId="0" borderId="27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172" fontId="10" fillId="28" borderId="27" xfId="844" applyFont="1" applyFill="1" applyBorder="1" applyAlignment="1">
      <alignment horizontal="center" vertical="center"/>
    </xf>
    <xf numFmtId="172" fontId="10" fillId="28" borderId="25" xfId="844" applyFont="1" applyFill="1" applyBorder="1" applyAlignment="1">
      <alignment horizontal="center" vertical="center"/>
    </xf>
    <xf numFmtId="172" fontId="10" fillId="28" borderId="26" xfId="844" applyFont="1" applyFill="1" applyBorder="1" applyAlignment="1">
      <alignment horizontal="center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4" fontId="10" fillId="0" borderId="27" xfId="0" applyNumberFormat="1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4" fontId="0" fillId="28" borderId="27" xfId="0" applyNumberFormat="1" applyFont="1" applyFill="1" applyBorder="1" applyAlignment="1">
      <alignment horizontal="right" vertical="center"/>
    </xf>
    <xf numFmtId="4" fontId="0" fillId="28" borderId="25" xfId="0" applyNumberFormat="1" applyFont="1" applyFill="1" applyBorder="1" applyAlignment="1">
      <alignment horizontal="right" vertical="center"/>
    </xf>
    <xf numFmtId="4" fontId="0" fillId="28" borderId="26" xfId="0" applyNumberFormat="1" applyFont="1" applyFill="1" applyBorder="1" applyAlignment="1">
      <alignment horizontal="right" vertical="center"/>
    </xf>
    <xf numFmtId="172" fontId="8" fillId="0" borderId="24" xfId="844" applyFont="1" applyBorder="1" applyAlignment="1">
      <alignment vertical="center"/>
    </xf>
    <xf numFmtId="172" fontId="8" fillId="0" borderId="41" xfId="844" applyFont="1" applyBorder="1" applyAlignment="1">
      <alignment vertical="center"/>
    </xf>
    <xf numFmtId="172" fontId="8" fillId="0" borderId="34" xfId="844" applyFont="1" applyBorder="1" applyAlignment="1">
      <alignment vertical="center"/>
    </xf>
    <xf numFmtId="10" fontId="8" fillId="0" borderId="24" xfId="0" applyNumberFormat="1" applyFont="1" applyBorder="1" applyAlignment="1">
      <alignment horizontal="center" vertical="center"/>
    </xf>
    <xf numFmtId="10" fontId="8" fillId="0" borderId="41" xfId="0" applyNumberFormat="1" applyFont="1" applyBorder="1" applyAlignment="1">
      <alignment horizontal="center" vertical="center"/>
    </xf>
    <xf numFmtId="10" fontId="8" fillId="0" borderId="34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9" fontId="8" fillId="0" borderId="24" xfId="0" applyNumberFormat="1" applyFont="1" applyBorder="1" applyAlignment="1">
      <alignment horizontal="left" vertical="center" indent="2"/>
    </xf>
    <xf numFmtId="9" fontId="8" fillId="0" borderId="34" xfId="0" applyNumberFormat="1" applyFont="1" applyBorder="1" applyAlignment="1">
      <alignment horizontal="left" vertical="center" indent="2"/>
    </xf>
    <xf numFmtId="9" fontId="8" fillId="0" borderId="43" xfId="0" applyNumberFormat="1" applyFont="1" applyBorder="1" applyAlignment="1">
      <alignment horizontal="left" vertical="center" indent="2"/>
    </xf>
    <xf numFmtId="9" fontId="8" fillId="0" borderId="52" xfId="0" applyNumberFormat="1" applyFont="1" applyBorder="1" applyAlignment="1">
      <alignment horizontal="left" vertical="center" indent="2"/>
    </xf>
    <xf numFmtId="4" fontId="8" fillId="0" borderId="24" xfId="0" applyNumberFormat="1" applyFont="1" applyFill="1" applyBorder="1" applyAlignment="1">
      <alignment horizontal="center" vertical="center"/>
    </xf>
    <xf numFmtId="4" fontId="8" fillId="0" borderId="41" xfId="0" applyNumberFormat="1" applyFont="1" applyFill="1" applyBorder="1" applyAlignment="1">
      <alignment horizontal="center" vertical="center"/>
    </xf>
    <xf numFmtId="4" fontId="8" fillId="0" borderId="34" xfId="0" applyNumberFormat="1" applyFont="1" applyFill="1" applyBorder="1" applyAlignment="1">
      <alignment horizontal="center" vertical="center"/>
    </xf>
    <xf numFmtId="4" fontId="8" fillId="0" borderId="32" xfId="0" applyNumberFormat="1" applyFont="1" applyFill="1" applyBorder="1" applyAlignment="1">
      <alignment horizontal="center" vertical="center"/>
    </xf>
    <xf numFmtId="4" fontId="8" fillId="0" borderId="33" xfId="0" applyNumberFormat="1" applyFont="1" applyFill="1" applyBorder="1" applyAlignment="1">
      <alignment horizontal="center" vertical="center"/>
    </xf>
    <xf numFmtId="4" fontId="8" fillId="0" borderId="70" xfId="0" applyNumberFormat="1" applyFont="1" applyFill="1" applyBorder="1" applyAlignment="1">
      <alignment horizontal="center" vertical="center"/>
    </xf>
    <xf numFmtId="210" fontId="8" fillId="39" borderId="43" xfId="0" applyNumberFormat="1" applyFont="1" applyFill="1" applyBorder="1" applyAlignment="1">
      <alignment horizontal="center" vertical="center"/>
    </xf>
    <xf numFmtId="210" fontId="8" fillId="39" borderId="44" xfId="0" applyNumberFormat="1" applyFont="1" applyFill="1" applyBorder="1" applyAlignment="1">
      <alignment horizontal="center" vertical="center"/>
    </xf>
    <xf numFmtId="210" fontId="8" fillId="39" borderId="52" xfId="0" applyNumberFormat="1" applyFont="1" applyFill="1" applyBorder="1" applyAlignment="1">
      <alignment horizontal="center" vertical="center"/>
    </xf>
    <xf numFmtId="9" fontId="8" fillId="0" borderId="24" xfId="0" applyNumberFormat="1" applyFont="1" applyBorder="1" applyAlignment="1">
      <alignment horizontal="center" vertical="center"/>
    </xf>
    <xf numFmtId="9" fontId="8" fillId="0" borderId="41" xfId="0" applyNumberFormat="1" applyFont="1" applyBorder="1" applyAlignment="1">
      <alignment horizontal="center" vertical="center"/>
    </xf>
    <xf numFmtId="9" fontId="8" fillId="0" borderId="34" xfId="0" applyNumberFormat="1" applyFont="1" applyBorder="1" applyAlignment="1">
      <alignment horizontal="center" vertical="center"/>
    </xf>
    <xf numFmtId="9" fontId="8" fillId="0" borderId="43" xfId="0" applyNumberFormat="1" applyFont="1" applyBorder="1" applyAlignment="1">
      <alignment horizontal="center" vertical="center"/>
    </xf>
    <xf numFmtId="9" fontId="8" fillId="0" borderId="44" xfId="0" applyNumberFormat="1" applyFont="1" applyBorder="1" applyAlignment="1">
      <alignment horizontal="center" vertical="center"/>
    </xf>
    <xf numFmtId="9" fontId="8" fillId="0" borderId="52" xfId="0" applyNumberFormat="1" applyFont="1" applyBorder="1" applyAlignment="1">
      <alignment horizontal="center" vertical="center"/>
    </xf>
    <xf numFmtId="210" fontId="8" fillId="0" borderId="24" xfId="0" applyNumberFormat="1" applyFont="1" applyFill="1" applyBorder="1" applyAlignment="1">
      <alignment horizontal="center" vertical="center"/>
    </xf>
    <xf numFmtId="210" fontId="8" fillId="0" borderId="41" xfId="0" applyNumberFormat="1" applyFont="1" applyFill="1" applyBorder="1" applyAlignment="1">
      <alignment horizontal="center" vertical="center"/>
    </xf>
    <xf numFmtId="210" fontId="8" fillId="0" borderId="34" xfId="0" applyNumberFormat="1" applyFont="1" applyFill="1" applyBorder="1" applyAlignment="1">
      <alignment horizontal="center" vertical="center"/>
    </xf>
    <xf numFmtId="210" fontId="8" fillId="0" borderId="24" xfId="0" applyNumberFormat="1" applyFont="1" applyBorder="1" applyAlignment="1">
      <alignment horizontal="center" vertical="center"/>
    </xf>
    <xf numFmtId="210" fontId="8" fillId="0" borderId="41" xfId="0" applyNumberFormat="1" applyFont="1" applyBorder="1" applyAlignment="1">
      <alignment horizontal="center" vertical="center"/>
    </xf>
    <xf numFmtId="210" fontId="8" fillId="0" borderId="34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left" vertical="center" indent="1"/>
    </xf>
    <xf numFmtId="0" fontId="8" fillId="0" borderId="70" xfId="0" applyFont="1" applyBorder="1" applyAlignment="1">
      <alignment horizontal="left" vertical="center" indent="1"/>
    </xf>
    <xf numFmtId="0" fontId="8" fillId="0" borderId="42" xfId="0" applyFont="1" applyBorder="1" applyAlignment="1">
      <alignment horizontal="left" vertical="center" indent="1"/>
    </xf>
    <xf numFmtId="0" fontId="8" fillId="0" borderId="51" xfId="0" applyFont="1" applyBorder="1" applyAlignment="1">
      <alignment horizontal="left" vertical="center" indent="1"/>
    </xf>
    <xf numFmtId="2" fontId="8" fillId="0" borderId="23" xfId="0" applyNumberFormat="1" applyFont="1" applyBorder="1" applyAlignment="1">
      <alignment horizontal="center" vertical="center"/>
    </xf>
    <xf numFmtId="39" fontId="8" fillId="0" borderId="27" xfId="844" applyNumberFormat="1" applyFont="1" applyBorder="1" applyAlignment="1">
      <alignment horizontal="center" vertical="center"/>
    </xf>
    <xf numFmtId="39" fontId="8" fillId="0" borderId="25" xfId="844" applyNumberFormat="1" applyFont="1" applyBorder="1" applyAlignment="1">
      <alignment horizontal="center" vertical="center"/>
    </xf>
    <xf numFmtId="39" fontId="8" fillId="0" borderId="26" xfId="844" applyNumberFormat="1" applyFont="1" applyBorder="1" applyAlignment="1">
      <alignment horizontal="center" vertical="center"/>
    </xf>
    <xf numFmtId="210" fontId="8" fillId="39" borderId="32" xfId="0" applyNumberFormat="1" applyFont="1" applyFill="1" applyBorder="1" applyAlignment="1">
      <alignment horizontal="center" vertical="center"/>
    </xf>
    <xf numFmtId="210" fontId="8" fillId="39" borderId="33" xfId="0" applyNumberFormat="1" applyFont="1" applyFill="1" applyBorder="1" applyAlignment="1">
      <alignment horizontal="center" vertical="center"/>
    </xf>
    <xf numFmtId="207" fontId="8" fillId="0" borderId="43" xfId="0" applyNumberFormat="1" applyFont="1" applyBorder="1" applyAlignment="1">
      <alignment horizontal="center" vertical="center"/>
    </xf>
    <xf numFmtId="207" fontId="8" fillId="0" borderId="44" xfId="0" applyNumberFormat="1" applyFont="1" applyBorder="1" applyAlignment="1">
      <alignment horizontal="center" vertical="center"/>
    </xf>
    <xf numFmtId="207" fontId="8" fillId="0" borderId="52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 indent="1"/>
    </xf>
    <xf numFmtId="2" fontId="8" fillId="0" borderId="27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0" fontId="8" fillId="27" borderId="24" xfId="0" applyFont="1" applyFill="1" applyBorder="1" applyAlignment="1">
      <alignment horizontal="center" vertical="center"/>
    </xf>
    <xf numFmtId="0" fontId="8" fillId="27" borderId="41" xfId="0" applyFont="1" applyFill="1" applyBorder="1" applyAlignment="1">
      <alignment horizontal="center" vertical="center"/>
    </xf>
    <xf numFmtId="0" fontId="8" fillId="27" borderId="34" xfId="0" applyFont="1" applyFill="1" applyBorder="1" applyAlignment="1">
      <alignment horizontal="center" vertical="center"/>
    </xf>
    <xf numFmtId="0" fontId="8" fillId="39" borderId="24" xfId="0" applyFont="1" applyFill="1" applyBorder="1" applyAlignment="1">
      <alignment horizontal="center" vertical="center"/>
    </xf>
    <xf numFmtId="0" fontId="8" fillId="39" borderId="41" xfId="0" applyFont="1" applyFill="1" applyBorder="1" applyAlignment="1">
      <alignment horizontal="center" vertical="center"/>
    </xf>
    <xf numFmtId="0" fontId="8" fillId="39" borderId="34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left" vertical="center" wrapText="1" indent="1"/>
    </xf>
    <xf numFmtId="0" fontId="8" fillId="0" borderId="70" xfId="0" applyFont="1" applyBorder="1" applyAlignment="1">
      <alignment horizontal="left" vertical="center" wrapText="1" indent="1"/>
    </xf>
    <xf numFmtId="0" fontId="8" fillId="0" borderId="42" xfId="0" applyFont="1" applyBorder="1" applyAlignment="1">
      <alignment horizontal="left" vertical="center" wrapText="1" indent="1"/>
    </xf>
    <xf numFmtId="0" fontId="8" fillId="0" borderId="51" xfId="0" applyFont="1" applyBorder="1" applyAlignment="1">
      <alignment horizontal="left" vertical="center" wrapText="1" indent="1"/>
    </xf>
    <xf numFmtId="0" fontId="8" fillId="0" borderId="43" xfId="0" applyFont="1" applyBorder="1" applyAlignment="1">
      <alignment horizontal="left" vertical="center" wrapText="1" indent="1"/>
    </xf>
    <xf numFmtId="0" fontId="8" fillId="0" borderId="52" xfId="0" applyFont="1" applyBorder="1" applyAlignment="1">
      <alignment horizontal="left" vertical="center" wrapText="1" indent="1"/>
    </xf>
    <xf numFmtId="0" fontId="8" fillId="0" borderId="3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62" fillId="0" borderId="41" xfId="0" applyFont="1" applyBorder="1" applyAlignment="1">
      <alignment horizontal="center" vertical="center"/>
    </xf>
    <xf numFmtId="0" fontId="62" fillId="0" borderId="3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9" fillId="0" borderId="70" xfId="0" applyFont="1" applyBorder="1" applyAlignment="1">
      <alignment horizontal="center" wrapText="1"/>
    </xf>
    <xf numFmtId="0" fontId="13" fillId="0" borderId="33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 wrapText="1"/>
    </xf>
    <xf numFmtId="0" fontId="4" fillId="0" borderId="23" xfId="462" applyFont="1" applyFill="1" applyBorder="1" applyAlignment="1">
      <alignment vertical="center" wrapText="1"/>
      <protection/>
    </xf>
    <xf numFmtId="4" fontId="4" fillId="0" borderId="2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4" fillId="0" borderId="23" xfId="462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left"/>
    </xf>
    <xf numFmtId="0" fontId="4" fillId="0" borderId="24" xfId="462" applyFont="1" applyFill="1" applyBorder="1" applyAlignment="1">
      <alignment horizontal="center" vertical="center"/>
      <protection/>
    </xf>
    <xf numFmtId="0" fontId="4" fillId="0" borderId="34" xfId="462" applyFont="1" applyFill="1" applyBorder="1" applyAlignment="1">
      <alignment horizontal="center" vertical="center"/>
      <protection/>
    </xf>
    <xf numFmtId="0" fontId="4" fillId="39" borderId="24" xfId="462" applyFont="1" applyFill="1" applyBorder="1" applyAlignment="1">
      <alignment horizontal="center" vertical="center" wrapText="1"/>
      <protection/>
    </xf>
    <xf numFmtId="0" fontId="4" fillId="39" borderId="34" xfId="462" applyFont="1" applyFill="1" applyBorder="1" applyAlignment="1">
      <alignment horizontal="center" vertical="center" wrapText="1"/>
      <protection/>
    </xf>
    <xf numFmtId="0" fontId="4" fillId="0" borderId="23" xfId="462" applyFont="1" applyFill="1" applyBorder="1" applyAlignment="1">
      <alignment horizontal="left" vertical="center" wrapText="1"/>
      <protection/>
    </xf>
    <xf numFmtId="0" fontId="4" fillId="0" borderId="23" xfId="462" applyFont="1" applyFill="1" applyBorder="1" applyAlignment="1">
      <alignment horizontal="center" vertical="center"/>
      <protection/>
    </xf>
    <xf numFmtId="0" fontId="4" fillId="0" borderId="23" xfId="462" applyFont="1" applyFill="1" applyBorder="1" applyAlignment="1">
      <alignment horizontal="center" vertical="center" wrapText="1"/>
      <protection/>
    </xf>
    <xf numFmtId="0" fontId="4" fillId="0" borderId="23" xfId="0" applyFont="1" applyBorder="1" applyAlignment="1">
      <alignment horizontal="center" vertical="center"/>
    </xf>
    <xf numFmtId="182" fontId="4" fillId="0" borderId="23" xfId="545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vertical="center"/>
    </xf>
    <xf numFmtId="0" fontId="5" fillId="39" borderId="24" xfId="462" applyFont="1" applyFill="1" applyBorder="1" applyAlignment="1">
      <alignment horizontal="center" vertical="center"/>
      <protection/>
    </xf>
    <xf numFmtId="0" fontId="5" fillId="39" borderId="34" xfId="462" applyFont="1" applyFill="1" applyBorder="1" applyAlignment="1">
      <alignment horizontal="center" vertical="center"/>
      <protection/>
    </xf>
    <xf numFmtId="4" fontId="4" fillId="0" borderId="0" xfId="0" applyNumberFormat="1" applyFont="1" applyAlignment="1">
      <alignment horizontal="center"/>
    </xf>
    <xf numFmtId="0" fontId="0" fillId="0" borderId="57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59" xfId="0" applyFont="1" applyBorder="1" applyAlignment="1" applyProtection="1">
      <alignment/>
      <protection/>
    </xf>
    <xf numFmtId="0" fontId="0" fillId="0" borderId="41" xfId="0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0" fillId="0" borderId="5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74" xfId="0" applyFont="1" applyBorder="1" applyAlignment="1">
      <alignment horizontal="left" vertical="center"/>
    </xf>
    <xf numFmtId="0" fontId="0" fillId="0" borderId="5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 applyProtection="1">
      <alignment/>
      <protection/>
    </xf>
    <xf numFmtId="0" fontId="0" fillId="0" borderId="34" xfId="0" applyFont="1" applyFill="1" applyBorder="1" applyAlignment="1" applyProtection="1">
      <alignment/>
      <protection/>
    </xf>
    <xf numFmtId="0" fontId="0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75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172" fontId="0" fillId="0" borderId="32" xfId="844" applyFont="1" applyFill="1" applyBorder="1" applyAlignment="1">
      <alignment horizontal="center" vertical="center"/>
    </xf>
    <xf numFmtId="172" fontId="0" fillId="0" borderId="33" xfId="844" applyFont="1" applyFill="1" applyBorder="1" applyAlignment="1">
      <alignment horizontal="center" vertical="center"/>
    </xf>
    <xf numFmtId="172" fontId="0" fillId="0" borderId="70" xfId="844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5" fillId="39" borderId="24" xfId="0" applyFont="1" applyFill="1" applyBorder="1" applyAlignment="1">
      <alignment horizontal="center"/>
    </xf>
    <xf numFmtId="0" fontId="5" fillId="39" borderId="41" xfId="0" applyFont="1" applyFill="1" applyBorder="1" applyAlignment="1">
      <alignment horizontal="center"/>
    </xf>
    <xf numFmtId="172" fontId="1" fillId="0" borderId="23" xfId="844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172" fontId="1" fillId="0" borderId="32" xfId="844" applyFont="1" applyBorder="1" applyAlignment="1">
      <alignment horizontal="center" vertical="center" wrapText="1"/>
    </xf>
    <xf numFmtId="172" fontId="1" fillId="0" borderId="70" xfId="844" applyFont="1" applyFill="1" applyBorder="1" applyAlignment="1">
      <alignment horizontal="center" vertical="center" wrapText="1"/>
    </xf>
    <xf numFmtId="172" fontId="1" fillId="0" borderId="43" xfId="844" applyFont="1" applyBorder="1" applyAlignment="1">
      <alignment horizontal="center" vertical="center" wrapText="1"/>
    </xf>
    <xf numFmtId="172" fontId="1" fillId="0" borderId="52" xfId="844" applyFont="1" applyFill="1" applyBorder="1" applyAlignment="1">
      <alignment horizontal="center" vertical="center" wrapText="1"/>
    </xf>
    <xf numFmtId="0" fontId="0" fillId="0" borderId="27" xfId="546" applyFont="1" applyFill="1" applyBorder="1" applyAlignment="1">
      <alignment horizontal="center" vertical="center"/>
      <protection/>
    </xf>
    <xf numFmtId="0" fontId="0" fillId="0" borderId="26" xfId="546" applyFont="1" applyFill="1" applyBorder="1" applyAlignment="1">
      <alignment horizontal="center" vertical="center"/>
      <protection/>
    </xf>
    <xf numFmtId="0" fontId="11" fillId="39" borderId="24" xfId="0" applyFont="1" applyFill="1" applyBorder="1" applyAlignment="1" applyProtection="1">
      <alignment horizontal="center" vertical="center"/>
      <protection/>
    </xf>
    <xf numFmtId="0" fontId="11" fillId="39" borderId="41" xfId="0" applyFont="1" applyFill="1" applyBorder="1" applyAlignment="1" applyProtection="1">
      <alignment horizontal="center" vertical="center"/>
      <protection/>
    </xf>
    <xf numFmtId="0" fontId="16" fillId="39" borderId="32" xfId="844" applyNumberFormat="1" applyFont="1" applyFill="1" applyBorder="1" applyAlignment="1" applyProtection="1">
      <alignment/>
      <protection/>
    </xf>
    <xf numFmtId="0" fontId="16" fillId="39" borderId="33" xfId="844" applyNumberFormat="1" applyFont="1" applyFill="1" applyBorder="1" applyAlignment="1" applyProtection="1">
      <alignment/>
      <protection/>
    </xf>
    <xf numFmtId="0" fontId="16" fillId="39" borderId="70" xfId="844" applyNumberFormat="1" applyFont="1" applyFill="1" applyBorder="1" applyAlignment="1" applyProtection="1">
      <alignment/>
      <protection/>
    </xf>
    <xf numFmtId="0" fontId="1" fillId="39" borderId="43" xfId="0" applyFont="1" applyFill="1" applyBorder="1" applyAlignment="1" applyProtection="1">
      <alignment horizontal="center" vertical="center" wrapText="1"/>
      <protection/>
    </xf>
    <xf numFmtId="0" fontId="1" fillId="39" borderId="44" xfId="0" applyFont="1" applyFill="1" applyBorder="1" applyAlignment="1" applyProtection="1">
      <alignment horizontal="center" vertical="center" wrapText="1"/>
      <protection/>
    </xf>
    <xf numFmtId="0" fontId="1" fillId="39" borderId="52" xfId="0" applyFont="1" applyFill="1" applyBorder="1" applyAlignment="1" applyProtection="1">
      <alignment horizontal="center" vertical="center" wrapText="1"/>
      <protection/>
    </xf>
    <xf numFmtId="0" fontId="13" fillId="39" borderId="43" xfId="844" applyNumberFormat="1" applyFont="1" applyFill="1" applyBorder="1" applyAlignment="1" applyProtection="1">
      <alignment horizontal="center" vertical="center" wrapText="1"/>
      <protection/>
    </xf>
    <xf numFmtId="0" fontId="13" fillId="39" borderId="44" xfId="844" applyNumberFormat="1" applyFont="1" applyFill="1" applyBorder="1" applyAlignment="1" applyProtection="1">
      <alignment horizontal="center" vertical="center" wrapText="1"/>
      <protection/>
    </xf>
    <xf numFmtId="0" fontId="13" fillId="39" borderId="52" xfId="844" applyNumberFormat="1" applyFont="1" applyFill="1" applyBorder="1" applyAlignment="1" applyProtection="1">
      <alignment horizontal="center" vertical="center" wrapText="1"/>
      <protection/>
    </xf>
    <xf numFmtId="0" fontId="13" fillId="39" borderId="23" xfId="0" applyFont="1" applyFill="1" applyBorder="1" applyAlignment="1" applyProtection="1">
      <alignment vertical="center" wrapText="1"/>
      <protection/>
    </xf>
    <xf numFmtId="0" fontId="13" fillId="0" borderId="23" xfId="0" applyFont="1" applyFill="1" applyBorder="1" applyAlignment="1" applyProtection="1">
      <alignment vertical="center" wrapText="1"/>
      <protection/>
    </xf>
    <xf numFmtId="0" fontId="13" fillId="39" borderId="23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172" fontId="0" fillId="39" borderId="53" xfId="844" applyFont="1" applyFill="1" applyBorder="1" applyAlignment="1" applyProtection="1">
      <alignment horizontal="left"/>
      <protection/>
    </xf>
    <xf numFmtId="172" fontId="0" fillId="0" borderId="53" xfId="844" applyFont="1" applyFill="1" applyBorder="1" applyAlignment="1" applyProtection="1">
      <alignment horizontal="left"/>
      <protection/>
    </xf>
    <xf numFmtId="4" fontId="0" fillId="0" borderId="53" xfId="0" applyNumberFormat="1" applyFont="1" applyFill="1" applyBorder="1" applyAlignment="1" applyProtection="1">
      <alignment horizontal="center"/>
      <protection/>
    </xf>
    <xf numFmtId="4" fontId="0" fillId="39" borderId="53" xfId="0" applyNumberFormat="1" applyFont="1" applyFill="1" applyBorder="1" applyAlignment="1" applyProtection="1">
      <alignment horizontal="center"/>
      <protection/>
    </xf>
    <xf numFmtId="39" fontId="0" fillId="39" borderId="53" xfId="844" applyNumberFormat="1" applyFont="1" applyFill="1" applyBorder="1" applyAlignment="1" applyProtection="1">
      <alignment/>
      <protection/>
    </xf>
    <xf numFmtId="172" fontId="0" fillId="39" borderId="28" xfId="844" applyFont="1" applyFill="1" applyBorder="1" applyAlignment="1" applyProtection="1">
      <alignment horizontal="left"/>
      <protection/>
    </xf>
    <xf numFmtId="172" fontId="0" fillId="0" borderId="28" xfId="844" applyFont="1" applyFill="1" applyBorder="1" applyAlignment="1" applyProtection="1">
      <alignment horizontal="left"/>
      <protection/>
    </xf>
    <xf numFmtId="4" fontId="0" fillId="0" borderId="28" xfId="0" applyNumberFormat="1" applyFont="1" applyFill="1" applyBorder="1" applyAlignment="1" applyProtection="1">
      <alignment horizontal="center"/>
      <protection/>
    </xf>
    <xf numFmtId="4" fontId="0" fillId="39" borderId="28" xfId="0" applyNumberFormat="1" applyFont="1" applyFill="1" applyBorder="1" applyAlignment="1" applyProtection="1">
      <alignment horizontal="center"/>
      <protection/>
    </xf>
    <xf numFmtId="39" fontId="0" fillId="39" borderId="28" xfId="844" applyNumberFormat="1" applyFont="1" applyFill="1" applyBorder="1" applyAlignment="1" applyProtection="1">
      <alignment/>
      <protection/>
    </xf>
    <xf numFmtId="172" fontId="0" fillId="39" borderId="28" xfId="844" applyFont="1" applyFill="1" applyBorder="1" applyAlignment="1" applyProtection="1">
      <alignment/>
      <protection/>
    </xf>
    <xf numFmtId="172" fontId="0" fillId="0" borderId="28" xfId="844" applyFont="1" applyFill="1" applyBorder="1" applyAlignment="1" applyProtection="1">
      <alignment/>
      <protection/>
    </xf>
    <xf numFmtId="172" fontId="0" fillId="39" borderId="30" xfId="844" applyFont="1" applyFill="1" applyBorder="1" applyAlignment="1" applyProtection="1">
      <alignment horizontal="left"/>
      <protection/>
    </xf>
    <xf numFmtId="183" fontId="0" fillId="39" borderId="30" xfId="0" applyNumberFormat="1" applyFont="1" applyFill="1" applyBorder="1" applyAlignment="1" applyProtection="1">
      <alignment horizontal="center"/>
      <protection/>
    </xf>
    <xf numFmtId="4" fontId="0" fillId="39" borderId="30" xfId="0" applyNumberFormat="1" applyFont="1" applyFill="1" applyBorder="1" applyAlignment="1" applyProtection="1">
      <alignment horizontal="center"/>
      <protection/>
    </xf>
    <xf numFmtId="39" fontId="0" fillId="39" borderId="30" xfId="844" applyNumberFormat="1" applyFont="1" applyFill="1" applyBorder="1" applyAlignment="1" applyProtection="1">
      <alignment/>
      <protection/>
    </xf>
    <xf numFmtId="0" fontId="0" fillId="39" borderId="23" xfId="0" applyFont="1" applyFill="1" applyBorder="1" applyAlignment="1" applyProtection="1">
      <alignment horizontal="center"/>
      <protection/>
    </xf>
    <xf numFmtId="0" fontId="1" fillId="39" borderId="23" xfId="0" applyFont="1" applyFill="1" applyBorder="1" applyAlignment="1" applyProtection="1">
      <alignment horizontal="center"/>
      <protection/>
    </xf>
    <xf numFmtId="172" fontId="0" fillId="39" borderId="53" xfId="844" applyFont="1" applyFill="1" applyBorder="1" applyAlignment="1" applyProtection="1">
      <alignment vertical="center" wrapText="1"/>
      <protection/>
    </xf>
    <xf numFmtId="183" fontId="0" fillId="39" borderId="53" xfId="0" applyNumberFormat="1" applyFont="1" applyFill="1" applyBorder="1" applyAlignment="1" applyProtection="1">
      <alignment horizontal="center" vertical="center" wrapText="1"/>
      <protection/>
    </xf>
    <xf numFmtId="4" fontId="0" fillId="39" borderId="53" xfId="844" applyNumberFormat="1" applyFont="1" applyFill="1" applyBorder="1" applyAlignment="1" applyProtection="1">
      <alignment horizontal="center" vertical="center" wrapText="1"/>
      <protection/>
    </xf>
    <xf numFmtId="172" fontId="0" fillId="39" borderId="28" xfId="844" applyFont="1" applyFill="1" applyBorder="1" applyAlignment="1" applyProtection="1">
      <alignment vertical="center" wrapText="1"/>
      <protection/>
    </xf>
    <xf numFmtId="183" fontId="0" fillId="39" borderId="28" xfId="0" applyNumberFormat="1" applyFont="1" applyFill="1" applyBorder="1" applyAlignment="1" applyProtection="1">
      <alignment horizontal="center" vertical="center" wrapText="1"/>
      <protection/>
    </xf>
    <xf numFmtId="4" fontId="0" fillId="39" borderId="28" xfId="844" applyNumberFormat="1" applyFont="1" applyFill="1" applyBorder="1" applyAlignment="1" applyProtection="1">
      <alignment horizontal="center" vertical="center" wrapText="1"/>
      <protection/>
    </xf>
    <xf numFmtId="172" fontId="0" fillId="39" borderId="30" xfId="844" applyFont="1" applyFill="1" applyBorder="1" applyAlignment="1" applyProtection="1">
      <alignment vertical="center" wrapText="1"/>
      <protection/>
    </xf>
    <xf numFmtId="183" fontId="0" fillId="39" borderId="30" xfId="0" applyNumberFormat="1" applyFont="1" applyFill="1" applyBorder="1" applyAlignment="1" applyProtection="1">
      <alignment horizontal="center" vertical="center" wrapText="1"/>
      <protection/>
    </xf>
    <xf numFmtId="4" fontId="0" fillId="39" borderId="30" xfId="844" applyNumberFormat="1" applyFont="1" applyFill="1" applyBorder="1" applyAlignment="1" applyProtection="1">
      <alignment horizontal="center" vertical="center" wrapText="1"/>
      <protection/>
    </xf>
    <xf numFmtId="0" fontId="13" fillId="39" borderId="23" xfId="0" applyFont="1" applyFill="1" applyBorder="1" applyAlignment="1" applyProtection="1">
      <alignment horizontal="right"/>
      <protection/>
    </xf>
    <xf numFmtId="0" fontId="13" fillId="39" borderId="24" xfId="0" applyFont="1" applyFill="1" applyBorder="1" applyAlignment="1" applyProtection="1">
      <alignment horizontal="right"/>
      <protection/>
    </xf>
    <xf numFmtId="2" fontId="13" fillId="39" borderId="34" xfId="844" applyNumberFormat="1" applyFont="1" applyFill="1" applyBorder="1" applyAlignment="1" applyProtection="1">
      <alignment horizontal="center" vertical="center"/>
      <protection/>
    </xf>
    <xf numFmtId="2" fontId="13" fillId="39" borderId="23" xfId="844" applyNumberFormat="1" applyFont="1" applyFill="1" applyBorder="1" applyAlignment="1" applyProtection="1">
      <alignment horizontal="center" vertical="center"/>
      <protection/>
    </xf>
    <xf numFmtId="172" fontId="13" fillId="39" borderId="23" xfId="844" applyFont="1" applyFill="1" applyBorder="1" applyAlignment="1" applyProtection="1">
      <alignment horizontal="center"/>
      <protection/>
    </xf>
    <xf numFmtId="0" fontId="13" fillId="39" borderId="23" xfId="0" applyFont="1" applyFill="1" applyBorder="1" applyAlignment="1" applyProtection="1">
      <alignment horizontal="center"/>
      <protection/>
    </xf>
    <xf numFmtId="172" fontId="0" fillId="39" borderId="28" xfId="766" applyFont="1" applyFill="1" applyBorder="1" applyAlignment="1" applyProtection="1">
      <alignment/>
      <protection/>
    </xf>
    <xf numFmtId="172" fontId="0" fillId="39" borderId="76" xfId="844" applyFont="1" applyFill="1" applyBorder="1" applyAlignment="1" applyProtection="1">
      <alignment/>
      <protection/>
    </xf>
    <xf numFmtId="172" fontId="0" fillId="39" borderId="77" xfId="844" applyFont="1" applyFill="1" applyBorder="1" applyAlignment="1" applyProtection="1">
      <alignment/>
      <protection/>
    </xf>
    <xf numFmtId="172" fontId="0" fillId="39" borderId="78" xfId="844" applyFont="1" applyFill="1" applyBorder="1" applyAlignment="1" applyProtection="1">
      <alignment/>
      <protection/>
    </xf>
    <xf numFmtId="4" fontId="0" fillId="39" borderId="76" xfId="0" applyNumberFormat="1" applyFont="1" applyFill="1" applyBorder="1" applyAlignment="1" applyProtection="1">
      <alignment horizontal="center"/>
      <protection/>
    </xf>
    <xf numFmtId="4" fontId="0" fillId="39" borderId="78" xfId="0" applyNumberFormat="1" applyFont="1" applyFill="1" applyBorder="1" applyAlignment="1" applyProtection="1">
      <alignment horizontal="center"/>
      <protection/>
    </xf>
    <xf numFmtId="183" fontId="0" fillId="39" borderId="76" xfId="0" applyNumberFormat="1" applyFont="1" applyFill="1" applyBorder="1" applyAlignment="1" applyProtection="1">
      <alignment horizontal="center" vertical="center" wrapText="1"/>
      <protection/>
    </xf>
    <xf numFmtId="183" fontId="0" fillId="39" borderId="77" xfId="0" applyNumberFormat="1" applyFont="1" applyFill="1" applyBorder="1" applyAlignment="1" applyProtection="1">
      <alignment horizontal="center" vertical="center" wrapText="1"/>
      <protection/>
    </xf>
    <xf numFmtId="183" fontId="0" fillId="39" borderId="78" xfId="0" applyNumberFormat="1" applyFont="1" applyFill="1" applyBorder="1" applyAlignment="1" applyProtection="1">
      <alignment horizontal="center" vertical="center" wrapText="1"/>
      <protection/>
    </xf>
    <xf numFmtId="172" fontId="0" fillId="39" borderId="30" xfId="844" applyFont="1" applyFill="1" applyBorder="1" applyAlignment="1" applyProtection="1">
      <alignment/>
      <protection/>
    </xf>
    <xf numFmtId="0" fontId="0" fillId="39" borderId="53" xfId="0" applyFont="1" applyFill="1" applyBorder="1" applyAlignment="1" applyProtection="1">
      <alignment/>
      <protection/>
    </xf>
    <xf numFmtId="181" fontId="0" fillId="39" borderId="53" xfId="844" applyNumberFormat="1" applyFont="1" applyFill="1" applyBorder="1" applyAlignment="1" applyProtection="1">
      <alignment/>
      <protection/>
    </xf>
    <xf numFmtId="0" fontId="0" fillId="39" borderId="53" xfId="0" applyFont="1" applyFill="1" applyBorder="1" applyAlignment="1" applyProtection="1">
      <alignment horizontal="center"/>
      <protection/>
    </xf>
    <xf numFmtId="172" fontId="0" fillId="39" borderId="53" xfId="844" applyFont="1" applyFill="1" applyBorder="1" applyAlignment="1" applyProtection="1">
      <alignment horizontal="center"/>
      <protection/>
    </xf>
    <xf numFmtId="0" fontId="0" fillId="39" borderId="28" xfId="0" applyFont="1" applyFill="1" applyBorder="1" applyAlignment="1" applyProtection="1">
      <alignment/>
      <protection/>
    </xf>
    <xf numFmtId="181" fontId="0" fillId="39" borderId="28" xfId="844" applyNumberFormat="1" applyFont="1" applyFill="1" applyBorder="1" applyAlignment="1" applyProtection="1">
      <alignment/>
      <protection/>
    </xf>
    <xf numFmtId="0" fontId="0" fillId="39" borderId="28" xfId="0" applyFont="1" applyFill="1" applyBorder="1" applyAlignment="1" applyProtection="1">
      <alignment horizontal="center"/>
      <protection/>
    </xf>
    <xf numFmtId="172" fontId="0" fillId="39" borderId="28" xfId="844" applyFont="1" applyFill="1" applyBorder="1" applyAlignment="1" applyProtection="1">
      <alignment horizontal="center"/>
      <protection/>
    </xf>
    <xf numFmtId="0" fontId="0" fillId="39" borderId="30" xfId="0" applyFont="1" applyFill="1" applyBorder="1" applyAlignment="1" applyProtection="1">
      <alignment/>
      <protection/>
    </xf>
    <xf numFmtId="181" fontId="0" fillId="39" borderId="30" xfId="844" applyNumberFormat="1" applyFont="1" applyFill="1" applyBorder="1" applyAlignment="1" applyProtection="1">
      <alignment/>
      <protection/>
    </xf>
    <xf numFmtId="0" fontId="0" fillId="39" borderId="30" xfId="0" applyFont="1" applyFill="1" applyBorder="1" applyAlignment="1" applyProtection="1">
      <alignment horizontal="center"/>
      <protection/>
    </xf>
    <xf numFmtId="172" fontId="0" fillId="39" borderId="30" xfId="844" applyFont="1" applyFill="1" applyBorder="1" applyAlignment="1" applyProtection="1">
      <alignment horizontal="center"/>
      <protection/>
    </xf>
    <xf numFmtId="0" fontId="1" fillId="39" borderId="23" xfId="0" applyFont="1" applyFill="1" applyBorder="1" applyAlignment="1" applyProtection="1">
      <alignment vertical="center"/>
      <protection/>
    </xf>
    <xf numFmtId="10" fontId="1" fillId="39" borderId="33" xfId="628" applyNumberFormat="1" applyFont="1" applyFill="1" applyBorder="1" applyAlignment="1" applyProtection="1">
      <alignment horizontal="center" vertical="center"/>
      <protection/>
    </xf>
    <xf numFmtId="0" fontId="10" fillId="39" borderId="23" xfId="0" applyFont="1" applyFill="1" applyBorder="1" applyAlignment="1" applyProtection="1">
      <alignment/>
      <protection/>
    </xf>
    <xf numFmtId="3" fontId="12" fillId="0" borderId="23" xfId="0" applyNumberFormat="1" applyFont="1" applyBorder="1" applyAlignment="1">
      <alignment horizontal="center" vertical="center" wrapText="1"/>
    </xf>
    <xf numFmtId="3" fontId="12" fillId="0" borderId="23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 vertical="center"/>
    </xf>
    <xf numFmtId="3" fontId="12" fillId="0" borderId="23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79" fillId="0" borderId="79" xfId="0" applyFont="1" applyBorder="1" applyAlignment="1">
      <alignment horizontal="center" vertical="center"/>
    </xf>
    <xf numFmtId="0" fontId="73" fillId="0" borderId="80" xfId="0" applyFont="1" applyBorder="1" applyAlignment="1">
      <alignment/>
    </xf>
    <xf numFmtId="0" fontId="79" fillId="0" borderId="81" xfId="0" applyFont="1" applyFill="1" applyBorder="1" applyAlignment="1">
      <alignment horizontal="center" vertical="center"/>
    </xf>
    <xf numFmtId="0" fontId="73" fillId="0" borderId="49" xfId="0" applyFont="1" applyFill="1" applyBorder="1" applyAlignment="1">
      <alignment/>
    </xf>
    <xf numFmtId="0" fontId="73" fillId="0" borderId="82" xfId="0" applyFont="1" applyFill="1" applyBorder="1" applyAlignment="1">
      <alignment/>
    </xf>
    <xf numFmtId="0" fontId="73" fillId="0" borderId="83" xfId="0" applyFont="1" applyFill="1" applyBorder="1" applyAlignment="1">
      <alignment/>
    </xf>
    <xf numFmtId="0" fontId="73" fillId="0" borderId="46" xfId="0" applyFont="1" applyFill="1" applyBorder="1" applyAlignment="1">
      <alignment/>
    </xf>
    <xf numFmtId="0" fontId="73" fillId="0" borderId="84" xfId="0" applyFont="1" applyFill="1" applyBorder="1" applyAlignment="1">
      <alignment/>
    </xf>
    <xf numFmtId="1" fontId="72" fillId="0" borderId="85" xfId="0" applyNumberFormat="1" applyFont="1" applyFill="1" applyBorder="1" applyAlignment="1">
      <alignment horizontal="left"/>
    </xf>
    <xf numFmtId="0" fontId="73" fillId="0" borderId="86" xfId="0" applyFont="1" applyFill="1" applyBorder="1" applyAlignment="1">
      <alignment/>
    </xf>
    <xf numFmtId="0" fontId="73" fillId="0" borderId="87" xfId="0" applyFont="1" applyFill="1" applyBorder="1" applyAlignment="1">
      <alignment/>
    </xf>
    <xf numFmtId="0" fontId="80" fillId="39" borderId="39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80" fillId="0" borderId="45" xfId="0" applyFont="1" applyFill="1" applyBorder="1" applyAlignment="1">
      <alignment horizontal="center" vertical="center"/>
    </xf>
    <xf numFmtId="0" fontId="80" fillId="39" borderId="40" xfId="0" applyFont="1" applyFill="1" applyBorder="1" applyAlignment="1">
      <alignment horizontal="center" vertical="center"/>
    </xf>
    <xf numFmtId="0" fontId="80" fillId="0" borderId="46" xfId="0" applyFont="1" applyFill="1" applyBorder="1" applyAlignment="1">
      <alignment horizontal="center" vertical="center"/>
    </xf>
    <xf numFmtId="0" fontId="80" fillId="0" borderId="47" xfId="0" applyFont="1" applyFill="1" applyBorder="1" applyAlignment="1">
      <alignment horizontal="center" vertical="center"/>
    </xf>
    <xf numFmtId="1" fontId="74" fillId="39" borderId="48" xfId="0" applyNumberFormat="1" applyFont="1" applyFill="1" applyBorder="1" applyAlignment="1">
      <alignment horizontal="left"/>
    </xf>
    <xf numFmtId="0" fontId="74" fillId="39" borderId="49" xfId="0" applyFont="1" applyFill="1" applyBorder="1" applyAlignment="1">
      <alignment/>
    </xf>
    <xf numFmtId="1" fontId="73" fillId="39" borderId="49" xfId="0" applyNumberFormat="1" applyFont="1" applyFill="1" applyBorder="1" applyAlignment="1">
      <alignment horizontal="left"/>
    </xf>
    <xf numFmtId="0" fontId="73" fillId="39" borderId="49" xfId="0" applyFont="1" applyFill="1" applyBorder="1" applyAlignment="1">
      <alignment/>
    </xf>
    <xf numFmtId="0" fontId="73" fillId="39" borderId="50" xfId="0" applyFont="1" applyFill="1" applyBorder="1" applyAlignment="1">
      <alignment/>
    </xf>
    <xf numFmtId="1" fontId="74" fillId="39" borderId="39" xfId="0" applyNumberFormat="1" applyFont="1" applyFill="1" applyBorder="1" applyAlignment="1">
      <alignment horizontal="left"/>
    </xf>
    <xf numFmtId="0" fontId="74" fillId="39" borderId="0" xfId="0" applyFont="1" applyFill="1" applyBorder="1" applyAlignment="1">
      <alignment/>
    </xf>
    <xf numFmtId="1" fontId="73" fillId="39" borderId="0" xfId="0" applyNumberFormat="1" applyFont="1" applyFill="1" applyBorder="1" applyAlignment="1">
      <alignment horizontal="left"/>
    </xf>
    <xf numFmtId="0" fontId="73" fillId="39" borderId="0" xfId="0" applyFont="1" applyFill="1" applyBorder="1" applyAlignment="1">
      <alignment/>
    </xf>
    <xf numFmtId="0" fontId="73" fillId="39" borderId="45" xfId="0" applyFont="1" applyFill="1" applyBorder="1" applyAlignment="1">
      <alignment/>
    </xf>
    <xf numFmtId="1" fontId="73" fillId="0" borderId="67" xfId="0" applyNumberFormat="1" applyFont="1" applyFill="1" applyBorder="1" applyAlignment="1">
      <alignment horizontal="left"/>
    </xf>
    <xf numFmtId="0" fontId="73" fillId="0" borderId="68" xfId="0" applyFont="1" applyFill="1" applyBorder="1" applyAlignment="1">
      <alignment/>
    </xf>
    <xf numFmtId="0" fontId="73" fillId="0" borderId="69" xfId="0" applyFont="1" applyFill="1" applyBorder="1" applyAlignment="1">
      <alignment/>
    </xf>
    <xf numFmtId="1" fontId="73" fillId="40" borderId="67" xfId="0" applyNumberFormat="1" applyFont="1" applyFill="1" applyBorder="1" applyAlignment="1">
      <alignment horizontal="left"/>
    </xf>
    <xf numFmtId="0" fontId="73" fillId="40" borderId="68" xfId="0" applyFont="1" applyFill="1" applyBorder="1" applyAlignment="1">
      <alignment/>
    </xf>
    <xf numFmtId="0" fontId="73" fillId="40" borderId="69" xfId="0" applyFont="1" applyFill="1" applyBorder="1" applyAlignment="1">
      <alignment/>
    </xf>
    <xf numFmtId="1" fontId="72" fillId="0" borderId="67" xfId="0" applyNumberFormat="1" applyFont="1" applyBorder="1" applyAlignment="1">
      <alignment horizontal="left"/>
    </xf>
    <xf numFmtId="0" fontId="73" fillId="0" borderId="68" xfId="0" applyFont="1" applyBorder="1" applyAlignment="1">
      <alignment/>
    </xf>
    <xf numFmtId="0" fontId="73" fillId="0" borderId="69" xfId="0" applyFont="1" applyBorder="1" applyAlignment="1">
      <alignment/>
    </xf>
    <xf numFmtId="1" fontId="73" fillId="0" borderId="67" xfId="0" applyNumberFormat="1" applyFont="1" applyBorder="1" applyAlignment="1">
      <alignment horizontal="left"/>
    </xf>
    <xf numFmtId="1" fontId="94" fillId="40" borderId="67" xfId="0" applyNumberFormat="1" applyFont="1" applyFill="1" applyBorder="1" applyAlignment="1">
      <alignment horizontal="left"/>
    </xf>
    <xf numFmtId="0" fontId="94" fillId="40" borderId="68" xfId="0" applyFont="1" applyFill="1" applyBorder="1" applyAlignment="1">
      <alignment/>
    </xf>
    <xf numFmtId="0" fontId="94" fillId="40" borderId="69" xfId="0" applyFont="1" applyFill="1" applyBorder="1" applyAlignment="1">
      <alignment/>
    </xf>
    <xf numFmtId="1" fontId="73" fillId="0" borderId="68" xfId="0" applyNumberFormat="1" applyFont="1" applyBorder="1" applyAlignment="1">
      <alignment horizontal="left"/>
    </xf>
    <xf numFmtId="1" fontId="73" fillId="0" borderId="69" xfId="0" applyNumberFormat="1" applyFont="1" applyBorder="1" applyAlignment="1">
      <alignment horizontal="left"/>
    </xf>
    <xf numFmtId="0" fontId="99" fillId="0" borderId="88" xfId="0" applyFont="1" applyBorder="1" applyAlignment="1">
      <alignment horizontal="center" vertical="center" wrapText="1"/>
    </xf>
    <xf numFmtId="0" fontId="73" fillId="0" borderId="89" xfId="0" applyFont="1" applyBorder="1" applyAlignment="1">
      <alignment/>
    </xf>
    <xf numFmtId="0" fontId="73" fillId="0" borderId="90" xfId="0" applyFont="1" applyBorder="1" applyAlignment="1">
      <alignment/>
    </xf>
    <xf numFmtId="0" fontId="73" fillId="0" borderId="39" xfId="0" applyFont="1" applyBorder="1" applyAlignment="1">
      <alignment/>
    </xf>
    <xf numFmtId="0" fontId="73" fillId="0" borderId="0" xfId="0" applyFont="1" applyBorder="1" applyAlignment="1">
      <alignment/>
    </xf>
    <xf numFmtId="0" fontId="73" fillId="0" borderId="91" xfId="0" applyFont="1" applyBorder="1" applyAlignment="1">
      <alignment/>
    </xf>
    <xf numFmtId="10" fontId="80" fillId="0" borderId="92" xfId="0" applyNumberFormat="1" applyFont="1" applyBorder="1" applyAlignment="1">
      <alignment horizontal="center" vertical="center"/>
    </xf>
    <xf numFmtId="10" fontId="73" fillId="0" borderId="93" xfId="0" applyNumberFormat="1" applyFont="1" applyBorder="1" applyAlignment="1">
      <alignment/>
    </xf>
    <xf numFmtId="40" fontId="80" fillId="0" borderId="92" xfId="0" applyNumberFormat="1" applyFont="1" applyBorder="1" applyAlignment="1">
      <alignment horizontal="center" vertical="center"/>
    </xf>
    <xf numFmtId="0" fontId="73" fillId="0" borderId="93" xfId="0" applyFont="1" applyBorder="1" applyAlignment="1">
      <alignment/>
    </xf>
    <xf numFmtId="171" fontId="80" fillId="0" borderId="94" xfId="0" applyNumberFormat="1" applyFont="1" applyBorder="1" applyAlignment="1">
      <alignment horizontal="center" vertical="center"/>
    </xf>
    <xf numFmtId="0" fontId="73" fillId="0" borderId="95" xfId="0" applyFont="1" applyBorder="1" applyAlignment="1">
      <alignment/>
    </xf>
    <xf numFmtId="10" fontId="98" fillId="39" borderId="0" xfId="0" applyNumberFormat="1" applyFont="1" applyFill="1" applyBorder="1" applyAlignment="1">
      <alignment horizontal="center" vertical="center"/>
    </xf>
    <xf numFmtId="0" fontId="100" fillId="39" borderId="0" xfId="0" applyFont="1" applyFill="1" applyBorder="1" applyAlignment="1">
      <alignment horizontal="center" vertical="center"/>
    </xf>
    <xf numFmtId="0" fontId="97" fillId="39" borderId="0" xfId="0" applyFont="1" applyFill="1" applyBorder="1" applyAlignment="1">
      <alignment/>
    </xf>
    <xf numFmtId="0" fontId="99" fillId="39" borderId="0" xfId="0" applyFont="1" applyFill="1" applyBorder="1" applyAlignment="1">
      <alignment horizontal="center" vertical="center"/>
    </xf>
    <xf numFmtId="0" fontId="73" fillId="39" borderId="46" xfId="0" applyFont="1" applyFill="1" applyBorder="1" applyAlignment="1">
      <alignment/>
    </xf>
    <xf numFmtId="1" fontId="74" fillId="39" borderId="39" xfId="0" applyNumberFormat="1" applyFont="1" applyFill="1" applyBorder="1" applyAlignment="1">
      <alignment horizontal="center" wrapText="1"/>
    </xf>
    <xf numFmtId="1" fontId="74" fillId="39" borderId="0" xfId="0" applyNumberFormat="1" applyFont="1" applyFill="1" applyBorder="1" applyAlignment="1">
      <alignment horizontal="center" wrapText="1"/>
    </xf>
    <xf numFmtId="1" fontId="74" fillId="39" borderId="45" xfId="0" applyNumberFormat="1" applyFont="1" applyFill="1" applyBorder="1" applyAlignment="1">
      <alignment horizontal="center" wrapText="1"/>
    </xf>
    <xf numFmtId="1" fontId="73" fillId="39" borderId="40" xfId="0" applyNumberFormat="1" applyFont="1" applyFill="1" applyBorder="1" applyAlignment="1">
      <alignment horizontal="left"/>
    </xf>
    <xf numFmtId="1" fontId="73" fillId="0" borderId="46" xfId="0" applyNumberFormat="1" applyFont="1" applyFill="1" applyBorder="1" applyAlignment="1">
      <alignment horizontal="left"/>
    </xf>
    <xf numFmtId="0" fontId="73" fillId="0" borderId="47" xfId="0" applyFont="1" applyFill="1" applyBorder="1" applyAlignment="1">
      <alignment/>
    </xf>
    <xf numFmtId="1" fontId="73" fillId="39" borderId="39" xfId="0" applyNumberFormat="1" applyFont="1" applyFill="1" applyBorder="1" applyAlignment="1">
      <alignment horizontal="left"/>
    </xf>
    <xf numFmtId="10" fontId="73" fillId="0" borderId="93" xfId="0" applyNumberFormat="1" applyFont="1" applyBorder="1" applyAlignment="1">
      <alignment/>
    </xf>
    <xf numFmtId="0" fontId="7" fillId="28" borderId="23" xfId="0" applyFont="1" applyFill="1" applyBorder="1" applyAlignment="1">
      <alignment horizontal="center"/>
    </xf>
    <xf numFmtId="0" fontId="4" fillId="28" borderId="23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center"/>
    </xf>
    <xf numFmtId="0" fontId="7" fillId="28" borderId="23" xfId="0" applyFont="1" applyFill="1" applyBorder="1" applyAlignment="1">
      <alignment horizontal="center" vertical="center"/>
    </xf>
    <xf numFmtId="0" fontId="4" fillId="39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12" fillId="28" borderId="23" xfId="0" applyFont="1" applyFill="1" applyBorder="1" applyAlignment="1">
      <alignment horizontal="center"/>
    </xf>
    <xf numFmtId="0" fontId="4" fillId="28" borderId="24" xfId="0" applyFont="1" applyFill="1" applyBorder="1" applyAlignment="1">
      <alignment horizontal="center" vertical="center"/>
    </xf>
    <xf numFmtId="0" fontId="4" fillId="28" borderId="41" xfId="0" applyFont="1" applyFill="1" applyBorder="1" applyAlignment="1">
      <alignment horizontal="center" vertical="center"/>
    </xf>
    <xf numFmtId="0" fontId="4" fillId="28" borderId="34" xfId="0" applyFont="1" applyFill="1" applyBorder="1" applyAlignment="1">
      <alignment horizontal="center" vertical="center"/>
    </xf>
    <xf numFmtId="0" fontId="4" fillId="39" borderId="23" xfId="0" applyFont="1" applyFill="1" applyBorder="1" applyAlignment="1">
      <alignment horizontal="center" vertical="center"/>
    </xf>
    <xf numFmtId="0" fontId="68" fillId="0" borderId="23" xfId="0" applyFont="1" applyFill="1" applyBorder="1" applyAlignment="1">
      <alignment horizontal="center" vertical="center"/>
    </xf>
    <xf numFmtId="0" fontId="68" fillId="39" borderId="23" xfId="0" applyFont="1" applyFill="1" applyBorder="1" applyAlignment="1">
      <alignment horizontal="center" vertical="center"/>
    </xf>
    <xf numFmtId="0" fontId="67" fillId="39" borderId="23" xfId="0" applyFont="1" applyFill="1" applyBorder="1" applyAlignment="1">
      <alignment horizontal="center"/>
    </xf>
    <xf numFmtId="0" fontId="68" fillId="0" borderId="24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/>
    </xf>
    <xf numFmtId="0" fontId="68" fillId="0" borderId="34" xfId="0" applyFont="1" applyBorder="1" applyAlignment="1">
      <alignment horizontal="center" vertical="center"/>
    </xf>
    <xf numFmtId="0" fontId="68" fillId="39" borderId="24" xfId="0" applyFont="1" applyFill="1" applyBorder="1" applyAlignment="1">
      <alignment horizontal="center" vertical="center"/>
    </xf>
    <xf numFmtId="0" fontId="68" fillId="39" borderId="41" xfId="0" applyFont="1" applyFill="1" applyBorder="1" applyAlignment="1">
      <alignment horizontal="center" vertical="center"/>
    </xf>
    <xf numFmtId="0" fontId="1" fillId="0" borderId="96" xfId="0" applyFont="1" applyBorder="1" applyAlignment="1">
      <alignment horizontal="left"/>
    </xf>
    <xf numFmtId="0" fontId="1" fillId="0" borderId="97" xfId="0" applyFont="1" applyBorder="1" applyAlignment="1">
      <alignment horizontal="left"/>
    </xf>
    <xf numFmtId="0" fontId="1" fillId="0" borderId="98" xfId="0" applyFont="1" applyBorder="1" applyAlignment="1">
      <alignment horizontal="left"/>
    </xf>
    <xf numFmtId="0" fontId="0" fillId="0" borderId="58" xfId="0" applyFill="1" applyBorder="1" applyAlignment="1">
      <alignment horizontal="left" vertical="center" wrapText="1"/>
    </xf>
    <xf numFmtId="0" fontId="1" fillId="0" borderId="23" xfId="0" applyFont="1" applyBorder="1" applyAlignment="1">
      <alignment horizontal="center"/>
    </xf>
    <xf numFmtId="0" fontId="1" fillId="43" borderId="54" xfId="0" applyFont="1" applyFill="1" applyBorder="1" applyAlignment="1">
      <alignment horizontal="center" vertical="center"/>
    </xf>
    <xf numFmtId="0" fontId="1" fillId="43" borderId="55" xfId="0" applyFont="1" applyFill="1" applyBorder="1" applyAlignment="1">
      <alignment horizontal="center" vertical="center"/>
    </xf>
    <xf numFmtId="0" fontId="1" fillId="43" borderId="56" xfId="0" applyFont="1" applyFill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57" xfId="0" applyFont="1" applyBorder="1" applyAlignment="1">
      <alignment horizontal="center"/>
    </xf>
    <xf numFmtId="0" fontId="1" fillId="0" borderId="58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57" xfId="0" applyFont="1" applyFill="1" applyBorder="1" applyAlignment="1">
      <alignment horizontal="left"/>
    </xf>
    <xf numFmtId="1" fontId="1" fillId="0" borderId="58" xfId="0" applyNumberFormat="1" applyFont="1" applyBorder="1" applyAlignment="1">
      <alignment horizontal="left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Continuous"/>
    </xf>
    <xf numFmtId="4" fontId="4" fillId="0" borderId="23" xfId="0" applyNumberFormat="1" applyFont="1" applyFill="1" applyBorder="1" applyAlignment="1">
      <alignment horizontal="centerContinuous"/>
    </xf>
    <xf numFmtId="4" fontId="5" fillId="0" borderId="23" xfId="0" applyNumberFormat="1" applyFont="1" applyFill="1" applyBorder="1" applyAlignment="1">
      <alignment horizontal="centerContinuous"/>
    </xf>
    <xf numFmtId="4" fontId="4" fillId="0" borderId="23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176" fontId="4" fillId="0" borderId="23" xfId="0" applyNumberFormat="1" applyFont="1" applyFill="1" applyBorder="1" applyAlignment="1" quotePrefix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10" fontId="5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/>
    </xf>
    <xf numFmtId="4" fontId="4" fillId="0" borderId="23" xfId="844" applyNumberFormat="1" applyFont="1" applyFill="1" applyBorder="1" applyAlignment="1">
      <alignment vertical="center" wrapText="1"/>
    </xf>
    <xf numFmtId="0" fontId="4" fillId="0" borderId="23" xfId="844" applyNumberFormat="1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left" vertical="center"/>
    </xf>
    <xf numFmtId="4" fontId="4" fillId="0" borderId="23" xfId="844" applyNumberFormat="1" applyFont="1" applyFill="1" applyBorder="1" applyAlignment="1">
      <alignment horizontal="center" vertical="center" wrapText="1"/>
    </xf>
    <xf numFmtId="0" fontId="4" fillId="0" borderId="23" xfId="844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4" fontId="5" fillId="0" borderId="23" xfId="0" applyNumberFormat="1" applyFont="1" applyFill="1" applyBorder="1" applyAlignment="1">
      <alignment/>
    </xf>
    <xf numFmtId="0" fontId="4" fillId="0" borderId="23" xfId="0" applyFont="1" applyFill="1" applyBorder="1" applyAlignment="1">
      <alignment wrapText="1"/>
    </xf>
    <xf numFmtId="4" fontId="0" fillId="0" borderId="23" xfId="0" applyNumberFormat="1" applyFill="1" applyBorder="1" applyAlignment="1">
      <alignment/>
    </xf>
    <xf numFmtId="4" fontId="0" fillId="0" borderId="23" xfId="0" applyNumberForma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/>
    </xf>
  </cellXfs>
  <cellStyles count="840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Ênfase1" xfId="22"/>
    <cellStyle name="20% - Ênfase1 2" xfId="23"/>
    <cellStyle name="20% - Ênfase1 2 2" xfId="24"/>
    <cellStyle name="20% - Ênfase1 2 3" xfId="25"/>
    <cellStyle name="20% - Ênfase1 2 4" xfId="26"/>
    <cellStyle name="20% - Ênfase1 2_Compo" xfId="27"/>
    <cellStyle name="20% - Ênfase1 3" xfId="28"/>
    <cellStyle name="20% - Ênfase1 4" xfId="29"/>
    <cellStyle name="20% - Ênfase1 5" xfId="30"/>
    <cellStyle name="20% - Ênfase2" xfId="31"/>
    <cellStyle name="20% - Ênfase2 2" xfId="32"/>
    <cellStyle name="20% - Ênfase2 2 2" xfId="33"/>
    <cellStyle name="20% - Ênfase2 2 3" xfId="34"/>
    <cellStyle name="20% - Ênfase2 2 4" xfId="35"/>
    <cellStyle name="20% - Ênfase2 2_Compo" xfId="36"/>
    <cellStyle name="20% - Ênfase2 3" xfId="37"/>
    <cellStyle name="20% - Ênfase2 4" xfId="38"/>
    <cellStyle name="20% - Ênfase2 5" xfId="39"/>
    <cellStyle name="20% - Ênfase3" xfId="40"/>
    <cellStyle name="20% - Ênfase3 2" xfId="41"/>
    <cellStyle name="20% - Ênfase3 2 2" xfId="42"/>
    <cellStyle name="20% - Ênfase3 2 3" xfId="43"/>
    <cellStyle name="20% - Ênfase3 2 4" xfId="44"/>
    <cellStyle name="20% - Ênfase3 2_Compo" xfId="45"/>
    <cellStyle name="20% - Ênfase3 3" xfId="46"/>
    <cellStyle name="20% - Ênfase3 4" xfId="47"/>
    <cellStyle name="20% - Ênfase3 5" xfId="48"/>
    <cellStyle name="20% - Ênfase4" xfId="49"/>
    <cellStyle name="20% - Ênfase4 2" xfId="50"/>
    <cellStyle name="20% - Ênfase4 2 2" xfId="51"/>
    <cellStyle name="20% - Ênfase4 2 3" xfId="52"/>
    <cellStyle name="20% - Ênfase4 2 4" xfId="53"/>
    <cellStyle name="20% - Ênfase4 2_Compo" xfId="54"/>
    <cellStyle name="20% - Ênfase4 3" xfId="55"/>
    <cellStyle name="20% - Ênfase4 4" xfId="56"/>
    <cellStyle name="20% - Ênfase4 5" xfId="57"/>
    <cellStyle name="20% - Ênfase5" xfId="58"/>
    <cellStyle name="20% - Ênfase5 2" xfId="59"/>
    <cellStyle name="20% - Ênfase5 2 2" xfId="60"/>
    <cellStyle name="20% - Ênfase5 2 3" xfId="61"/>
    <cellStyle name="20% - Ênfase5 2 4" xfId="62"/>
    <cellStyle name="20% - Ênfase5 2_Compo" xfId="63"/>
    <cellStyle name="20% - Ênfase5 3" xfId="64"/>
    <cellStyle name="20% - Ênfase5 4" xfId="65"/>
    <cellStyle name="20% - Ênfase5 5" xfId="66"/>
    <cellStyle name="20% - Ênfase6" xfId="67"/>
    <cellStyle name="20% - Ênfase6 2" xfId="68"/>
    <cellStyle name="20% - Ênfase6 2 2" xfId="69"/>
    <cellStyle name="20% - Ênfase6 2 3" xfId="70"/>
    <cellStyle name="20% - Ênfase6 2 4" xfId="71"/>
    <cellStyle name="20% - Ênfase6 2_Compo" xfId="72"/>
    <cellStyle name="20% - Ênfase6 3" xfId="73"/>
    <cellStyle name="20% - Ênfase6 4" xfId="74"/>
    <cellStyle name="20% - Ênfase6 5" xfId="75"/>
    <cellStyle name="40% - Accent1" xfId="76"/>
    <cellStyle name="40% - Accent2" xfId="77"/>
    <cellStyle name="40% - Accent3" xfId="78"/>
    <cellStyle name="40% - Accent4" xfId="79"/>
    <cellStyle name="40% - Accent5" xfId="80"/>
    <cellStyle name="40% - Accent6" xfId="81"/>
    <cellStyle name="40% - Ênfase1" xfId="82"/>
    <cellStyle name="40% - Ênfase1 2" xfId="83"/>
    <cellStyle name="40% - Ênfase1 2 2" xfId="84"/>
    <cellStyle name="40% - Ênfase1 2 3" xfId="85"/>
    <cellStyle name="40% - Ênfase1 2 4" xfId="86"/>
    <cellStyle name="40% - Ênfase1 2_Compo" xfId="87"/>
    <cellStyle name="40% - Ênfase1 3" xfId="88"/>
    <cellStyle name="40% - Ênfase1 4" xfId="89"/>
    <cellStyle name="40% - Ênfase1 5" xfId="90"/>
    <cellStyle name="40% - Ênfase2" xfId="91"/>
    <cellStyle name="40% - Ênfase2 2" xfId="92"/>
    <cellStyle name="40% - Ênfase2 2 2" xfId="93"/>
    <cellStyle name="40% - Ênfase2 2 3" xfId="94"/>
    <cellStyle name="40% - Ênfase2 2 4" xfId="95"/>
    <cellStyle name="40% - Ênfase2 2_Compo" xfId="96"/>
    <cellStyle name="40% - Ênfase2 3" xfId="97"/>
    <cellStyle name="40% - Ênfase2 4" xfId="98"/>
    <cellStyle name="40% - Ênfase2 5" xfId="99"/>
    <cellStyle name="40% - Ênfase3" xfId="100"/>
    <cellStyle name="40% - Ênfase3 2" xfId="101"/>
    <cellStyle name="40% - Ênfase3 2 2" xfId="102"/>
    <cellStyle name="40% - Ênfase3 2 3" xfId="103"/>
    <cellStyle name="40% - Ênfase3 2 4" xfId="104"/>
    <cellStyle name="40% - Ênfase3 2_Compo" xfId="105"/>
    <cellStyle name="40% - Ênfase3 3" xfId="106"/>
    <cellStyle name="40% - Ênfase3 4" xfId="107"/>
    <cellStyle name="40% - Ênfase3 5" xfId="108"/>
    <cellStyle name="40% - Ênfase4" xfId="109"/>
    <cellStyle name="40% - Ênfase4 2" xfId="110"/>
    <cellStyle name="40% - Ênfase4 2 2" xfId="111"/>
    <cellStyle name="40% - Ênfase4 2 3" xfId="112"/>
    <cellStyle name="40% - Ênfase4 2 4" xfId="113"/>
    <cellStyle name="40% - Ênfase4 2_Compo" xfId="114"/>
    <cellStyle name="40% - Ênfase4 3" xfId="115"/>
    <cellStyle name="40% - Ênfase4 4" xfId="116"/>
    <cellStyle name="40% - Ênfase4 5" xfId="117"/>
    <cellStyle name="40% - Ênfase5" xfId="118"/>
    <cellStyle name="40% - Ênfase5 2" xfId="119"/>
    <cellStyle name="40% - Ênfase5 2 2" xfId="120"/>
    <cellStyle name="40% - Ênfase5 2 3" xfId="121"/>
    <cellStyle name="40% - Ênfase5 2 4" xfId="122"/>
    <cellStyle name="40% - Ênfase5 2_Compo" xfId="123"/>
    <cellStyle name="40% - Ênfase5 3" xfId="124"/>
    <cellStyle name="40% - Ênfase5 4" xfId="125"/>
    <cellStyle name="40% - Ênfase5 5" xfId="126"/>
    <cellStyle name="40% - Ênfase6" xfId="127"/>
    <cellStyle name="40% - Ênfase6 2" xfId="128"/>
    <cellStyle name="40% - Ênfase6 2 2" xfId="129"/>
    <cellStyle name="40% - Ênfase6 2 3" xfId="130"/>
    <cellStyle name="40% - Ênfase6 2 4" xfId="131"/>
    <cellStyle name="40% - Ênfase6 2_Compo" xfId="132"/>
    <cellStyle name="40% - Ênfase6 3" xfId="133"/>
    <cellStyle name="40% - Ênfase6 4" xfId="134"/>
    <cellStyle name="40% - Ênfase6 5" xfId="135"/>
    <cellStyle name="60% - Accent1" xfId="136"/>
    <cellStyle name="60% - Accent2" xfId="137"/>
    <cellStyle name="60% - Accent3" xfId="138"/>
    <cellStyle name="60% - Accent4" xfId="139"/>
    <cellStyle name="60% - Accent5" xfId="140"/>
    <cellStyle name="60% - Accent6" xfId="141"/>
    <cellStyle name="60% - Ênfase1" xfId="142"/>
    <cellStyle name="60% - Ênfase1 2" xfId="143"/>
    <cellStyle name="60% - Ênfase1 2 2" xfId="144"/>
    <cellStyle name="60% - Ênfase1 2 3" xfId="145"/>
    <cellStyle name="60% - Ênfase1 2_ORÇAMENTO - FORUM DE V. GRANDE" xfId="146"/>
    <cellStyle name="60% - Ênfase1 3" xfId="147"/>
    <cellStyle name="60% - Ênfase1 4" xfId="148"/>
    <cellStyle name="60% - Ênfase1 5" xfId="149"/>
    <cellStyle name="60% - Ênfase1 6" xfId="150"/>
    <cellStyle name="60% - Ênfase2" xfId="151"/>
    <cellStyle name="60% - Ênfase2 2" xfId="152"/>
    <cellStyle name="60% - Ênfase2 2 2" xfId="153"/>
    <cellStyle name="60% - Ênfase2 2 3" xfId="154"/>
    <cellStyle name="60% - Ênfase2 2_ORÇAMENTO - FORUM DE V. GRANDE" xfId="155"/>
    <cellStyle name="60% - Ênfase2 3" xfId="156"/>
    <cellStyle name="60% - Ênfase2 4" xfId="157"/>
    <cellStyle name="60% - Ênfase2 5" xfId="158"/>
    <cellStyle name="60% - Ênfase2 6" xfId="159"/>
    <cellStyle name="60% - Ênfase3" xfId="160"/>
    <cellStyle name="60% - Ênfase3 2" xfId="161"/>
    <cellStyle name="60% - Ênfase3 2 2" xfId="162"/>
    <cellStyle name="60% - Ênfase3 2 3" xfId="163"/>
    <cellStyle name="60% - Ênfase3 2_ORÇAMENTO - FORUM DE V. GRANDE" xfId="164"/>
    <cellStyle name="60% - Ênfase3 3" xfId="165"/>
    <cellStyle name="60% - Ênfase3 4" xfId="166"/>
    <cellStyle name="60% - Ênfase3 5" xfId="167"/>
    <cellStyle name="60% - Ênfase3 6" xfId="168"/>
    <cellStyle name="60% - Ênfase4" xfId="169"/>
    <cellStyle name="60% - Ênfase4 2" xfId="170"/>
    <cellStyle name="60% - Ênfase4 2 2" xfId="171"/>
    <cellStyle name="60% - Ênfase4 2 3" xfId="172"/>
    <cellStyle name="60% - Ênfase4 2_ORÇAMENTO - FORUM DE V. GRANDE" xfId="173"/>
    <cellStyle name="60% - Ênfase4 3" xfId="174"/>
    <cellStyle name="60% - Ênfase4 4" xfId="175"/>
    <cellStyle name="60% - Ênfase4 5" xfId="176"/>
    <cellStyle name="60% - Ênfase4 6" xfId="177"/>
    <cellStyle name="60% - Ênfase5" xfId="178"/>
    <cellStyle name="60% - Ênfase5 2" xfId="179"/>
    <cellStyle name="60% - Ênfase5 2 2" xfId="180"/>
    <cellStyle name="60% - Ênfase5 2 3" xfId="181"/>
    <cellStyle name="60% - Ênfase5 2_ORÇAMENTO - FORUM DE V. GRANDE" xfId="182"/>
    <cellStyle name="60% - Ênfase5 3" xfId="183"/>
    <cellStyle name="60% - Ênfase5 4" xfId="184"/>
    <cellStyle name="60% - Ênfase5 5" xfId="185"/>
    <cellStyle name="60% - Ênfase5 6" xfId="186"/>
    <cellStyle name="60% - Ênfase6" xfId="187"/>
    <cellStyle name="60% - Ênfase6 2" xfId="188"/>
    <cellStyle name="60% - Ênfase6 2 2" xfId="189"/>
    <cellStyle name="60% - Ênfase6 2 3" xfId="190"/>
    <cellStyle name="60% - Ênfase6 2_ORÇAMENTO - FORUM DE V. GRANDE" xfId="191"/>
    <cellStyle name="60% - Ênfase6 3" xfId="192"/>
    <cellStyle name="60% - Ênfase6 4" xfId="193"/>
    <cellStyle name="60% - Ênfase6 5" xfId="194"/>
    <cellStyle name="60% - Ênfase6 6" xfId="195"/>
    <cellStyle name="Accent1" xfId="196"/>
    <cellStyle name="Accent2" xfId="197"/>
    <cellStyle name="Accent3" xfId="198"/>
    <cellStyle name="Accent4" xfId="199"/>
    <cellStyle name="Accent5" xfId="200"/>
    <cellStyle name="Accent6" xfId="201"/>
    <cellStyle name="Bad" xfId="202"/>
    <cellStyle name="Bom" xfId="203"/>
    <cellStyle name="Bom 2" xfId="204"/>
    <cellStyle name="Bom 2 2" xfId="205"/>
    <cellStyle name="Bom 2 3" xfId="206"/>
    <cellStyle name="Bom 2_ORÇAMENTO - FORUM DE V. GRANDE" xfId="207"/>
    <cellStyle name="Bom 3" xfId="208"/>
    <cellStyle name="Bom 4" xfId="209"/>
    <cellStyle name="Bom 5" xfId="210"/>
    <cellStyle name="Bom 6" xfId="211"/>
    <cellStyle name="Calculation" xfId="212"/>
    <cellStyle name="Cálculo" xfId="213"/>
    <cellStyle name="Cálculo 2" xfId="214"/>
    <cellStyle name="Cálculo 2 2" xfId="215"/>
    <cellStyle name="Cálculo 2 3" xfId="216"/>
    <cellStyle name="Cálculo 2_CIVIL- BL 1-2-3-4-5-6-7-8 " xfId="217"/>
    <cellStyle name="Cálculo 3" xfId="218"/>
    <cellStyle name="Cálculo 4" xfId="219"/>
    <cellStyle name="Cálculo 5" xfId="220"/>
    <cellStyle name="Cálculo 6" xfId="221"/>
    <cellStyle name="Cancel" xfId="222"/>
    <cellStyle name="Célula de Verificação" xfId="223"/>
    <cellStyle name="Célula de Verificação 2" xfId="224"/>
    <cellStyle name="Célula de Verificação 2 2" xfId="225"/>
    <cellStyle name="Célula de Verificação 2 3" xfId="226"/>
    <cellStyle name="Célula de Verificação 2_CIVIL- BL 1-2-3-4-5-6-7-8 " xfId="227"/>
    <cellStyle name="Célula de Verificação 3" xfId="228"/>
    <cellStyle name="Célula de Verificação 4" xfId="229"/>
    <cellStyle name="Célula de Verificação 5" xfId="230"/>
    <cellStyle name="Célula de Verificação 6" xfId="231"/>
    <cellStyle name="Célula Vinculada" xfId="232"/>
    <cellStyle name="Célula Vinculada 2" xfId="233"/>
    <cellStyle name="Célula Vinculada 2 2" xfId="234"/>
    <cellStyle name="Célula Vinculada 2 3" xfId="235"/>
    <cellStyle name="Célula Vinculada 2_CIVIL- BL 1-2-3-4-5-6-7-8 " xfId="236"/>
    <cellStyle name="Célula Vinculada 3" xfId="237"/>
    <cellStyle name="Célula Vinculada 4" xfId="238"/>
    <cellStyle name="Célula Vinculada 5" xfId="239"/>
    <cellStyle name="Célula Vinculada 6" xfId="240"/>
    <cellStyle name="Check Cell" xfId="241"/>
    <cellStyle name="Comma0" xfId="242"/>
    <cellStyle name="Currency0" xfId="243"/>
    <cellStyle name="Ênfase1" xfId="244"/>
    <cellStyle name="Ênfase1 2" xfId="245"/>
    <cellStyle name="Ênfase1 2 2" xfId="246"/>
    <cellStyle name="Ênfase1 2 3" xfId="247"/>
    <cellStyle name="Ênfase1 2_ORÇAMENTO - FORUM DE V. GRANDE" xfId="248"/>
    <cellStyle name="Ênfase1 3" xfId="249"/>
    <cellStyle name="Ênfase1 4" xfId="250"/>
    <cellStyle name="Ênfase1 5" xfId="251"/>
    <cellStyle name="Ênfase1 6" xfId="252"/>
    <cellStyle name="Ênfase2" xfId="253"/>
    <cellStyle name="Ênfase2 2" xfId="254"/>
    <cellStyle name="Ênfase2 2 2" xfId="255"/>
    <cellStyle name="Ênfase2 2 3" xfId="256"/>
    <cellStyle name="Ênfase2 2_ORÇAMENTO - FORUM DE V. GRANDE" xfId="257"/>
    <cellStyle name="Ênfase2 3" xfId="258"/>
    <cellStyle name="Ênfase2 4" xfId="259"/>
    <cellStyle name="Ênfase2 5" xfId="260"/>
    <cellStyle name="Ênfase2 6" xfId="261"/>
    <cellStyle name="Ênfase3" xfId="262"/>
    <cellStyle name="Ênfase3 2" xfId="263"/>
    <cellStyle name="Ênfase3 2 2" xfId="264"/>
    <cellStyle name="Ênfase3 2 3" xfId="265"/>
    <cellStyle name="Ênfase3 2_ORÇAMENTO - FORUM DE V. GRANDE" xfId="266"/>
    <cellStyle name="Ênfase3 3" xfId="267"/>
    <cellStyle name="Ênfase3 4" xfId="268"/>
    <cellStyle name="Ênfase3 5" xfId="269"/>
    <cellStyle name="Ênfase3 6" xfId="270"/>
    <cellStyle name="Ênfase4" xfId="271"/>
    <cellStyle name="Ênfase4 2" xfId="272"/>
    <cellStyle name="Ênfase4 2 2" xfId="273"/>
    <cellStyle name="Ênfase4 2 3" xfId="274"/>
    <cellStyle name="Ênfase4 2_ORÇAMENTO - FORUM DE V. GRANDE" xfId="275"/>
    <cellStyle name="Ênfase4 3" xfId="276"/>
    <cellStyle name="Ênfase4 4" xfId="277"/>
    <cellStyle name="Ênfase4 5" xfId="278"/>
    <cellStyle name="Ênfase4 6" xfId="279"/>
    <cellStyle name="Ênfase5" xfId="280"/>
    <cellStyle name="Ênfase5 2" xfId="281"/>
    <cellStyle name="Ênfase5 2 2" xfId="282"/>
    <cellStyle name="Ênfase5 2 3" xfId="283"/>
    <cellStyle name="Ênfase5 2_ORÇAMENTO - FORUM DE V. GRANDE" xfId="284"/>
    <cellStyle name="Ênfase5 3" xfId="285"/>
    <cellStyle name="Ênfase5 4" xfId="286"/>
    <cellStyle name="Ênfase5 5" xfId="287"/>
    <cellStyle name="Ênfase5 6" xfId="288"/>
    <cellStyle name="Ênfase6" xfId="289"/>
    <cellStyle name="Ênfase6 2" xfId="290"/>
    <cellStyle name="Ênfase6 2 2" xfId="291"/>
    <cellStyle name="Ênfase6 2 3" xfId="292"/>
    <cellStyle name="Ênfase6 2_ORÇAMENTO - FORUM DE V. GRANDE" xfId="293"/>
    <cellStyle name="Ênfase6 3" xfId="294"/>
    <cellStyle name="Ênfase6 4" xfId="295"/>
    <cellStyle name="Ênfase6 5" xfId="296"/>
    <cellStyle name="Ênfase6 6" xfId="297"/>
    <cellStyle name="Entrada" xfId="298"/>
    <cellStyle name="Entrada 2" xfId="299"/>
    <cellStyle name="Entrada 2 2" xfId="300"/>
    <cellStyle name="Entrada 2 3" xfId="301"/>
    <cellStyle name="Entrada 2_CIVIL- BL 1-2-3-4-5-6-7-8 " xfId="302"/>
    <cellStyle name="Entrada 3" xfId="303"/>
    <cellStyle name="Entrada 4" xfId="304"/>
    <cellStyle name="Entrada 5" xfId="305"/>
    <cellStyle name="Entrada 6" xfId="306"/>
    <cellStyle name="Estilo 1" xfId="307"/>
    <cellStyle name="Euro" xfId="308"/>
    <cellStyle name="Euro 2" xfId="309"/>
    <cellStyle name="Euro 2 2" xfId="310"/>
    <cellStyle name="Euro 3" xfId="311"/>
    <cellStyle name="Excel Built-in Normal" xfId="312"/>
    <cellStyle name="Excel Built-in Normal 1 1" xfId="313"/>
    <cellStyle name="Excel Built-in Normal 10 3" xfId="314"/>
    <cellStyle name="Excel Built-in Vírgula 6" xfId="315"/>
    <cellStyle name="Explanatory Text" xfId="316"/>
    <cellStyle name="Good" xfId="317"/>
    <cellStyle name="Heading 1" xfId="318"/>
    <cellStyle name="Heading 2" xfId="319"/>
    <cellStyle name="Heading 3" xfId="320"/>
    <cellStyle name="Heading 4" xfId="321"/>
    <cellStyle name="Hyperlink" xfId="322"/>
    <cellStyle name="Hiperlink 2" xfId="323"/>
    <cellStyle name="Followed Hyperlink" xfId="324"/>
    <cellStyle name="Hyperlink 2" xfId="325"/>
    <cellStyle name="Incorreto" xfId="326"/>
    <cellStyle name="Incorreto 2" xfId="327"/>
    <cellStyle name="Incorreto 2 2" xfId="328"/>
    <cellStyle name="Incorreto 2 3" xfId="329"/>
    <cellStyle name="Incorreto 2_ORÇAMENTO - FORUM DE V. GRANDE" xfId="330"/>
    <cellStyle name="Incorreto 3" xfId="331"/>
    <cellStyle name="Incorreto 4" xfId="332"/>
    <cellStyle name="Incorreto 5" xfId="333"/>
    <cellStyle name="Incorreto 6" xfId="334"/>
    <cellStyle name="Input" xfId="335"/>
    <cellStyle name="Linked Cell" xfId="336"/>
    <cellStyle name="Currency" xfId="337"/>
    <cellStyle name="Currency [0]" xfId="338"/>
    <cellStyle name="Moeda 10" xfId="339"/>
    <cellStyle name="Moeda 2" xfId="340"/>
    <cellStyle name="Moeda 2 2" xfId="341"/>
    <cellStyle name="Moeda 2 3" xfId="342"/>
    <cellStyle name="Moeda 2_ORÇAMENTO - FORUM DE V. GRANDE" xfId="343"/>
    <cellStyle name="Moeda 24" xfId="344"/>
    <cellStyle name="Moeda 3" xfId="345"/>
    <cellStyle name="Moeda 4" xfId="346"/>
    <cellStyle name="Moeda 5" xfId="347"/>
    <cellStyle name="Moeda 6" xfId="348"/>
    <cellStyle name="Moeda 7" xfId="349"/>
    <cellStyle name="Moeda 8" xfId="350"/>
    <cellStyle name="Moeda 9" xfId="351"/>
    <cellStyle name="Neutra" xfId="352"/>
    <cellStyle name="Neutra 2" xfId="353"/>
    <cellStyle name="Neutra 2 2" xfId="354"/>
    <cellStyle name="Neutra 2 3" xfId="355"/>
    <cellStyle name="Neutra 2_ORÇAMENTO - FORUM DE V. GRANDE" xfId="356"/>
    <cellStyle name="Neutra 3" xfId="357"/>
    <cellStyle name="Neutra 4" xfId="358"/>
    <cellStyle name="Neutra 5" xfId="359"/>
    <cellStyle name="Neutra 6" xfId="360"/>
    <cellStyle name="Neutral" xfId="361"/>
    <cellStyle name="Normal 10" xfId="362"/>
    <cellStyle name="Normal 10 2" xfId="363"/>
    <cellStyle name="Normal 10_Compo-Civil" xfId="364"/>
    <cellStyle name="Normal 11" xfId="365"/>
    <cellStyle name="Normal 11 2" xfId="366"/>
    <cellStyle name="Normal 11_Compo-Civil" xfId="367"/>
    <cellStyle name="Normal 12" xfId="368"/>
    <cellStyle name="Normal 12 2" xfId="369"/>
    <cellStyle name="Normal 12_Compo-Civil" xfId="370"/>
    <cellStyle name="Normal 13" xfId="371"/>
    <cellStyle name="Normal 13 2" xfId="372"/>
    <cellStyle name="Normal 13 2 2" xfId="373"/>
    <cellStyle name="Normal 13 2 3" xfId="374"/>
    <cellStyle name="Normal 13 2_Compo-Civil" xfId="375"/>
    <cellStyle name="Normal 13 3" xfId="376"/>
    <cellStyle name="Normal 13 4" xfId="377"/>
    <cellStyle name="Normal 13_Compo-Civil" xfId="378"/>
    <cellStyle name="Normal 14" xfId="379"/>
    <cellStyle name="Normal 14 2" xfId="380"/>
    <cellStyle name="Normal 14_Compo-Civil" xfId="381"/>
    <cellStyle name="Normal 15" xfId="382"/>
    <cellStyle name="Normal 15 2" xfId="383"/>
    <cellStyle name="Normal 15 2 2" xfId="384"/>
    <cellStyle name="Normal 15 2 3" xfId="385"/>
    <cellStyle name="Normal 15 2_Compo-Civil" xfId="386"/>
    <cellStyle name="Normal 15 3" xfId="387"/>
    <cellStyle name="Normal 15 4" xfId="388"/>
    <cellStyle name="Normal 15_Compo-Civil" xfId="389"/>
    <cellStyle name="Normal 16" xfId="390"/>
    <cellStyle name="Normal 16 2" xfId="391"/>
    <cellStyle name="Normal 16 2 2" xfId="392"/>
    <cellStyle name="Normal 16 2 3" xfId="393"/>
    <cellStyle name="Normal 16 2_Compo-Civil" xfId="394"/>
    <cellStyle name="Normal 16 3" xfId="395"/>
    <cellStyle name="Normal 16 4" xfId="396"/>
    <cellStyle name="Normal 16_Compo-Civil" xfId="397"/>
    <cellStyle name="Normal 17" xfId="398"/>
    <cellStyle name="Normal 17 2" xfId="399"/>
    <cellStyle name="Normal 17_Compo-Civil" xfId="400"/>
    <cellStyle name="Normal 18" xfId="401"/>
    <cellStyle name="Normal 18 2" xfId="402"/>
    <cellStyle name="Normal 18_Compo-Civil" xfId="403"/>
    <cellStyle name="Normal 19" xfId="404"/>
    <cellStyle name="Normal 19 2" xfId="405"/>
    <cellStyle name="Normal 19_Compo-Civil" xfId="406"/>
    <cellStyle name="Normal 2" xfId="407"/>
    <cellStyle name="Normal 2 2" xfId="408"/>
    <cellStyle name="Normal 2 2 2" xfId="409"/>
    <cellStyle name="Normal 2 2 2 2" xfId="410"/>
    <cellStyle name="Normal 2 2 2_ORÇAMENTO - FORUM DE V. GRANDE" xfId="411"/>
    <cellStyle name="Normal 2 2_Compo-Civil" xfId="412"/>
    <cellStyle name="Normal 2 3" xfId="413"/>
    <cellStyle name="Normal 2 4" xfId="414"/>
    <cellStyle name="Normal 2 5" xfId="415"/>
    <cellStyle name="Normal 20" xfId="416"/>
    <cellStyle name="Normal 20 2" xfId="417"/>
    <cellStyle name="Normal 20_Compo-Civil" xfId="418"/>
    <cellStyle name="Normal 21" xfId="419"/>
    <cellStyle name="Normal 21 2" xfId="420"/>
    <cellStyle name="Normal 21 3" xfId="421"/>
    <cellStyle name="Normal 21 4" xfId="422"/>
    <cellStyle name="Normal 21_Compo-Civil" xfId="423"/>
    <cellStyle name="Normal 22" xfId="424"/>
    <cellStyle name="Normal 22 2" xfId="425"/>
    <cellStyle name="Normal 22_Compo-Civil" xfId="426"/>
    <cellStyle name="Normal 23" xfId="427"/>
    <cellStyle name="Normal 23 2" xfId="428"/>
    <cellStyle name="Normal 23_Compo-Civil" xfId="429"/>
    <cellStyle name="Normal 24" xfId="430"/>
    <cellStyle name="Normal 24 2" xfId="431"/>
    <cellStyle name="Normal 24_Compo-Civil" xfId="432"/>
    <cellStyle name="Normal 25" xfId="433"/>
    <cellStyle name="Normal 25 2" xfId="434"/>
    <cellStyle name="Normal 25_Compo-Civil" xfId="435"/>
    <cellStyle name="Normal 26" xfId="436"/>
    <cellStyle name="Normal 26 2" xfId="437"/>
    <cellStyle name="Normal 26_Compo-Civil" xfId="438"/>
    <cellStyle name="Normal 27" xfId="439"/>
    <cellStyle name="Normal 27 2" xfId="440"/>
    <cellStyle name="Normal 27_Compo-Civil" xfId="441"/>
    <cellStyle name="Normal 28" xfId="442"/>
    <cellStyle name="Normal 28 2" xfId="443"/>
    <cellStyle name="Normal 28_Compo-Civil" xfId="444"/>
    <cellStyle name="Normal 29" xfId="445"/>
    <cellStyle name="Normal 3" xfId="446"/>
    <cellStyle name="Normal 3 2" xfId="447"/>
    <cellStyle name="Normal 3 3" xfId="448"/>
    <cellStyle name="Normal 3 4" xfId="449"/>
    <cellStyle name="Normal 30" xfId="450"/>
    <cellStyle name="Normal 31" xfId="451"/>
    <cellStyle name="Normal 32" xfId="452"/>
    <cellStyle name="Normal 33" xfId="453"/>
    <cellStyle name="Normal 34" xfId="454"/>
    <cellStyle name="Normal 35" xfId="455"/>
    <cellStyle name="Normal 36" xfId="456"/>
    <cellStyle name="Normal 37" xfId="457"/>
    <cellStyle name="Normal 38" xfId="458"/>
    <cellStyle name="Normal 39" xfId="459"/>
    <cellStyle name="Normal 4" xfId="460"/>
    <cellStyle name="Normal 4 10" xfId="461"/>
    <cellStyle name="Normal 4 2" xfId="462"/>
    <cellStyle name="Normal 4 2 2" xfId="463"/>
    <cellStyle name="Normal 4 2 3" xfId="464"/>
    <cellStyle name="Normal 4 2_Compo-Civil" xfId="465"/>
    <cellStyle name="Normal 4 3" xfId="466"/>
    <cellStyle name="Normal 4 4" xfId="467"/>
    <cellStyle name="Normal 4 5" xfId="468"/>
    <cellStyle name="Normal 4 6" xfId="469"/>
    <cellStyle name="Normal 4 7" xfId="470"/>
    <cellStyle name="Normal 4 8" xfId="471"/>
    <cellStyle name="Normal 4 9" xfId="472"/>
    <cellStyle name="Normal 4_ORÇAMENTO" xfId="473"/>
    <cellStyle name="Normal 40" xfId="474"/>
    <cellStyle name="Normal 41" xfId="475"/>
    <cellStyle name="Normal 42" xfId="476"/>
    <cellStyle name="Normal 43" xfId="477"/>
    <cellStyle name="Normal 44" xfId="478"/>
    <cellStyle name="Normal 45" xfId="479"/>
    <cellStyle name="Normal 46" xfId="480"/>
    <cellStyle name="Normal 47" xfId="481"/>
    <cellStyle name="Normal 48" xfId="482"/>
    <cellStyle name="Normal 49" xfId="483"/>
    <cellStyle name="Normal 5" xfId="484"/>
    <cellStyle name="Normal 5 2" xfId="485"/>
    <cellStyle name="Normal 5 3" xfId="486"/>
    <cellStyle name="Normal 5 4" xfId="487"/>
    <cellStyle name="Normal 5_Compo-Civil" xfId="488"/>
    <cellStyle name="Normal 50" xfId="489"/>
    <cellStyle name="Normal 51" xfId="490"/>
    <cellStyle name="Normal 52" xfId="491"/>
    <cellStyle name="Normal 53" xfId="492"/>
    <cellStyle name="Normal 54" xfId="493"/>
    <cellStyle name="Normal 55" xfId="494"/>
    <cellStyle name="Normal 56" xfId="495"/>
    <cellStyle name="Normal 57" xfId="496"/>
    <cellStyle name="Normal 58" xfId="497"/>
    <cellStyle name="Normal 59" xfId="498"/>
    <cellStyle name="Normal 6" xfId="499"/>
    <cellStyle name="Normal 6 2" xfId="500"/>
    <cellStyle name="Normal 6_Compo-Civil" xfId="501"/>
    <cellStyle name="Normal 60" xfId="502"/>
    <cellStyle name="Normal 61" xfId="503"/>
    <cellStyle name="Normal 62" xfId="504"/>
    <cellStyle name="Normal 63" xfId="505"/>
    <cellStyle name="Normal 64" xfId="506"/>
    <cellStyle name="Normal 65" xfId="507"/>
    <cellStyle name="Normal 66" xfId="508"/>
    <cellStyle name="Normal 67" xfId="509"/>
    <cellStyle name="Normal 68" xfId="510"/>
    <cellStyle name="Normal 69" xfId="511"/>
    <cellStyle name="Normal 7" xfId="512"/>
    <cellStyle name="Normal 7 2" xfId="513"/>
    <cellStyle name="Normal 7_Compo-Civil" xfId="514"/>
    <cellStyle name="Normal 70" xfId="515"/>
    <cellStyle name="Normal 71" xfId="516"/>
    <cellStyle name="Normal 72" xfId="517"/>
    <cellStyle name="Normal 73" xfId="518"/>
    <cellStyle name="Normal 74" xfId="519"/>
    <cellStyle name="Normal 75" xfId="520"/>
    <cellStyle name="Normal 76" xfId="521"/>
    <cellStyle name="Normal 77" xfId="522"/>
    <cellStyle name="Normal 78" xfId="523"/>
    <cellStyle name="Normal 79" xfId="524"/>
    <cellStyle name="Normal 8" xfId="525"/>
    <cellStyle name="Normal 8 2" xfId="526"/>
    <cellStyle name="Normal 8 3" xfId="527"/>
    <cellStyle name="Normal 8 4" xfId="528"/>
    <cellStyle name="Normal 8_Compo-Civil" xfId="529"/>
    <cellStyle name="Normal 80" xfId="530"/>
    <cellStyle name="Normal 81" xfId="531"/>
    <cellStyle name="Normal 82" xfId="532"/>
    <cellStyle name="Normal 83" xfId="533"/>
    <cellStyle name="Normal 84" xfId="534"/>
    <cellStyle name="Normal 85" xfId="535"/>
    <cellStyle name="Normal 86" xfId="536"/>
    <cellStyle name="Normal 87" xfId="537"/>
    <cellStyle name="Normal 88" xfId="538"/>
    <cellStyle name="Normal 89" xfId="539"/>
    <cellStyle name="Normal 9" xfId="540"/>
    <cellStyle name="Normal 9 2" xfId="541"/>
    <cellStyle name="Normal 9_Compo-Civil" xfId="542"/>
    <cellStyle name="Normal 90" xfId="543"/>
    <cellStyle name="Normal 91" xfId="544"/>
    <cellStyle name="Normal_5ª Medição 199" xfId="545"/>
    <cellStyle name="Normal_rol-rua2" xfId="546"/>
    <cellStyle name="Nota" xfId="547"/>
    <cellStyle name="Nota 10" xfId="548"/>
    <cellStyle name="Nota 10 2" xfId="549"/>
    <cellStyle name="Nota 11" xfId="550"/>
    <cellStyle name="Nota 11 2" xfId="551"/>
    <cellStyle name="Nota 12" xfId="552"/>
    <cellStyle name="Nota 12 2" xfId="553"/>
    <cellStyle name="Nota 13" xfId="554"/>
    <cellStyle name="Nota 13 2" xfId="555"/>
    <cellStyle name="Nota 14" xfId="556"/>
    <cellStyle name="Nota 14 2" xfId="557"/>
    <cellStyle name="Nota 15" xfId="558"/>
    <cellStyle name="Nota 15 2" xfId="559"/>
    <cellStyle name="Nota 16" xfId="560"/>
    <cellStyle name="Nota 16 2" xfId="561"/>
    <cellStyle name="Nota 17" xfId="562"/>
    <cellStyle name="Nota 17 2" xfId="563"/>
    <cellStyle name="Nota 18" xfId="564"/>
    <cellStyle name="Nota 18 2" xfId="565"/>
    <cellStyle name="Nota 19" xfId="566"/>
    <cellStyle name="Nota 19 2" xfId="567"/>
    <cellStyle name="Nota 2" xfId="568"/>
    <cellStyle name="Nota 2 2" xfId="569"/>
    <cellStyle name="Nota 2 3" xfId="570"/>
    <cellStyle name="Nota 2 4" xfId="571"/>
    <cellStyle name="Nota 2_CIVIL- BL 1-2-3-4-5-6-7-8 " xfId="572"/>
    <cellStyle name="Nota 20" xfId="573"/>
    <cellStyle name="Nota 20 2" xfId="574"/>
    <cellStyle name="Nota 21" xfId="575"/>
    <cellStyle name="Nota 21 2" xfId="576"/>
    <cellStyle name="Nota 22" xfId="577"/>
    <cellStyle name="Nota 22 2" xfId="578"/>
    <cellStyle name="Nota 23" xfId="579"/>
    <cellStyle name="Nota 23 2" xfId="580"/>
    <cellStyle name="Nota 24" xfId="581"/>
    <cellStyle name="Nota 24 2" xfId="582"/>
    <cellStyle name="Nota 25" xfId="583"/>
    <cellStyle name="Nota 25 2" xfId="584"/>
    <cellStyle name="Nota 26" xfId="585"/>
    <cellStyle name="Nota 26 2" xfId="586"/>
    <cellStyle name="Nota 27" xfId="587"/>
    <cellStyle name="Nota 27 2" xfId="588"/>
    <cellStyle name="Nota 28" xfId="589"/>
    <cellStyle name="Nota 28 2" xfId="590"/>
    <cellStyle name="Nota 29" xfId="591"/>
    <cellStyle name="Nota 29 2" xfId="592"/>
    <cellStyle name="Nota 3" xfId="593"/>
    <cellStyle name="Nota 3 2" xfId="594"/>
    <cellStyle name="Nota 30" xfId="595"/>
    <cellStyle name="Nota 30 2" xfId="596"/>
    <cellStyle name="Nota 31" xfId="597"/>
    <cellStyle name="Nota 31 2" xfId="598"/>
    <cellStyle name="Nota 32" xfId="599"/>
    <cellStyle name="Nota 32 2" xfId="600"/>
    <cellStyle name="Nota 33" xfId="601"/>
    <cellStyle name="Nota 33 2" xfId="602"/>
    <cellStyle name="Nota 34" xfId="603"/>
    <cellStyle name="Nota 34 2" xfId="604"/>
    <cellStyle name="Nota 35" xfId="605"/>
    <cellStyle name="Nota 35 2" xfId="606"/>
    <cellStyle name="Nota 36" xfId="607"/>
    <cellStyle name="Nota 36 2" xfId="608"/>
    <cellStyle name="Nota 37" xfId="609"/>
    <cellStyle name="Nota 37 2" xfId="610"/>
    <cellStyle name="Nota 38" xfId="611"/>
    <cellStyle name="Nota 39" xfId="612"/>
    <cellStyle name="Nota 4" xfId="613"/>
    <cellStyle name="Nota 4 2" xfId="614"/>
    <cellStyle name="Nota 5" xfId="615"/>
    <cellStyle name="Nota 5 2" xfId="616"/>
    <cellStyle name="Nota 6" xfId="617"/>
    <cellStyle name="Nota 6 2" xfId="618"/>
    <cellStyle name="Nota 7" xfId="619"/>
    <cellStyle name="Nota 7 2" xfId="620"/>
    <cellStyle name="Nota 8" xfId="621"/>
    <cellStyle name="Nota 8 2" xfId="622"/>
    <cellStyle name="Nota 9" xfId="623"/>
    <cellStyle name="Nota 9 2" xfId="624"/>
    <cellStyle name="Note" xfId="625"/>
    <cellStyle name="Output" xfId="626"/>
    <cellStyle name="planilhas" xfId="627"/>
    <cellStyle name="Percent" xfId="628"/>
    <cellStyle name="Porcentagem 10" xfId="629"/>
    <cellStyle name="Porcentagem 10 2" xfId="630"/>
    <cellStyle name="Porcentagem 11" xfId="631"/>
    <cellStyle name="Porcentagem 12" xfId="632"/>
    <cellStyle name="Porcentagem 13" xfId="633"/>
    <cellStyle name="Porcentagem 14" xfId="634"/>
    <cellStyle name="Porcentagem 15" xfId="635"/>
    <cellStyle name="Porcentagem 16" xfId="636"/>
    <cellStyle name="Porcentagem 17" xfId="637"/>
    <cellStyle name="Porcentagem 18" xfId="638"/>
    <cellStyle name="Porcentagem 19" xfId="639"/>
    <cellStyle name="Porcentagem 2" xfId="640"/>
    <cellStyle name="Porcentagem 2 10" xfId="641"/>
    <cellStyle name="Porcentagem 2 11" xfId="642"/>
    <cellStyle name="Porcentagem 2 12" xfId="643"/>
    <cellStyle name="Porcentagem 2 13" xfId="644"/>
    <cellStyle name="Porcentagem 2 14" xfId="645"/>
    <cellStyle name="Porcentagem 2 15" xfId="646"/>
    <cellStyle name="Porcentagem 2 16" xfId="647"/>
    <cellStyle name="Porcentagem 2 17" xfId="648"/>
    <cellStyle name="Porcentagem 2 18" xfId="649"/>
    <cellStyle name="Porcentagem 2 19" xfId="650"/>
    <cellStyle name="Porcentagem 2 2" xfId="651"/>
    <cellStyle name="Porcentagem 2 2 2" xfId="652"/>
    <cellStyle name="Porcentagem 2 2 3" xfId="653"/>
    <cellStyle name="Porcentagem 2 20" xfId="654"/>
    <cellStyle name="Porcentagem 2 21" xfId="655"/>
    <cellStyle name="Porcentagem 2 22" xfId="656"/>
    <cellStyle name="Porcentagem 2 23" xfId="657"/>
    <cellStyle name="Porcentagem 2 24" xfId="658"/>
    <cellStyle name="Porcentagem 2 25" xfId="659"/>
    <cellStyle name="Porcentagem 2 26" xfId="660"/>
    <cellStyle name="Porcentagem 2 27" xfId="661"/>
    <cellStyle name="Porcentagem 2 28" xfId="662"/>
    <cellStyle name="Porcentagem 2 29" xfId="663"/>
    <cellStyle name="Porcentagem 2 3" xfId="664"/>
    <cellStyle name="Porcentagem 2 30" xfId="665"/>
    <cellStyle name="Porcentagem 2 4" xfId="666"/>
    <cellStyle name="Porcentagem 2 5" xfId="667"/>
    <cellStyle name="Porcentagem 2 6" xfId="668"/>
    <cellStyle name="Porcentagem 2 7" xfId="669"/>
    <cellStyle name="Porcentagem 2 8" xfId="670"/>
    <cellStyle name="Porcentagem 2 9" xfId="671"/>
    <cellStyle name="Porcentagem 20" xfId="672"/>
    <cellStyle name="Porcentagem 21" xfId="673"/>
    <cellStyle name="Porcentagem 22" xfId="674"/>
    <cellStyle name="Porcentagem 23" xfId="675"/>
    <cellStyle name="Porcentagem 24" xfId="676"/>
    <cellStyle name="Porcentagem 25" xfId="677"/>
    <cellStyle name="Porcentagem 26" xfId="678"/>
    <cellStyle name="Porcentagem 27" xfId="679"/>
    <cellStyle name="Porcentagem 28" xfId="680"/>
    <cellStyle name="Porcentagem 29" xfId="681"/>
    <cellStyle name="Porcentagem 3" xfId="682"/>
    <cellStyle name="Porcentagem 30" xfId="683"/>
    <cellStyle name="Porcentagem 31" xfId="684"/>
    <cellStyle name="Porcentagem 33" xfId="685"/>
    <cellStyle name="Porcentagem 4" xfId="686"/>
    <cellStyle name="Porcentagem 5" xfId="687"/>
    <cellStyle name="Porcentagem 6" xfId="688"/>
    <cellStyle name="Porcentagem 7" xfId="689"/>
    <cellStyle name="Porcentagem 8" xfId="690"/>
    <cellStyle name="Porcentagem 9" xfId="691"/>
    <cellStyle name="Saída" xfId="692"/>
    <cellStyle name="Saída 2" xfId="693"/>
    <cellStyle name="Saída 2 2" xfId="694"/>
    <cellStyle name="Saída 2 3" xfId="695"/>
    <cellStyle name="Saída 2_CIVIL- BL 1-2-3-4-5-6-7-8 " xfId="696"/>
    <cellStyle name="Saída 3" xfId="697"/>
    <cellStyle name="Saída 4" xfId="698"/>
    <cellStyle name="Saída 5" xfId="699"/>
    <cellStyle name="Saída 6" xfId="700"/>
    <cellStyle name="Comma [0]" xfId="701"/>
    <cellStyle name="Separador de milhares 10" xfId="702"/>
    <cellStyle name="Separador de milhares 11" xfId="703"/>
    <cellStyle name="Separador de milhares 12" xfId="704"/>
    <cellStyle name="Separador de milhares 13" xfId="705"/>
    <cellStyle name="Separador de milhares 14" xfId="706"/>
    <cellStyle name="Separador de milhares 15" xfId="707"/>
    <cellStyle name="Separador de milhares 16" xfId="708"/>
    <cellStyle name="Separador de milhares 17" xfId="709"/>
    <cellStyle name="Separador de milhares 18" xfId="710"/>
    <cellStyle name="Separador de milhares 19" xfId="711"/>
    <cellStyle name="Separador de milhares 2" xfId="712"/>
    <cellStyle name="Separador de milhares 2 10" xfId="713"/>
    <cellStyle name="Separador de milhares 2 11" xfId="714"/>
    <cellStyle name="Separador de milhares 2 12" xfId="715"/>
    <cellStyle name="Separador de milhares 2 13" xfId="716"/>
    <cellStyle name="Separador de milhares 2 14" xfId="717"/>
    <cellStyle name="Separador de milhares 2 15" xfId="718"/>
    <cellStyle name="Separador de milhares 2 16" xfId="719"/>
    <cellStyle name="Separador de milhares 2 17" xfId="720"/>
    <cellStyle name="Separador de milhares 2 18" xfId="721"/>
    <cellStyle name="Separador de milhares 2 19" xfId="722"/>
    <cellStyle name="Separador de milhares 2 2" xfId="723"/>
    <cellStyle name="Separador de milhares 2 2 2" xfId="724"/>
    <cellStyle name="Separador de milhares 2 20" xfId="725"/>
    <cellStyle name="Separador de milhares 2 21" xfId="726"/>
    <cellStyle name="Separador de milhares 2 22" xfId="727"/>
    <cellStyle name="Separador de milhares 2 23" xfId="728"/>
    <cellStyle name="Separador de milhares 2 24" xfId="729"/>
    <cellStyle name="Separador de milhares 2 25" xfId="730"/>
    <cellStyle name="Separador de milhares 2 26" xfId="731"/>
    <cellStyle name="Separador de milhares 2 27" xfId="732"/>
    <cellStyle name="Separador de milhares 2 28" xfId="733"/>
    <cellStyle name="Separador de milhares 2 29" xfId="734"/>
    <cellStyle name="Separador de milhares 2 3" xfId="735"/>
    <cellStyle name="Separador de milhares 2 30" xfId="736"/>
    <cellStyle name="Separador de milhares 2 31" xfId="737"/>
    <cellStyle name="Separador de milhares 2 4" xfId="738"/>
    <cellStyle name="Separador de milhares 2 5" xfId="739"/>
    <cellStyle name="Separador de milhares 2 6" xfId="740"/>
    <cellStyle name="Separador de milhares 2 7" xfId="741"/>
    <cellStyle name="Separador de milhares 2 8" xfId="742"/>
    <cellStyle name="Separador de milhares 2 9" xfId="743"/>
    <cellStyle name="Separador de milhares 20" xfId="744"/>
    <cellStyle name="Separador de milhares 21" xfId="745"/>
    <cellStyle name="Separador de milhares 22" xfId="746"/>
    <cellStyle name="Separador de milhares 23" xfId="747"/>
    <cellStyle name="Separador de milhares 24" xfId="748"/>
    <cellStyle name="Separador de milhares 25" xfId="749"/>
    <cellStyle name="Separador de milhares 26" xfId="750"/>
    <cellStyle name="Separador de milhares 27" xfId="751"/>
    <cellStyle name="Separador de milhares 28" xfId="752"/>
    <cellStyle name="Separador de milhares 29" xfId="753"/>
    <cellStyle name="Separador de milhares 3" xfId="754"/>
    <cellStyle name="Separador de milhares 3 2" xfId="755"/>
    <cellStyle name="Separador de milhares 3 3" xfId="756"/>
    <cellStyle name="Separador de milhares 3 4" xfId="757"/>
    <cellStyle name="Separador de milhares 30" xfId="758"/>
    <cellStyle name="Separador de milhares 31" xfId="759"/>
    <cellStyle name="Separador de milhares 4" xfId="760"/>
    <cellStyle name="Separador de milhares 5" xfId="761"/>
    <cellStyle name="Separador de milhares 5 2" xfId="762"/>
    <cellStyle name="Separador de milhares 5 3" xfId="763"/>
    <cellStyle name="Separador de milhares 6" xfId="764"/>
    <cellStyle name="Separador de milhares 6 2" xfId="765"/>
    <cellStyle name="Separador de milhares 7" xfId="766"/>
    <cellStyle name="Separador de milhares 8" xfId="767"/>
    <cellStyle name="Separador de milhares 9" xfId="768"/>
    <cellStyle name="Texto de Aviso" xfId="769"/>
    <cellStyle name="Texto de Aviso 2" xfId="770"/>
    <cellStyle name="Texto de Aviso 2 2" xfId="771"/>
    <cellStyle name="Texto de Aviso 2 3" xfId="772"/>
    <cellStyle name="Texto de Aviso 2_ORÇAMENTO - FORUM DE V. GRANDE" xfId="773"/>
    <cellStyle name="Texto de Aviso 3" xfId="774"/>
    <cellStyle name="Texto de Aviso 4" xfId="775"/>
    <cellStyle name="Texto de Aviso 5" xfId="776"/>
    <cellStyle name="Texto de Aviso 6" xfId="777"/>
    <cellStyle name="Texto Explicativo" xfId="778"/>
    <cellStyle name="Texto Explicativo 2" xfId="779"/>
    <cellStyle name="Texto Explicativo 2 2" xfId="780"/>
    <cellStyle name="Texto Explicativo 2 3" xfId="781"/>
    <cellStyle name="Texto Explicativo 2_ORÇAMENTO - FORUM DE V. GRANDE" xfId="782"/>
    <cellStyle name="Texto Explicativo 3" xfId="783"/>
    <cellStyle name="Texto Explicativo 4" xfId="784"/>
    <cellStyle name="Texto Explicativo 5" xfId="785"/>
    <cellStyle name="Texto Explicativo 6" xfId="786"/>
    <cellStyle name="Title" xfId="787"/>
    <cellStyle name="Título" xfId="788"/>
    <cellStyle name="Título 1" xfId="789"/>
    <cellStyle name="Título 1 2" xfId="790"/>
    <cellStyle name="Título 1 2 2" xfId="791"/>
    <cellStyle name="Título 1 2 3" xfId="792"/>
    <cellStyle name="Título 1 2_CIVIL- BL 1-2-3-4-5-6-7-8 " xfId="793"/>
    <cellStyle name="Título 1 3" xfId="794"/>
    <cellStyle name="Título 1 4" xfId="795"/>
    <cellStyle name="Título 1 5" xfId="796"/>
    <cellStyle name="Título 1 6" xfId="797"/>
    <cellStyle name="Título 10" xfId="798"/>
    <cellStyle name="Título 2" xfId="799"/>
    <cellStyle name="Título 2 2" xfId="800"/>
    <cellStyle name="Título 2 2 2" xfId="801"/>
    <cellStyle name="Título 2 2 3" xfId="802"/>
    <cellStyle name="Título 2 2_CIVIL- BL 1-2-3-4-5-6-7-8 " xfId="803"/>
    <cellStyle name="Título 2 3" xfId="804"/>
    <cellStyle name="Título 2 4" xfId="805"/>
    <cellStyle name="Título 2 5" xfId="806"/>
    <cellStyle name="Título 2 6" xfId="807"/>
    <cellStyle name="Título 3" xfId="808"/>
    <cellStyle name="Título 3 2" xfId="809"/>
    <cellStyle name="Título 3 2 2" xfId="810"/>
    <cellStyle name="Título 3 2 3" xfId="811"/>
    <cellStyle name="Título 3 2_CIVIL- BL 1-2-3-4-5-6-7-8 " xfId="812"/>
    <cellStyle name="Título 3 3" xfId="813"/>
    <cellStyle name="Título 3 4" xfId="814"/>
    <cellStyle name="Título 3 5" xfId="815"/>
    <cellStyle name="Título 3 6" xfId="816"/>
    <cellStyle name="Título 4" xfId="817"/>
    <cellStyle name="Título 4 2" xfId="818"/>
    <cellStyle name="Título 4 2 2" xfId="819"/>
    <cellStyle name="Título 4 2 3" xfId="820"/>
    <cellStyle name="Título 4 2_ORÇAMENTO - FORUM DE V. GRANDE" xfId="821"/>
    <cellStyle name="Título 4 3" xfId="822"/>
    <cellStyle name="Título 4 4" xfId="823"/>
    <cellStyle name="Título 4 5" xfId="824"/>
    <cellStyle name="Título 4 6" xfId="825"/>
    <cellStyle name="Título 5" xfId="826"/>
    <cellStyle name="Título 5 2" xfId="827"/>
    <cellStyle name="Título 5 3" xfId="828"/>
    <cellStyle name="Título 5_ORÇAMENTO - FORUM DE V. GRANDE" xfId="829"/>
    <cellStyle name="Título 6" xfId="830"/>
    <cellStyle name="Título 7" xfId="831"/>
    <cellStyle name="Título 8" xfId="832"/>
    <cellStyle name="Título 9" xfId="833"/>
    <cellStyle name="Total" xfId="834"/>
    <cellStyle name="Total 2" xfId="835"/>
    <cellStyle name="Total 2 2" xfId="836"/>
    <cellStyle name="Total 2 3" xfId="837"/>
    <cellStyle name="Total 2_CIVIL- BL 1-2-3-4-5-6-7-8 " xfId="838"/>
    <cellStyle name="Total 3" xfId="839"/>
    <cellStyle name="Total 4" xfId="840"/>
    <cellStyle name="Total 5" xfId="841"/>
    <cellStyle name="Total 6" xfId="842"/>
    <cellStyle name="Total 7" xfId="843"/>
    <cellStyle name="Comma" xfId="844"/>
    <cellStyle name="Vírgula 2" xfId="845"/>
    <cellStyle name="Vírgula 2 2" xfId="846"/>
    <cellStyle name="Vírgula 2 3" xfId="847"/>
    <cellStyle name="Vírgula 3" xfId="848"/>
    <cellStyle name="Vírgula 3 2" xfId="849"/>
    <cellStyle name="Vírgula 4" xfId="850"/>
    <cellStyle name="Vírgula 4 2" xfId="851"/>
    <cellStyle name="Vírgula 5" xfId="852"/>
    <cellStyle name="Warning Text" xfId="85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27</xdr:row>
      <xdr:rowOff>57150</xdr:rowOff>
    </xdr:from>
    <xdr:to>
      <xdr:col>5</xdr:col>
      <xdr:colOff>152400</xdr:colOff>
      <xdr:row>33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5438775"/>
          <a:ext cx="3476625" cy="1152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27</xdr:row>
      <xdr:rowOff>57150</xdr:rowOff>
    </xdr:from>
    <xdr:to>
      <xdr:col>5</xdr:col>
      <xdr:colOff>95250</xdr:colOff>
      <xdr:row>33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5448300"/>
          <a:ext cx="3476625" cy="1152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</xdr:col>
      <xdr:colOff>276225</xdr:colOff>
      <xdr:row>49</xdr:row>
      <xdr:rowOff>19050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49025" cy="795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UANTIDADE%20E%20OR&#199;AMENTO%20-MAPIM%20III%20DESEONERADONER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CFF"/>
      <sheetName val="QUANT"/>
      <sheetName val="ORÇA "/>
      <sheetName val="TRANSP"/>
      <sheetName val="MEMORIAL DE CALCULO"/>
      <sheetName val="BLD"/>
      <sheetName val="BDI"/>
      <sheetName val="TERRAP E PAVIM"/>
      <sheetName val="BDI DIFERENCIADO"/>
      <sheetName val="DRENO"/>
      <sheetName val="SN HOR"/>
      <sheetName val="SN VERT"/>
      <sheetName val="LASTRO"/>
      <sheetName val="TAB REAJUSTAMEN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view="pageBreakPreview" zoomScale="85" zoomScaleSheetLayoutView="85" zoomScalePageLayoutView="0" workbookViewId="0" topLeftCell="A10">
      <selection activeCell="C44" sqref="C44"/>
    </sheetView>
  </sheetViews>
  <sheetFormatPr defaultColWidth="9.140625" defaultRowHeight="12.75"/>
  <cols>
    <col min="1" max="1" width="14.57421875" style="0" customWidth="1"/>
    <col min="2" max="2" width="48.140625" style="0" customWidth="1"/>
    <col min="3" max="3" width="26.00390625" style="0" customWidth="1"/>
  </cols>
  <sheetData>
    <row r="1" spans="1:3" ht="12.75">
      <c r="A1" s="12"/>
      <c r="B1" s="12"/>
      <c r="C1" s="12"/>
    </row>
    <row r="2" spans="1:3" ht="20.25" customHeight="1">
      <c r="A2" s="380" t="s">
        <v>161</v>
      </c>
      <c r="B2" s="380"/>
      <c r="C2" s="380"/>
    </row>
    <row r="3" spans="1:3" ht="12.75" customHeight="1">
      <c r="A3" s="381" t="s">
        <v>37</v>
      </c>
      <c r="B3" s="381"/>
      <c r="C3" s="381"/>
    </row>
    <row r="4" spans="1:3" ht="12.75" customHeight="1">
      <c r="A4" s="381"/>
      <c r="B4" s="381"/>
      <c r="C4" s="381"/>
    </row>
    <row r="5" spans="1:3" ht="12.75">
      <c r="A5" s="383" t="s">
        <v>162</v>
      </c>
      <c r="B5" s="382" t="s">
        <v>163</v>
      </c>
      <c r="C5" s="51" t="s">
        <v>445</v>
      </c>
    </row>
    <row r="6" spans="1:3" ht="14.25" customHeight="1">
      <c r="A6" s="383"/>
      <c r="B6" s="382"/>
      <c r="C6" s="13" t="s">
        <v>446</v>
      </c>
    </row>
    <row r="7" spans="1:3" ht="12.75">
      <c r="A7" s="383"/>
      <c r="B7" s="382"/>
      <c r="C7" s="51"/>
    </row>
    <row r="8" spans="1:3" ht="15.75">
      <c r="A8" s="14" t="s">
        <v>19</v>
      </c>
      <c r="B8" s="14" t="s">
        <v>1</v>
      </c>
      <c r="C8" s="15" t="s">
        <v>38</v>
      </c>
    </row>
    <row r="9" spans="1:3" ht="12.75" customHeight="1">
      <c r="A9" s="371" t="str">
        <f>'ORÇA '!A7</f>
        <v>1.0</v>
      </c>
      <c r="B9" s="384" t="str">
        <f>'ORÇA '!D7</f>
        <v>SERVIÇOS PRELIMINARES</v>
      </c>
      <c r="C9" s="387">
        <f>'ORÇA '!K11</f>
        <v>30329.4</v>
      </c>
    </row>
    <row r="10" spans="1:3" ht="14.25" customHeight="1">
      <c r="A10" s="372"/>
      <c r="B10" s="385"/>
      <c r="C10" s="388"/>
    </row>
    <row r="11" spans="1:3" ht="12.75">
      <c r="A11" s="373"/>
      <c r="B11" s="386"/>
      <c r="C11" s="389"/>
    </row>
    <row r="12" spans="1:3" ht="12.75">
      <c r="A12" s="371" t="str">
        <f>'ORÇA '!A13</f>
        <v>2.0</v>
      </c>
      <c r="B12" s="393" t="str">
        <f>'ORÇA '!D13</f>
        <v>ADMINISTRAÇÃO LOCAL</v>
      </c>
      <c r="C12" s="394">
        <f>'ORÇA '!K19</f>
        <v>53995.12</v>
      </c>
    </row>
    <row r="13" spans="1:3" ht="12.75">
      <c r="A13" s="372"/>
      <c r="B13" s="385"/>
      <c r="C13" s="395"/>
    </row>
    <row r="14" spans="1:3" ht="12.75">
      <c r="A14" s="373"/>
      <c r="B14" s="385"/>
      <c r="C14" s="396"/>
    </row>
    <row r="15" spans="1:3" ht="12.75">
      <c r="A15" s="371" t="str">
        <f>'ORÇA '!A21</f>
        <v>3.0</v>
      </c>
      <c r="B15" s="393" t="str">
        <f>'ORÇA '!D21</f>
        <v>ENSAIOS TECNOLÓGICOS DE SOLO E ASFALTO</v>
      </c>
      <c r="C15" s="394">
        <f>'ORÇA '!K27</f>
        <v>27261.43</v>
      </c>
    </row>
    <row r="16" spans="1:3" ht="12.75">
      <c r="A16" s="372"/>
      <c r="B16" s="385"/>
      <c r="C16" s="395"/>
    </row>
    <row r="17" spans="1:3" ht="12.75">
      <c r="A17" s="373"/>
      <c r="B17" s="386"/>
      <c r="C17" s="396"/>
    </row>
    <row r="18" spans="1:3" ht="12.75" customHeight="1">
      <c r="A18" s="371" t="str">
        <f>'ORÇA '!A29</f>
        <v>4.0</v>
      </c>
      <c r="B18" s="384" t="str">
        <f>'ORÇA '!D29</f>
        <v>TERRAPLENAGEM</v>
      </c>
      <c r="C18" s="47"/>
    </row>
    <row r="19" spans="1:3" ht="14.25">
      <c r="A19" s="372"/>
      <c r="B19" s="385"/>
      <c r="C19" s="45">
        <f>'ORÇA '!K35</f>
        <v>65932.57999999999</v>
      </c>
    </row>
    <row r="20" spans="1:3" ht="12.75">
      <c r="A20" s="373"/>
      <c r="B20" s="386"/>
      <c r="C20" s="46"/>
    </row>
    <row r="21" spans="1:3" ht="12.75" customHeight="1">
      <c r="A21" s="371" t="str">
        <f>'ORÇA '!A37</f>
        <v>5.0</v>
      </c>
      <c r="B21" s="384" t="str">
        <f>'ORÇA '!D37</f>
        <v>PAVIMENTAÇÃO</v>
      </c>
      <c r="C21" s="44"/>
    </row>
    <row r="22" spans="1:3" ht="14.25">
      <c r="A22" s="372"/>
      <c r="B22" s="390"/>
      <c r="C22" s="45">
        <f>'ORÇA '!K47</f>
        <v>358807.83</v>
      </c>
    </row>
    <row r="23" spans="1:3" ht="12.75" customHeight="1">
      <c r="A23" s="373"/>
      <c r="B23" s="391"/>
      <c r="C23" s="46"/>
    </row>
    <row r="24" spans="1:3" ht="12.75" customHeight="1">
      <c r="A24" s="371" t="str">
        <f>'ORÇA '!A49</f>
        <v>6.0</v>
      </c>
      <c r="B24" s="384" t="str">
        <f>'ORÇA '!D49</f>
        <v>SINALIZAÇÃO HORIZONTAL/VERTICAL</v>
      </c>
      <c r="C24" s="48"/>
    </row>
    <row r="25" spans="1:3" ht="14.25">
      <c r="A25" s="372"/>
      <c r="B25" s="390"/>
      <c r="C25" s="45">
        <f>'ORÇA '!K52</f>
        <v>1553.69</v>
      </c>
    </row>
    <row r="26" spans="1:3" ht="12.75" customHeight="1">
      <c r="A26" s="373"/>
      <c r="B26" s="391"/>
      <c r="C26" s="46"/>
    </row>
    <row r="27" spans="1:3" ht="12.75" customHeight="1">
      <c r="A27" s="371" t="str">
        <f>'ORÇA '!A54</f>
        <v>7.0</v>
      </c>
      <c r="B27" s="109"/>
      <c r="C27" s="47"/>
    </row>
    <row r="28" spans="1:3" ht="12.75" customHeight="1">
      <c r="A28" s="372"/>
      <c r="B28" s="109" t="str">
        <f>'ORÇA '!D54</f>
        <v>OBRAS COMPLEMENTARES</v>
      </c>
      <c r="C28" s="47">
        <f>'ORÇA '!K56</f>
        <v>65631.16</v>
      </c>
    </row>
    <row r="29" spans="1:3" ht="12.75" customHeight="1">
      <c r="A29" s="373"/>
      <c r="B29" s="109"/>
      <c r="C29" s="47"/>
    </row>
    <row r="30" spans="1:3" ht="12.75" customHeight="1" hidden="1">
      <c r="A30" s="371" t="str">
        <f>'ORÇA '!A58</f>
        <v>8.0</v>
      </c>
      <c r="B30" s="384" t="str">
        <f>'ORÇA '!D58</f>
        <v>DRENAGEM</v>
      </c>
      <c r="C30" s="44"/>
    </row>
    <row r="31" spans="1:3" ht="12.75" customHeight="1" hidden="1">
      <c r="A31" s="372"/>
      <c r="B31" s="385"/>
      <c r="C31" s="45">
        <f>'ORÇA '!K68</f>
        <v>1972.82</v>
      </c>
    </row>
    <row r="32" spans="1:3" ht="12.75" customHeight="1" hidden="1">
      <c r="A32" s="373"/>
      <c r="B32" s="386"/>
      <c r="C32" s="46"/>
    </row>
    <row r="33" spans="1:3" ht="12.75" customHeight="1" hidden="1">
      <c r="A33" s="371" t="str">
        <f>'ORÇA '!A70</f>
        <v>9.0</v>
      </c>
      <c r="B33" s="377" t="str">
        <f>'ORÇA '!D70</f>
        <v>FORNECIMENTO/ASSENTAMENTO DE TUBOS TIPO PA-1 e PA-2</v>
      </c>
      <c r="C33" s="44"/>
    </row>
    <row r="34" spans="1:3" ht="12.75" customHeight="1" hidden="1">
      <c r="A34" s="372"/>
      <c r="B34" s="378"/>
      <c r="C34" s="45">
        <f>'ORÇA '!K72</f>
        <v>0</v>
      </c>
    </row>
    <row r="35" spans="1:3" ht="12.75" customHeight="1" hidden="1">
      <c r="A35" s="373"/>
      <c r="B35" s="379"/>
      <c r="C35" s="46"/>
    </row>
    <row r="36" spans="1:3" ht="12.75" customHeight="1" hidden="1">
      <c r="A36" s="371" t="str">
        <f>'ORÇA '!A74</f>
        <v>10.0</v>
      </c>
      <c r="B36" s="377" t="str">
        <f>'ORÇA '!D74</f>
        <v>ASSENTAMENTO E REJUNTAMENTO DE TUBO DE CONCRETO </v>
      </c>
      <c r="C36" s="44"/>
    </row>
    <row r="37" spans="1:3" ht="12.75" customHeight="1" hidden="1">
      <c r="A37" s="372"/>
      <c r="B37" s="378"/>
      <c r="C37" s="45">
        <f>'ORÇA '!K76</f>
        <v>0</v>
      </c>
    </row>
    <row r="38" spans="1:3" ht="12.75" customHeight="1" hidden="1">
      <c r="A38" s="373"/>
      <c r="B38" s="379"/>
      <c r="C38" s="46"/>
    </row>
    <row r="39" spans="1:3" ht="12.75" customHeight="1" hidden="1">
      <c r="A39" s="371" t="str">
        <f>'ORÇA '!A78</f>
        <v>11.0</v>
      </c>
      <c r="B39" s="392" t="str">
        <f>'ORÇA '!D78</f>
        <v>ÓRGÃOS ACESSÓRIOS</v>
      </c>
      <c r="C39" s="44"/>
    </row>
    <row r="40" spans="1:3" ht="14.25" hidden="1">
      <c r="A40" s="372"/>
      <c r="B40" s="385"/>
      <c r="C40" s="45">
        <f>'ORÇA '!K83</f>
        <v>0</v>
      </c>
    </row>
    <row r="41" spans="1:3" ht="12.75" hidden="1">
      <c r="A41" s="373"/>
      <c r="B41" s="386"/>
      <c r="C41" s="46"/>
    </row>
    <row r="42" spans="1:3" ht="12.75" hidden="1">
      <c r="A42" s="17"/>
      <c r="B42" s="16"/>
      <c r="C42" s="18"/>
    </row>
    <row r="43" spans="1:3" ht="12.75">
      <c r="A43" s="363" t="s">
        <v>40</v>
      </c>
      <c r="B43" s="364"/>
      <c r="C43" s="44"/>
    </row>
    <row r="44" spans="1:3" ht="15.75">
      <c r="A44" s="365"/>
      <c r="B44" s="366"/>
      <c r="C44" s="49">
        <f>SUM(C9:C41)</f>
        <v>605484.0299999999</v>
      </c>
    </row>
    <row r="45" spans="1:3" ht="12.75">
      <c r="A45" s="367"/>
      <c r="B45" s="368"/>
      <c r="C45" s="46"/>
    </row>
    <row r="46" spans="1:3" ht="15.75">
      <c r="A46" s="369" t="s">
        <v>51</v>
      </c>
      <c r="B46" s="370"/>
      <c r="C46" s="26">
        <f>'TERRAP E PAVIM'!V24</f>
        <v>5403.22</v>
      </c>
    </row>
    <row r="47" spans="1:3" ht="15.75">
      <c r="A47" s="369" t="s">
        <v>389</v>
      </c>
      <c r="B47" s="370"/>
      <c r="C47" s="19">
        <f>C44/C46</f>
        <v>112.05985134789994</v>
      </c>
    </row>
    <row r="48" spans="1:3" ht="15.75">
      <c r="A48" s="153"/>
      <c r="B48" s="155"/>
      <c r="C48" s="156"/>
    </row>
    <row r="49" spans="1:3" ht="12.75">
      <c r="A49" s="51" t="s">
        <v>261</v>
      </c>
      <c r="B49" s="376" t="s">
        <v>440</v>
      </c>
      <c r="C49" s="376"/>
    </row>
    <row r="50" spans="1:3" ht="25.5" customHeight="1">
      <c r="A50" s="248" t="s">
        <v>41</v>
      </c>
      <c r="B50" s="374" t="s">
        <v>441</v>
      </c>
      <c r="C50" s="375"/>
    </row>
    <row r="51" spans="1:3" ht="12.75">
      <c r="A51" s="20" t="s">
        <v>46</v>
      </c>
      <c r="B51" s="361" t="s">
        <v>47</v>
      </c>
      <c r="C51" s="362"/>
    </row>
  </sheetData>
  <sheetProtection/>
  <mergeCells count="34">
    <mergeCell ref="B21:B23"/>
    <mergeCell ref="A12:A14"/>
    <mergeCell ref="B12:B14"/>
    <mergeCell ref="C12:C14"/>
    <mergeCell ref="A15:A17"/>
    <mergeCell ref="B15:B17"/>
    <mergeCell ref="C15:C17"/>
    <mergeCell ref="B24:B26"/>
    <mergeCell ref="A39:A41"/>
    <mergeCell ref="B39:B41"/>
    <mergeCell ref="A18:A20"/>
    <mergeCell ref="A30:A32"/>
    <mergeCell ref="B30:B32"/>
    <mergeCell ref="A33:A35"/>
    <mergeCell ref="B36:B38"/>
    <mergeCell ref="B18:B20"/>
    <mergeCell ref="A21:A23"/>
    <mergeCell ref="A2:C2"/>
    <mergeCell ref="A3:C4"/>
    <mergeCell ref="B5:B7"/>
    <mergeCell ref="A5:A7"/>
    <mergeCell ref="A9:A11"/>
    <mergeCell ref="B9:B11"/>
    <mergeCell ref="C9:C11"/>
    <mergeCell ref="B51:C51"/>
    <mergeCell ref="A43:B45"/>
    <mergeCell ref="A46:B46"/>
    <mergeCell ref="A24:A26"/>
    <mergeCell ref="A27:A29"/>
    <mergeCell ref="A47:B47"/>
    <mergeCell ref="B50:C50"/>
    <mergeCell ref="B49:C49"/>
    <mergeCell ref="B33:B35"/>
    <mergeCell ref="A36:A38"/>
  </mergeCells>
  <printOptions horizontalCentered="1"/>
  <pageMargins left="0.5118110236220472" right="0.5118110236220472" top="0.7874015748031497" bottom="0.7874015748031497" header="0.31496062992125984" footer="0.31496062992125984"/>
  <pageSetup horizontalDpi="1200" verticalDpi="1200" orientation="portrait" paperSize="9" scale="10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="85" zoomScaleSheetLayoutView="85" zoomScalePageLayoutView="0" workbookViewId="0" topLeftCell="A5">
      <selection activeCell="E25" sqref="E25:E26"/>
    </sheetView>
  </sheetViews>
  <sheetFormatPr defaultColWidth="9.140625" defaultRowHeight="12.75"/>
  <cols>
    <col min="1" max="1" width="8.00390625" style="0" customWidth="1"/>
    <col min="2" max="2" width="37.421875" style="0" customWidth="1"/>
    <col min="3" max="3" width="8.8515625" style="0" customWidth="1"/>
    <col min="4" max="4" width="8.00390625" style="0" customWidth="1"/>
    <col min="5" max="5" width="15.7109375" style="0" customWidth="1"/>
    <col min="6" max="6" width="8.00390625" style="0" customWidth="1"/>
    <col min="7" max="8" width="15.57421875" style="0" customWidth="1"/>
    <col min="9" max="9" width="23.421875" style="0" customWidth="1"/>
  </cols>
  <sheetData>
    <row r="1" spans="1:9" ht="15">
      <c r="A1" s="662" t="s">
        <v>187</v>
      </c>
      <c r="B1" s="663"/>
      <c r="C1" s="663"/>
      <c r="D1" s="664"/>
      <c r="E1" s="665"/>
      <c r="F1" s="665"/>
      <c r="G1" s="664"/>
      <c r="H1" s="665"/>
      <c r="I1" s="666"/>
    </row>
    <row r="2" spans="1:9" ht="15">
      <c r="A2" s="667" t="str">
        <f>QUANT!E3</f>
        <v>JARDIM ESMERALDA</v>
      </c>
      <c r="B2" s="668"/>
      <c r="C2" s="668"/>
      <c r="D2" s="669"/>
      <c r="E2" s="670"/>
      <c r="F2" s="670"/>
      <c r="G2" s="669"/>
      <c r="H2" s="670"/>
      <c r="I2" s="671"/>
    </row>
    <row r="3" spans="1:9" ht="33" customHeight="1">
      <c r="A3" s="704" t="str">
        <f>'MEMORIAL DE CALCULO'!A2</f>
        <v>RUA CHAPADA DOS GUIMARÃES(DOURADO), RUA JANGADA, RUA N. SRA DO LIVRAMENTO, RUA BARÃO DE MELGAÇO E RUA ROSÁRIO OESTE </v>
      </c>
      <c r="B3" s="705"/>
      <c r="C3" s="705"/>
      <c r="D3" s="705"/>
      <c r="E3" s="705"/>
      <c r="F3" s="705"/>
      <c r="G3" s="705"/>
      <c r="H3" s="705"/>
      <c r="I3" s="706"/>
    </row>
    <row r="4" spans="1:9" ht="12.75">
      <c r="A4" s="710"/>
      <c r="B4" s="670"/>
      <c r="C4" s="670"/>
      <c r="D4" s="669"/>
      <c r="E4" s="670"/>
      <c r="F4" s="670"/>
      <c r="G4" s="669"/>
      <c r="H4" s="670"/>
      <c r="I4" s="671"/>
    </row>
    <row r="5" spans="1:11" ht="13.5" thickBot="1">
      <c r="A5" s="707" t="s">
        <v>186</v>
      </c>
      <c r="B5" s="651"/>
      <c r="C5" s="651"/>
      <c r="D5" s="708"/>
      <c r="E5" s="651"/>
      <c r="F5" s="651"/>
      <c r="G5" s="708">
        <v>9.7</v>
      </c>
      <c r="H5" s="651"/>
      <c r="I5" s="709"/>
      <c r="J5" s="326"/>
      <c r="K5" s="326"/>
    </row>
    <row r="6" spans="1:11" ht="16.5" customHeight="1">
      <c r="A6" s="656" t="s">
        <v>170</v>
      </c>
      <c r="B6" s="657"/>
      <c r="C6" s="657"/>
      <c r="D6" s="657"/>
      <c r="E6" s="657"/>
      <c r="F6" s="657"/>
      <c r="G6" s="657"/>
      <c r="H6" s="657"/>
      <c r="I6" s="658"/>
      <c r="J6" s="326"/>
      <c r="K6" s="326"/>
    </row>
    <row r="7" spans="1:11" ht="16.5" customHeight="1" thickBot="1">
      <c r="A7" s="659"/>
      <c r="B7" s="660"/>
      <c r="C7" s="660"/>
      <c r="D7" s="660"/>
      <c r="E7" s="660"/>
      <c r="F7" s="660"/>
      <c r="G7" s="660"/>
      <c r="H7" s="660"/>
      <c r="I7" s="661"/>
      <c r="J7" s="326">
        <v>6.8</v>
      </c>
      <c r="K7" s="326"/>
    </row>
    <row r="8" spans="1:11" ht="15">
      <c r="A8" s="645" t="s">
        <v>42</v>
      </c>
      <c r="B8" s="647" t="s">
        <v>1</v>
      </c>
      <c r="C8" s="648"/>
      <c r="D8" s="649"/>
      <c r="E8" s="334" t="s">
        <v>171</v>
      </c>
      <c r="F8" s="334" t="s">
        <v>172</v>
      </c>
      <c r="G8" s="334" t="s">
        <v>173</v>
      </c>
      <c r="H8" s="334" t="s">
        <v>174</v>
      </c>
      <c r="I8" s="335" t="s">
        <v>175</v>
      </c>
      <c r="J8" s="326"/>
      <c r="K8" s="326"/>
    </row>
    <row r="9" spans="1:11" ht="15.75" thickBot="1">
      <c r="A9" s="646"/>
      <c r="B9" s="650"/>
      <c r="C9" s="651"/>
      <c r="D9" s="652"/>
      <c r="E9" s="336" t="s">
        <v>176</v>
      </c>
      <c r="F9" s="336" t="s">
        <v>177</v>
      </c>
      <c r="G9" s="336" t="s">
        <v>177</v>
      </c>
      <c r="H9" s="336" t="s">
        <v>177</v>
      </c>
      <c r="I9" s="337" t="s">
        <v>177</v>
      </c>
      <c r="J9" s="326">
        <v>45.7</v>
      </c>
      <c r="K9" s="326"/>
    </row>
    <row r="10" spans="1:11" ht="15">
      <c r="A10" s="93" t="s">
        <v>56</v>
      </c>
      <c r="B10" s="653" t="s">
        <v>178</v>
      </c>
      <c r="C10" s="654"/>
      <c r="D10" s="655"/>
      <c r="E10" s="338">
        <f>SUM(E11:E14)</f>
        <v>5.63</v>
      </c>
      <c r="F10" s="338"/>
      <c r="G10" s="339"/>
      <c r="H10" s="340"/>
      <c r="I10" s="341"/>
      <c r="J10" s="326"/>
      <c r="K10" s="326"/>
    </row>
    <row r="11" spans="1:11" ht="15">
      <c r="A11" s="76" t="s">
        <v>57</v>
      </c>
      <c r="B11" s="672" t="s">
        <v>179</v>
      </c>
      <c r="C11" s="673"/>
      <c r="D11" s="674"/>
      <c r="E11" s="342">
        <v>3.45</v>
      </c>
      <c r="F11" s="342"/>
      <c r="G11" s="342"/>
      <c r="H11" s="343"/>
      <c r="I11" s="344"/>
      <c r="J11" s="326">
        <v>26</v>
      </c>
      <c r="K11" s="326"/>
    </row>
    <row r="12" spans="1:11" ht="15">
      <c r="A12" s="76" t="s">
        <v>58</v>
      </c>
      <c r="B12" s="345" t="s">
        <v>251</v>
      </c>
      <c r="C12" s="346"/>
      <c r="D12" s="347"/>
      <c r="E12" s="342">
        <v>0.48</v>
      </c>
      <c r="F12" s="342"/>
      <c r="G12" s="342"/>
      <c r="H12" s="343"/>
      <c r="I12" s="344"/>
      <c r="J12" s="326"/>
      <c r="K12" s="326"/>
    </row>
    <row r="13" spans="1:11" ht="15">
      <c r="A13" s="76" t="s">
        <v>180</v>
      </c>
      <c r="B13" s="672" t="s">
        <v>168</v>
      </c>
      <c r="C13" s="673"/>
      <c r="D13" s="674"/>
      <c r="E13" s="342">
        <v>0.85</v>
      </c>
      <c r="F13" s="342"/>
      <c r="G13" s="342"/>
      <c r="H13" s="343"/>
      <c r="I13" s="344"/>
      <c r="J13" s="326"/>
      <c r="K13" s="326"/>
    </row>
    <row r="14" spans="1:11" ht="15">
      <c r="A14" s="76" t="s">
        <v>250</v>
      </c>
      <c r="B14" s="672" t="s">
        <v>167</v>
      </c>
      <c r="C14" s="673"/>
      <c r="D14" s="674"/>
      <c r="E14" s="342">
        <v>0.85</v>
      </c>
      <c r="F14" s="342"/>
      <c r="G14" s="342"/>
      <c r="H14" s="343"/>
      <c r="I14" s="344"/>
      <c r="J14" s="326"/>
      <c r="K14" s="326"/>
    </row>
    <row r="15" spans="1:9" ht="15">
      <c r="A15" s="77"/>
      <c r="B15" s="675"/>
      <c r="C15" s="676"/>
      <c r="D15" s="677"/>
      <c r="E15" s="78"/>
      <c r="F15" s="79"/>
      <c r="G15" s="78"/>
      <c r="H15" s="80"/>
      <c r="I15" s="81"/>
    </row>
    <row r="16" spans="1:9" ht="15">
      <c r="A16" s="71" t="s">
        <v>43</v>
      </c>
      <c r="B16" s="678" t="s">
        <v>181</v>
      </c>
      <c r="C16" s="679"/>
      <c r="D16" s="680"/>
      <c r="E16" s="72">
        <f>E17</f>
        <v>5.11</v>
      </c>
      <c r="F16" s="72"/>
      <c r="G16" s="73"/>
      <c r="H16" s="74"/>
      <c r="I16" s="75"/>
    </row>
    <row r="17" spans="1:9" ht="15">
      <c r="A17" s="76" t="s">
        <v>54</v>
      </c>
      <c r="B17" s="681" t="s">
        <v>182</v>
      </c>
      <c r="C17" s="679"/>
      <c r="D17" s="680"/>
      <c r="E17" s="73">
        <v>5.11</v>
      </c>
      <c r="F17" s="73"/>
      <c r="G17" s="73"/>
      <c r="H17" s="74"/>
      <c r="I17" s="75"/>
    </row>
    <row r="18" spans="1:9" ht="15">
      <c r="A18" s="82"/>
      <c r="B18" s="682"/>
      <c r="C18" s="683"/>
      <c r="D18" s="684"/>
      <c r="E18" s="83"/>
      <c r="F18" s="84"/>
      <c r="G18" s="83"/>
      <c r="H18" s="85"/>
      <c r="I18" s="86"/>
    </row>
    <row r="19" spans="1:9" ht="15">
      <c r="A19" s="71" t="s">
        <v>44</v>
      </c>
      <c r="B19" s="678" t="s">
        <v>183</v>
      </c>
      <c r="C19" s="679"/>
      <c r="D19" s="680"/>
      <c r="E19" s="72">
        <f>E20+E21+E23+E22</f>
        <v>3.65</v>
      </c>
      <c r="F19" s="72"/>
      <c r="G19" s="73"/>
      <c r="H19" s="87"/>
      <c r="I19" s="75"/>
    </row>
    <row r="20" spans="1:9" ht="15">
      <c r="A20" s="76" t="s">
        <v>52</v>
      </c>
      <c r="B20" s="681" t="s">
        <v>252</v>
      </c>
      <c r="C20" s="679"/>
      <c r="D20" s="680"/>
      <c r="E20" s="96">
        <v>0.65</v>
      </c>
      <c r="F20" s="73"/>
      <c r="G20" s="73"/>
      <c r="H20" s="87"/>
      <c r="I20" s="75"/>
    </row>
    <row r="21" spans="1:9" ht="15">
      <c r="A21" s="76" t="s">
        <v>45</v>
      </c>
      <c r="B21" s="681" t="s">
        <v>253</v>
      </c>
      <c r="C21" s="679"/>
      <c r="D21" s="680"/>
      <c r="E21" s="73">
        <v>3</v>
      </c>
      <c r="F21" s="73"/>
      <c r="G21" s="73"/>
      <c r="H21" s="87"/>
      <c r="I21" s="75"/>
    </row>
    <row r="22" spans="1:9" ht="15">
      <c r="A22" s="76" t="s">
        <v>94</v>
      </c>
      <c r="B22" s="681" t="s">
        <v>254</v>
      </c>
      <c r="C22" s="685"/>
      <c r="D22" s="686"/>
      <c r="E22" s="73">
        <v>0</v>
      </c>
      <c r="F22" s="73"/>
      <c r="G22" s="73"/>
      <c r="H22" s="87"/>
      <c r="I22" s="75"/>
    </row>
    <row r="23" spans="1:9" ht="15">
      <c r="A23" s="76" t="s">
        <v>95</v>
      </c>
      <c r="B23" s="681" t="s">
        <v>169</v>
      </c>
      <c r="C23" s="679"/>
      <c r="D23" s="680"/>
      <c r="E23" s="73">
        <v>0</v>
      </c>
      <c r="F23" s="73"/>
      <c r="G23" s="73"/>
      <c r="H23" s="74"/>
      <c r="I23" s="75"/>
    </row>
    <row r="24" spans="1:9" ht="12.75">
      <c r="A24" s="76"/>
      <c r="B24" s="678" t="s">
        <v>184</v>
      </c>
      <c r="C24" s="679"/>
      <c r="D24" s="680"/>
      <c r="E24" s="88"/>
      <c r="F24" s="88"/>
      <c r="G24" s="89"/>
      <c r="H24" s="90"/>
      <c r="I24" s="91"/>
    </row>
    <row r="25" spans="1:9" ht="12.75" customHeight="1">
      <c r="A25" s="687" t="s">
        <v>185</v>
      </c>
      <c r="B25" s="688"/>
      <c r="C25" s="688"/>
      <c r="D25" s="689"/>
      <c r="E25" s="693">
        <f>TRUNC(((((1+((E11+E12+E13)/100))*(1+((E14)/100))*(1+((E16/100)))/(1-((E20+E21+E22+E23)/100)))-1)),4)</f>
        <v>0.1527</v>
      </c>
      <c r="F25" s="695"/>
      <c r="G25" s="695"/>
      <c r="H25" s="695"/>
      <c r="I25" s="697">
        <f>'ORÇA '!K77</f>
        <v>0</v>
      </c>
    </row>
    <row r="26" spans="1:9" ht="23.25" customHeight="1" thickBot="1">
      <c r="A26" s="690"/>
      <c r="B26" s="691"/>
      <c r="C26" s="691"/>
      <c r="D26" s="692"/>
      <c r="E26" s="711"/>
      <c r="F26" s="696"/>
      <c r="G26" s="696"/>
      <c r="H26" s="696"/>
      <c r="I26" s="698"/>
    </row>
    <row r="27" spans="1:9" ht="12.75">
      <c r="A27" s="143"/>
      <c r="B27" s="144"/>
      <c r="C27" s="145"/>
      <c r="D27" s="145"/>
      <c r="E27" s="144"/>
      <c r="F27" s="146"/>
      <c r="G27" s="147"/>
      <c r="H27" s="147"/>
      <c r="I27" s="148"/>
    </row>
    <row r="28" spans="1:9" ht="12.75" customHeight="1">
      <c r="A28" s="94" t="s">
        <v>255</v>
      </c>
      <c r="B28" s="149"/>
      <c r="C28" s="92"/>
      <c r="D28" s="92"/>
      <c r="E28" s="92"/>
      <c r="F28" s="133"/>
      <c r="G28" s="136"/>
      <c r="H28" s="134"/>
      <c r="I28" s="135"/>
    </row>
    <row r="29" spans="1:9" ht="12.75">
      <c r="A29" s="94"/>
      <c r="B29" s="92"/>
      <c r="C29" s="131"/>
      <c r="D29" s="131"/>
      <c r="E29" s="92"/>
      <c r="F29" s="133"/>
      <c r="G29" s="134"/>
      <c r="H29" s="134"/>
      <c r="I29" s="135"/>
    </row>
    <row r="30" spans="1:9" ht="15.75">
      <c r="A30" s="94"/>
      <c r="B30" s="92"/>
      <c r="C30" s="92"/>
      <c r="D30" s="92"/>
      <c r="E30" s="92"/>
      <c r="F30" s="133"/>
      <c r="G30" s="699"/>
      <c r="H30" s="699"/>
      <c r="I30" s="137"/>
    </row>
    <row r="31" spans="1:9" ht="15.75">
      <c r="A31" s="94"/>
      <c r="B31" s="700"/>
      <c r="C31" s="670"/>
      <c r="D31" s="670"/>
      <c r="E31" s="670"/>
      <c r="F31" s="138"/>
      <c r="G31" s="699"/>
      <c r="H31" s="699"/>
      <c r="I31" s="137"/>
    </row>
    <row r="32" spans="1:9" ht="15.75">
      <c r="A32" s="94"/>
      <c r="B32" s="670"/>
      <c r="C32" s="670"/>
      <c r="D32" s="670"/>
      <c r="E32" s="670"/>
      <c r="F32" s="133"/>
      <c r="G32" s="699"/>
      <c r="H32" s="699"/>
      <c r="I32" s="137"/>
    </row>
    <row r="33" spans="1:9" ht="15.75">
      <c r="A33" s="94"/>
      <c r="B33" s="702"/>
      <c r="C33" s="670"/>
      <c r="D33" s="670"/>
      <c r="E33" s="670"/>
      <c r="F33" s="133"/>
      <c r="G33" s="699"/>
      <c r="H33" s="701"/>
      <c r="I33" s="137"/>
    </row>
    <row r="34" spans="1:9" ht="13.5" thickBot="1">
      <c r="A34" s="95"/>
      <c r="B34" s="703"/>
      <c r="C34" s="703"/>
      <c r="D34" s="703"/>
      <c r="E34" s="703"/>
      <c r="F34" s="139"/>
      <c r="G34" s="140"/>
      <c r="H34" s="141"/>
      <c r="I34" s="142"/>
    </row>
  </sheetData>
  <sheetProtection/>
  <mergeCells count="42">
    <mergeCell ref="A6:I7"/>
    <mergeCell ref="A8:A9"/>
    <mergeCell ref="B8:D9"/>
    <mergeCell ref="A3:I3"/>
    <mergeCell ref="A1:C1"/>
    <mergeCell ref="D1:F1"/>
    <mergeCell ref="G1:I1"/>
    <mergeCell ref="A2:C2"/>
    <mergeCell ref="D2:F2"/>
    <mergeCell ref="G2:I2"/>
    <mergeCell ref="A4:C4"/>
    <mergeCell ref="D4:F4"/>
    <mergeCell ref="G4:I4"/>
    <mergeCell ref="A5:C5"/>
    <mergeCell ref="D5:F5"/>
    <mergeCell ref="G5:I5"/>
    <mergeCell ref="B10:D10"/>
    <mergeCell ref="B11:D11"/>
    <mergeCell ref="B13:D13"/>
    <mergeCell ref="B15:D15"/>
    <mergeCell ref="B16:D16"/>
    <mergeCell ref="B17:D17"/>
    <mergeCell ref="B14:D14"/>
    <mergeCell ref="B18:D18"/>
    <mergeCell ref="B19:D19"/>
    <mergeCell ref="B23:D23"/>
    <mergeCell ref="B20:D20"/>
    <mergeCell ref="B21:D21"/>
    <mergeCell ref="B22:D22"/>
    <mergeCell ref="B24:D24"/>
    <mergeCell ref="A25:D26"/>
    <mergeCell ref="G25:G26"/>
    <mergeCell ref="H25:H26"/>
    <mergeCell ref="I25:I26"/>
    <mergeCell ref="E25:E26"/>
    <mergeCell ref="F25:F26"/>
    <mergeCell ref="G30:G31"/>
    <mergeCell ref="H30:H31"/>
    <mergeCell ref="B31:E32"/>
    <mergeCell ref="G32:G33"/>
    <mergeCell ref="H32:H33"/>
    <mergeCell ref="B33:E34"/>
  </mergeCells>
  <printOptions/>
  <pageMargins left="0.511811024" right="0.511811024" top="0.787401575" bottom="0.787401575" header="0.31496062" footer="0.31496062"/>
  <pageSetup orientation="portrait" paperSize="9" scale="6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5:K14"/>
  <sheetViews>
    <sheetView zoomScalePageLayoutView="0" workbookViewId="0" topLeftCell="A1">
      <selection activeCell="W45" sqref="W45:X47"/>
    </sheetView>
  </sheetViews>
  <sheetFormatPr defaultColWidth="9.140625" defaultRowHeight="12.75"/>
  <cols>
    <col min="1" max="1" width="35.00390625" style="0" customWidth="1"/>
    <col min="2" max="2" width="3.7109375" style="0" customWidth="1"/>
    <col min="3" max="3" width="2.7109375" style="0" customWidth="1"/>
    <col min="4" max="4" width="6.57421875" style="0" customWidth="1"/>
    <col min="5" max="5" width="4.7109375" style="0" customWidth="1"/>
    <col min="6" max="6" width="2.7109375" style="0" customWidth="1"/>
    <col min="7" max="7" width="5.7109375" style="0" customWidth="1"/>
    <col min="8" max="9" width="11.7109375" style="0" customWidth="1"/>
    <col min="10" max="10" width="11.00390625" style="0" customWidth="1"/>
    <col min="11" max="11" width="35.57421875" style="0" customWidth="1"/>
  </cols>
  <sheetData>
    <row r="5" spans="2:11" ht="12.75">
      <c r="B5" s="326"/>
      <c r="C5" s="326"/>
      <c r="D5" s="326"/>
      <c r="E5" s="326"/>
      <c r="F5" s="326"/>
      <c r="G5" s="326">
        <v>9.7</v>
      </c>
      <c r="H5" s="326"/>
      <c r="I5" s="326"/>
      <c r="J5" s="326"/>
      <c r="K5" s="326"/>
    </row>
    <row r="6" spans="2:11" ht="12.75">
      <c r="B6" s="326"/>
      <c r="C6" s="326"/>
      <c r="D6" s="326"/>
      <c r="E6" s="326"/>
      <c r="F6" s="326"/>
      <c r="G6" s="326"/>
      <c r="H6" s="326"/>
      <c r="I6" s="326"/>
      <c r="J6" s="326"/>
      <c r="K6" s="326"/>
    </row>
    <row r="7" spans="2:11" ht="12.75">
      <c r="B7" s="326"/>
      <c r="C7" s="326"/>
      <c r="D7" s="326"/>
      <c r="E7" s="326"/>
      <c r="F7" s="326"/>
      <c r="G7" s="326"/>
      <c r="H7" s="326"/>
      <c r="I7" s="326"/>
      <c r="J7" s="326">
        <v>6.8</v>
      </c>
      <c r="K7" s="326"/>
    </row>
    <row r="8" spans="2:11" ht="12.75">
      <c r="B8" s="326"/>
      <c r="C8" s="326"/>
      <c r="D8" s="326"/>
      <c r="E8" s="326"/>
      <c r="F8" s="326"/>
      <c r="G8" s="326"/>
      <c r="H8" s="326"/>
      <c r="I8" s="326"/>
      <c r="J8" s="326"/>
      <c r="K8" s="326"/>
    </row>
    <row r="9" spans="2:11" ht="12.75">
      <c r="B9" s="326"/>
      <c r="C9" s="326"/>
      <c r="D9" s="326"/>
      <c r="E9" s="326"/>
      <c r="F9" s="326"/>
      <c r="G9" s="326"/>
      <c r="H9" s="326"/>
      <c r="I9" s="326"/>
      <c r="J9" s="326">
        <v>45.7</v>
      </c>
      <c r="K9" s="326"/>
    </row>
    <row r="10" spans="2:11" ht="12.75">
      <c r="B10" s="326"/>
      <c r="C10" s="326"/>
      <c r="D10" s="326"/>
      <c r="E10" s="326"/>
      <c r="F10" s="326"/>
      <c r="G10" s="326"/>
      <c r="H10" s="326"/>
      <c r="I10" s="326"/>
      <c r="J10" s="326"/>
      <c r="K10" s="326"/>
    </row>
    <row r="11" spans="2:11" ht="12.75">
      <c r="B11" s="326"/>
      <c r="C11" s="326"/>
      <c r="D11" s="326"/>
      <c r="E11" s="326"/>
      <c r="F11" s="326"/>
      <c r="G11" s="326"/>
      <c r="H11" s="326"/>
      <c r="I11" s="326"/>
      <c r="J11" s="326">
        <v>26</v>
      </c>
      <c r="K11" s="326"/>
    </row>
    <row r="12" spans="2:11" ht="12.75">
      <c r="B12" s="326"/>
      <c r="C12" s="326"/>
      <c r="D12" s="326"/>
      <c r="E12" s="326"/>
      <c r="F12" s="326"/>
      <c r="G12" s="326"/>
      <c r="H12" s="326"/>
      <c r="I12" s="326"/>
      <c r="J12" s="326"/>
      <c r="K12" s="326"/>
    </row>
    <row r="13" spans="2:11" ht="12.75">
      <c r="B13" s="326"/>
      <c r="C13" s="326"/>
      <c r="D13" s="326"/>
      <c r="E13" s="326"/>
      <c r="F13" s="326"/>
      <c r="G13" s="326"/>
      <c r="H13" s="326"/>
      <c r="I13" s="326"/>
      <c r="J13" s="326"/>
      <c r="K13" s="326"/>
    </row>
    <row r="14" spans="2:11" ht="12.75">
      <c r="B14" s="326"/>
      <c r="C14" s="326"/>
      <c r="D14" s="326"/>
      <c r="E14" s="326"/>
      <c r="F14" s="326"/>
      <c r="G14" s="326"/>
      <c r="H14" s="326"/>
      <c r="I14" s="326"/>
      <c r="J14" s="326"/>
      <c r="K14" s="326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="115" zoomScaleNormal="120" zoomScaleSheetLayoutView="115" zoomScalePageLayoutView="0" workbookViewId="0" topLeftCell="A1">
      <selection activeCell="A2" sqref="A2:G2"/>
    </sheetView>
  </sheetViews>
  <sheetFormatPr defaultColWidth="9.140625" defaultRowHeight="12.75"/>
  <cols>
    <col min="1" max="1" width="13.7109375" style="0" customWidth="1"/>
    <col min="2" max="2" width="16.8515625" style="0" customWidth="1"/>
    <col min="3" max="3" width="15.140625" style="0" customWidth="1"/>
    <col min="4" max="4" width="10.8515625" style="0" bestFit="1" customWidth="1"/>
    <col min="5" max="5" width="10.421875" style="0" customWidth="1"/>
    <col min="6" max="6" width="16.140625" style="0" bestFit="1" customWidth="1"/>
    <col min="7" max="7" width="18.421875" style="0" customWidth="1"/>
    <col min="17" max="17" width="13.7109375" style="0" customWidth="1"/>
    <col min="18" max="18" width="15.57421875" style="0" customWidth="1"/>
    <col min="19" max="19" width="14.421875" style="0" bestFit="1" customWidth="1"/>
    <col min="20" max="20" width="10.8515625" style="0" bestFit="1" customWidth="1"/>
    <col min="21" max="21" width="10.421875" style="0" customWidth="1"/>
    <col min="22" max="22" width="16.140625" style="0" bestFit="1" customWidth="1"/>
    <col min="23" max="23" width="12.7109375" style="0" customWidth="1"/>
  </cols>
  <sheetData>
    <row r="1" spans="1:7" ht="15.75">
      <c r="A1" s="718" t="s">
        <v>443</v>
      </c>
      <c r="B1" s="718"/>
      <c r="C1" s="718"/>
      <c r="D1" s="718"/>
      <c r="E1" s="718"/>
      <c r="F1" s="718"/>
      <c r="G1" s="718"/>
    </row>
    <row r="2" spans="1:7" ht="12.75">
      <c r="A2" s="719"/>
      <c r="B2" s="720"/>
      <c r="C2" s="720"/>
      <c r="D2" s="720"/>
      <c r="E2" s="720"/>
      <c r="F2" s="720"/>
      <c r="G2" s="721"/>
    </row>
    <row r="3" spans="1:7" ht="12.75">
      <c r="A3" s="722" t="s">
        <v>209</v>
      </c>
      <c r="B3" s="722"/>
      <c r="C3" s="97" t="s">
        <v>210</v>
      </c>
      <c r="D3" s="97" t="s">
        <v>211</v>
      </c>
      <c r="E3" s="8" t="s">
        <v>212</v>
      </c>
      <c r="F3" s="510" t="s">
        <v>213</v>
      </c>
      <c r="G3" s="722"/>
    </row>
    <row r="4" spans="1:7" ht="12.75">
      <c r="A4" s="722"/>
      <c r="B4" s="722"/>
      <c r="C4" s="97" t="s">
        <v>214</v>
      </c>
      <c r="D4" s="97" t="s">
        <v>214</v>
      </c>
      <c r="E4" s="97" t="s">
        <v>215</v>
      </c>
      <c r="F4" s="510"/>
      <c r="G4" s="722"/>
    </row>
    <row r="5" spans="1:11" ht="12.75">
      <c r="A5" s="722" t="s">
        <v>424</v>
      </c>
      <c r="B5" s="717"/>
      <c r="C5" s="717"/>
      <c r="D5" s="717"/>
      <c r="E5" s="717"/>
      <c r="F5" s="717"/>
      <c r="G5" s="320">
        <v>9.7</v>
      </c>
      <c r="H5" s="326"/>
      <c r="I5" s="326"/>
      <c r="J5" s="326"/>
      <c r="K5" s="326"/>
    </row>
    <row r="6" spans="1:11" ht="12.75">
      <c r="A6" s="316" t="s">
        <v>216</v>
      </c>
      <c r="B6" s="317"/>
      <c r="C6" s="318">
        <v>194</v>
      </c>
      <c r="D6" s="319">
        <v>0.1</v>
      </c>
      <c r="E6" s="319">
        <f>D6*C6*0.25</f>
        <v>4.8500000000000005</v>
      </c>
      <c r="F6" s="320" t="s">
        <v>217</v>
      </c>
      <c r="G6" s="320"/>
      <c r="H6" s="326"/>
      <c r="I6" s="326"/>
      <c r="J6" s="326"/>
      <c r="K6" s="326"/>
    </row>
    <row r="7" spans="1:11" ht="12.75">
      <c r="A7" s="316" t="s">
        <v>216</v>
      </c>
      <c r="B7" s="317"/>
      <c r="C7" s="318">
        <v>0</v>
      </c>
      <c r="D7" s="319">
        <v>0.1</v>
      </c>
      <c r="E7" s="319">
        <f>D7*C7</f>
        <v>0</v>
      </c>
      <c r="F7" s="320" t="s">
        <v>218</v>
      </c>
      <c r="G7" s="320"/>
      <c r="H7" s="326"/>
      <c r="I7" s="326"/>
      <c r="J7" s="326">
        <v>6.8</v>
      </c>
      <c r="K7" s="326"/>
    </row>
    <row r="8" spans="1:11" ht="12.75">
      <c r="A8" s="320"/>
      <c r="B8" s="320"/>
      <c r="C8" s="317"/>
      <c r="D8" s="317"/>
      <c r="E8" s="317"/>
      <c r="F8" s="320"/>
      <c r="G8" s="320"/>
      <c r="H8" s="326"/>
      <c r="I8" s="326"/>
      <c r="J8" s="326"/>
      <c r="K8" s="326"/>
    </row>
    <row r="9" spans="1:11" ht="12.75">
      <c r="A9" s="717" t="s">
        <v>425</v>
      </c>
      <c r="B9" s="717"/>
      <c r="C9" s="717"/>
      <c r="D9" s="717"/>
      <c r="E9" s="717"/>
      <c r="F9" s="717"/>
      <c r="G9" s="320"/>
      <c r="H9" s="326"/>
      <c r="I9" s="326"/>
      <c r="J9" s="326">
        <v>45.7</v>
      </c>
      <c r="K9" s="326"/>
    </row>
    <row r="10" spans="1:11" ht="12.75">
      <c r="A10" s="316" t="s">
        <v>216</v>
      </c>
      <c r="B10" s="317"/>
      <c r="C10" s="318">
        <v>268</v>
      </c>
      <c r="D10" s="319">
        <v>0.1</v>
      </c>
      <c r="E10" s="319">
        <f>D10*C10*0.25</f>
        <v>6.7</v>
      </c>
      <c r="F10" s="320" t="s">
        <v>217</v>
      </c>
      <c r="G10" s="320"/>
      <c r="H10" s="326"/>
      <c r="I10" s="326"/>
      <c r="J10" s="326"/>
      <c r="K10" s="326"/>
    </row>
    <row r="11" spans="1:11" ht="12.75">
      <c r="A11" s="316" t="s">
        <v>216</v>
      </c>
      <c r="B11" s="317"/>
      <c r="C11" s="318">
        <v>15</v>
      </c>
      <c r="D11" s="319">
        <v>0.1</v>
      </c>
      <c r="E11" s="319">
        <f>D11*C11</f>
        <v>1.5</v>
      </c>
      <c r="F11" s="320" t="s">
        <v>218</v>
      </c>
      <c r="G11" s="320"/>
      <c r="H11" s="326"/>
      <c r="I11" s="326"/>
      <c r="J11" s="326">
        <v>26</v>
      </c>
      <c r="K11" s="326"/>
    </row>
    <row r="12" spans="1:11" ht="12.75">
      <c r="A12" s="321"/>
      <c r="B12" s="321"/>
      <c r="C12" s="321"/>
      <c r="D12" s="321"/>
      <c r="E12" s="321"/>
      <c r="F12" s="321"/>
      <c r="G12" s="320"/>
      <c r="H12" s="326"/>
      <c r="I12" s="326"/>
      <c r="J12" s="326"/>
      <c r="K12" s="326"/>
    </row>
    <row r="13" spans="1:11" ht="12.75">
      <c r="A13" s="717" t="s">
        <v>429</v>
      </c>
      <c r="B13" s="717"/>
      <c r="C13" s="717"/>
      <c r="D13" s="717"/>
      <c r="E13" s="717"/>
      <c r="F13" s="717"/>
      <c r="G13" s="320"/>
      <c r="H13" s="326"/>
      <c r="I13" s="326"/>
      <c r="J13" s="326"/>
      <c r="K13" s="326"/>
    </row>
    <row r="14" spans="1:11" ht="12.75">
      <c r="A14" s="316" t="s">
        <v>216</v>
      </c>
      <c r="B14" s="317"/>
      <c r="C14" s="318">
        <v>45</v>
      </c>
      <c r="D14" s="319">
        <v>0.1</v>
      </c>
      <c r="E14" s="319">
        <f>D14*C14*0.25</f>
        <v>1.125</v>
      </c>
      <c r="F14" s="320" t="s">
        <v>217</v>
      </c>
      <c r="G14" s="320"/>
      <c r="H14" s="326"/>
      <c r="I14" s="326"/>
      <c r="J14" s="326"/>
      <c r="K14" s="326"/>
    </row>
    <row r="15" spans="1:7" ht="12.75">
      <c r="A15" s="316" t="s">
        <v>216</v>
      </c>
      <c r="B15" s="317"/>
      <c r="C15" s="318">
        <v>15</v>
      </c>
      <c r="D15" s="319">
        <v>0.1</v>
      </c>
      <c r="E15" s="319">
        <f>D15*C15</f>
        <v>1.5</v>
      </c>
      <c r="F15" s="320" t="s">
        <v>218</v>
      </c>
      <c r="G15" s="33"/>
    </row>
    <row r="16" spans="1:7" ht="12.75">
      <c r="A16" s="320"/>
      <c r="B16" s="320"/>
      <c r="C16" s="317"/>
      <c r="D16" s="317"/>
      <c r="E16" s="317"/>
      <c r="F16" s="320"/>
      <c r="G16" s="33"/>
    </row>
    <row r="17" spans="1:7" ht="12.75">
      <c r="A17" s="717" t="s">
        <v>430</v>
      </c>
      <c r="B17" s="717"/>
      <c r="C17" s="717"/>
      <c r="D17" s="717"/>
      <c r="E17" s="717"/>
      <c r="F17" s="717"/>
      <c r="G17" s="33"/>
    </row>
    <row r="18" spans="1:7" ht="12.75">
      <c r="A18" s="316" t="s">
        <v>216</v>
      </c>
      <c r="B18" s="317"/>
      <c r="C18" s="318">
        <v>57</v>
      </c>
      <c r="D18" s="319">
        <v>0.1</v>
      </c>
      <c r="E18" s="319">
        <f>D18*C18*0.25</f>
        <v>1.425</v>
      </c>
      <c r="F18" s="320" t="s">
        <v>217</v>
      </c>
      <c r="G18" s="98"/>
    </row>
    <row r="19" spans="1:7" ht="12.75">
      <c r="A19" s="316" t="s">
        <v>216</v>
      </c>
      <c r="B19" s="317"/>
      <c r="C19" s="318">
        <v>15</v>
      </c>
      <c r="D19" s="319">
        <v>0.1</v>
      </c>
      <c r="E19" s="319">
        <f>D19*C19</f>
        <v>1.5</v>
      </c>
      <c r="F19" s="320" t="s">
        <v>218</v>
      </c>
      <c r="G19" s="98"/>
    </row>
    <row r="20" spans="1:7" ht="12.75">
      <c r="A20" s="714" t="s">
        <v>428</v>
      </c>
      <c r="B20" s="714"/>
      <c r="C20" s="714"/>
      <c r="D20" s="714"/>
      <c r="E20" s="714"/>
      <c r="F20" s="714"/>
      <c r="G20" s="97"/>
    </row>
    <row r="21" spans="1:7" ht="12.75">
      <c r="A21" s="316" t="s">
        <v>216</v>
      </c>
      <c r="B21" s="317"/>
      <c r="C21" s="318">
        <v>164</v>
      </c>
      <c r="D21" s="319">
        <v>0.1</v>
      </c>
      <c r="E21" s="319">
        <f>D21*C21*0.25</f>
        <v>4.1000000000000005</v>
      </c>
      <c r="F21" s="320" t="s">
        <v>217</v>
      </c>
      <c r="G21" s="97"/>
    </row>
    <row r="22" spans="1:7" ht="12.75">
      <c r="A22" s="316" t="s">
        <v>216</v>
      </c>
      <c r="B22" s="317"/>
      <c r="C22" s="318">
        <v>30</v>
      </c>
      <c r="D22" s="319">
        <v>0.1</v>
      </c>
      <c r="E22" s="319">
        <f>D22*C22</f>
        <v>3</v>
      </c>
      <c r="F22" s="320" t="s">
        <v>218</v>
      </c>
      <c r="G22" s="97"/>
    </row>
    <row r="23" spans="1:7" ht="12.75">
      <c r="A23" s="317"/>
      <c r="B23" s="317"/>
      <c r="C23" s="317"/>
      <c r="D23" s="317"/>
      <c r="E23" s="317"/>
      <c r="F23" s="317"/>
      <c r="G23" s="97"/>
    </row>
    <row r="24" spans="1:7" ht="15.75">
      <c r="A24" s="715" t="s">
        <v>219</v>
      </c>
      <c r="B24" s="715"/>
      <c r="C24" s="715"/>
      <c r="D24" s="715"/>
      <c r="E24" s="715"/>
      <c r="F24" s="715"/>
      <c r="G24" s="715"/>
    </row>
    <row r="25" spans="1:7" ht="12.75">
      <c r="A25" s="97" t="s">
        <v>262</v>
      </c>
      <c r="B25" s="97" t="s">
        <v>18</v>
      </c>
      <c r="C25" s="108">
        <f>C18+C14+C10+C6+C21</f>
        <v>728</v>
      </c>
      <c r="D25" s="101" t="s">
        <v>9</v>
      </c>
      <c r="E25" s="100" t="s">
        <v>212</v>
      </c>
      <c r="F25" s="108">
        <f>E18+E14+E10+E6+E21</f>
        <v>18.200000000000003</v>
      </c>
      <c r="G25" s="98" t="s">
        <v>7</v>
      </c>
    </row>
    <row r="26" spans="1:7" ht="12.75">
      <c r="A26" s="97" t="s">
        <v>218</v>
      </c>
      <c r="B26" s="97" t="s">
        <v>220</v>
      </c>
      <c r="C26" s="106">
        <f>C19+C15+C11+C7+C22</f>
        <v>75</v>
      </c>
      <c r="D26" s="103" t="s">
        <v>9</v>
      </c>
      <c r="E26" s="102" t="s">
        <v>212</v>
      </c>
      <c r="F26" s="108">
        <f>E19+E15+E11+E7+E22</f>
        <v>7.5</v>
      </c>
      <c r="G26" s="98" t="s">
        <v>7</v>
      </c>
    </row>
    <row r="27" spans="1:7" ht="12.75">
      <c r="A27" s="716" t="s">
        <v>221</v>
      </c>
      <c r="B27" s="716"/>
      <c r="C27" s="106">
        <f>SUM(C25:C26)</f>
        <v>803</v>
      </c>
      <c r="D27" s="103" t="s">
        <v>9</v>
      </c>
      <c r="E27" s="102"/>
      <c r="F27" s="108">
        <f>SUM(F25:F26)</f>
        <v>25.700000000000003</v>
      </c>
      <c r="G27" s="98" t="s">
        <v>7</v>
      </c>
    </row>
    <row r="28" spans="1:7" ht="12.75">
      <c r="A28" s="97"/>
      <c r="B28" s="97"/>
      <c r="C28" s="102"/>
      <c r="D28" s="102"/>
      <c r="E28" s="102"/>
      <c r="F28" s="104"/>
      <c r="G28" s="105"/>
    </row>
    <row r="29" spans="1:7" ht="15.75">
      <c r="A29" s="712" t="s">
        <v>222</v>
      </c>
      <c r="B29" s="712"/>
      <c r="C29" s="712"/>
      <c r="D29" s="712"/>
      <c r="E29" s="102"/>
      <c r="F29" s="102"/>
      <c r="G29" s="97"/>
    </row>
    <row r="30" spans="1:7" ht="12.75">
      <c r="A30" s="713" t="s">
        <v>223</v>
      </c>
      <c r="B30" s="713"/>
      <c r="C30" s="106">
        <f>'TERRAP E PAVIM'!H29*2*0.1</f>
        <v>0</v>
      </c>
      <c r="D30" s="98" t="s">
        <v>7</v>
      </c>
      <c r="E30" s="102"/>
      <c r="F30" s="102"/>
      <c r="G30" s="99"/>
    </row>
    <row r="31" spans="1:7" ht="12.75">
      <c r="A31" s="713" t="s">
        <v>296</v>
      </c>
      <c r="B31" s="713"/>
      <c r="C31" s="106">
        <f>(4*0.4)*5</f>
        <v>8</v>
      </c>
      <c r="D31" s="98" t="s">
        <v>7</v>
      </c>
      <c r="E31" s="102"/>
      <c r="F31" s="102"/>
      <c r="G31" s="97"/>
    </row>
    <row r="32" spans="1:7" ht="12.75">
      <c r="A32" s="713" t="s">
        <v>224</v>
      </c>
      <c r="B32" s="713"/>
      <c r="C32" s="107">
        <f>F25</f>
        <v>18.200000000000003</v>
      </c>
      <c r="D32" s="98" t="s">
        <v>7</v>
      </c>
      <c r="E32" s="102"/>
      <c r="F32" s="102"/>
      <c r="G32" s="97"/>
    </row>
    <row r="33" spans="1:7" ht="12.75">
      <c r="A33" s="98" t="s">
        <v>225</v>
      </c>
      <c r="B33" s="98"/>
      <c r="C33" s="106">
        <f>F26</f>
        <v>7.5</v>
      </c>
      <c r="D33" s="98" t="s">
        <v>7</v>
      </c>
      <c r="E33" s="102"/>
      <c r="F33" s="102"/>
      <c r="G33" s="97"/>
    </row>
    <row r="34" spans="1:7" ht="12.75">
      <c r="A34" s="98" t="s">
        <v>226</v>
      </c>
      <c r="B34" s="98"/>
      <c r="C34" s="106">
        <f>C30+C31+C32+C33</f>
        <v>33.7</v>
      </c>
      <c r="D34" s="98" t="s">
        <v>7</v>
      </c>
      <c r="E34" s="97"/>
      <c r="F34" s="97"/>
      <c r="G34" s="97"/>
    </row>
    <row r="35" spans="1:7" ht="12.75">
      <c r="A35" s="98" t="s">
        <v>227</v>
      </c>
      <c r="B35" s="97"/>
      <c r="C35" s="106">
        <v>0</v>
      </c>
      <c r="D35" s="98" t="s">
        <v>7</v>
      </c>
      <c r="E35" s="97"/>
      <c r="F35" s="97"/>
      <c r="G35" s="97"/>
    </row>
  </sheetData>
  <sheetProtection/>
  <mergeCells count="16">
    <mergeCell ref="A17:F17"/>
    <mergeCell ref="A9:F9"/>
    <mergeCell ref="A13:F13"/>
    <mergeCell ref="A1:G1"/>
    <mergeCell ref="A2:G2"/>
    <mergeCell ref="A3:B4"/>
    <mergeCell ref="F3:F4"/>
    <mergeCell ref="G3:G4"/>
    <mergeCell ref="A5:F5"/>
    <mergeCell ref="A29:D29"/>
    <mergeCell ref="A30:B30"/>
    <mergeCell ref="A31:B31"/>
    <mergeCell ref="A32:B32"/>
    <mergeCell ref="A20:F20"/>
    <mergeCell ref="A24:G24"/>
    <mergeCell ref="A27:B27"/>
  </mergeCells>
  <printOptions/>
  <pageMargins left="0.511811024" right="0.511811024" top="0.787401575" bottom="0.787401575" header="0.31496062" footer="0.31496062"/>
  <pageSetup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K28"/>
  <sheetViews>
    <sheetView view="pageBreakPreview" zoomScale="60" zoomScaleNormal="40" zoomScalePageLayoutView="0" workbookViewId="0" topLeftCell="A1">
      <selection activeCell="A2" sqref="A2:F2"/>
    </sheetView>
  </sheetViews>
  <sheetFormatPr defaultColWidth="9.140625" defaultRowHeight="12.75"/>
  <cols>
    <col min="1" max="1" width="49.8515625" style="0" customWidth="1"/>
    <col min="2" max="2" width="25.7109375" style="0" customWidth="1"/>
    <col min="3" max="3" width="15.7109375" style="0" customWidth="1"/>
    <col min="4" max="4" width="19.421875" style="0" customWidth="1"/>
    <col min="5" max="5" width="16.7109375" style="0" customWidth="1"/>
    <col min="6" max="6" width="26.421875" style="0" customWidth="1"/>
    <col min="7" max="7" width="40.28125" style="0" customWidth="1"/>
    <col min="8" max="8" width="25.7109375" style="0" customWidth="1"/>
    <col min="9" max="9" width="15.7109375" style="0" customWidth="1"/>
    <col min="10" max="10" width="18.7109375" style="0" customWidth="1"/>
    <col min="11" max="11" width="27.421875" style="0" customWidth="1"/>
  </cols>
  <sheetData>
    <row r="1" spans="1:11" ht="22.5">
      <c r="A1" s="725" t="s">
        <v>444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</row>
    <row r="2" spans="1:11" ht="20.25">
      <c r="A2" s="724"/>
      <c r="B2" s="724"/>
      <c r="C2" s="724"/>
      <c r="D2" s="724"/>
      <c r="E2" s="724"/>
      <c r="F2" s="724"/>
      <c r="G2" s="724"/>
      <c r="H2" s="724"/>
      <c r="I2" s="724"/>
      <c r="J2" s="724"/>
      <c r="K2" s="724"/>
    </row>
    <row r="3" spans="1:11" ht="20.25">
      <c r="A3" s="259" t="s">
        <v>228</v>
      </c>
      <c r="B3" s="260" t="s">
        <v>229</v>
      </c>
      <c r="C3" s="260"/>
      <c r="D3" s="260"/>
      <c r="E3" s="260"/>
      <c r="F3" s="259" t="s">
        <v>230</v>
      </c>
      <c r="G3" s="259" t="s">
        <v>228</v>
      </c>
      <c r="H3" s="260" t="s">
        <v>229</v>
      </c>
      <c r="I3" s="260"/>
      <c r="J3" s="260"/>
      <c r="K3" s="260"/>
    </row>
    <row r="4" spans="1:11" ht="20.25">
      <c r="A4" s="259" t="s">
        <v>231</v>
      </c>
      <c r="B4" s="259" t="s">
        <v>232</v>
      </c>
      <c r="C4" s="259" t="s">
        <v>19</v>
      </c>
      <c r="D4" s="259" t="s">
        <v>233</v>
      </c>
      <c r="E4" s="259" t="s">
        <v>234</v>
      </c>
      <c r="F4" s="259"/>
      <c r="G4" s="259" t="s">
        <v>231</v>
      </c>
      <c r="H4" s="259" t="s">
        <v>232</v>
      </c>
      <c r="I4" s="259" t="s">
        <v>19</v>
      </c>
      <c r="J4" s="259" t="s">
        <v>233</v>
      </c>
      <c r="K4" s="259" t="s">
        <v>234</v>
      </c>
    </row>
    <row r="5" spans="1:11" ht="20.25">
      <c r="A5" s="259"/>
      <c r="B5" s="327"/>
      <c r="C5" s="327"/>
      <c r="D5" s="327"/>
      <c r="E5" s="327"/>
      <c r="F5" s="327"/>
      <c r="G5" s="327">
        <v>9.7</v>
      </c>
      <c r="H5" s="327"/>
      <c r="I5" s="327"/>
      <c r="J5" s="327"/>
      <c r="K5" s="327"/>
    </row>
    <row r="6" spans="1:11" ht="20.25">
      <c r="A6" s="322" t="s">
        <v>431</v>
      </c>
      <c r="B6" s="328"/>
      <c r="C6" s="328"/>
      <c r="D6" s="328"/>
      <c r="E6" s="329"/>
      <c r="F6" s="330"/>
      <c r="G6" s="723"/>
      <c r="H6" s="723"/>
      <c r="I6" s="723"/>
      <c r="J6" s="723"/>
      <c r="K6" s="723"/>
    </row>
    <row r="7" spans="1:11" ht="60.75">
      <c r="A7" s="323" t="s">
        <v>432</v>
      </c>
      <c r="B7" s="251" t="s">
        <v>235</v>
      </c>
      <c r="C7" s="251" t="s">
        <v>236</v>
      </c>
      <c r="D7" s="331">
        <v>0.6</v>
      </c>
      <c r="E7" s="332">
        <v>0.283</v>
      </c>
      <c r="F7" s="330"/>
      <c r="G7" s="323"/>
      <c r="H7" s="251"/>
      <c r="I7" s="251"/>
      <c r="J7" s="331"/>
      <c r="K7" s="332"/>
    </row>
    <row r="8" spans="1:11" ht="60.75">
      <c r="A8" s="323" t="s">
        <v>432</v>
      </c>
      <c r="B8" s="251" t="s">
        <v>257</v>
      </c>
      <c r="C8" s="251" t="s">
        <v>258</v>
      </c>
      <c r="D8" s="331" t="s">
        <v>259</v>
      </c>
      <c r="E8" s="332">
        <f>(0.25*0.45)*2</f>
        <v>0.225</v>
      </c>
      <c r="F8" s="330"/>
      <c r="G8" s="323"/>
      <c r="H8" s="251"/>
      <c r="I8" s="251"/>
      <c r="J8" s="331"/>
      <c r="K8" s="332"/>
    </row>
    <row r="9" spans="1:11" ht="20.25">
      <c r="A9" s="322" t="s">
        <v>433</v>
      </c>
      <c r="B9" s="328"/>
      <c r="C9" s="328"/>
      <c r="D9" s="328"/>
      <c r="E9" s="329"/>
      <c r="F9" s="330"/>
      <c r="G9" s="723"/>
      <c r="H9" s="723"/>
      <c r="I9" s="723"/>
      <c r="J9" s="723"/>
      <c r="K9" s="723"/>
    </row>
    <row r="10" spans="1:11" ht="60.75">
      <c r="A10" s="323" t="s">
        <v>434</v>
      </c>
      <c r="B10" s="251" t="s">
        <v>235</v>
      </c>
      <c r="C10" s="251" t="s">
        <v>236</v>
      </c>
      <c r="D10" s="331">
        <v>0.6</v>
      </c>
      <c r="E10" s="332">
        <v>0.283</v>
      </c>
      <c r="F10" s="330"/>
      <c r="G10" s="323"/>
      <c r="H10" s="251"/>
      <c r="I10" s="251"/>
      <c r="J10" s="331"/>
      <c r="K10" s="332"/>
    </row>
    <row r="11" spans="1:11" ht="60.75">
      <c r="A11" s="323" t="s">
        <v>434</v>
      </c>
      <c r="B11" s="251" t="s">
        <v>257</v>
      </c>
      <c r="C11" s="251" t="s">
        <v>258</v>
      </c>
      <c r="D11" s="331" t="s">
        <v>259</v>
      </c>
      <c r="E11" s="332">
        <f>(0.25*0.45)*2</f>
        <v>0.225</v>
      </c>
      <c r="F11" s="330"/>
      <c r="G11" s="323"/>
      <c r="H11" s="251"/>
      <c r="I11" s="251"/>
      <c r="J11" s="331"/>
      <c r="K11" s="332"/>
    </row>
    <row r="12" spans="1:11" ht="20.25">
      <c r="A12" s="322" t="s">
        <v>435</v>
      </c>
      <c r="B12" s="328"/>
      <c r="C12" s="328"/>
      <c r="D12" s="328"/>
      <c r="E12" s="329"/>
      <c r="F12" s="330"/>
      <c r="G12" s="251"/>
      <c r="H12" s="333"/>
      <c r="I12" s="251"/>
      <c r="J12" s="331"/>
      <c r="K12" s="332"/>
    </row>
    <row r="13" spans="1:11" ht="60.75">
      <c r="A13" s="323" t="s">
        <v>434</v>
      </c>
      <c r="B13" s="251" t="s">
        <v>235</v>
      </c>
      <c r="C13" s="251" t="s">
        <v>236</v>
      </c>
      <c r="D13" s="331">
        <v>0.6</v>
      </c>
      <c r="E13" s="332">
        <v>0.283</v>
      </c>
      <c r="F13" s="330"/>
      <c r="G13" s="723"/>
      <c r="H13" s="723"/>
      <c r="I13" s="723"/>
      <c r="J13" s="723"/>
      <c r="K13" s="723"/>
    </row>
    <row r="14" spans="1:11" ht="60.75">
      <c r="A14" s="323" t="s">
        <v>434</v>
      </c>
      <c r="B14" s="251" t="s">
        <v>257</v>
      </c>
      <c r="C14" s="251" t="s">
        <v>258</v>
      </c>
      <c r="D14" s="331" t="s">
        <v>259</v>
      </c>
      <c r="E14" s="332">
        <f>(0.25*0.45)*2</f>
        <v>0.225</v>
      </c>
      <c r="F14" s="330"/>
      <c r="G14" s="323"/>
      <c r="H14" s="251"/>
      <c r="I14" s="251"/>
      <c r="J14" s="331"/>
      <c r="K14" s="332"/>
    </row>
    <row r="15" spans="1:11" ht="20.25">
      <c r="A15" s="322" t="s">
        <v>436</v>
      </c>
      <c r="B15" s="262"/>
      <c r="C15" s="262"/>
      <c r="D15" s="262"/>
      <c r="E15" s="263"/>
      <c r="F15" s="264"/>
      <c r="G15" s="265"/>
      <c r="H15" s="266"/>
      <c r="I15" s="266"/>
      <c r="J15" s="267"/>
      <c r="K15" s="268"/>
    </row>
    <row r="16" spans="1:11" ht="60.75">
      <c r="A16" s="323" t="s">
        <v>437</v>
      </c>
      <c r="B16" s="266" t="s">
        <v>235</v>
      </c>
      <c r="C16" s="266" t="s">
        <v>236</v>
      </c>
      <c r="D16" s="267">
        <v>0.6</v>
      </c>
      <c r="E16" s="268">
        <v>0.283</v>
      </c>
      <c r="F16" s="264"/>
      <c r="G16" s="724"/>
      <c r="H16" s="724"/>
      <c r="I16" s="724"/>
      <c r="J16" s="724"/>
      <c r="K16" s="724"/>
    </row>
    <row r="17" spans="1:11" ht="60.75">
      <c r="A17" s="323" t="s">
        <v>437</v>
      </c>
      <c r="B17" s="287" t="s">
        <v>257</v>
      </c>
      <c r="C17" s="266" t="s">
        <v>258</v>
      </c>
      <c r="D17" s="267" t="s">
        <v>259</v>
      </c>
      <c r="E17" s="268">
        <f>(0.25*0.45)*2</f>
        <v>0.225</v>
      </c>
      <c r="F17" s="264"/>
      <c r="G17" s="265"/>
      <c r="H17" s="266"/>
      <c r="I17" s="266"/>
      <c r="J17" s="267"/>
      <c r="K17" s="268"/>
    </row>
    <row r="18" spans="1:11" ht="20.25">
      <c r="A18" s="265"/>
      <c r="B18" s="266"/>
      <c r="C18" s="266"/>
      <c r="D18" s="267"/>
      <c r="E18" s="268"/>
      <c r="F18" s="264"/>
      <c r="G18" s="265"/>
      <c r="H18" s="266"/>
      <c r="I18" s="266"/>
      <c r="J18" s="267"/>
      <c r="K18" s="268"/>
    </row>
    <row r="19" spans="1:11" ht="20.25">
      <c r="A19" s="322" t="s">
        <v>438</v>
      </c>
      <c r="B19" s="262"/>
      <c r="C19" s="262"/>
      <c r="D19" s="262"/>
      <c r="E19" s="263"/>
      <c r="F19" s="264"/>
      <c r="G19" s="265"/>
      <c r="H19" s="266"/>
      <c r="I19" s="266"/>
      <c r="J19" s="267"/>
      <c r="K19" s="268"/>
    </row>
    <row r="20" spans="1:11" ht="60.75">
      <c r="A20" s="265" t="s">
        <v>439</v>
      </c>
      <c r="B20" s="266" t="s">
        <v>235</v>
      </c>
      <c r="C20" s="266" t="s">
        <v>236</v>
      </c>
      <c r="D20" s="267">
        <v>0.6</v>
      </c>
      <c r="E20" s="268">
        <v>0.283</v>
      </c>
      <c r="F20" s="264"/>
      <c r="G20" s="724"/>
      <c r="H20" s="724"/>
      <c r="I20" s="724"/>
      <c r="J20" s="724"/>
      <c r="K20" s="724"/>
    </row>
    <row r="21" spans="1:11" ht="60.75">
      <c r="A21" s="265" t="s">
        <v>439</v>
      </c>
      <c r="B21" s="266" t="s">
        <v>257</v>
      </c>
      <c r="C21" s="266" t="s">
        <v>258</v>
      </c>
      <c r="D21" s="267" t="s">
        <v>259</v>
      </c>
      <c r="E21" s="268">
        <f>(0.25*0.45)*2</f>
        <v>0.225</v>
      </c>
      <c r="F21" s="264"/>
      <c r="G21" s="265"/>
      <c r="H21" s="266"/>
      <c r="I21" s="266"/>
      <c r="J21" s="267"/>
      <c r="K21" s="268"/>
    </row>
    <row r="22" spans="1:11" ht="20.25">
      <c r="A22" s="261"/>
      <c r="B22" s="262"/>
      <c r="C22" s="262"/>
      <c r="D22" s="262"/>
      <c r="E22" s="263"/>
      <c r="F22" s="264"/>
      <c r="G22" s="265"/>
      <c r="H22" s="266"/>
      <c r="I22" s="266"/>
      <c r="J22" s="267"/>
      <c r="K22" s="268"/>
    </row>
    <row r="23" spans="1:11" s="70" customFormat="1" ht="20.25">
      <c r="A23" s="265"/>
      <c r="B23" s="266"/>
      <c r="C23" s="266"/>
      <c r="D23" s="267"/>
      <c r="E23" s="268"/>
      <c r="F23" s="264"/>
      <c r="G23" s="724"/>
      <c r="H23" s="724"/>
      <c r="I23" s="724"/>
      <c r="J23" s="724"/>
      <c r="K23" s="724"/>
    </row>
    <row r="24" spans="1:11" s="70" customFormat="1" ht="20.25">
      <c r="A24" s="265"/>
      <c r="B24" s="266"/>
      <c r="C24" s="266"/>
      <c r="D24" s="267"/>
      <c r="E24" s="268"/>
      <c r="F24" s="264"/>
      <c r="G24" s="265"/>
      <c r="H24" s="266"/>
      <c r="I24" s="266"/>
      <c r="J24" s="267"/>
      <c r="K24" s="268"/>
    </row>
    <row r="25" spans="1:11" s="70" customFormat="1" ht="20.25">
      <c r="A25" s="261"/>
      <c r="B25" s="262"/>
      <c r="C25" s="262"/>
      <c r="D25" s="262"/>
      <c r="E25" s="263"/>
      <c r="F25" s="264"/>
      <c r="G25" s="265"/>
      <c r="H25" s="266"/>
      <c r="I25" s="266"/>
      <c r="J25" s="267"/>
      <c r="K25" s="268"/>
    </row>
    <row r="26" spans="1:11" ht="20.25">
      <c r="A26" s="729" t="s">
        <v>235</v>
      </c>
      <c r="B26" s="730"/>
      <c r="C26" s="730"/>
      <c r="D26" s="262" t="s">
        <v>237</v>
      </c>
      <c r="E26" s="270">
        <f>E7+E10+E13+E16+E20+E23+K7+K10+K14+K17+K21+K21+K24</f>
        <v>1.4149999999999998</v>
      </c>
      <c r="F26" s="264"/>
      <c r="G26" s="265"/>
      <c r="H26" s="266"/>
      <c r="I26" s="266"/>
      <c r="J26" s="262"/>
      <c r="K26" s="269"/>
    </row>
    <row r="27" spans="1:11" ht="20.25">
      <c r="A27" s="726" t="s">
        <v>257</v>
      </c>
      <c r="B27" s="727"/>
      <c r="C27" s="728"/>
      <c r="D27" s="255" t="s">
        <v>391</v>
      </c>
      <c r="E27" s="256">
        <v>8</v>
      </c>
      <c r="F27" s="250"/>
      <c r="G27" s="724"/>
      <c r="H27" s="724"/>
      <c r="I27" s="724"/>
      <c r="J27" s="724"/>
      <c r="K27" s="724"/>
    </row>
    <row r="28" spans="1:11" ht="20.25">
      <c r="A28" s="257"/>
      <c r="B28" s="258"/>
      <c r="C28" s="258"/>
      <c r="D28" s="258"/>
      <c r="E28" s="258"/>
      <c r="F28" s="258"/>
      <c r="G28" s="254"/>
      <c r="H28" s="249"/>
      <c r="I28" s="251"/>
      <c r="J28" s="252"/>
      <c r="K28" s="253"/>
    </row>
  </sheetData>
  <sheetProtection/>
  <mergeCells count="12">
    <mergeCell ref="A27:C27"/>
    <mergeCell ref="A26:C26"/>
    <mergeCell ref="G27:K27"/>
    <mergeCell ref="G6:K6"/>
    <mergeCell ref="G9:K9"/>
    <mergeCell ref="G13:K13"/>
    <mergeCell ref="G16:K16"/>
    <mergeCell ref="G20:K20"/>
    <mergeCell ref="G23:K23"/>
    <mergeCell ref="A2:F2"/>
    <mergeCell ref="A1:K1"/>
    <mergeCell ref="G2:K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4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5:K14"/>
  <sheetViews>
    <sheetView view="pageBreakPreview" zoomScale="60" zoomScalePageLayoutView="0" workbookViewId="0" topLeftCell="A27">
      <selection activeCell="AD49" sqref="AD49"/>
    </sheetView>
  </sheetViews>
  <sheetFormatPr defaultColWidth="9.140625" defaultRowHeight="12.75"/>
  <sheetData>
    <row r="5" spans="2:11" ht="12.75">
      <c r="B5" s="326"/>
      <c r="C5" s="326"/>
      <c r="D5" s="326"/>
      <c r="E5" s="326"/>
      <c r="F5" s="326"/>
      <c r="G5" s="326">
        <v>9.7</v>
      </c>
      <c r="H5" s="326"/>
      <c r="I5" s="326"/>
      <c r="J5" s="326"/>
      <c r="K5" s="326"/>
    </row>
    <row r="6" spans="2:11" ht="12.75">
      <c r="B6" s="326"/>
      <c r="C6" s="326"/>
      <c r="D6" s="326"/>
      <c r="E6" s="326"/>
      <c r="F6" s="326"/>
      <c r="G6" s="326"/>
      <c r="H6" s="326"/>
      <c r="I6" s="326"/>
      <c r="J6" s="326"/>
      <c r="K6" s="326"/>
    </row>
    <row r="7" spans="2:11" ht="12.75">
      <c r="B7" s="326"/>
      <c r="C7" s="326"/>
      <c r="D7" s="326"/>
      <c r="E7" s="326"/>
      <c r="F7" s="326"/>
      <c r="G7" s="326"/>
      <c r="H7" s="326"/>
      <c r="I7" s="326"/>
      <c r="J7" s="326">
        <v>6.8</v>
      </c>
      <c r="K7" s="326"/>
    </row>
    <row r="8" spans="2:11" ht="12.75">
      <c r="B8" s="326"/>
      <c r="C8" s="326"/>
      <c r="D8" s="326"/>
      <c r="E8" s="326"/>
      <c r="F8" s="326"/>
      <c r="G8" s="326"/>
      <c r="H8" s="326"/>
      <c r="I8" s="326"/>
      <c r="J8" s="326"/>
      <c r="K8" s="326"/>
    </row>
    <row r="9" spans="2:11" ht="12.75">
      <c r="B9" s="326"/>
      <c r="C9" s="326"/>
      <c r="D9" s="326"/>
      <c r="E9" s="326"/>
      <c r="F9" s="326"/>
      <c r="G9" s="326"/>
      <c r="H9" s="326"/>
      <c r="I9" s="326"/>
      <c r="J9" s="326">
        <v>45.7</v>
      </c>
      <c r="K9" s="326"/>
    </row>
    <row r="10" spans="2:11" ht="12.75">
      <c r="B10" s="326"/>
      <c r="C10" s="326"/>
      <c r="D10" s="326"/>
      <c r="E10" s="326"/>
      <c r="F10" s="326"/>
      <c r="G10" s="326"/>
      <c r="H10" s="326"/>
      <c r="I10" s="326"/>
      <c r="J10" s="326"/>
      <c r="K10" s="326"/>
    </row>
    <row r="11" spans="2:11" ht="12.75">
      <c r="B11" s="326"/>
      <c r="C11" s="326"/>
      <c r="D11" s="326"/>
      <c r="E11" s="326"/>
      <c r="F11" s="326"/>
      <c r="G11" s="326"/>
      <c r="H11" s="326"/>
      <c r="I11" s="326"/>
      <c r="J11" s="326">
        <v>26</v>
      </c>
      <c r="K11" s="326"/>
    </row>
    <row r="12" spans="2:11" ht="12.75">
      <c r="B12" s="326"/>
      <c r="C12" s="326"/>
      <c r="D12" s="326"/>
      <c r="E12" s="326"/>
      <c r="F12" s="326"/>
      <c r="G12" s="326"/>
      <c r="H12" s="326"/>
      <c r="I12" s="326"/>
      <c r="J12" s="326"/>
      <c r="K12" s="326"/>
    </row>
    <row r="13" spans="2:11" ht="12.75">
      <c r="B13" s="326"/>
      <c r="C13" s="326"/>
      <c r="D13" s="326"/>
      <c r="E13" s="326"/>
      <c r="F13" s="326"/>
      <c r="G13" s="326"/>
      <c r="H13" s="326"/>
      <c r="I13" s="326"/>
      <c r="J13" s="326"/>
      <c r="K13" s="326"/>
    </row>
    <row r="14" spans="2:11" ht="12.75">
      <c r="B14" s="326"/>
      <c r="C14" s="326"/>
      <c r="D14" s="326"/>
      <c r="E14" s="326"/>
      <c r="F14" s="326"/>
      <c r="G14" s="326"/>
      <c r="H14" s="326"/>
      <c r="I14" s="326"/>
      <c r="J14" s="326"/>
      <c r="K14" s="326"/>
    </row>
  </sheetData>
  <sheetProtection/>
  <printOptions/>
  <pageMargins left="0.511811024" right="0.511811024" top="0.787401575" bottom="0.787401575" header="0.31496062" footer="0.31496062"/>
  <pageSetup orientation="landscape" paperSize="9" scale="7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K16"/>
  <sheetViews>
    <sheetView tabSelected="1" zoomScalePageLayoutView="0" workbookViewId="0" topLeftCell="A1">
      <selection activeCell="I22" sqref="I22"/>
    </sheetView>
  </sheetViews>
  <sheetFormatPr defaultColWidth="9.140625" defaultRowHeight="12.75"/>
  <cols>
    <col min="2" max="2" width="35.140625" style="0" customWidth="1"/>
    <col min="3" max="3" width="29.8515625" style="0" bestFit="1" customWidth="1"/>
    <col min="4" max="5" width="14.28125" style="0" customWidth="1"/>
  </cols>
  <sheetData>
    <row r="1" ht="13.5" thickBot="1"/>
    <row r="2" spans="2:11" ht="26.25" customHeight="1">
      <c r="B2" s="736" t="s">
        <v>396</v>
      </c>
      <c r="C2" s="737"/>
      <c r="D2" s="737"/>
      <c r="E2" s="737"/>
      <c r="F2" s="737"/>
      <c r="G2" s="737"/>
      <c r="H2" s="737"/>
      <c r="I2" s="737"/>
      <c r="J2" s="737"/>
      <c r="K2" s="738"/>
    </row>
    <row r="3" spans="2:11" ht="12.75">
      <c r="B3" s="739" t="s">
        <v>397</v>
      </c>
      <c r="C3" s="740" t="s">
        <v>409</v>
      </c>
      <c r="D3" s="735" t="s">
        <v>410</v>
      </c>
      <c r="E3" s="735"/>
      <c r="F3" s="735" t="s">
        <v>419</v>
      </c>
      <c r="G3" s="735"/>
      <c r="H3" s="735"/>
      <c r="I3" s="735" t="s">
        <v>423</v>
      </c>
      <c r="J3" s="735"/>
      <c r="K3" s="742"/>
    </row>
    <row r="4" spans="2:11" ht="12.75">
      <c r="B4" s="739"/>
      <c r="C4" s="741"/>
      <c r="D4" s="294" t="s">
        <v>411</v>
      </c>
      <c r="E4" s="294" t="s">
        <v>412</v>
      </c>
      <c r="F4" s="294" t="s">
        <v>420</v>
      </c>
      <c r="G4" s="294" t="s">
        <v>421</v>
      </c>
      <c r="H4" s="294" t="s">
        <v>422</v>
      </c>
      <c r="I4" s="294" t="s">
        <v>420</v>
      </c>
      <c r="J4" s="294" t="s">
        <v>421</v>
      </c>
      <c r="K4" s="295" t="s">
        <v>422</v>
      </c>
    </row>
    <row r="5" spans="2:11" ht="12.75">
      <c r="B5" s="324" t="s">
        <v>398</v>
      </c>
      <c r="C5" s="325" t="s">
        <v>28</v>
      </c>
      <c r="D5" s="325" t="s">
        <v>413</v>
      </c>
      <c r="E5" s="325" t="s">
        <v>414</v>
      </c>
      <c r="F5" s="314">
        <v>2</v>
      </c>
      <c r="G5" s="314">
        <v>9.7</v>
      </c>
      <c r="H5" s="314">
        <f>F5+G5</f>
        <v>11.7</v>
      </c>
      <c r="I5" s="314"/>
      <c r="J5" s="314">
        <v>0</v>
      </c>
      <c r="K5" s="315">
        <f>I5+J5</f>
        <v>0</v>
      </c>
    </row>
    <row r="6" spans="2:11" ht="12.75">
      <c r="B6" s="734" t="s">
        <v>399</v>
      </c>
      <c r="C6" s="325" t="s">
        <v>402</v>
      </c>
      <c r="D6" s="325" t="s">
        <v>415</v>
      </c>
      <c r="E6" s="325" t="s">
        <v>414</v>
      </c>
      <c r="F6" s="314"/>
      <c r="G6" s="314"/>
      <c r="H6" s="314"/>
      <c r="I6" s="314"/>
      <c r="J6" s="314">
        <v>10</v>
      </c>
      <c r="K6" s="315">
        <f aca="true" t="shared" si="0" ref="K6:K13">I6+J6</f>
        <v>10</v>
      </c>
    </row>
    <row r="7" spans="2:11" ht="12.75">
      <c r="B7" s="734"/>
      <c r="C7" s="325" t="s">
        <v>403</v>
      </c>
      <c r="D7" s="325" t="s">
        <v>416</v>
      </c>
      <c r="E7" s="325" t="s">
        <v>414</v>
      </c>
      <c r="F7" s="314"/>
      <c r="G7" s="314"/>
      <c r="H7" s="314"/>
      <c r="I7" s="314"/>
      <c r="J7" s="314">
        <v>6.8</v>
      </c>
      <c r="K7" s="315">
        <f t="shared" si="0"/>
        <v>6.8</v>
      </c>
    </row>
    <row r="8" spans="2:11" ht="12.75">
      <c r="B8" s="734"/>
      <c r="C8" s="325" t="s">
        <v>403</v>
      </c>
      <c r="D8" s="325" t="s">
        <v>416</v>
      </c>
      <c r="E8" s="325" t="s">
        <v>418</v>
      </c>
      <c r="F8" s="314"/>
      <c r="G8" s="314"/>
      <c r="H8" s="314"/>
      <c r="I8" s="314"/>
      <c r="J8" s="314">
        <v>28.8</v>
      </c>
      <c r="K8" s="315">
        <f t="shared" si="0"/>
        <v>28.8</v>
      </c>
    </row>
    <row r="9" spans="2:11" ht="12.75">
      <c r="B9" s="734"/>
      <c r="C9" s="325" t="s">
        <v>404</v>
      </c>
      <c r="D9" s="325" t="s">
        <v>417</v>
      </c>
      <c r="E9" s="325" t="s">
        <v>414</v>
      </c>
      <c r="F9" s="314"/>
      <c r="G9" s="314"/>
      <c r="H9" s="314"/>
      <c r="I9" s="314"/>
      <c r="J9" s="314">
        <v>45.7</v>
      </c>
      <c r="K9" s="315">
        <f t="shared" si="0"/>
        <v>45.7</v>
      </c>
    </row>
    <row r="10" spans="2:11" ht="12.75">
      <c r="B10" s="734"/>
      <c r="C10" s="325" t="s">
        <v>405</v>
      </c>
      <c r="D10" s="325" t="s">
        <v>417</v>
      </c>
      <c r="E10" s="325" t="s">
        <v>418</v>
      </c>
      <c r="F10" s="314"/>
      <c r="G10" s="314"/>
      <c r="H10" s="314"/>
      <c r="I10" s="314"/>
      <c r="J10" s="314">
        <v>52.7</v>
      </c>
      <c r="K10" s="315">
        <f t="shared" si="0"/>
        <v>52.7</v>
      </c>
    </row>
    <row r="11" spans="2:11" ht="12.75">
      <c r="B11" s="734"/>
      <c r="C11" s="325" t="s">
        <v>406</v>
      </c>
      <c r="D11" s="325" t="s">
        <v>418</v>
      </c>
      <c r="E11" s="325" t="s">
        <v>414</v>
      </c>
      <c r="F11" s="314"/>
      <c r="G11" s="314"/>
      <c r="H11" s="314"/>
      <c r="I11" s="314"/>
      <c r="J11" s="314">
        <v>26</v>
      </c>
      <c r="K11" s="315">
        <f t="shared" si="0"/>
        <v>26</v>
      </c>
    </row>
    <row r="12" spans="2:11" ht="12.75">
      <c r="B12" s="324" t="s">
        <v>400</v>
      </c>
      <c r="C12" s="325" t="s">
        <v>407</v>
      </c>
      <c r="D12" s="325" t="s">
        <v>415</v>
      </c>
      <c r="E12" s="325" t="s">
        <v>414</v>
      </c>
      <c r="F12" s="314"/>
      <c r="G12" s="314"/>
      <c r="H12" s="314"/>
      <c r="I12" s="314"/>
      <c r="J12" s="314">
        <v>10</v>
      </c>
      <c r="K12" s="315">
        <f t="shared" si="0"/>
        <v>10</v>
      </c>
    </row>
    <row r="13" spans="2:11" ht="12.75">
      <c r="B13" s="324" t="s">
        <v>401</v>
      </c>
      <c r="C13" s="325" t="s">
        <v>408</v>
      </c>
      <c r="D13" s="325" t="s">
        <v>415</v>
      </c>
      <c r="E13" s="325" t="s">
        <v>414</v>
      </c>
      <c r="F13" s="314"/>
      <c r="G13" s="314"/>
      <c r="H13" s="314"/>
      <c r="I13" s="314"/>
      <c r="J13" s="314">
        <v>10</v>
      </c>
      <c r="K13" s="315">
        <f t="shared" si="0"/>
        <v>10</v>
      </c>
    </row>
    <row r="14" spans="2:11" ht="12.75">
      <c r="B14" s="743" t="s">
        <v>187</v>
      </c>
      <c r="C14" s="744"/>
      <c r="D14" s="744"/>
      <c r="E14" s="744"/>
      <c r="F14" s="744"/>
      <c r="G14" s="744"/>
      <c r="H14" s="744"/>
      <c r="I14" s="744"/>
      <c r="J14" s="744"/>
      <c r="K14" s="745"/>
    </row>
    <row r="15" spans="2:11" ht="12.75">
      <c r="B15" s="746" t="str">
        <f>RESUMO!B50</f>
        <v>RUA CHAPADA DOS GUIMARÃES(DOURADO), RUA JANGADA, RUA N. SRA DO LIVRAMENTO, RUA BARÃO DE MELGAÇO E RUA ROSÁRIO OESTE </v>
      </c>
      <c r="C15" s="540"/>
      <c r="D15" s="540"/>
      <c r="E15" s="540"/>
      <c r="F15" s="540"/>
      <c r="G15" s="540"/>
      <c r="H15" s="540"/>
      <c r="I15" s="540"/>
      <c r="J15" s="540"/>
      <c r="K15" s="541"/>
    </row>
    <row r="16" spans="2:11" ht="13.5" thickBot="1">
      <c r="B16" s="731" t="str">
        <f>RESUMO!B49</f>
        <v>JARDIM ESMERALDA</v>
      </c>
      <c r="C16" s="732"/>
      <c r="D16" s="732"/>
      <c r="E16" s="732"/>
      <c r="F16" s="732"/>
      <c r="G16" s="732"/>
      <c r="H16" s="732"/>
      <c r="I16" s="732"/>
      <c r="J16" s="732"/>
      <c r="K16" s="733"/>
    </row>
  </sheetData>
  <sheetProtection/>
  <mergeCells count="10">
    <mergeCell ref="B16:K16"/>
    <mergeCell ref="B6:B11"/>
    <mergeCell ref="D3:E3"/>
    <mergeCell ref="F3:H3"/>
    <mergeCell ref="B2:K2"/>
    <mergeCell ref="B3:B4"/>
    <mergeCell ref="C3:C4"/>
    <mergeCell ref="I3:K3"/>
    <mergeCell ref="B14:K14"/>
    <mergeCell ref="B15:K15"/>
  </mergeCells>
  <printOptions/>
  <pageMargins left="0.5118110236220472" right="0.5118110236220472" top="0.7874015748031497" bottom="0.7874015748031497" header="0.31496062992125984" footer="0.31496062992125984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4"/>
  <sheetViews>
    <sheetView view="pageBreakPreview" zoomScale="60" zoomScalePageLayoutView="0" workbookViewId="0" topLeftCell="A1">
      <selection activeCell="A5" sqref="A5:E5"/>
    </sheetView>
  </sheetViews>
  <sheetFormatPr defaultColWidth="9.140625" defaultRowHeight="12.75"/>
  <cols>
    <col min="1" max="1" width="5.8515625" style="0" customWidth="1"/>
    <col min="2" max="2" width="6.140625" style="0" customWidth="1"/>
    <col min="3" max="3" width="28.57421875" style="0" customWidth="1"/>
    <col min="4" max="4" width="9.28125" style="0" customWidth="1"/>
    <col min="5" max="5" width="13.8515625" style="0" customWidth="1"/>
    <col min="6" max="23" width="6.7109375" style="0" customWidth="1"/>
    <col min="24" max="24" width="11.7109375" style="0" bestFit="1" customWidth="1"/>
    <col min="25" max="25" width="18.7109375" style="0" customWidth="1"/>
  </cols>
  <sheetData>
    <row r="1" spans="1:23" ht="12.75">
      <c r="A1" s="467" t="s">
        <v>187</v>
      </c>
      <c r="B1" s="468"/>
      <c r="C1" s="468"/>
      <c r="D1" s="468"/>
      <c r="E1" s="469"/>
      <c r="F1" s="476" t="s">
        <v>47</v>
      </c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8"/>
    </row>
    <row r="2" spans="1:23" ht="12.75">
      <c r="A2" s="470"/>
      <c r="B2" s="471"/>
      <c r="C2" s="471"/>
      <c r="D2" s="471"/>
      <c r="E2" s="472"/>
      <c r="F2" s="479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1"/>
    </row>
    <row r="3" spans="1:23" ht="12.75">
      <c r="A3" s="473"/>
      <c r="B3" s="474"/>
      <c r="C3" s="474"/>
      <c r="D3" s="474"/>
      <c r="E3" s="475"/>
      <c r="F3" s="482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484"/>
    </row>
    <row r="4" spans="1:23" ht="20.25">
      <c r="A4" s="485" t="s">
        <v>440</v>
      </c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/>
      <c r="S4" s="486"/>
      <c r="T4" s="486"/>
      <c r="U4" s="486"/>
      <c r="V4" s="486"/>
      <c r="W4" s="487"/>
    </row>
    <row r="5" spans="1:23" ht="15.75">
      <c r="A5" s="488"/>
      <c r="B5" s="489"/>
      <c r="C5" s="489"/>
      <c r="D5" s="489"/>
      <c r="E5" s="490"/>
      <c r="F5" s="491" t="s">
        <v>240</v>
      </c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491"/>
      <c r="R5" s="491"/>
      <c r="S5" s="491"/>
      <c r="T5" s="491"/>
      <c r="U5" s="491"/>
      <c r="V5" s="491"/>
      <c r="W5" s="492"/>
    </row>
    <row r="6" spans="1:23" ht="12.75">
      <c r="A6" s="112" t="s">
        <v>241</v>
      </c>
      <c r="B6" s="493" t="s">
        <v>242</v>
      </c>
      <c r="C6" s="494"/>
      <c r="D6" s="112" t="s">
        <v>243</v>
      </c>
      <c r="E6" s="112" t="s">
        <v>244</v>
      </c>
      <c r="F6" s="466">
        <v>30</v>
      </c>
      <c r="G6" s="466"/>
      <c r="H6" s="466"/>
      <c r="I6" s="466">
        <v>60</v>
      </c>
      <c r="J6" s="466"/>
      <c r="K6" s="466"/>
      <c r="L6" s="466">
        <v>90</v>
      </c>
      <c r="M6" s="466"/>
      <c r="N6" s="466"/>
      <c r="O6" s="465">
        <v>120</v>
      </c>
      <c r="P6" s="466"/>
      <c r="Q6" s="466"/>
      <c r="R6" s="465">
        <v>150</v>
      </c>
      <c r="S6" s="466"/>
      <c r="T6" s="466"/>
      <c r="U6" s="466">
        <v>180</v>
      </c>
      <c r="V6" s="466"/>
      <c r="W6" s="466"/>
    </row>
    <row r="7" spans="1:25" ht="12.75">
      <c r="A7" s="434" t="str">
        <f>RESUMO!A9</f>
        <v>1.0</v>
      </c>
      <c r="B7" s="450" t="str">
        <f>RESUMO!B9</f>
        <v>SERVIÇOS PRELIMINARES</v>
      </c>
      <c r="C7" s="438"/>
      <c r="D7" s="451">
        <f>E7/$E$40*100</f>
        <v>5.009116425415878</v>
      </c>
      <c r="E7" s="442">
        <f>RESUMO!C9</f>
        <v>30329.4</v>
      </c>
      <c r="F7" s="416">
        <f>$E$7*F9</f>
        <v>13648.230000000001</v>
      </c>
      <c r="G7" s="417"/>
      <c r="H7" s="418"/>
      <c r="I7" s="416">
        <f>$E$7*I9</f>
        <v>9098.82</v>
      </c>
      <c r="J7" s="417"/>
      <c r="K7" s="418"/>
      <c r="L7" s="416">
        <f>$E$7*L9</f>
        <v>3032.9400000000005</v>
      </c>
      <c r="M7" s="417"/>
      <c r="N7" s="418"/>
      <c r="O7" s="416">
        <f>$E$7*O9</f>
        <v>1516.4700000000003</v>
      </c>
      <c r="P7" s="417"/>
      <c r="Q7" s="418"/>
      <c r="R7" s="416">
        <f>$E$7*R9</f>
        <v>1516.4700000000003</v>
      </c>
      <c r="S7" s="417"/>
      <c r="T7" s="418"/>
      <c r="U7" s="416">
        <f>$E$7*U9</f>
        <v>1516.4700000000003</v>
      </c>
      <c r="V7" s="417"/>
      <c r="W7" s="418"/>
      <c r="X7" s="28">
        <f>SUM(F7:W7)</f>
        <v>30329.40000000001</v>
      </c>
      <c r="Y7" s="28">
        <f>X7-E7</f>
        <v>0</v>
      </c>
    </row>
    <row r="8" spans="1:23" ht="12.75">
      <c r="A8" s="435"/>
      <c r="B8" s="439"/>
      <c r="C8" s="440"/>
      <c r="D8" s="452"/>
      <c r="E8" s="443"/>
      <c r="F8" s="453"/>
      <c r="G8" s="454"/>
      <c r="H8" s="455"/>
      <c r="I8" s="115"/>
      <c r="J8" s="115"/>
      <c r="K8" s="116"/>
      <c r="L8" s="114"/>
      <c r="M8" s="115"/>
      <c r="N8" s="116"/>
      <c r="O8" s="115"/>
      <c r="P8" s="115"/>
      <c r="Q8" s="116"/>
      <c r="R8" s="115"/>
      <c r="S8" s="115"/>
      <c r="T8" s="115"/>
      <c r="U8" s="453"/>
      <c r="V8" s="454"/>
      <c r="W8" s="455"/>
    </row>
    <row r="9" spans="1:24" ht="12.75">
      <c r="A9" s="435"/>
      <c r="B9" s="439"/>
      <c r="C9" s="440"/>
      <c r="D9" s="452"/>
      <c r="E9" s="444"/>
      <c r="F9" s="447">
        <v>0.45</v>
      </c>
      <c r="G9" s="448"/>
      <c r="H9" s="449"/>
      <c r="I9" s="447">
        <v>0.3</v>
      </c>
      <c r="J9" s="448"/>
      <c r="K9" s="449"/>
      <c r="L9" s="447">
        <v>0.1</v>
      </c>
      <c r="M9" s="448"/>
      <c r="N9" s="449"/>
      <c r="O9" s="447">
        <v>0.05</v>
      </c>
      <c r="P9" s="448"/>
      <c r="Q9" s="449"/>
      <c r="R9" s="447">
        <v>0.05</v>
      </c>
      <c r="S9" s="448"/>
      <c r="T9" s="449"/>
      <c r="U9" s="447">
        <v>0.05</v>
      </c>
      <c r="V9" s="448"/>
      <c r="W9" s="449"/>
      <c r="X9" s="203">
        <f>SUM(F9:W9)</f>
        <v>1</v>
      </c>
    </row>
    <row r="10" spans="1:25" ht="12.75">
      <c r="A10" s="434" t="str">
        <f>RESUMO!A12</f>
        <v>2.0</v>
      </c>
      <c r="B10" s="450" t="str">
        <f>RESUMO!B12</f>
        <v>ADMINISTRAÇÃO LOCAL</v>
      </c>
      <c r="C10" s="438"/>
      <c r="D10" s="451">
        <f>E10/$E$40*100</f>
        <v>8.917678638031132</v>
      </c>
      <c r="E10" s="442">
        <f>RESUMO!C12</f>
        <v>53995.12</v>
      </c>
      <c r="F10" s="416">
        <f>$E$10*F12</f>
        <v>9449.146</v>
      </c>
      <c r="G10" s="417"/>
      <c r="H10" s="418"/>
      <c r="I10" s="416">
        <f>$E$10*I12</f>
        <v>8909.194800000001</v>
      </c>
      <c r="J10" s="417"/>
      <c r="K10" s="418"/>
      <c r="L10" s="416">
        <f>$E$10*L12</f>
        <v>8909.194800000001</v>
      </c>
      <c r="M10" s="417"/>
      <c r="N10" s="418"/>
      <c r="O10" s="416">
        <f>$E$10*O12</f>
        <v>8909.194800000001</v>
      </c>
      <c r="P10" s="417"/>
      <c r="Q10" s="418"/>
      <c r="R10" s="416">
        <f>$E$10*R12</f>
        <v>8909.194800000001</v>
      </c>
      <c r="S10" s="417"/>
      <c r="T10" s="418"/>
      <c r="U10" s="416">
        <f>$E$10*U12</f>
        <v>8909.194800000001</v>
      </c>
      <c r="V10" s="417"/>
      <c r="W10" s="418"/>
      <c r="X10" s="28">
        <f>SUM(F10:W10)</f>
        <v>53995.119999999995</v>
      </c>
      <c r="Y10" s="28">
        <f>X10-E10</f>
        <v>0</v>
      </c>
    </row>
    <row r="11" spans="1:23" ht="12.75">
      <c r="A11" s="435"/>
      <c r="B11" s="439"/>
      <c r="C11" s="440"/>
      <c r="D11" s="452"/>
      <c r="E11" s="443"/>
      <c r="F11" s="453"/>
      <c r="G11" s="454"/>
      <c r="H11" s="455"/>
      <c r="I11" s="115"/>
      <c r="J11" s="115"/>
      <c r="K11" s="116"/>
      <c r="L11" s="114"/>
      <c r="M11" s="115"/>
      <c r="N11" s="116"/>
      <c r="O11" s="115"/>
      <c r="P11" s="115"/>
      <c r="Q11" s="116"/>
      <c r="R11" s="115"/>
      <c r="S11" s="115"/>
      <c r="T11" s="115"/>
      <c r="U11" s="453"/>
      <c r="V11" s="454"/>
      <c r="W11" s="455"/>
    </row>
    <row r="12" spans="1:24" ht="12.75">
      <c r="A12" s="435"/>
      <c r="B12" s="439"/>
      <c r="C12" s="440"/>
      <c r="D12" s="452"/>
      <c r="E12" s="444"/>
      <c r="F12" s="447">
        <v>0.175</v>
      </c>
      <c r="G12" s="448"/>
      <c r="H12" s="449"/>
      <c r="I12" s="447">
        <v>0.165</v>
      </c>
      <c r="J12" s="448"/>
      <c r="K12" s="449"/>
      <c r="L12" s="447">
        <v>0.165</v>
      </c>
      <c r="M12" s="448"/>
      <c r="N12" s="449"/>
      <c r="O12" s="447">
        <v>0.165</v>
      </c>
      <c r="P12" s="448"/>
      <c r="Q12" s="449"/>
      <c r="R12" s="447">
        <v>0.165</v>
      </c>
      <c r="S12" s="448"/>
      <c r="T12" s="449"/>
      <c r="U12" s="447">
        <v>0.165</v>
      </c>
      <c r="V12" s="448"/>
      <c r="W12" s="449"/>
      <c r="X12" s="203">
        <f>SUM(F12:W12)</f>
        <v>1</v>
      </c>
    </row>
    <row r="13" spans="1:25" ht="12.75">
      <c r="A13" s="434" t="str">
        <f>RESUMO!A15</f>
        <v>3.0</v>
      </c>
      <c r="B13" s="459" t="str">
        <f>RESUMO!B15</f>
        <v>ENSAIOS TECNOLÓGICOS DE SOLO E ASFALTO</v>
      </c>
      <c r="C13" s="460"/>
      <c r="D13" s="451">
        <f>E13/$E$40*100</f>
        <v>4.50241932887974</v>
      </c>
      <c r="E13" s="442">
        <f>RESUMO!C15</f>
        <v>27261.43</v>
      </c>
      <c r="F13" s="416">
        <f>$E$13*F15</f>
        <v>2726.143</v>
      </c>
      <c r="G13" s="417"/>
      <c r="H13" s="418"/>
      <c r="I13" s="416">
        <f>$E$13*I15</f>
        <v>4907.0574</v>
      </c>
      <c r="J13" s="417"/>
      <c r="K13" s="418"/>
      <c r="L13" s="416">
        <f>$E$13*L15</f>
        <v>4907.0574</v>
      </c>
      <c r="M13" s="417"/>
      <c r="N13" s="418"/>
      <c r="O13" s="416">
        <f>$E$13*O15</f>
        <v>4907.0574</v>
      </c>
      <c r="P13" s="417"/>
      <c r="Q13" s="418"/>
      <c r="R13" s="416">
        <f>$E$13*R15</f>
        <v>4907.0574</v>
      </c>
      <c r="S13" s="417"/>
      <c r="T13" s="418"/>
      <c r="U13" s="416">
        <f>$E$13*U15</f>
        <v>4907.0574</v>
      </c>
      <c r="V13" s="417"/>
      <c r="W13" s="418"/>
      <c r="X13" s="28">
        <f>SUM(F13:W13)</f>
        <v>27261.429999999993</v>
      </c>
      <c r="Y13" s="28">
        <f>X13-E13</f>
        <v>0</v>
      </c>
    </row>
    <row r="14" spans="1:23" ht="12.75">
      <c r="A14" s="435"/>
      <c r="B14" s="461"/>
      <c r="C14" s="462"/>
      <c r="D14" s="452"/>
      <c r="E14" s="443"/>
      <c r="F14" s="453"/>
      <c r="G14" s="454"/>
      <c r="H14" s="455"/>
      <c r="I14" s="115"/>
      <c r="J14" s="115"/>
      <c r="K14" s="116"/>
      <c r="L14" s="114"/>
      <c r="M14" s="115"/>
      <c r="N14" s="116"/>
      <c r="O14" s="115"/>
      <c r="P14" s="115"/>
      <c r="Q14" s="116"/>
      <c r="R14" s="115"/>
      <c r="S14" s="115"/>
      <c r="T14" s="115"/>
      <c r="U14" s="453"/>
      <c r="V14" s="454"/>
      <c r="W14" s="455"/>
    </row>
    <row r="15" spans="1:24" ht="12.75">
      <c r="A15" s="435"/>
      <c r="B15" s="463"/>
      <c r="C15" s="464"/>
      <c r="D15" s="452"/>
      <c r="E15" s="444"/>
      <c r="F15" s="447">
        <v>0.1</v>
      </c>
      <c r="G15" s="448"/>
      <c r="H15" s="449"/>
      <c r="I15" s="447">
        <v>0.18</v>
      </c>
      <c r="J15" s="448"/>
      <c r="K15" s="449"/>
      <c r="L15" s="447">
        <v>0.18</v>
      </c>
      <c r="M15" s="448"/>
      <c r="N15" s="449"/>
      <c r="O15" s="447">
        <v>0.18</v>
      </c>
      <c r="P15" s="448"/>
      <c r="Q15" s="449"/>
      <c r="R15" s="447">
        <v>0.18</v>
      </c>
      <c r="S15" s="448"/>
      <c r="T15" s="449"/>
      <c r="U15" s="447">
        <v>0.18</v>
      </c>
      <c r="V15" s="448"/>
      <c r="W15" s="449"/>
      <c r="X15" s="203">
        <f>SUM(F15:W15)</f>
        <v>1</v>
      </c>
    </row>
    <row r="16" spans="1:23" ht="12.75">
      <c r="A16" s="434" t="str">
        <f>RESUMO!A18</f>
        <v>4.0</v>
      </c>
      <c r="B16" s="450" t="str">
        <f>RESUMO!B18</f>
        <v>TERRAPLENAGEM</v>
      </c>
      <c r="C16" s="438"/>
      <c r="D16" s="451">
        <f>E16/$E$40*100</f>
        <v>10.889235179332475</v>
      </c>
      <c r="E16" s="442">
        <f>RESUMO!C19</f>
        <v>65932.57999999999</v>
      </c>
      <c r="F16" s="416">
        <f>$E$16*F18</f>
        <v>6593.257999999999</v>
      </c>
      <c r="G16" s="417"/>
      <c r="H16" s="418"/>
      <c r="I16" s="416">
        <f>$E$16*I18</f>
        <v>19779.773999999994</v>
      </c>
      <c r="J16" s="417"/>
      <c r="K16" s="418"/>
      <c r="L16" s="416">
        <f>$E$16*L18</f>
        <v>19779.773999999994</v>
      </c>
      <c r="M16" s="417"/>
      <c r="N16" s="418"/>
      <c r="O16" s="416">
        <f>$E$16*O18</f>
        <v>19779.773999999994</v>
      </c>
      <c r="P16" s="417"/>
      <c r="Q16" s="418"/>
      <c r="R16" s="416"/>
      <c r="S16" s="417"/>
      <c r="T16" s="418"/>
      <c r="U16" s="416"/>
      <c r="V16" s="417"/>
      <c r="W16" s="418"/>
    </row>
    <row r="17" spans="1:23" ht="12.75">
      <c r="A17" s="435"/>
      <c r="B17" s="439"/>
      <c r="C17" s="440"/>
      <c r="D17" s="452"/>
      <c r="E17" s="443"/>
      <c r="F17" s="453"/>
      <c r="G17" s="454"/>
      <c r="H17" s="455"/>
      <c r="I17" s="115"/>
      <c r="J17" s="115"/>
      <c r="K17" s="116"/>
      <c r="L17" s="114"/>
      <c r="M17" s="115"/>
      <c r="N17" s="116"/>
      <c r="O17" s="115"/>
      <c r="P17" s="115"/>
      <c r="Q17" s="116"/>
      <c r="R17" s="201"/>
      <c r="S17" s="201"/>
      <c r="T17" s="201"/>
      <c r="U17" s="456"/>
      <c r="V17" s="457"/>
      <c r="W17" s="458"/>
    </row>
    <row r="18" spans="1:24" ht="12.75">
      <c r="A18" s="435"/>
      <c r="B18" s="439"/>
      <c r="C18" s="440"/>
      <c r="D18" s="452"/>
      <c r="E18" s="444"/>
      <c r="F18" s="447">
        <v>0.1</v>
      </c>
      <c r="G18" s="448"/>
      <c r="H18" s="449"/>
      <c r="I18" s="447">
        <v>0.3</v>
      </c>
      <c r="J18" s="448"/>
      <c r="K18" s="449"/>
      <c r="L18" s="447">
        <v>0.3</v>
      </c>
      <c r="M18" s="448"/>
      <c r="N18" s="449"/>
      <c r="O18" s="447">
        <v>0.3</v>
      </c>
      <c r="P18" s="448"/>
      <c r="Q18" s="449"/>
      <c r="R18" s="447"/>
      <c r="S18" s="448"/>
      <c r="T18" s="449"/>
      <c r="U18" s="447"/>
      <c r="V18" s="448"/>
      <c r="W18" s="449"/>
      <c r="X18" s="203">
        <f>SUM(F18:W18)</f>
        <v>1</v>
      </c>
    </row>
    <row r="19" spans="1:25" ht="12.75">
      <c r="A19" s="434" t="str">
        <f>RESUMO!A21</f>
        <v>5.0</v>
      </c>
      <c r="B19" s="450" t="str">
        <f>RESUMO!B21</f>
        <v>PAVIMENTAÇÃO</v>
      </c>
      <c r="C19" s="438"/>
      <c r="D19" s="451">
        <f>E19/$E$40*100</f>
        <v>59.25966866541469</v>
      </c>
      <c r="E19" s="442">
        <f>RESUMO!C22</f>
        <v>358807.83</v>
      </c>
      <c r="F19" s="416">
        <f>$E$19*F21</f>
        <v>17940.3915</v>
      </c>
      <c r="G19" s="417"/>
      <c r="H19" s="418"/>
      <c r="I19" s="416">
        <f>$E$19*I21</f>
        <v>89701.9575</v>
      </c>
      <c r="J19" s="417"/>
      <c r="K19" s="418"/>
      <c r="L19" s="416">
        <f>$E$19*L21</f>
        <v>125582.7405</v>
      </c>
      <c r="M19" s="417"/>
      <c r="N19" s="418"/>
      <c r="O19" s="416">
        <f>$E$19*O21</f>
        <v>125582.7405</v>
      </c>
      <c r="P19" s="417"/>
      <c r="Q19" s="418"/>
      <c r="R19" s="413"/>
      <c r="S19" s="414"/>
      <c r="T19" s="415"/>
      <c r="U19" s="416"/>
      <c r="V19" s="417"/>
      <c r="W19" s="418"/>
      <c r="X19" s="28">
        <f>SUM(F19:W19)</f>
        <v>358807.83</v>
      </c>
      <c r="Y19" s="28">
        <f>X19-E19</f>
        <v>0</v>
      </c>
    </row>
    <row r="20" spans="1:23" ht="12.75">
      <c r="A20" s="435"/>
      <c r="B20" s="439"/>
      <c r="C20" s="440"/>
      <c r="D20" s="452"/>
      <c r="E20" s="443"/>
      <c r="F20" s="453"/>
      <c r="G20" s="454"/>
      <c r="H20" s="455"/>
      <c r="I20" s="115"/>
      <c r="J20" s="115"/>
      <c r="K20" s="116"/>
      <c r="L20" s="114"/>
      <c r="M20" s="115"/>
      <c r="N20" s="116"/>
      <c r="O20" s="115"/>
      <c r="P20" s="115"/>
      <c r="Q20" s="116"/>
      <c r="R20" s="201"/>
      <c r="S20" s="201"/>
      <c r="T20" s="201"/>
      <c r="U20" s="200"/>
      <c r="V20" s="201"/>
      <c r="W20" s="202"/>
    </row>
    <row r="21" spans="1:24" ht="12.75">
      <c r="A21" s="436"/>
      <c r="B21" s="439"/>
      <c r="C21" s="440"/>
      <c r="D21" s="452"/>
      <c r="E21" s="444"/>
      <c r="F21" s="447">
        <v>0.05</v>
      </c>
      <c r="G21" s="448"/>
      <c r="H21" s="449"/>
      <c r="I21" s="447">
        <v>0.25</v>
      </c>
      <c r="J21" s="448"/>
      <c r="K21" s="449"/>
      <c r="L21" s="447">
        <v>0.35</v>
      </c>
      <c r="M21" s="448"/>
      <c r="N21" s="449"/>
      <c r="O21" s="447">
        <v>0.35</v>
      </c>
      <c r="P21" s="448"/>
      <c r="Q21" s="449"/>
      <c r="R21" s="422"/>
      <c r="S21" s="423"/>
      <c r="T21" s="424"/>
      <c r="U21" s="425"/>
      <c r="V21" s="426"/>
      <c r="W21" s="427"/>
      <c r="X21" s="203">
        <f>SUM(F21:W21)</f>
        <v>0.9999999999999999</v>
      </c>
    </row>
    <row r="22" spans="1:25" ht="12.75">
      <c r="A22" s="117"/>
      <c r="B22" s="118"/>
      <c r="C22" s="119"/>
      <c r="D22" s="120"/>
      <c r="E22" s="442">
        <f>RESUMO!C25</f>
        <v>1553.69</v>
      </c>
      <c r="F22" s="428"/>
      <c r="G22" s="429"/>
      <c r="H22" s="430"/>
      <c r="I22" s="413"/>
      <c r="J22" s="414"/>
      <c r="K22" s="415"/>
      <c r="L22" s="413"/>
      <c r="M22" s="414"/>
      <c r="N22" s="415"/>
      <c r="O22" s="413"/>
      <c r="P22" s="414"/>
      <c r="Q22" s="415"/>
      <c r="R22" s="413">
        <f>$E$22*R24</f>
        <v>310.73800000000006</v>
      </c>
      <c r="S22" s="414"/>
      <c r="T22" s="415"/>
      <c r="U22" s="413">
        <f>$E$22*U24</f>
        <v>1242.9520000000002</v>
      </c>
      <c r="V22" s="414"/>
      <c r="W22" s="415"/>
      <c r="X22" s="28">
        <f>SUM(F22:W22)</f>
        <v>1553.6900000000003</v>
      </c>
      <c r="Y22" s="28">
        <f>X22-E22</f>
        <v>0</v>
      </c>
    </row>
    <row r="23" spans="1:23" ht="12.75">
      <c r="A23" s="117" t="str">
        <f>RESUMO!A24</f>
        <v>6.0</v>
      </c>
      <c r="B23" s="121" t="str">
        <f>RESUMO!B24</f>
        <v>SINALIZAÇÃO HORIZONTAL/VERTICAL</v>
      </c>
      <c r="C23" s="122"/>
      <c r="D23" s="113">
        <f>E22/$E$40*100</f>
        <v>0.2566029693632052</v>
      </c>
      <c r="E23" s="443"/>
      <c r="F23" s="204"/>
      <c r="G23" s="205"/>
      <c r="H23" s="205"/>
      <c r="I23" s="201"/>
      <c r="J23" s="201"/>
      <c r="K23" s="202"/>
      <c r="L23" s="200"/>
      <c r="M23" s="201"/>
      <c r="N23" s="202"/>
      <c r="O23" s="201"/>
      <c r="P23" s="201"/>
      <c r="Q23" s="202"/>
      <c r="R23" s="115"/>
      <c r="S23" s="115"/>
      <c r="T23" s="115"/>
      <c r="U23" s="114"/>
      <c r="V23" s="115"/>
      <c r="W23" s="116"/>
    </row>
    <row r="24" spans="1:24" ht="12.75">
      <c r="A24" s="117"/>
      <c r="B24" s="123"/>
      <c r="C24" s="124"/>
      <c r="D24" s="125"/>
      <c r="E24" s="444"/>
      <c r="F24" s="431"/>
      <c r="G24" s="432"/>
      <c r="H24" s="433"/>
      <c r="I24" s="422"/>
      <c r="J24" s="423"/>
      <c r="K24" s="424"/>
      <c r="L24" s="422"/>
      <c r="M24" s="423"/>
      <c r="N24" s="424"/>
      <c r="O24" s="422"/>
      <c r="P24" s="423"/>
      <c r="Q24" s="424"/>
      <c r="R24" s="422">
        <v>0.2</v>
      </c>
      <c r="S24" s="423"/>
      <c r="T24" s="424"/>
      <c r="U24" s="425">
        <v>0.8</v>
      </c>
      <c r="V24" s="426"/>
      <c r="W24" s="427"/>
      <c r="X24" s="203">
        <f>SUM(F24:W24)</f>
        <v>1</v>
      </c>
    </row>
    <row r="25" spans="1:25" ht="12.75">
      <c r="A25" s="434" t="str">
        <f>RESUMO!A27</f>
        <v>7.0</v>
      </c>
      <c r="B25" s="450" t="str">
        <f>RESUMO!B28</f>
        <v>OBRAS COMPLEMENTARES</v>
      </c>
      <c r="C25" s="438"/>
      <c r="D25" s="451">
        <f>E25/$E$40*100</f>
        <v>10.839453519525529</v>
      </c>
      <c r="E25" s="442">
        <f>RESUMO!C28</f>
        <v>65631.16</v>
      </c>
      <c r="F25" s="428"/>
      <c r="G25" s="429"/>
      <c r="H25" s="430"/>
      <c r="I25" s="413"/>
      <c r="J25" s="414"/>
      <c r="K25" s="415"/>
      <c r="L25" s="413"/>
      <c r="M25" s="414"/>
      <c r="N25" s="415"/>
      <c r="O25" s="413">
        <f>$E$25*O27</f>
        <v>13126.232000000002</v>
      </c>
      <c r="P25" s="414"/>
      <c r="Q25" s="415"/>
      <c r="R25" s="413">
        <f>$E$25*R27</f>
        <v>26252.464000000004</v>
      </c>
      <c r="S25" s="414"/>
      <c r="T25" s="415"/>
      <c r="U25" s="413">
        <f>$E$25*U27</f>
        <v>26252.464000000004</v>
      </c>
      <c r="V25" s="414"/>
      <c r="W25" s="415"/>
      <c r="X25" s="28">
        <f>SUM(F25:W25)</f>
        <v>65631.16</v>
      </c>
      <c r="Y25" s="28">
        <f>X25-E25</f>
        <v>0</v>
      </c>
    </row>
    <row r="26" spans="1:23" ht="12.75">
      <c r="A26" s="435"/>
      <c r="B26" s="439"/>
      <c r="C26" s="440"/>
      <c r="D26" s="452"/>
      <c r="E26" s="443"/>
      <c r="F26" s="204"/>
      <c r="G26" s="205"/>
      <c r="H26" s="205"/>
      <c r="I26" s="201"/>
      <c r="J26" s="201"/>
      <c r="K26" s="202"/>
      <c r="L26" s="200"/>
      <c r="M26" s="201"/>
      <c r="N26" s="202"/>
      <c r="O26" s="115"/>
      <c r="P26" s="115"/>
      <c r="Q26" s="116"/>
      <c r="R26" s="115"/>
      <c r="S26" s="115"/>
      <c r="T26" s="115"/>
      <c r="U26" s="114"/>
      <c r="V26" s="115"/>
      <c r="W26" s="116"/>
    </row>
    <row r="27" spans="1:24" ht="12.75">
      <c r="A27" s="436"/>
      <c r="B27" s="439"/>
      <c r="C27" s="440"/>
      <c r="D27" s="452"/>
      <c r="E27" s="444"/>
      <c r="F27" s="431"/>
      <c r="G27" s="432"/>
      <c r="H27" s="433"/>
      <c r="I27" s="422"/>
      <c r="J27" s="423"/>
      <c r="K27" s="424"/>
      <c r="L27" s="422"/>
      <c r="M27" s="423"/>
      <c r="N27" s="424"/>
      <c r="O27" s="422">
        <v>0.2</v>
      </c>
      <c r="P27" s="423"/>
      <c r="Q27" s="424"/>
      <c r="R27" s="422">
        <v>0.4</v>
      </c>
      <c r="S27" s="423"/>
      <c r="T27" s="424"/>
      <c r="U27" s="425">
        <v>0.4</v>
      </c>
      <c r="V27" s="426"/>
      <c r="W27" s="427"/>
      <c r="X27" s="203">
        <f>SUM(F27:W27)</f>
        <v>1</v>
      </c>
    </row>
    <row r="28" spans="1:25" ht="12.75" hidden="1">
      <c r="A28" s="434" t="str">
        <f>RESUMO!A30</f>
        <v>8.0</v>
      </c>
      <c r="B28" s="450" t="str">
        <f>RESUMO!B30</f>
        <v>DRENAGEM</v>
      </c>
      <c r="C28" s="438"/>
      <c r="D28" s="451">
        <f>E28/$E$40*100</f>
        <v>0.3258252740373681</v>
      </c>
      <c r="E28" s="442">
        <f>RESUMO!C31</f>
        <v>1972.82</v>
      </c>
      <c r="F28" s="428"/>
      <c r="G28" s="429"/>
      <c r="H28" s="430"/>
      <c r="I28" s="413">
        <f>$E$28*I30</f>
        <v>591.846</v>
      </c>
      <c r="J28" s="414"/>
      <c r="K28" s="415"/>
      <c r="L28" s="413">
        <f>$E$28*L30</f>
        <v>295.923</v>
      </c>
      <c r="M28" s="414"/>
      <c r="N28" s="415"/>
      <c r="O28" s="413">
        <f>$E$28*O30</f>
        <v>394.564</v>
      </c>
      <c r="P28" s="414"/>
      <c r="Q28" s="415"/>
      <c r="R28" s="413">
        <f>$E$28*R30</f>
        <v>394.564</v>
      </c>
      <c r="S28" s="414"/>
      <c r="T28" s="415"/>
      <c r="U28" s="413">
        <f>$E$28*U30</f>
        <v>295.923</v>
      </c>
      <c r="V28" s="414"/>
      <c r="W28" s="415"/>
      <c r="X28" s="28">
        <f>SUM(F28:W28)</f>
        <v>1972.8200000000002</v>
      </c>
      <c r="Y28" s="28">
        <f>X28-E28</f>
        <v>0</v>
      </c>
    </row>
    <row r="29" spans="1:23" ht="12.75" hidden="1">
      <c r="A29" s="435"/>
      <c r="B29" s="439"/>
      <c r="C29" s="440"/>
      <c r="D29" s="452"/>
      <c r="E29" s="443"/>
      <c r="F29" s="204"/>
      <c r="G29" s="205"/>
      <c r="H29" s="205"/>
      <c r="I29" s="114"/>
      <c r="J29" s="115"/>
      <c r="K29" s="116"/>
      <c r="L29" s="114"/>
      <c r="M29" s="115"/>
      <c r="N29" s="116"/>
      <c r="O29" s="115"/>
      <c r="P29" s="115"/>
      <c r="Q29" s="116"/>
      <c r="R29" s="115"/>
      <c r="S29" s="115"/>
      <c r="T29" s="115"/>
      <c r="U29" s="114"/>
      <c r="V29" s="115"/>
      <c r="W29" s="116"/>
    </row>
    <row r="30" spans="1:24" ht="12.75" hidden="1">
      <c r="A30" s="436"/>
      <c r="B30" s="439"/>
      <c r="C30" s="440"/>
      <c r="D30" s="452"/>
      <c r="E30" s="444"/>
      <c r="F30" s="431"/>
      <c r="G30" s="432"/>
      <c r="H30" s="433"/>
      <c r="I30" s="422">
        <v>0.3</v>
      </c>
      <c r="J30" s="423"/>
      <c r="K30" s="424"/>
      <c r="L30" s="422">
        <v>0.15</v>
      </c>
      <c r="M30" s="423"/>
      <c r="N30" s="424"/>
      <c r="O30" s="422">
        <v>0.2</v>
      </c>
      <c r="P30" s="423"/>
      <c r="Q30" s="424"/>
      <c r="R30" s="422">
        <v>0.2</v>
      </c>
      <c r="S30" s="423"/>
      <c r="T30" s="424"/>
      <c r="U30" s="425">
        <v>0.15</v>
      </c>
      <c r="V30" s="426"/>
      <c r="W30" s="427"/>
      <c r="X30" s="203">
        <f>SUM(F30:W30)</f>
        <v>0.9999999999999999</v>
      </c>
    </row>
    <row r="31" spans="1:25" ht="12.75" hidden="1">
      <c r="A31" s="434" t="str">
        <f>RESUMO!A33</f>
        <v>9.0</v>
      </c>
      <c r="B31" s="459" t="str">
        <f>RESUMO!B33</f>
        <v>FORNECIMENTO/ASSENTAMENTO DE TUBOS TIPO PA-1 e PA-2</v>
      </c>
      <c r="C31" s="460"/>
      <c r="D31" s="451">
        <f>E31/$E$40*100</f>
        <v>0</v>
      </c>
      <c r="E31" s="442">
        <f>RESUMO!C34</f>
        <v>0</v>
      </c>
      <c r="F31" s="428"/>
      <c r="G31" s="429"/>
      <c r="H31" s="430"/>
      <c r="I31" s="413">
        <f>$E$31*I33</f>
        <v>0</v>
      </c>
      <c r="J31" s="414"/>
      <c r="K31" s="415"/>
      <c r="L31" s="413">
        <f>$E$31*L33</f>
        <v>0</v>
      </c>
      <c r="M31" s="414"/>
      <c r="N31" s="415"/>
      <c r="O31" s="413"/>
      <c r="P31" s="414"/>
      <c r="Q31" s="415"/>
      <c r="R31" s="413"/>
      <c r="S31" s="414"/>
      <c r="T31" s="415"/>
      <c r="U31" s="416"/>
      <c r="V31" s="417"/>
      <c r="W31" s="418"/>
      <c r="X31" s="28">
        <f>SUM(F31:W31)</f>
        <v>0</v>
      </c>
      <c r="Y31" s="28">
        <f>X31-E31</f>
        <v>0</v>
      </c>
    </row>
    <row r="32" spans="1:23" ht="12.75" hidden="1">
      <c r="A32" s="435"/>
      <c r="B32" s="461"/>
      <c r="C32" s="462"/>
      <c r="D32" s="452"/>
      <c r="E32" s="443"/>
      <c r="F32" s="204"/>
      <c r="G32" s="205"/>
      <c r="H32" s="205"/>
      <c r="I32" s="114"/>
      <c r="J32" s="115"/>
      <c r="K32" s="116"/>
      <c r="L32" s="114"/>
      <c r="M32" s="115"/>
      <c r="N32" s="116"/>
      <c r="O32" s="201"/>
      <c r="P32" s="201"/>
      <c r="Q32" s="202"/>
      <c r="R32" s="201"/>
      <c r="S32" s="201"/>
      <c r="T32" s="201"/>
      <c r="U32" s="200"/>
      <c r="V32" s="201"/>
      <c r="W32" s="202"/>
    </row>
    <row r="33" spans="1:24" ht="12.75" hidden="1">
      <c r="A33" s="436"/>
      <c r="B33" s="463"/>
      <c r="C33" s="464"/>
      <c r="D33" s="452"/>
      <c r="E33" s="444"/>
      <c r="F33" s="431"/>
      <c r="G33" s="432"/>
      <c r="H33" s="433"/>
      <c r="I33" s="422">
        <v>0.6</v>
      </c>
      <c r="J33" s="423"/>
      <c r="K33" s="424"/>
      <c r="L33" s="422">
        <v>0.4</v>
      </c>
      <c r="M33" s="423"/>
      <c r="N33" s="424"/>
      <c r="O33" s="422"/>
      <c r="P33" s="423"/>
      <c r="Q33" s="424"/>
      <c r="R33" s="422"/>
      <c r="S33" s="423"/>
      <c r="T33" s="424"/>
      <c r="U33" s="425"/>
      <c r="V33" s="426"/>
      <c r="W33" s="427"/>
      <c r="X33" s="203">
        <f>SUM(F33:W33)</f>
        <v>1</v>
      </c>
    </row>
    <row r="34" spans="1:25" ht="12.75" hidden="1">
      <c r="A34" s="434" t="str">
        <f>RESUMO!A36</f>
        <v>10.0</v>
      </c>
      <c r="B34" s="459" t="str">
        <f>RESUMO!B36</f>
        <v>ASSENTAMENTO E REJUNTAMENTO DE TUBO DE CONCRETO </v>
      </c>
      <c r="C34" s="460"/>
      <c r="D34" s="441">
        <f>E34/$E$40*100</f>
        <v>0</v>
      </c>
      <c r="E34" s="442">
        <f>RESUMO!C37</f>
        <v>0</v>
      </c>
      <c r="F34" s="428"/>
      <c r="G34" s="429"/>
      <c r="H34" s="430"/>
      <c r="I34" s="413">
        <f>$E$34*I36</f>
        <v>0</v>
      </c>
      <c r="J34" s="414"/>
      <c r="K34" s="415"/>
      <c r="L34" s="413">
        <f>$E$34*L36</f>
        <v>0</v>
      </c>
      <c r="M34" s="414"/>
      <c r="N34" s="415"/>
      <c r="O34" s="413">
        <f>$E$34*O36</f>
        <v>0</v>
      </c>
      <c r="P34" s="414"/>
      <c r="Q34" s="415"/>
      <c r="R34" s="413"/>
      <c r="S34" s="414"/>
      <c r="T34" s="415"/>
      <c r="U34" s="416"/>
      <c r="V34" s="417"/>
      <c r="W34" s="418"/>
      <c r="X34" s="28">
        <f>SUM(F34:W34)</f>
        <v>0</v>
      </c>
      <c r="Y34" s="28">
        <f>X34-E34</f>
        <v>0</v>
      </c>
    </row>
    <row r="35" spans="1:23" ht="12.75" hidden="1">
      <c r="A35" s="435"/>
      <c r="B35" s="461"/>
      <c r="C35" s="462"/>
      <c r="D35" s="441"/>
      <c r="E35" s="443"/>
      <c r="F35" s="204"/>
      <c r="G35" s="205"/>
      <c r="H35" s="205"/>
      <c r="I35" s="114"/>
      <c r="J35" s="115"/>
      <c r="K35" s="116"/>
      <c r="L35" s="114"/>
      <c r="M35" s="115"/>
      <c r="N35" s="116"/>
      <c r="O35" s="115"/>
      <c r="P35" s="115"/>
      <c r="Q35" s="116"/>
      <c r="R35" s="201"/>
      <c r="S35" s="201"/>
      <c r="T35" s="201"/>
      <c r="U35" s="200"/>
      <c r="V35" s="201"/>
      <c r="W35" s="202"/>
    </row>
    <row r="36" spans="1:24" ht="12.75" hidden="1">
      <c r="A36" s="436"/>
      <c r="B36" s="463"/>
      <c r="C36" s="464"/>
      <c r="D36" s="441"/>
      <c r="E36" s="444"/>
      <c r="F36" s="431"/>
      <c r="G36" s="432"/>
      <c r="H36" s="433"/>
      <c r="I36" s="422">
        <v>0.3</v>
      </c>
      <c r="J36" s="423"/>
      <c r="K36" s="424"/>
      <c r="L36" s="422">
        <v>0.4</v>
      </c>
      <c r="M36" s="423"/>
      <c r="N36" s="424"/>
      <c r="O36" s="422">
        <v>0.3</v>
      </c>
      <c r="P36" s="423"/>
      <c r="Q36" s="424"/>
      <c r="R36" s="422"/>
      <c r="S36" s="423"/>
      <c r="T36" s="424"/>
      <c r="U36" s="425"/>
      <c r="V36" s="426"/>
      <c r="W36" s="427"/>
      <c r="X36" s="203">
        <f>SUM(F36:W36)</f>
        <v>1</v>
      </c>
    </row>
    <row r="37" spans="1:25" ht="12.75" hidden="1">
      <c r="A37" s="434" t="str">
        <f>RESUMO!A39</f>
        <v>11.0</v>
      </c>
      <c r="B37" s="437" t="str">
        <f>RESUMO!B39</f>
        <v>ÓRGÃOS ACESSÓRIOS</v>
      </c>
      <c r="C37" s="438"/>
      <c r="D37" s="441">
        <f>E37/$E$40*100</f>
        <v>0</v>
      </c>
      <c r="E37" s="442">
        <f>RESUMO!C40</f>
        <v>0</v>
      </c>
      <c r="F37" s="445"/>
      <c r="G37" s="446"/>
      <c r="H37" s="446"/>
      <c r="I37" s="413">
        <f>$E$37*I39</f>
        <v>0</v>
      </c>
      <c r="J37" s="414"/>
      <c r="K37" s="415"/>
      <c r="L37" s="413">
        <f>$E$37*L39</f>
        <v>0</v>
      </c>
      <c r="M37" s="414"/>
      <c r="N37" s="415"/>
      <c r="O37" s="413">
        <f>$E$37*O39</f>
        <v>0</v>
      </c>
      <c r="P37" s="414"/>
      <c r="Q37" s="415"/>
      <c r="R37" s="416"/>
      <c r="S37" s="417"/>
      <c r="T37" s="418"/>
      <c r="U37" s="416"/>
      <c r="V37" s="417"/>
      <c r="W37" s="418"/>
      <c r="X37" s="28">
        <f>SUM(F37:W37)</f>
        <v>0</v>
      </c>
      <c r="Y37" s="28">
        <f>X37-E37</f>
        <v>0</v>
      </c>
    </row>
    <row r="38" spans="1:23" ht="12.75" hidden="1">
      <c r="A38" s="435"/>
      <c r="B38" s="439"/>
      <c r="C38" s="440"/>
      <c r="D38" s="441"/>
      <c r="E38" s="443"/>
      <c r="F38" s="204"/>
      <c r="G38" s="205"/>
      <c r="H38" s="206"/>
      <c r="I38" s="115"/>
      <c r="J38" s="115"/>
      <c r="K38" s="116"/>
      <c r="L38" s="114"/>
      <c r="M38" s="115"/>
      <c r="N38" s="116"/>
      <c r="O38" s="115"/>
      <c r="P38" s="115"/>
      <c r="Q38" s="116"/>
      <c r="R38" s="201"/>
      <c r="S38" s="201"/>
      <c r="T38" s="201"/>
      <c r="U38" s="200"/>
      <c r="V38" s="201"/>
      <c r="W38" s="202"/>
    </row>
    <row r="39" spans="1:24" ht="12.75" hidden="1">
      <c r="A39" s="436"/>
      <c r="B39" s="439"/>
      <c r="C39" s="440"/>
      <c r="D39" s="441"/>
      <c r="E39" s="444"/>
      <c r="F39" s="419"/>
      <c r="G39" s="420"/>
      <c r="H39" s="421"/>
      <c r="I39" s="422">
        <v>0.3</v>
      </c>
      <c r="J39" s="423"/>
      <c r="K39" s="424"/>
      <c r="L39" s="422">
        <v>0.4</v>
      </c>
      <c r="M39" s="423"/>
      <c r="N39" s="424"/>
      <c r="O39" s="422">
        <v>0.3</v>
      </c>
      <c r="P39" s="423"/>
      <c r="Q39" s="424"/>
      <c r="R39" s="425"/>
      <c r="S39" s="426"/>
      <c r="T39" s="427"/>
      <c r="U39" s="425"/>
      <c r="V39" s="426"/>
      <c r="W39" s="427"/>
      <c r="X39" s="203">
        <f>SUM(F39:W39)</f>
        <v>1</v>
      </c>
    </row>
    <row r="40" spans="1:25" ht="12.75">
      <c r="A40" s="403" t="s">
        <v>245</v>
      </c>
      <c r="B40" s="404"/>
      <c r="C40" s="405"/>
      <c r="D40" s="126">
        <f>SUM(D7:D39)</f>
        <v>100.00000000000001</v>
      </c>
      <c r="E40" s="127">
        <f>E7+E10+E13+E16+E19+E22+E25+E28+E31+E34+E37</f>
        <v>605484.0299999999</v>
      </c>
      <c r="F40" s="400">
        <f>F41/$E$40</f>
        <v>0.0831684503718455</v>
      </c>
      <c r="G40" s="401"/>
      <c r="H40" s="402"/>
      <c r="I40" s="400">
        <f>I41/$E$40</f>
        <v>0.2196402268446288</v>
      </c>
      <c r="J40" s="401"/>
      <c r="K40" s="402"/>
      <c r="L40" s="400">
        <f>L41/$E$40</f>
        <v>0.2683929247481556</v>
      </c>
      <c r="M40" s="401"/>
      <c r="N40" s="402"/>
      <c r="O40" s="400">
        <f>O41/$E$40</f>
        <v>0.2877301862115174</v>
      </c>
      <c r="P40" s="401"/>
      <c r="Q40" s="402"/>
      <c r="R40" s="400">
        <f>R41/$E$40</f>
        <v>0.0698457533223461</v>
      </c>
      <c r="S40" s="401"/>
      <c r="T40" s="402"/>
      <c r="U40" s="400">
        <f>U41/$E$40</f>
        <v>0.07122245850150667</v>
      </c>
      <c r="V40" s="401"/>
      <c r="W40" s="402"/>
      <c r="X40" s="28">
        <f>SUM(F40:W40)</f>
        <v>1.0000000000000002</v>
      </c>
      <c r="Y40" s="28">
        <f>SUM(X37+X34+X31+X28+X25+X22+X19+X13+X10+X7)</f>
        <v>539551.45</v>
      </c>
    </row>
    <row r="41" spans="1:24" ht="12.75">
      <c r="A41" s="403" t="s">
        <v>246</v>
      </c>
      <c r="B41" s="404"/>
      <c r="C41" s="405"/>
      <c r="D41" s="409" t="s">
        <v>247</v>
      </c>
      <c r="E41" s="410"/>
      <c r="F41" s="397">
        <f>F19+F16+F13+F10+F7</f>
        <v>50357.16850000001</v>
      </c>
      <c r="G41" s="398"/>
      <c r="H41" s="399"/>
      <c r="I41" s="397">
        <f>I37+I34+I31+I28+I19+I16+I13+I10+I7</f>
        <v>132988.6497</v>
      </c>
      <c r="J41" s="398"/>
      <c r="K41" s="399"/>
      <c r="L41" s="397">
        <f>L37+L34+L31+L28+L19+L16+L13+L10+L7</f>
        <v>162507.6297</v>
      </c>
      <c r="M41" s="398"/>
      <c r="N41" s="399"/>
      <c r="O41" s="397">
        <f>O37+O34+O28+O25+O19+O16+O13+O10+O7</f>
        <v>174216.03269999998</v>
      </c>
      <c r="P41" s="398"/>
      <c r="Q41" s="399"/>
      <c r="R41" s="397">
        <f>R7+R10+R13+R25+R28+R22</f>
        <v>42290.4882</v>
      </c>
      <c r="S41" s="398"/>
      <c r="T41" s="399"/>
      <c r="U41" s="397">
        <f>SUM(U28+U25+U22+U13+U10+U7)</f>
        <v>43124.06120000001</v>
      </c>
      <c r="V41" s="398"/>
      <c r="W41" s="399"/>
      <c r="X41" s="28">
        <f>SUM(F41:W41)</f>
        <v>605484.03</v>
      </c>
    </row>
    <row r="42" spans="1:25" ht="12.75">
      <c r="A42" s="406"/>
      <c r="B42" s="407"/>
      <c r="C42" s="408"/>
      <c r="D42" s="411" t="s">
        <v>248</v>
      </c>
      <c r="E42" s="412"/>
      <c r="F42" s="397">
        <f>F41</f>
        <v>50357.16850000001</v>
      </c>
      <c r="G42" s="398"/>
      <c r="H42" s="399"/>
      <c r="I42" s="397">
        <f>F42++I41</f>
        <v>183345.8182</v>
      </c>
      <c r="J42" s="398"/>
      <c r="K42" s="399"/>
      <c r="L42" s="397">
        <f>I42++L41</f>
        <v>345853.4479</v>
      </c>
      <c r="M42" s="398"/>
      <c r="N42" s="399"/>
      <c r="O42" s="397">
        <f>L42++O41</f>
        <v>520069.4806</v>
      </c>
      <c r="P42" s="398"/>
      <c r="Q42" s="399"/>
      <c r="R42" s="397">
        <f>O42++R41</f>
        <v>562359.9688</v>
      </c>
      <c r="S42" s="398"/>
      <c r="T42" s="399"/>
      <c r="U42" s="397">
        <f>R42++U41</f>
        <v>605484.03</v>
      </c>
      <c r="V42" s="398"/>
      <c r="W42" s="399"/>
      <c r="Y42" s="28">
        <f>RESUMO!C44-CFF!U42</f>
        <v>0</v>
      </c>
    </row>
    <row r="44" spans="5:25" ht="12.75">
      <c r="E44" s="207">
        <f>SUM(E7:E39)</f>
        <v>605484.0299999999</v>
      </c>
      <c r="L44" t="s">
        <v>340</v>
      </c>
      <c r="V44" s="110"/>
      <c r="Y44" s="110"/>
    </row>
  </sheetData>
  <sheetProtection/>
  <mergeCells count="216">
    <mergeCell ref="L39:N39"/>
    <mergeCell ref="E22:E24"/>
    <mergeCell ref="O10:Q10"/>
    <mergeCell ref="R10:T10"/>
    <mergeCell ref="R12:T12"/>
    <mergeCell ref="I13:K13"/>
    <mergeCell ref="F14:H14"/>
    <mergeCell ref="I15:K15"/>
    <mergeCell ref="I16:K16"/>
    <mergeCell ref="F17:H17"/>
    <mergeCell ref="I22:K22"/>
    <mergeCell ref="L22:N22"/>
    <mergeCell ref="O22:Q22"/>
    <mergeCell ref="R22:T22"/>
    <mergeCell ref="I24:K24"/>
    <mergeCell ref="L24:N24"/>
    <mergeCell ref="R24:T24"/>
    <mergeCell ref="L34:N34"/>
    <mergeCell ref="O34:Q34"/>
    <mergeCell ref="R34:T34"/>
    <mergeCell ref="U34:W34"/>
    <mergeCell ref="F36:H36"/>
    <mergeCell ref="I36:K36"/>
    <mergeCell ref="L36:N36"/>
    <mergeCell ref="O36:Q36"/>
    <mergeCell ref="R36:T36"/>
    <mergeCell ref="U36:W36"/>
    <mergeCell ref="A34:A36"/>
    <mergeCell ref="B34:C36"/>
    <mergeCell ref="D34:D36"/>
    <mergeCell ref="E34:E36"/>
    <mergeCell ref="F34:H34"/>
    <mergeCell ref="I34:K34"/>
    <mergeCell ref="L31:N31"/>
    <mergeCell ref="O31:Q31"/>
    <mergeCell ref="R31:T31"/>
    <mergeCell ref="U31:W31"/>
    <mergeCell ref="F33:H33"/>
    <mergeCell ref="I33:K33"/>
    <mergeCell ref="L33:N33"/>
    <mergeCell ref="O33:Q33"/>
    <mergeCell ref="R33:T33"/>
    <mergeCell ref="U33:W33"/>
    <mergeCell ref="A31:A33"/>
    <mergeCell ref="B31:C33"/>
    <mergeCell ref="D31:D33"/>
    <mergeCell ref="E31:E33"/>
    <mergeCell ref="F31:H31"/>
    <mergeCell ref="I31:K31"/>
    <mergeCell ref="L28:N28"/>
    <mergeCell ref="O28:Q28"/>
    <mergeCell ref="R28:T28"/>
    <mergeCell ref="U28:W28"/>
    <mergeCell ref="F30:H30"/>
    <mergeCell ref="I30:K30"/>
    <mergeCell ref="L30:N30"/>
    <mergeCell ref="O30:Q30"/>
    <mergeCell ref="R30:T30"/>
    <mergeCell ref="U30:W30"/>
    <mergeCell ref="A28:A30"/>
    <mergeCell ref="B28:C30"/>
    <mergeCell ref="D28:D30"/>
    <mergeCell ref="E28:E30"/>
    <mergeCell ref="F28:H28"/>
    <mergeCell ref="I28:K28"/>
    <mergeCell ref="L25:N25"/>
    <mergeCell ref="O25:Q25"/>
    <mergeCell ref="R25:T25"/>
    <mergeCell ref="U25:W25"/>
    <mergeCell ref="F27:H27"/>
    <mergeCell ref="I27:K27"/>
    <mergeCell ref="L27:N27"/>
    <mergeCell ref="O27:Q27"/>
    <mergeCell ref="R27:T27"/>
    <mergeCell ref="U27:W27"/>
    <mergeCell ref="A25:A27"/>
    <mergeCell ref="B25:C27"/>
    <mergeCell ref="D25:D27"/>
    <mergeCell ref="E25:E27"/>
    <mergeCell ref="F25:H25"/>
    <mergeCell ref="I25:K25"/>
    <mergeCell ref="A1:E3"/>
    <mergeCell ref="F1:W3"/>
    <mergeCell ref="A4:W4"/>
    <mergeCell ref="A5:E5"/>
    <mergeCell ref="F5:W5"/>
    <mergeCell ref="B6:C6"/>
    <mergeCell ref="F6:H6"/>
    <mergeCell ref="I6:K6"/>
    <mergeCell ref="L6:N6"/>
    <mergeCell ref="O6:Q6"/>
    <mergeCell ref="R6:T6"/>
    <mergeCell ref="U6:W6"/>
    <mergeCell ref="A7:A9"/>
    <mergeCell ref="B7:C9"/>
    <mergeCell ref="D7:D9"/>
    <mergeCell ref="E7:E9"/>
    <mergeCell ref="F7:H7"/>
    <mergeCell ref="I7:K7"/>
    <mergeCell ref="L7:N7"/>
    <mergeCell ref="O7:Q7"/>
    <mergeCell ref="R7:T7"/>
    <mergeCell ref="U7:W7"/>
    <mergeCell ref="F8:H8"/>
    <mergeCell ref="U8:W8"/>
    <mergeCell ref="F9:H9"/>
    <mergeCell ref="I9:K9"/>
    <mergeCell ref="L9:N9"/>
    <mergeCell ref="O9:Q9"/>
    <mergeCell ref="R9:T9"/>
    <mergeCell ref="U9:W9"/>
    <mergeCell ref="A10:A12"/>
    <mergeCell ref="B10:C12"/>
    <mergeCell ref="D10:D12"/>
    <mergeCell ref="E10:E12"/>
    <mergeCell ref="F10:H10"/>
    <mergeCell ref="I10:K10"/>
    <mergeCell ref="L10:N10"/>
    <mergeCell ref="U10:W10"/>
    <mergeCell ref="F11:H11"/>
    <mergeCell ref="U11:W11"/>
    <mergeCell ref="F12:H12"/>
    <mergeCell ref="I12:K12"/>
    <mergeCell ref="L12:N12"/>
    <mergeCell ref="O12:Q12"/>
    <mergeCell ref="U12:W12"/>
    <mergeCell ref="A13:A15"/>
    <mergeCell ref="B13:C15"/>
    <mergeCell ref="D13:D15"/>
    <mergeCell ref="E13:E15"/>
    <mergeCell ref="F13:H13"/>
    <mergeCell ref="L13:N13"/>
    <mergeCell ref="O13:Q13"/>
    <mergeCell ref="R13:T13"/>
    <mergeCell ref="U13:W13"/>
    <mergeCell ref="F15:H15"/>
    <mergeCell ref="L15:N15"/>
    <mergeCell ref="O15:Q15"/>
    <mergeCell ref="R15:T15"/>
    <mergeCell ref="U15:W15"/>
    <mergeCell ref="U14:W14"/>
    <mergeCell ref="A16:A18"/>
    <mergeCell ref="B16:C18"/>
    <mergeCell ref="D16:D18"/>
    <mergeCell ref="E16:E18"/>
    <mergeCell ref="F16:H16"/>
    <mergeCell ref="L16:N16"/>
    <mergeCell ref="I18:K18"/>
    <mergeCell ref="O16:Q16"/>
    <mergeCell ref="R16:T16"/>
    <mergeCell ref="U16:W16"/>
    <mergeCell ref="F18:H18"/>
    <mergeCell ref="L18:N18"/>
    <mergeCell ref="O18:Q18"/>
    <mergeCell ref="R18:T18"/>
    <mergeCell ref="U18:W18"/>
    <mergeCell ref="U17:W17"/>
    <mergeCell ref="A19:A21"/>
    <mergeCell ref="B19:C21"/>
    <mergeCell ref="D19:D21"/>
    <mergeCell ref="E19:E21"/>
    <mergeCell ref="F19:H19"/>
    <mergeCell ref="I19:K19"/>
    <mergeCell ref="F20:H20"/>
    <mergeCell ref="R19:T19"/>
    <mergeCell ref="U19:W19"/>
    <mergeCell ref="F21:H21"/>
    <mergeCell ref="I21:K21"/>
    <mergeCell ref="L21:N21"/>
    <mergeCell ref="O21:Q21"/>
    <mergeCell ref="R21:T21"/>
    <mergeCell ref="U21:W21"/>
    <mergeCell ref="L19:N19"/>
    <mergeCell ref="O19:Q19"/>
    <mergeCell ref="F22:H22"/>
    <mergeCell ref="U22:W22"/>
    <mergeCell ref="F24:H24"/>
    <mergeCell ref="O24:Q24"/>
    <mergeCell ref="U24:W24"/>
    <mergeCell ref="A37:A39"/>
    <mergeCell ref="B37:C39"/>
    <mergeCell ref="D37:D39"/>
    <mergeCell ref="E37:E39"/>
    <mergeCell ref="F37:H37"/>
    <mergeCell ref="O37:Q37"/>
    <mergeCell ref="R37:T37"/>
    <mergeCell ref="U37:W37"/>
    <mergeCell ref="F39:H39"/>
    <mergeCell ref="O39:Q39"/>
    <mergeCell ref="R39:T39"/>
    <mergeCell ref="U39:W39"/>
    <mergeCell ref="I37:K37"/>
    <mergeCell ref="L37:N37"/>
    <mergeCell ref="I39:K39"/>
    <mergeCell ref="A40:C40"/>
    <mergeCell ref="F40:H40"/>
    <mergeCell ref="I40:K40"/>
    <mergeCell ref="L40:N40"/>
    <mergeCell ref="O40:Q40"/>
    <mergeCell ref="R40:T40"/>
    <mergeCell ref="U40:W40"/>
    <mergeCell ref="A41:C42"/>
    <mergeCell ref="D41:E41"/>
    <mergeCell ref="F41:H41"/>
    <mergeCell ref="I41:K41"/>
    <mergeCell ref="L41:N41"/>
    <mergeCell ref="O41:Q41"/>
    <mergeCell ref="R41:T41"/>
    <mergeCell ref="U41:W41"/>
    <mergeCell ref="D42:E42"/>
    <mergeCell ref="F42:H42"/>
    <mergeCell ref="I42:K42"/>
    <mergeCell ref="L42:N42"/>
    <mergeCell ref="O42:Q42"/>
    <mergeCell ref="R42:T42"/>
    <mergeCell ref="U42:W42"/>
  </mergeCells>
  <printOptions/>
  <pageMargins left="0.5118110236220472" right="0.5118110236220472" top="0.7874015748031497" bottom="0.7874015748031497" header="0.31496062992125984" footer="0.31496062992125984"/>
  <pageSetup orientation="landscape" paperSize="9" scale="75" r:id="rId1"/>
  <colBreaks count="1" manualBreakCount="1">
    <brk id="23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85"/>
  <sheetViews>
    <sheetView view="pageBreakPreview" zoomScaleNormal="90" zoomScaleSheetLayoutView="100" zoomScalePageLayoutView="0" workbookViewId="0" topLeftCell="A43">
      <selection activeCell="G27" sqref="G27"/>
    </sheetView>
  </sheetViews>
  <sheetFormatPr defaultColWidth="9.140625" defaultRowHeight="12.75"/>
  <cols>
    <col min="1" max="1" width="7.140625" style="0" customWidth="1"/>
    <col min="2" max="2" width="16.421875" style="41" customWidth="1"/>
    <col min="3" max="3" width="10.57421875" style="0" bestFit="1" customWidth="1"/>
    <col min="4" max="4" width="16.57421875" style="0" customWidth="1"/>
    <col min="5" max="5" width="75.00390625" style="0" customWidth="1"/>
    <col min="6" max="6" width="9.28125" style="0" customWidth="1"/>
    <col min="7" max="7" width="15.7109375" style="0" customWidth="1"/>
    <col min="9" max="9" width="11.28125" style="0" bestFit="1" customWidth="1"/>
    <col min="10" max="10" width="16.140625" style="0" customWidth="1"/>
    <col min="11" max="11" width="17.7109375" style="0" customWidth="1"/>
    <col min="12" max="12" width="10.28125" style="0" bestFit="1" customWidth="1"/>
  </cols>
  <sheetData>
    <row r="1" spans="1:7" ht="18.75" customHeight="1">
      <c r="A1" s="496" t="str">
        <f>CFF!A1</f>
        <v>PREFEITURA MUNICIPAL DE VÁRZEA GRANDE</v>
      </c>
      <c r="B1" s="496"/>
      <c r="C1" s="496"/>
      <c r="D1" s="496"/>
      <c r="E1" s="499" t="s">
        <v>0</v>
      </c>
      <c r="F1" s="499"/>
      <c r="G1" s="498" t="s">
        <v>51</v>
      </c>
    </row>
    <row r="2" spans="1:7" ht="15.75" customHeight="1">
      <c r="A2" s="496"/>
      <c r="B2" s="496"/>
      <c r="C2" s="496"/>
      <c r="D2" s="496"/>
      <c r="E2" s="495" t="s">
        <v>395</v>
      </c>
      <c r="F2" s="495"/>
      <c r="G2" s="498"/>
    </row>
    <row r="3" spans="1:7" ht="15.75" customHeight="1">
      <c r="A3" s="496"/>
      <c r="B3" s="496"/>
      <c r="C3" s="496"/>
      <c r="D3" s="496"/>
      <c r="E3" s="495" t="str">
        <f>CFF!A4</f>
        <v>JARDIM ESMERALDA</v>
      </c>
      <c r="F3" s="495"/>
      <c r="G3" s="289">
        <f>'TERRAP E PAVIM'!V24</f>
        <v>5403.22</v>
      </c>
    </row>
    <row r="4" spans="1:7" ht="25.5">
      <c r="A4" s="496"/>
      <c r="B4" s="496"/>
      <c r="C4" s="496"/>
      <c r="D4" s="496"/>
      <c r="E4" s="495"/>
      <c r="F4" s="495"/>
      <c r="G4" s="290" t="s">
        <v>341</v>
      </c>
    </row>
    <row r="5" spans="1:7" s="159" customFormat="1" ht="19.5" customHeight="1">
      <c r="A5" s="186" t="s">
        <v>42</v>
      </c>
      <c r="B5" s="186" t="s">
        <v>374</v>
      </c>
      <c r="C5" s="112" t="s">
        <v>375</v>
      </c>
      <c r="D5" s="499" t="s">
        <v>1</v>
      </c>
      <c r="E5" s="499"/>
      <c r="F5" s="32" t="s">
        <v>2</v>
      </c>
      <c r="G5" s="223" t="s">
        <v>3</v>
      </c>
    </row>
    <row r="6" spans="1:7" ht="12.75">
      <c r="A6" s="186" t="s">
        <v>56</v>
      </c>
      <c r="B6" s="186"/>
      <c r="C6" s="10"/>
      <c r="D6" s="187" t="s">
        <v>35</v>
      </c>
      <c r="E6" s="188"/>
      <c r="F6" s="30"/>
      <c r="G6" s="286"/>
    </row>
    <row r="7" spans="1:7" s="70" customFormat="1" ht="12.75">
      <c r="A7" s="190" t="s">
        <v>57</v>
      </c>
      <c r="B7" s="151" t="s">
        <v>272</v>
      </c>
      <c r="C7" s="151" t="s">
        <v>376</v>
      </c>
      <c r="D7" s="150" t="s">
        <v>273</v>
      </c>
      <c r="E7" s="150"/>
      <c r="F7" s="151" t="s">
        <v>7</v>
      </c>
      <c r="G7" s="226">
        <v>12</v>
      </c>
    </row>
    <row r="8" spans="1:7" ht="12.75" customHeight="1">
      <c r="A8" s="190" t="s">
        <v>58</v>
      </c>
      <c r="B8" s="151">
        <v>93584</v>
      </c>
      <c r="C8" s="151" t="s">
        <v>376</v>
      </c>
      <c r="D8" s="150" t="s">
        <v>299</v>
      </c>
      <c r="E8" s="191"/>
      <c r="F8" s="151" t="s">
        <v>7</v>
      </c>
      <c r="G8" s="189">
        <v>30</v>
      </c>
    </row>
    <row r="9" spans="1:7" s="70" customFormat="1" ht="24" customHeight="1">
      <c r="A9" s="151" t="s">
        <v>180</v>
      </c>
      <c r="B9" s="151" t="s">
        <v>158</v>
      </c>
      <c r="C9" s="151" t="s">
        <v>376</v>
      </c>
      <c r="D9" s="507" t="s">
        <v>92</v>
      </c>
      <c r="E9" s="507"/>
      <c r="F9" s="151" t="s">
        <v>93</v>
      </c>
      <c r="G9" s="226">
        <v>6</v>
      </c>
    </row>
    <row r="10" spans="1:7" ht="12.75" customHeight="1">
      <c r="A10" s="151" t="s">
        <v>250</v>
      </c>
      <c r="B10" s="151">
        <v>5213417</v>
      </c>
      <c r="C10" s="151" t="s">
        <v>377</v>
      </c>
      <c r="D10" s="150" t="s">
        <v>359</v>
      </c>
      <c r="E10" s="192"/>
      <c r="F10" s="151" t="s">
        <v>7</v>
      </c>
      <c r="G10" s="189">
        <v>20</v>
      </c>
    </row>
    <row r="11" spans="1:7" ht="12.75" customHeight="1">
      <c r="A11" s="190"/>
      <c r="B11" s="151"/>
      <c r="C11" s="151"/>
      <c r="D11" s="508"/>
      <c r="E11" s="508"/>
      <c r="F11" s="30"/>
      <c r="G11" s="226"/>
    </row>
    <row r="12" spans="1:7" ht="12.75" customHeight="1">
      <c r="A12" s="186" t="s">
        <v>43</v>
      </c>
      <c r="B12" s="186" t="s">
        <v>32</v>
      </c>
      <c r="C12" s="151"/>
      <c r="D12" s="187" t="s">
        <v>298</v>
      </c>
      <c r="E12" s="188"/>
      <c r="F12" s="151"/>
      <c r="G12" s="189"/>
    </row>
    <row r="13" spans="1:7" ht="12.75" customHeight="1">
      <c r="A13" s="190" t="s">
        <v>54</v>
      </c>
      <c r="B13" s="151">
        <v>93565</v>
      </c>
      <c r="C13" s="151" t="s">
        <v>376</v>
      </c>
      <c r="D13" s="501" t="s">
        <v>342</v>
      </c>
      <c r="E13" s="501"/>
      <c r="F13" s="151" t="s">
        <v>93</v>
      </c>
      <c r="G13" s="189">
        <v>2.5</v>
      </c>
    </row>
    <row r="14" spans="1:7" ht="12.75" customHeight="1">
      <c r="A14" s="190" t="s">
        <v>55</v>
      </c>
      <c r="B14" s="151">
        <v>94296</v>
      </c>
      <c r="C14" s="151" t="s">
        <v>376</v>
      </c>
      <c r="D14" s="150" t="s">
        <v>343</v>
      </c>
      <c r="E14" s="192"/>
      <c r="F14" s="151" t="s">
        <v>93</v>
      </c>
      <c r="G14" s="189">
        <v>3</v>
      </c>
    </row>
    <row r="15" spans="1:7" ht="12.75" customHeight="1">
      <c r="A15" s="190" t="s">
        <v>274</v>
      </c>
      <c r="B15" s="151">
        <v>88253</v>
      </c>
      <c r="C15" s="151" t="s">
        <v>376</v>
      </c>
      <c r="D15" s="150" t="s">
        <v>344</v>
      </c>
      <c r="E15" s="192"/>
      <c r="F15" s="151" t="s">
        <v>93</v>
      </c>
      <c r="G15" s="189">
        <v>3</v>
      </c>
    </row>
    <row r="16" spans="1:7" ht="12.75" customHeight="1">
      <c r="A16" s="190" t="s">
        <v>194</v>
      </c>
      <c r="B16" s="151">
        <v>94295</v>
      </c>
      <c r="C16" s="151" t="s">
        <v>376</v>
      </c>
      <c r="D16" s="501" t="s">
        <v>345</v>
      </c>
      <c r="E16" s="501"/>
      <c r="F16" s="151" t="s">
        <v>93</v>
      </c>
      <c r="G16" s="189">
        <v>3</v>
      </c>
    </row>
    <row r="17" spans="1:7" ht="12.75" customHeight="1">
      <c r="A17" s="190" t="s">
        <v>288</v>
      </c>
      <c r="B17" s="151">
        <v>93566</v>
      </c>
      <c r="C17" s="151" t="s">
        <v>376</v>
      </c>
      <c r="D17" s="150" t="s">
        <v>346</v>
      </c>
      <c r="E17" s="192"/>
      <c r="F17" s="151" t="s">
        <v>93</v>
      </c>
      <c r="G17" s="189">
        <v>4</v>
      </c>
    </row>
    <row r="18" spans="1:7" ht="12.75" customHeight="1">
      <c r="A18" s="190" t="s">
        <v>379</v>
      </c>
      <c r="B18" s="151">
        <v>93564</v>
      </c>
      <c r="C18" s="151" t="s">
        <v>376</v>
      </c>
      <c r="D18" s="501" t="s">
        <v>347</v>
      </c>
      <c r="E18" s="501"/>
      <c r="F18" s="151" t="s">
        <v>93</v>
      </c>
      <c r="G18" s="226">
        <v>4</v>
      </c>
    </row>
    <row r="19" spans="1:7" ht="12.75" customHeight="1">
      <c r="A19" s="151"/>
      <c r="B19" s="151"/>
      <c r="C19" s="151"/>
      <c r="D19" s="291"/>
      <c r="E19" s="291"/>
      <c r="F19" s="195"/>
      <c r="G19" s="226"/>
    </row>
    <row r="20" spans="1:7" s="159" customFormat="1" ht="12.75" customHeight="1">
      <c r="A20" s="158" t="s">
        <v>44</v>
      </c>
      <c r="B20" s="158" t="s">
        <v>33</v>
      </c>
      <c r="C20" s="151"/>
      <c r="D20" s="187" t="s">
        <v>263</v>
      </c>
      <c r="E20" s="157"/>
      <c r="F20" s="157"/>
      <c r="G20" s="226"/>
    </row>
    <row r="21" spans="1:7" ht="12.75" customHeight="1">
      <c r="A21" s="151" t="s">
        <v>52</v>
      </c>
      <c r="B21" s="151" t="s">
        <v>264</v>
      </c>
      <c r="C21" s="151" t="s">
        <v>376</v>
      </c>
      <c r="D21" s="150" t="s">
        <v>265</v>
      </c>
      <c r="E21" s="150"/>
      <c r="F21" s="151" t="s">
        <v>7</v>
      </c>
      <c r="G21" s="226">
        <f>'TERRAP E PAVIM'!R24</f>
        <v>6754.02</v>
      </c>
    </row>
    <row r="22" spans="1:11" ht="12.75" customHeight="1">
      <c r="A22" s="151" t="s">
        <v>45</v>
      </c>
      <c r="B22" s="151" t="s">
        <v>266</v>
      </c>
      <c r="C22" s="151" t="s">
        <v>376</v>
      </c>
      <c r="D22" s="150" t="s">
        <v>297</v>
      </c>
      <c r="E22" s="150"/>
      <c r="F22" s="151" t="s">
        <v>5</v>
      </c>
      <c r="G22" s="226">
        <f>'TERRAP E PAVIM'!S24</f>
        <v>1350.79</v>
      </c>
      <c r="J22" s="225">
        <v>14582.123000000001</v>
      </c>
      <c r="K22" s="225">
        <v>1285.774</v>
      </c>
    </row>
    <row r="23" spans="1:11" ht="12.75" customHeight="1">
      <c r="A23" s="151" t="s">
        <v>94</v>
      </c>
      <c r="B23" s="151" t="s">
        <v>266</v>
      </c>
      <c r="C23" s="151" t="s">
        <v>376</v>
      </c>
      <c r="D23" s="150" t="s">
        <v>275</v>
      </c>
      <c r="E23" s="150"/>
      <c r="F23" s="151" t="s">
        <v>5</v>
      </c>
      <c r="G23" s="226">
        <f>'TERRAP E PAVIM'!T24</f>
        <v>1350.79</v>
      </c>
      <c r="K23" s="110">
        <f>(J22-K22)*1.2</f>
        <v>15955.618800000002</v>
      </c>
    </row>
    <row r="24" spans="1:7" ht="12.75" customHeight="1">
      <c r="A24" s="151" t="s">
        <v>95</v>
      </c>
      <c r="B24" s="151" t="s">
        <v>266</v>
      </c>
      <c r="C24" s="151" t="s">
        <v>376</v>
      </c>
      <c r="D24" s="150" t="s">
        <v>267</v>
      </c>
      <c r="E24" s="150"/>
      <c r="F24" s="151" t="s">
        <v>5</v>
      </c>
      <c r="G24" s="226">
        <f>'TERRAP E PAVIM'!U24</f>
        <v>1350.79</v>
      </c>
    </row>
    <row r="25" spans="1:7" ht="12.75" customHeight="1">
      <c r="A25" s="151" t="s">
        <v>308</v>
      </c>
      <c r="B25" s="151" t="s">
        <v>268</v>
      </c>
      <c r="C25" s="151" t="s">
        <v>376</v>
      </c>
      <c r="D25" s="150" t="s">
        <v>331</v>
      </c>
      <c r="E25" s="150"/>
      <c r="F25" s="151" t="s">
        <v>271</v>
      </c>
      <c r="G25" s="226">
        <f>'TERRAP E PAVIM'!X24*2.4/10</f>
        <v>51.87091200000001</v>
      </c>
    </row>
    <row r="26" spans="1:7" ht="24.75" customHeight="1">
      <c r="A26" s="151" t="s">
        <v>309</v>
      </c>
      <c r="B26" s="151" t="s">
        <v>269</v>
      </c>
      <c r="C26" s="151" t="s">
        <v>376</v>
      </c>
      <c r="D26" s="507" t="s">
        <v>394</v>
      </c>
      <c r="E26" s="507"/>
      <c r="F26" s="151" t="s">
        <v>270</v>
      </c>
      <c r="G26" s="226">
        <f>'TERRAP E PAVIM'!Y24/200</f>
        <v>8.12753</v>
      </c>
    </row>
    <row r="27" spans="1:7" ht="15" customHeight="1">
      <c r="A27" s="190"/>
      <c r="B27" s="190"/>
      <c r="C27" s="151"/>
      <c r="D27" s="510"/>
      <c r="E27" s="510"/>
      <c r="F27" s="30"/>
      <c r="G27" s="197"/>
    </row>
    <row r="28" spans="1:7" ht="11.25" customHeight="1">
      <c r="A28" s="32" t="s">
        <v>48</v>
      </c>
      <c r="B28" s="32" t="s">
        <v>34</v>
      </c>
      <c r="C28" s="151"/>
      <c r="D28" s="500" t="s">
        <v>4</v>
      </c>
      <c r="E28" s="500"/>
      <c r="F28" s="30"/>
      <c r="G28" s="197"/>
    </row>
    <row r="29" spans="1:7" s="70" customFormat="1" ht="12.75">
      <c r="A29" s="30" t="s">
        <v>49</v>
      </c>
      <c r="B29" s="151" t="s">
        <v>192</v>
      </c>
      <c r="C29" s="151" t="s">
        <v>376</v>
      </c>
      <c r="D29" s="69" t="s">
        <v>191</v>
      </c>
      <c r="E29" s="69"/>
      <c r="F29" s="30" t="s">
        <v>7</v>
      </c>
      <c r="G29" s="226">
        <f>'TERRAP E PAVIM'!O24</f>
        <v>2532.759</v>
      </c>
    </row>
    <row r="30" spans="1:7" s="70" customFormat="1" ht="12.75">
      <c r="A30" s="30">
        <v>4.5</v>
      </c>
      <c r="B30" s="151" t="s">
        <v>300</v>
      </c>
      <c r="C30" s="151" t="s">
        <v>376</v>
      </c>
      <c r="D30" s="150" t="s">
        <v>301</v>
      </c>
      <c r="E30" s="150"/>
      <c r="F30" s="151" t="s">
        <v>5</v>
      </c>
      <c r="G30" s="189">
        <f>'TERRAP E PAVIM'!P24-('TERRAP E PAVIM'!Q24*1.15)</f>
        <v>4393.03</v>
      </c>
    </row>
    <row r="31" spans="1:7" s="70" customFormat="1" ht="12.75">
      <c r="A31" s="30">
        <v>4.6</v>
      </c>
      <c r="B31" s="151">
        <v>72888</v>
      </c>
      <c r="C31" s="151" t="s">
        <v>376</v>
      </c>
      <c r="D31" s="150" t="s">
        <v>348</v>
      </c>
      <c r="E31" s="150"/>
      <c r="F31" s="151" t="s">
        <v>5</v>
      </c>
      <c r="G31" s="189">
        <f>G30</f>
        <v>4393.03</v>
      </c>
    </row>
    <row r="32" spans="1:7" s="70" customFormat="1" ht="12.75">
      <c r="A32" s="30">
        <v>4.7</v>
      </c>
      <c r="B32" s="151">
        <v>93592</v>
      </c>
      <c r="C32" s="151" t="s">
        <v>376</v>
      </c>
      <c r="D32" s="507" t="s">
        <v>387</v>
      </c>
      <c r="E32" s="507"/>
      <c r="F32" s="151" t="s">
        <v>383</v>
      </c>
      <c r="G32" s="226">
        <f>TRANSP!J7</f>
        <v>8786.06</v>
      </c>
    </row>
    <row r="33" spans="1:7" s="70" customFormat="1" ht="12.75">
      <c r="A33" s="30">
        <v>4.8</v>
      </c>
      <c r="B33" s="151">
        <v>93593</v>
      </c>
      <c r="C33" s="151" t="s">
        <v>376</v>
      </c>
      <c r="D33" s="150" t="s">
        <v>349</v>
      </c>
      <c r="E33" s="150"/>
      <c r="F33" s="151" t="s">
        <v>383</v>
      </c>
      <c r="G33" s="189">
        <f>TRANSP!J13</f>
        <v>42612.390999999996</v>
      </c>
    </row>
    <row r="34" spans="1:7" s="70" customFormat="1" ht="12.75">
      <c r="A34" s="30">
        <v>4.9</v>
      </c>
      <c r="B34" s="151">
        <v>83344</v>
      </c>
      <c r="C34" s="151" t="s">
        <v>376</v>
      </c>
      <c r="D34" s="150" t="s">
        <v>350</v>
      </c>
      <c r="E34" s="150"/>
      <c r="F34" s="151" t="s">
        <v>5</v>
      </c>
      <c r="G34" s="189">
        <f>G31</f>
        <v>4393.03</v>
      </c>
    </row>
    <row r="35" spans="1:7" ht="12.75">
      <c r="A35" s="30"/>
      <c r="B35" s="196"/>
      <c r="C35" s="151"/>
      <c r="D35" s="511"/>
      <c r="E35" s="511"/>
      <c r="F35" s="30"/>
      <c r="G35" s="226"/>
    </row>
    <row r="36" spans="1:12" ht="12.75">
      <c r="A36" s="32" t="s">
        <v>50</v>
      </c>
      <c r="B36" s="32" t="s">
        <v>36</v>
      </c>
      <c r="C36" s="151"/>
      <c r="D36" s="500" t="s">
        <v>6</v>
      </c>
      <c r="E36" s="500"/>
      <c r="F36" s="30"/>
      <c r="G36" s="226"/>
      <c r="L36" s="29"/>
    </row>
    <row r="37" spans="1:7" ht="12.75">
      <c r="A37" s="30" t="s">
        <v>53</v>
      </c>
      <c r="B37" s="151">
        <v>72961</v>
      </c>
      <c r="C37" s="151" t="s">
        <v>376</v>
      </c>
      <c r="D37" s="150" t="s">
        <v>193</v>
      </c>
      <c r="E37" s="150"/>
      <c r="F37" s="30" t="s">
        <v>7</v>
      </c>
      <c r="G37" s="226">
        <f>'TERRAP E PAVIM'!O24</f>
        <v>2532.759</v>
      </c>
    </row>
    <row r="38" spans="1:7" ht="12.75">
      <c r="A38" s="30" t="s">
        <v>84</v>
      </c>
      <c r="B38" s="151" t="s">
        <v>302</v>
      </c>
      <c r="C38" s="151" t="s">
        <v>378</v>
      </c>
      <c r="D38" s="150" t="s">
        <v>303</v>
      </c>
      <c r="E38" s="150"/>
      <c r="F38" s="151" t="s">
        <v>5</v>
      </c>
      <c r="G38" s="189">
        <f>('TERRAP E PAVIM'!S24+'TERRAP E PAVIM'!T24+'TERRAP E PAVIM'!U24)*1.15</f>
        <v>4660.2255</v>
      </c>
    </row>
    <row r="39" spans="1:9" ht="12.75">
      <c r="A39" s="30" t="s">
        <v>85</v>
      </c>
      <c r="B39" s="151" t="s">
        <v>197</v>
      </c>
      <c r="C39" s="151" t="s">
        <v>376</v>
      </c>
      <c r="D39" s="150" t="s">
        <v>195</v>
      </c>
      <c r="E39" s="150"/>
      <c r="F39" s="151" t="s">
        <v>5</v>
      </c>
      <c r="G39" s="189">
        <f>'TERRAP E PAVIM'!T24</f>
        <v>1350.79</v>
      </c>
      <c r="I39" s="21"/>
    </row>
    <row r="40" spans="1:7" ht="24.75" customHeight="1">
      <c r="A40" s="30" t="s">
        <v>304</v>
      </c>
      <c r="B40" s="151" t="s">
        <v>197</v>
      </c>
      <c r="C40" s="151" t="s">
        <v>376</v>
      </c>
      <c r="D40" s="507" t="s">
        <v>196</v>
      </c>
      <c r="E40" s="507"/>
      <c r="F40" s="151" t="s">
        <v>5</v>
      </c>
      <c r="G40" s="189">
        <f>'TERRAP E PAVIM'!U24</f>
        <v>1350.79</v>
      </c>
    </row>
    <row r="41" spans="1:9" ht="12.75">
      <c r="A41" s="30" t="s">
        <v>305</v>
      </c>
      <c r="B41" s="151">
        <v>96401</v>
      </c>
      <c r="C41" s="151" t="s">
        <v>376</v>
      </c>
      <c r="D41" s="150" t="s">
        <v>198</v>
      </c>
      <c r="E41" s="150"/>
      <c r="F41" s="30" t="s">
        <v>7</v>
      </c>
      <c r="G41" s="226">
        <f>'TERRAP E PAVIM'!V24</f>
        <v>5403.22</v>
      </c>
      <c r="I41" s="27"/>
    </row>
    <row r="42" spans="1:9" ht="12.75">
      <c r="A42" s="30" t="s">
        <v>306</v>
      </c>
      <c r="B42" s="151">
        <v>72943</v>
      </c>
      <c r="C42" s="151" t="s">
        <v>376</v>
      </c>
      <c r="D42" s="150" t="s">
        <v>339</v>
      </c>
      <c r="E42" s="150"/>
      <c r="F42" s="30" t="s">
        <v>7</v>
      </c>
      <c r="G42" s="226">
        <f>'TERRAP E PAVIM'!W24</f>
        <v>5403.22</v>
      </c>
      <c r="I42" s="29"/>
    </row>
    <row r="43" spans="1:10" ht="12.75" customHeight="1">
      <c r="A43" s="30" t="s">
        <v>307</v>
      </c>
      <c r="B43" s="151">
        <v>95993</v>
      </c>
      <c r="C43" s="151" t="s">
        <v>376</v>
      </c>
      <c r="D43" s="507" t="s">
        <v>351</v>
      </c>
      <c r="E43" s="507"/>
      <c r="F43" s="30" t="s">
        <v>5</v>
      </c>
      <c r="G43" s="226">
        <f>'TERRAP E PAVIM'!X24</f>
        <v>216.12880000000004</v>
      </c>
      <c r="J43" s="28"/>
    </row>
    <row r="44" spans="1:10" s="70" customFormat="1" ht="12.75">
      <c r="A44" s="30" t="s">
        <v>310</v>
      </c>
      <c r="B44" s="151">
        <v>93598</v>
      </c>
      <c r="C44" s="151" t="s">
        <v>376</v>
      </c>
      <c r="D44" s="507" t="s">
        <v>199</v>
      </c>
      <c r="E44" s="507"/>
      <c r="F44" s="30" t="s">
        <v>96</v>
      </c>
      <c r="G44" s="226">
        <f>TRANSP!J21</f>
        <v>9941.8144</v>
      </c>
      <c r="J44" s="232"/>
    </row>
    <row r="45" spans="1:10" ht="12.75">
      <c r="A45" s="30" t="s">
        <v>311</v>
      </c>
      <c r="B45" s="151">
        <v>95879</v>
      </c>
      <c r="C45" s="151" t="s">
        <v>376</v>
      </c>
      <c r="D45" s="507" t="s">
        <v>200</v>
      </c>
      <c r="E45" s="507"/>
      <c r="F45" s="30" t="s">
        <v>96</v>
      </c>
      <c r="G45" s="226">
        <f>TRANSP!J28</f>
        <v>48217.79983999999</v>
      </c>
      <c r="J45" s="28"/>
    </row>
    <row r="46" spans="1:11" ht="12.75">
      <c r="A46" s="30" t="s">
        <v>312</v>
      </c>
      <c r="B46" s="151">
        <v>72843</v>
      </c>
      <c r="C46" s="151" t="s">
        <v>376</v>
      </c>
      <c r="D46" s="150" t="s">
        <v>201</v>
      </c>
      <c r="E46" s="150"/>
      <c r="F46" s="30" t="s">
        <v>96</v>
      </c>
      <c r="G46" s="226">
        <f>TRANSP!J34</f>
        <v>13486.43</v>
      </c>
      <c r="K46" s="28"/>
    </row>
    <row r="47" spans="1:11" ht="12.75">
      <c r="A47" s="30"/>
      <c r="B47" s="30"/>
      <c r="C47" s="151"/>
      <c r="D47" s="510"/>
      <c r="E47" s="510"/>
      <c r="F47" s="30"/>
      <c r="G47" s="226"/>
      <c r="K47" s="28"/>
    </row>
    <row r="48" spans="1:11" ht="12.75">
      <c r="A48" s="32" t="s">
        <v>203</v>
      </c>
      <c r="B48" s="32" t="s">
        <v>39</v>
      </c>
      <c r="C48" s="151"/>
      <c r="D48" s="512" t="s">
        <v>204</v>
      </c>
      <c r="E48" s="512"/>
      <c r="F48" s="151"/>
      <c r="G48" s="189"/>
      <c r="K48" s="28"/>
    </row>
    <row r="49" spans="1:11" ht="12.75">
      <c r="A49" s="30" t="s">
        <v>205</v>
      </c>
      <c r="B49" s="151">
        <v>72947</v>
      </c>
      <c r="C49" s="151" t="s">
        <v>376</v>
      </c>
      <c r="D49" s="150" t="s">
        <v>206</v>
      </c>
      <c r="E49" s="193"/>
      <c r="F49" s="151" t="s">
        <v>7</v>
      </c>
      <c r="G49" s="189">
        <f>'SN HOR'!C34</f>
        <v>33.7</v>
      </c>
      <c r="K49" s="28"/>
    </row>
    <row r="50" spans="1:11" ht="12.75">
      <c r="A50" s="30" t="s">
        <v>207</v>
      </c>
      <c r="B50" s="151">
        <v>5213405</v>
      </c>
      <c r="C50" s="151" t="s">
        <v>377</v>
      </c>
      <c r="D50" s="150" t="s">
        <v>360</v>
      </c>
      <c r="E50" s="193"/>
      <c r="F50" s="151" t="s">
        <v>7</v>
      </c>
      <c r="G50" s="189">
        <f>'SN HOR'!C35</f>
        <v>0</v>
      </c>
      <c r="K50" s="28"/>
    </row>
    <row r="51" spans="1:11" ht="12.75">
      <c r="A51" s="30" t="s">
        <v>208</v>
      </c>
      <c r="B51" s="151">
        <v>5213417</v>
      </c>
      <c r="C51" s="151" t="s">
        <v>377</v>
      </c>
      <c r="D51" s="150" t="s">
        <v>359</v>
      </c>
      <c r="E51" s="193"/>
      <c r="F51" s="151" t="s">
        <v>7</v>
      </c>
      <c r="G51" s="189">
        <f>'SN VERT'!E26</f>
        <v>1.4149999999999998</v>
      </c>
      <c r="K51" s="28"/>
    </row>
    <row r="52" spans="1:11" ht="12.75">
      <c r="A52" s="30"/>
      <c r="B52" s="30"/>
      <c r="C52" s="151"/>
      <c r="D52" s="30"/>
      <c r="E52" s="30"/>
      <c r="F52" s="30"/>
      <c r="G52" s="226"/>
      <c r="K52" s="28"/>
    </row>
    <row r="53" spans="1:11" ht="12.75">
      <c r="A53" s="32" t="s">
        <v>289</v>
      </c>
      <c r="B53" s="32" t="s">
        <v>239</v>
      </c>
      <c r="C53" s="151"/>
      <c r="D53" s="512" t="s">
        <v>11</v>
      </c>
      <c r="E53" s="512"/>
      <c r="F53" s="151"/>
      <c r="G53" s="189"/>
      <c r="K53" s="34"/>
    </row>
    <row r="54" spans="1:11" ht="25.5" customHeight="1">
      <c r="A54" s="151" t="s">
        <v>290</v>
      </c>
      <c r="B54" s="151">
        <v>94267</v>
      </c>
      <c r="C54" s="151" t="s">
        <v>376</v>
      </c>
      <c r="D54" s="509" t="s">
        <v>202</v>
      </c>
      <c r="E54" s="509"/>
      <c r="F54" s="151" t="s">
        <v>9</v>
      </c>
      <c r="G54" s="189">
        <f>'TERRAP E PAVIM'!Y24</f>
        <v>1625.5059999999999</v>
      </c>
      <c r="K54" s="34"/>
    </row>
    <row r="55" spans="1:11" ht="12.75">
      <c r="A55" s="30" t="s">
        <v>291</v>
      </c>
      <c r="B55" s="151" t="s">
        <v>260</v>
      </c>
      <c r="C55" s="151" t="s">
        <v>376</v>
      </c>
      <c r="D55" s="150" t="s">
        <v>256</v>
      </c>
      <c r="E55" s="150"/>
      <c r="F55" s="151" t="s">
        <v>10</v>
      </c>
      <c r="G55" s="189">
        <f>'SN VERT'!E27</f>
        <v>8</v>
      </c>
      <c r="K55" s="34"/>
    </row>
    <row r="56" spans="1:11" ht="12.75">
      <c r="A56" s="30"/>
      <c r="B56" s="30"/>
      <c r="C56" s="151"/>
      <c r="D56" s="495"/>
      <c r="E56" s="495"/>
      <c r="F56" s="30"/>
      <c r="G56" s="226"/>
      <c r="K56" s="34"/>
    </row>
    <row r="57" spans="1:7" ht="12.75">
      <c r="A57" s="32" t="s">
        <v>292</v>
      </c>
      <c r="B57" s="32" t="s">
        <v>295</v>
      </c>
      <c r="C57" s="151"/>
      <c r="D57" s="500" t="s">
        <v>8</v>
      </c>
      <c r="E57" s="500"/>
      <c r="F57" s="30"/>
      <c r="G57" s="226"/>
    </row>
    <row r="58" spans="1:7" s="40" customFormat="1" ht="12.75">
      <c r="A58" s="151" t="s">
        <v>293</v>
      </c>
      <c r="B58" s="151">
        <v>5213417</v>
      </c>
      <c r="C58" s="151" t="s">
        <v>377</v>
      </c>
      <c r="D58" s="150" t="s">
        <v>359</v>
      </c>
      <c r="E58" s="193"/>
      <c r="F58" s="151" t="s">
        <v>7</v>
      </c>
      <c r="G58" s="226">
        <v>0</v>
      </c>
    </row>
    <row r="59" spans="1:7" s="40" customFormat="1" ht="12.75">
      <c r="A59" s="151" t="s">
        <v>294</v>
      </c>
      <c r="B59" s="151">
        <v>85424</v>
      </c>
      <c r="C59" s="151" t="s">
        <v>376</v>
      </c>
      <c r="D59" s="193" t="s">
        <v>190</v>
      </c>
      <c r="E59" s="193"/>
      <c r="F59" s="151" t="s">
        <v>7</v>
      </c>
      <c r="G59" s="226">
        <v>0</v>
      </c>
    </row>
    <row r="60" spans="1:7" s="40" customFormat="1" ht="12.75">
      <c r="A60" s="151" t="s">
        <v>313</v>
      </c>
      <c r="B60" s="151" t="s">
        <v>332</v>
      </c>
      <c r="C60" s="151" t="s">
        <v>376</v>
      </c>
      <c r="D60" s="150" t="s">
        <v>333</v>
      </c>
      <c r="E60" s="150"/>
      <c r="F60" s="151" t="s">
        <v>7</v>
      </c>
      <c r="G60" s="189">
        <v>0</v>
      </c>
    </row>
    <row r="61" spans="1:7" s="40" customFormat="1" ht="12.75" customHeight="1">
      <c r="A61" s="151" t="s">
        <v>368</v>
      </c>
      <c r="B61" s="151">
        <v>90091</v>
      </c>
      <c r="C61" s="151" t="s">
        <v>376</v>
      </c>
      <c r="D61" s="497" t="s">
        <v>352</v>
      </c>
      <c r="E61" s="497"/>
      <c r="F61" s="151" t="s">
        <v>5</v>
      </c>
      <c r="G61" s="226">
        <f>'MEMORIAL DE CALCULO'!I14</f>
        <v>0</v>
      </c>
    </row>
    <row r="62" spans="1:7" s="40" customFormat="1" ht="12.75" customHeight="1">
      <c r="A62" s="151" t="s">
        <v>314</v>
      </c>
      <c r="B62" s="151">
        <v>94097</v>
      </c>
      <c r="C62" s="151" t="s">
        <v>376</v>
      </c>
      <c r="D62" s="150" t="s">
        <v>334</v>
      </c>
      <c r="E62" s="150"/>
      <c r="F62" s="151" t="s">
        <v>7</v>
      </c>
      <c r="G62" s="189">
        <f>'MEMORIAL DE CALCULO'!J15</f>
        <v>71.7</v>
      </c>
    </row>
    <row r="63" spans="1:7" s="40" customFormat="1" ht="12.75" customHeight="1">
      <c r="A63" s="151" t="s">
        <v>315</v>
      </c>
      <c r="B63" s="151">
        <v>94103</v>
      </c>
      <c r="C63" s="151" t="s">
        <v>376</v>
      </c>
      <c r="D63" s="150" t="s">
        <v>335</v>
      </c>
      <c r="E63" s="150"/>
      <c r="F63" s="151" t="s">
        <v>5</v>
      </c>
      <c r="G63" s="189">
        <f>G62*0.1</f>
        <v>7.170000000000001</v>
      </c>
    </row>
    <row r="64" spans="1:7" s="42" customFormat="1" ht="38.25" customHeight="1">
      <c r="A64" s="151" t="s">
        <v>316</v>
      </c>
      <c r="B64" s="151">
        <v>93381</v>
      </c>
      <c r="C64" s="151" t="s">
        <v>376</v>
      </c>
      <c r="D64" s="507" t="s">
        <v>97</v>
      </c>
      <c r="E64" s="507"/>
      <c r="F64" s="151" t="s">
        <v>5</v>
      </c>
      <c r="G64" s="226">
        <f>'MEMORIAL DE CALCULO'!D26</f>
        <v>0</v>
      </c>
    </row>
    <row r="65" spans="1:7" s="40" customFormat="1" ht="24.75" customHeight="1">
      <c r="A65" s="151" t="s">
        <v>317</v>
      </c>
      <c r="B65" s="151" t="s">
        <v>81</v>
      </c>
      <c r="C65" s="151" t="s">
        <v>376</v>
      </c>
      <c r="D65" s="507" t="s">
        <v>82</v>
      </c>
      <c r="E65" s="507"/>
      <c r="F65" s="151" t="s">
        <v>5</v>
      </c>
      <c r="G65" s="226">
        <f>'MEMORIAL DE CALCULO'!D25</f>
        <v>0</v>
      </c>
    </row>
    <row r="66" spans="1:7" ht="12.75" customHeight="1">
      <c r="A66" s="151" t="s">
        <v>318</v>
      </c>
      <c r="B66" s="151">
        <v>83344</v>
      </c>
      <c r="C66" s="151" t="s">
        <v>376</v>
      </c>
      <c r="D66" s="497" t="s">
        <v>83</v>
      </c>
      <c r="E66" s="497"/>
      <c r="F66" s="151" t="s">
        <v>5</v>
      </c>
      <c r="G66" s="226">
        <f>G65</f>
        <v>0</v>
      </c>
    </row>
    <row r="67" spans="1:7" ht="25.5" customHeight="1">
      <c r="A67" s="151" t="s">
        <v>319</v>
      </c>
      <c r="B67" s="151">
        <v>94038</v>
      </c>
      <c r="C67" s="151" t="s">
        <v>376</v>
      </c>
      <c r="D67" s="497" t="s">
        <v>238</v>
      </c>
      <c r="E67" s="497"/>
      <c r="F67" s="151" t="s">
        <v>7</v>
      </c>
      <c r="G67" s="226">
        <f>(G74+G75)*0.1*2</f>
        <v>0</v>
      </c>
    </row>
    <row r="68" spans="1:7" ht="12.75">
      <c r="A68" s="151"/>
      <c r="B68" s="151"/>
      <c r="C68" s="151"/>
      <c r="D68" s="505"/>
      <c r="E68" s="506"/>
      <c r="F68" s="151"/>
      <c r="G68" s="226"/>
    </row>
    <row r="69" spans="1:7" ht="12.75">
      <c r="A69" s="158" t="s">
        <v>320</v>
      </c>
      <c r="B69" s="158" t="s">
        <v>336</v>
      </c>
      <c r="C69" s="151"/>
      <c r="D69" s="198" t="s">
        <v>276</v>
      </c>
      <c r="E69" s="191"/>
      <c r="F69" s="151"/>
      <c r="G69" s="226"/>
    </row>
    <row r="70" spans="1:7" ht="12.75">
      <c r="A70" s="151" t="s">
        <v>321</v>
      </c>
      <c r="B70" s="151">
        <v>7725</v>
      </c>
      <c r="C70" s="151" t="s">
        <v>376</v>
      </c>
      <c r="D70" s="193" t="s">
        <v>277</v>
      </c>
      <c r="E70" s="151"/>
      <c r="F70" s="151" t="s">
        <v>9</v>
      </c>
      <c r="G70" s="226">
        <f>'MEMORIAL DE CALCULO'!C19+'MEMORIAL DE CALCULO'!C20</f>
        <v>0</v>
      </c>
    </row>
    <row r="71" spans="1:7" ht="12.75">
      <c r="A71" s="151" t="s">
        <v>322</v>
      </c>
      <c r="B71" s="151">
        <v>7750</v>
      </c>
      <c r="C71" s="151" t="s">
        <v>376</v>
      </c>
      <c r="D71" s="193" t="s">
        <v>278</v>
      </c>
      <c r="E71" s="151"/>
      <c r="F71" s="151" t="s">
        <v>9</v>
      </c>
      <c r="G71" s="226">
        <f>'MEMORIAL DE CALCULO'!C21</f>
        <v>0</v>
      </c>
    </row>
    <row r="72" spans="1:7" ht="12.75">
      <c r="A72" s="151"/>
      <c r="B72" s="151"/>
      <c r="C72" s="151"/>
      <c r="D72" s="513"/>
      <c r="E72" s="514"/>
      <c r="F72" s="151"/>
      <c r="G72" s="226"/>
    </row>
    <row r="73" spans="1:7" ht="12.75">
      <c r="A73" s="158" t="s">
        <v>323</v>
      </c>
      <c r="B73" s="158" t="s">
        <v>337</v>
      </c>
      <c r="C73" s="151"/>
      <c r="D73" s="198" t="s">
        <v>279</v>
      </c>
      <c r="E73" s="191"/>
      <c r="F73" s="151"/>
      <c r="G73" s="226"/>
    </row>
    <row r="74" spans="1:7" ht="12.75">
      <c r="A74" s="151" t="s">
        <v>324</v>
      </c>
      <c r="B74" s="151">
        <v>92811</v>
      </c>
      <c r="C74" s="151" t="s">
        <v>376</v>
      </c>
      <c r="D74" s="193" t="s">
        <v>280</v>
      </c>
      <c r="E74" s="191"/>
      <c r="F74" s="151" t="s">
        <v>9</v>
      </c>
      <c r="G74" s="226">
        <f>'MEMORIAL DE CALCULO'!C19+'MEMORIAL DE CALCULO'!C20</f>
        <v>0</v>
      </c>
    </row>
    <row r="75" spans="1:7" ht="12.75">
      <c r="A75" s="151" t="s">
        <v>325</v>
      </c>
      <c r="B75" s="151">
        <v>92813</v>
      </c>
      <c r="C75" s="151" t="s">
        <v>376</v>
      </c>
      <c r="D75" s="193" t="s">
        <v>281</v>
      </c>
      <c r="E75" s="191"/>
      <c r="F75" s="151" t="s">
        <v>9</v>
      </c>
      <c r="G75" s="226">
        <f>'MEMORIAL DE CALCULO'!C21</f>
        <v>0</v>
      </c>
    </row>
    <row r="76" spans="1:7" ht="12.75">
      <c r="A76" s="151"/>
      <c r="B76" s="151"/>
      <c r="C76" s="151"/>
      <c r="D76" s="508"/>
      <c r="E76" s="508"/>
      <c r="F76" s="151"/>
      <c r="G76" s="226"/>
    </row>
    <row r="77" spans="1:7" ht="12.75">
      <c r="A77" s="158" t="s">
        <v>326</v>
      </c>
      <c r="B77" s="158" t="s">
        <v>338</v>
      </c>
      <c r="C77" s="151"/>
      <c r="D77" s="198" t="s">
        <v>282</v>
      </c>
      <c r="E77" s="199"/>
      <c r="F77" s="151"/>
      <c r="G77" s="226"/>
    </row>
    <row r="78" spans="1:10" ht="12.75">
      <c r="A78" s="151" t="s">
        <v>367</v>
      </c>
      <c r="B78" s="151">
        <v>83659</v>
      </c>
      <c r="C78" s="151" t="s">
        <v>376</v>
      </c>
      <c r="D78" s="497" t="s">
        <v>88</v>
      </c>
      <c r="E78" s="497"/>
      <c r="F78" s="33" t="s">
        <v>10</v>
      </c>
      <c r="G78" s="226">
        <f>'MEMORIAL DE CALCULO'!C24</f>
        <v>0</v>
      </c>
      <c r="J78" s="31"/>
    </row>
    <row r="79" spans="1:10" ht="12.75">
      <c r="A79" s="151" t="s">
        <v>327</v>
      </c>
      <c r="B79" s="151" t="s">
        <v>90</v>
      </c>
      <c r="C79" s="151" t="s">
        <v>377</v>
      </c>
      <c r="D79" s="497" t="s">
        <v>89</v>
      </c>
      <c r="E79" s="497"/>
      <c r="F79" s="33" t="s">
        <v>10</v>
      </c>
      <c r="G79" s="226">
        <f>'MEMORIAL DE CALCULO'!C25</f>
        <v>0</v>
      </c>
      <c r="J79" s="31"/>
    </row>
    <row r="80" spans="1:7" ht="12.75">
      <c r="A80" s="151" t="s">
        <v>328</v>
      </c>
      <c r="B80" s="151">
        <v>83710</v>
      </c>
      <c r="C80" s="151" t="s">
        <v>376</v>
      </c>
      <c r="D80" s="497" t="s">
        <v>91</v>
      </c>
      <c r="E80" s="497"/>
      <c r="F80" s="33" t="s">
        <v>10</v>
      </c>
      <c r="G80" s="226">
        <f>'MEMORIAL DE CALCULO'!C17+'MEMORIAL DE CALCULO'!C18</f>
        <v>0</v>
      </c>
    </row>
    <row r="81" spans="1:7" ht="12.75" customHeight="1">
      <c r="A81" s="151" t="s">
        <v>329</v>
      </c>
      <c r="B81" s="151">
        <v>2003718</v>
      </c>
      <c r="C81" s="151" t="s">
        <v>377</v>
      </c>
      <c r="D81" s="497" t="s">
        <v>366</v>
      </c>
      <c r="E81" s="497"/>
      <c r="F81" s="33" t="s">
        <v>10</v>
      </c>
      <c r="G81" s="226">
        <f>'MEMORIAL DE CALCULO'!C18</f>
        <v>0</v>
      </c>
    </row>
    <row r="82" spans="1:7" ht="12.75">
      <c r="A82" s="151" t="s">
        <v>330</v>
      </c>
      <c r="B82" s="151" t="s">
        <v>287</v>
      </c>
      <c r="C82" s="151" t="s">
        <v>376</v>
      </c>
      <c r="D82" s="497" t="s">
        <v>286</v>
      </c>
      <c r="E82" s="497"/>
      <c r="F82" s="33" t="s">
        <v>10</v>
      </c>
      <c r="G82" s="226">
        <v>0</v>
      </c>
    </row>
    <row r="83" spans="1:7" ht="12.75">
      <c r="A83" s="151"/>
      <c r="B83" s="151"/>
      <c r="C83" s="50"/>
      <c r="D83" s="503"/>
      <c r="E83" s="504"/>
      <c r="F83" s="30"/>
      <c r="G83" s="194"/>
    </row>
    <row r="84" ht="12.75">
      <c r="G84" s="34"/>
    </row>
    <row r="85" spans="1:7" ht="12.75">
      <c r="A85" s="5"/>
      <c r="D85" s="502"/>
      <c r="E85" s="502"/>
      <c r="G85" s="34"/>
    </row>
  </sheetData>
  <sheetProtection/>
  <mergeCells count="42">
    <mergeCell ref="D72:E72"/>
    <mergeCell ref="D76:E76"/>
    <mergeCell ref="D79:E79"/>
    <mergeCell ref="D78:E78"/>
    <mergeCell ref="D61:E61"/>
    <mergeCell ref="D64:E64"/>
    <mergeCell ref="E3:F4"/>
    <mergeCell ref="D35:E35"/>
    <mergeCell ref="D53:E53"/>
    <mergeCell ref="D44:E44"/>
    <mergeCell ref="D48:E48"/>
    <mergeCell ref="D43:E43"/>
    <mergeCell ref="D26:E26"/>
    <mergeCell ref="D40:E40"/>
    <mergeCell ref="D47:E47"/>
    <mergeCell ref="D9:E9"/>
    <mergeCell ref="D11:E11"/>
    <mergeCell ref="D54:E54"/>
    <mergeCell ref="D27:E27"/>
    <mergeCell ref="D32:E32"/>
    <mergeCell ref="D18:E18"/>
    <mergeCell ref="D28:E28"/>
    <mergeCell ref="D85:E85"/>
    <mergeCell ref="D57:E57"/>
    <mergeCell ref="D66:E66"/>
    <mergeCell ref="D83:E83"/>
    <mergeCell ref="D68:E68"/>
    <mergeCell ref="D45:E45"/>
    <mergeCell ref="D56:E56"/>
    <mergeCell ref="D81:E81"/>
    <mergeCell ref="D65:E65"/>
    <mergeCell ref="D80:E80"/>
    <mergeCell ref="E2:F2"/>
    <mergeCell ref="A1:D4"/>
    <mergeCell ref="D82:E82"/>
    <mergeCell ref="D67:E67"/>
    <mergeCell ref="G1:G2"/>
    <mergeCell ref="D5:E5"/>
    <mergeCell ref="D36:E36"/>
    <mergeCell ref="E1:F1"/>
    <mergeCell ref="D16:E16"/>
    <mergeCell ref="D13:E13"/>
  </mergeCells>
  <printOptions horizontalCentered="1"/>
  <pageMargins left="0.5118110236220472" right="0.5118110236220472" top="1.3385826771653544" bottom="0.7874015748031497" header="0.31496062992125984" footer="0.31496062992125984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D86"/>
  <sheetViews>
    <sheetView view="pageBreakPreview" zoomScale="85" zoomScaleNormal="80" zoomScaleSheetLayoutView="85" zoomScalePageLayoutView="0" workbookViewId="0" topLeftCell="A37">
      <selection activeCell="D13" sqref="D13"/>
    </sheetView>
  </sheetViews>
  <sheetFormatPr defaultColWidth="9.140625" defaultRowHeight="15" customHeight="1"/>
  <cols>
    <col min="1" max="1" width="17.28125" style="224" customWidth="1"/>
    <col min="2" max="2" width="14.140625" style="2" customWidth="1"/>
    <col min="3" max="3" width="12.7109375" style="2" customWidth="1"/>
    <col min="4" max="4" width="74.140625" style="1" customWidth="1"/>
    <col min="5" max="5" width="7.140625" style="2" customWidth="1"/>
    <col min="6" max="6" width="10.8515625" style="6" customWidth="1"/>
    <col min="7" max="7" width="10.00390625" style="6" customWidth="1"/>
    <col min="8" max="8" width="18.7109375" style="6" hidden="1" customWidth="1"/>
    <col min="9" max="9" width="11.00390625" style="6" customWidth="1"/>
    <col min="10" max="10" width="14.28125" style="6" customWidth="1"/>
    <col min="11" max="11" width="17.8515625" style="6" customWidth="1"/>
    <col min="12" max="12" width="9.28125" style="1" bestFit="1" customWidth="1"/>
    <col min="13" max="13" width="9.57421875" style="1" bestFit="1" customWidth="1"/>
    <col min="14" max="15" width="9.140625" style="1" customWidth="1"/>
    <col min="16" max="16" width="9.7109375" style="1" customWidth="1"/>
    <col min="17" max="17" width="10.140625" style="1" bestFit="1" customWidth="1"/>
    <col min="18" max="19" width="9.140625" style="1" customWidth="1"/>
    <col min="20" max="20" width="9.8515625" style="1" bestFit="1" customWidth="1"/>
    <col min="21" max="21" width="9.140625" style="1" customWidth="1"/>
    <col min="22" max="22" width="10.57421875" style="1" customWidth="1"/>
    <col min="23" max="23" width="11.8515625" style="1" customWidth="1"/>
    <col min="24" max="16384" width="9.140625" style="1" customWidth="1"/>
  </cols>
  <sheetData>
    <row r="1" spans="1:238" s="7" customFormat="1" ht="21" customHeight="1">
      <c r="A1" s="747" t="str">
        <f>QUANT!A1</f>
        <v>PREFEITURA MUNICIPAL DE VÁRZEA GRANDE</v>
      </c>
      <c r="B1" s="747"/>
      <c r="C1" s="747"/>
      <c r="D1" s="747"/>
      <c r="E1" s="748" t="s">
        <v>12</v>
      </c>
      <c r="F1" s="749"/>
      <c r="G1" s="749"/>
      <c r="H1" s="749"/>
      <c r="I1" s="749"/>
      <c r="J1" s="750"/>
      <c r="K1" s="751" t="s">
        <v>165</v>
      </c>
      <c r="ID1" s="7" t="s">
        <v>13</v>
      </c>
    </row>
    <row r="2" spans="1:11" ht="18.75" customHeight="1">
      <c r="A2" s="747"/>
      <c r="B2" s="747"/>
      <c r="C2" s="747"/>
      <c r="D2" s="747"/>
      <c r="E2" s="752" t="str">
        <f>QUANT!E2</f>
        <v> OBRA: PAVIMENTAÇÃO DE VIAS URBANAS</v>
      </c>
      <c r="F2" s="753"/>
      <c r="G2" s="753"/>
      <c r="H2" s="753"/>
      <c r="I2" s="753"/>
      <c r="J2" s="753"/>
      <c r="K2" s="754" t="str">
        <f>RESUMO!C5</f>
        <v>SINAPI 01/2018</v>
      </c>
    </row>
    <row r="3" spans="1:11" ht="15" customHeight="1">
      <c r="A3" s="747"/>
      <c r="B3" s="747"/>
      <c r="C3" s="747"/>
      <c r="D3" s="747"/>
      <c r="E3" s="755" t="str">
        <f>QUANT!E3</f>
        <v>JARDIM ESMERALDA</v>
      </c>
      <c r="F3" s="755"/>
      <c r="G3" s="755"/>
      <c r="H3" s="755"/>
      <c r="I3" s="755"/>
      <c r="J3" s="755"/>
      <c r="K3" s="751" t="str">
        <f>RESUMO!C6</f>
        <v>Sicro-3  01/2018</v>
      </c>
    </row>
    <row r="4" spans="1:11" ht="18" customHeight="1">
      <c r="A4" s="747" t="s">
        <v>189</v>
      </c>
      <c r="B4" s="747"/>
      <c r="C4" s="756">
        <f>BDI!E25</f>
        <v>0.20702738941176513</v>
      </c>
      <c r="D4" s="756"/>
      <c r="E4" s="757" t="s">
        <v>164</v>
      </c>
      <c r="F4" s="757"/>
      <c r="G4" s="758">
        <f>'TERRAP E PAVIM'!V24</f>
        <v>5403.22</v>
      </c>
      <c r="H4" s="758"/>
      <c r="I4" s="758"/>
      <c r="J4" s="759"/>
      <c r="K4" s="751"/>
    </row>
    <row r="5" spans="1:11" ht="18" customHeight="1">
      <c r="A5" s="747" t="s">
        <v>386</v>
      </c>
      <c r="B5" s="747"/>
      <c r="C5" s="756">
        <f>'BDI DIFERENCIADO'!E25</f>
        <v>0.1527</v>
      </c>
      <c r="D5" s="756"/>
      <c r="E5" s="760"/>
      <c r="F5" s="760"/>
      <c r="G5" s="761"/>
      <c r="H5" s="761"/>
      <c r="I5" s="761"/>
      <c r="J5" s="762"/>
      <c r="K5" s="751"/>
    </row>
    <row r="6" spans="1:11" s="185" customFormat="1" ht="38.25">
      <c r="A6" s="763" t="str">
        <f>QUANT!A5</f>
        <v>ITEM</v>
      </c>
      <c r="B6" s="763" t="str">
        <f>QUANT!B5</f>
        <v>CODIGO</v>
      </c>
      <c r="C6" s="763" t="str">
        <f>QUANT!C5</f>
        <v>BANCO</v>
      </c>
      <c r="D6" s="763" t="str">
        <f>QUANT!D5</f>
        <v>DISCRIMINAÇÃO</v>
      </c>
      <c r="E6" s="763" t="s">
        <v>14</v>
      </c>
      <c r="F6" s="763" t="s">
        <v>15</v>
      </c>
      <c r="G6" s="763" t="s">
        <v>16</v>
      </c>
      <c r="H6" s="764" t="s">
        <v>369</v>
      </c>
      <c r="I6" s="764" t="s">
        <v>370</v>
      </c>
      <c r="J6" s="765" t="s">
        <v>17</v>
      </c>
      <c r="K6" s="765" t="s">
        <v>18</v>
      </c>
    </row>
    <row r="7" spans="1:11" ht="12.75">
      <c r="A7" s="765" t="str">
        <f>QUANT!A6</f>
        <v>1.0</v>
      </c>
      <c r="B7" s="766"/>
      <c r="C7" s="766"/>
      <c r="D7" s="767" t="str">
        <f>QUANT!D6</f>
        <v>SERVIÇOS PRELIMINARES</v>
      </c>
      <c r="E7" s="317"/>
      <c r="F7" s="753"/>
      <c r="G7" s="753"/>
      <c r="H7" s="753"/>
      <c r="I7" s="753"/>
      <c r="J7" s="753"/>
      <c r="K7" s="753"/>
    </row>
    <row r="8" spans="1:24" ht="12.75">
      <c r="A8" s="320" t="str">
        <f>QUANT!A7</f>
        <v>1.1</v>
      </c>
      <c r="B8" s="317" t="str">
        <f>QUANT!B7</f>
        <v>74209/001</v>
      </c>
      <c r="C8" s="317" t="str">
        <f>QUANT!C7</f>
        <v>SINAPI</v>
      </c>
      <c r="D8" s="752" t="str">
        <f>QUANT!D7</f>
        <v>Placa de obra em chapa de aço galvanizado</v>
      </c>
      <c r="E8" s="317" t="str">
        <f>QUANT!F7</f>
        <v>m²</v>
      </c>
      <c r="F8" s="753">
        <f>QUANT!G7</f>
        <v>12</v>
      </c>
      <c r="G8" s="358">
        <v>475.68</v>
      </c>
      <c r="H8" s="753"/>
      <c r="I8" s="753">
        <f>TRUNC((G8*(1+($C$4))),2)</f>
        <v>574.15</v>
      </c>
      <c r="J8" s="753">
        <f>INT(F8*I8*100+0.5)/100</f>
        <v>6889.8</v>
      </c>
      <c r="K8" s="768"/>
      <c r="L8" s="4"/>
      <c r="V8" s="50">
        <v>468.73</v>
      </c>
      <c r="W8" s="70">
        <v>473.82</v>
      </c>
      <c r="X8" s="1">
        <f>W8-V8</f>
        <v>5.089999999999975</v>
      </c>
    </row>
    <row r="9" spans="1:24" ht="12.75">
      <c r="A9" s="320" t="str">
        <f>QUANT!A8</f>
        <v>1.2</v>
      </c>
      <c r="B9" s="317">
        <f>QUANT!B8</f>
        <v>93584</v>
      </c>
      <c r="C9" s="317" t="str">
        <f>QUANT!C8</f>
        <v>SINAPI</v>
      </c>
      <c r="D9" s="752" t="str">
        <f>QUANT!D8</f>
        <v>Execução de depósito em canteiro de obra</v>
      </c>
      <c r="E9" s="317" t="str">
        <f>QUANT!F8</f>
        <v>m²</v>
      </c>
      <c r="F9" s="753">
        <f>QUANT!G8</f>
        <v>30</v>
      </c>
      <c r="G9" s="358">
        <v>394.59</v>
      </c>
      <c r="H9" s="753"/>
      <c r="I9" s="753">
        <f>TRUNC((G9*(1+($C$4))),2)</f>
        <v>476.28</v>
      </c>
      <c r="J9" s="753">
        <f>INT(F9*I9*100+0.5)/100</f>
        <v>14288.4</v>
      </c>
      <c r="K9" s="768"/>
      <c r="L9" s="4"/>
      <c r="V9">
        <v>371.55</v>
      </c>
      <c r="W9" s="70">
        <v>388.81</v>
      </c>
      <c r="X9" s="1">
        <f aca="true" t="shared" si="0" ref="X9:X72">W9-V9</f>
        <v>17.25999999999999</v>
      </c>
    </row>
    <row r="10" spans="1:24" ht="38.25">
      <c r="A10" s="320" t="str">
        <f>QUANT!A9</f>
        <v>1.3</v>
      </c>
      <c r="B10" s="317" t="str">
        <f>QUANT!B9</f>
        <v>73847/001</v>
      </c>
      <c r="C10" s="317" t="str">
        <f>QUANT!C9</f>
        <v>SINAPI</v>
      </c>
      <c r="D10" s="769" t="str">
        <f>QUANT!D9</f>
        <v>Aluguel container/sanit c/2 vasos/1 lavat/1 mic/4 chuv larg2,20m compr=6,20m alt=2,50m chapa aco c/nerv trapez forro c/isolam termo/acustico chassis reforc piso compens naval inclinst eletr/hidr excl transp/carga/descarga</v>
      </c>
      <c r="E10" s="317" t="str">
        <f>QUANT!F9</f>
        <v>mês</v>
      </c>
      <c r="F10" s="753">
        <f>QUANT!G9</f>
        <v>6</v>
      </c>
      <c r="G10" s="358">
        <v>394.53</v>
      </c>
      <c r="H10" s="753"/>
      <c r="I10" s="753">
        <f>TRUNC((G10*(1+($C$4))),2)</f>
        <v>476.2</v>
      </c>
      <c r="J10" s="753">
        <f>INT(F10*I10*100+0.5)/100</f>
        <v>2857.2</v>
      </c>
      <c r="K10" s="768"/>
      <c r="L10" s="4"/>
      <c r="V10">
        <v>396.48</v>
      </c>
      <c r="W10" s="70">
        <v>396.48</v>
      </c>
      <c r="X10" s="1">
        <f t="shared" si="0"/>
        <v>0</v>
      </c>
    </row>
    <row r="11" spans="1:24" ht="12.75">
      <c r="A11" s="320" t="str">
        <f>QUANT!A10</f>
        <v>1.4</v>
      </c>
      <c r="B11" s="317">
        <f>QUANT!B10</f>
        <v>5213417</v>
      </c>
      <c r="C11" s="317" t="str">
        <f>QUANT!C10</f>
        <v>SICRO 3</v>
      </c>
      <c r="D11" s="752" t="str">
        <f>QUANT!D10</f>
        <v>Confecção de placa em aço nº 16 galvanizado, com película retrorrefletiva tipo I + III</v>
      </c>
      <c r="E11" s="317" t="str">
        <f>QUANT!F10</f>
        <v>m²</v>
      </c>
      <c r="F11" s="753">
        <f>QUANT!G10</f>
        <v>20</v>
      </c>
      <c r="G11" s="358">
        <v>260.73</v>
      </c>
      <c r="H11" s="753"/>
      <c r="I11" s="753">
        <f>TRUNC((G11*(1+($C$4))),2)</f>
        <v>314.7</v>
      </c>
      <c r="J11" s="753">
        <f>INT(F11*I11*100+0.5)/100</f>
        <v>6294</v>
      </c>
      <c r="K11" s="768">
        <f>SUM(J8:J11)</f>
        <v>30329.4</v>
      </c>
      <c r="L11" s="4"/>
      <c r="M11" s="1" t="s">
        <v>371</v>
      </c>
      <c r="V11">
        <v>260.64</v>
      </c>
      <c r="W11" s="70">
        <v>264.39</v>
      </c>
      <c r="X11" s="1">
        <f t="shared" si="0"/>
        <v>3.75</v>
      </c>
    </row>
    <row r="12" spans="1:24" ht="13.5" thickBot="1">
      <c r="A12" s="320"/>
      <c r="B12" s="317"/>
      <c r="C12" s="317"/>
      <c r="D12" s="752"/>
      <c r="E12" s="317"/>
      <c r="F12" s="753"/>
      <c r="G12" s="753"/>
      <c r="H12" s="753"/>
      <c r="I12" s="753"/>
      <c r="J12" s="753"/>
      <c r="K12" s="768"/>
      <c r="L12" s="4"/>
      <c r="V12" s="9"/>
      <c r="W12" s="9"/>
      <c r="X12" s="1">
        <f t="shared" si="0"/>
        <v>0</v>
      </c>
    </row>
    <row r="13" spans="1:24" ht="34.5" customHeight="1">
      <c r="A13" s="765" t="str">
        <f>QUANT!A12</f>
        <v>2.0</v>
      </c>
      <c r="B13" s="766"/>
      <c r="C13" s="766"/>
      <c r="D13" s="767" t="str">
        <f>QUANT!D12</f>
        <v>ADMINISTRAÇÃO LOCAL</v>
      </c>
      <c r="E13" s="317"/>
      <c r="F13" s="753"/>
      <c r="G13" s="753"/>
      <c r="H13" s="753"/>
      <c r="I13" s="753"/>
      <c r="J13" s="753"/>
      <c r="K13" s="768"/>
      <c r="L13" s="4"/>
      <c r="N13" s="212" t="s">
        <v>353</v>
      </c>
      <c r="O13" s="213" t="s">
        <v>354</v>
      </c>
      <c r="P13" s="213" t="s">
        <v>355</v>
      </c>
      <c r="Q13" s="213" t="s">
        <v>356</v>
      </c>
      <c r="R13" s="213" t="s">
        <v>172</v>
      </c>
      <c r="S13" s="213" t="s">
        <v>357</v>
      </c>
      <c r="T13" s="214" t="s">
        <v>358</v>
      </c>
      <c r="V13" s="9"/>
      <c r="W13" s="9"/>
      <c r="X13" s="1">
        <f t="shared" si="0"/>
        <v>0</v>
      </c>
    </row>
    <row r="14" spans="1:24" ht="12.75">
      <c r="A14" s="320" t="str">
        <f>QUANT!A13</f>
        <v>2.1</v>
      </c>
      <c r="B14" s="317">
        <v>93565</v>
      </c>
      <c r="C14" s="317" t="str">
        <f>QUANT!C13</f>
        <v>SINAPI</v>
      </c>
      <c r="D14" s="752" t="str">
        <f>QUANT!D13</f>
        <v>Engenheiro civil de obra júnior com encargos complementares</v>
      </c>
      <c r="E14" s="317" t="str">
        <f>QUANT!F13</f>
        <v>mês</v>
      </c>
      <c r="F14" s="753">
        <v>1</v>
      </c>
      <c r="G14" s="770">
        <v>16441.82</v>
      </c>
      <c r="H14" s="753"/>
      <c r="I14" s="753">
        <f aca="true" t="shared" si="1" ref="I14:I19">TRUNC((G14*(1+($C$4))),2)</f>
        <v>19845.72</v>
      </c>
      <c r="J14" s="753">
        <f aca="true" t="shared" si="2" ref="J14:J19">INT(F14*I14*100+0.5)/100</f>
        <v>19845.72</v>
      </c>
      <c r="K14" s="768"/>
      <c r="L14" s="222">
        <f>K19/K84</f>
        <v>0.08917678638031132</v>
      </c>
      <c r="N14" s="215"/>
      <c r="O14" s="216"/>
      <c r="P14" s="216"/>
      <c r="Q14" s="216"/>
      <c r="R14" s="216"/>
      <c r="S14" s="216"/>
      <c r="T14" s="217"/>
      <c r="V14" s="9">
        <v>14204.18</v>
      </c>
      <c r="W14" s="28">
        <v>16441.82</v>
      </c>
      <c r="X14" s="1">
        <f t="shared" si="0"/>
        <v>2237.6399999999994</v>
      </c>
    </row>
    <row r="15" spans="1:24" ht="12.75">
      <c r="A15" s="320" t="str">
        <f>QUANT!A14</f>
        <v>2.2</v>
      </c>
      <c r="B15" s="317">
        <v>94296</v>
      </c>
      <c r="C15" s="317" t="str">
        <f>QUANT!C14</f>
        <v>SINAPI</v>
      </c>
      <c r="D15" s="752" t="str">
        <f>QUANT!D14</f>
        <v>Topografo com encargos complementares</v>
      </c>
      <c r="E15" s="317" t="str">
        <f>QUANT!F14</f>
        <v>mês</v>
      </c>
      <c r="F15" s="753">
        <v>1</v>
      </c>
      <c r="G15" s="770">
        <v>3205.41</v>
      </c>
      <c r="H15" s="753"/>
      <c r="I15" s="753">
        <f t="shared" si="1"/>
        <v>3869.01</v>
      </c>
      <c r="J15" s="753">
        <f t="shared" si="2"/>
        <v>3869.01</v>
      </c>
      <c r="K15" s="768"/>
      <c r="L15" s="4"/>
      <c r="N15" s="215"/>
      <c r="O15" s="216"/>
      <c r="P15" s="216"/>
      <c r="Q15" s="216"/>
      <c r="R15" s="216"/>
      <c r="S15" s="216"/>
      <c r="T15" s="217"/>
      <c r="V15" s="9">
        <v>2849.23</v>
      </c>
      <c r="W15" s="28">
        <v>3205.4</v>
      </c>
      <c r="X15" s="1">
        <f t="shared" si="0"/>
        <v>356.1700000000001</v>
      </c>
    </row>
    <row r="16" spans="1:24" ht="15">
      <c r="A16" s="320" t="str">
        <f>QUANT!A15</f>
        <v>2.3</v>
      </c>
      <c r="B16" s="317">
        <v>88253</v>
      </c>
      <c r="C16" s="317" t="str">
        <f>QUANT!C15</f>
        <v>SINAPI</v>
      </c>
      <c r="D16" s="752" t="str">
        <f>QUANT!D15</f>
        <v>Auxiliar de topógrafo com encargos complementares</v>
      </c>
      <c r="E16" s="317" t="str">
        <f>QUANT!F15</f>
        <v>mês</v>
      </c>
      <c r="F16" s="753">
        <v>1</v>
      </c>
      <c r="G16" s="753">
        <v>2742.96</v>
      </c>
      <c r="H16" s="753"/>
      <c r="I16" s="753">
        <f t="shared" si="1"/>
        <v>3310.82</v>
      </c>
      <c r="J16" s="753">
        <f t="shared" si="2"/>
        <v>3310.82</v>
      </c>
      <c r="K16" s="768"/>
      <c r="L16" s="4"/>
      <c r="N16" s="218">
        <v>15.53</v>
      </c>
      <c r="O16" s="218">
        <f>N16/1.888</f>
        <v>8.225635593220339</v>
      </c>
      <c r="P16" s="218">
        <f>O16*1.5128</f>
        <v>12.443741525423729</v>
      </c>
      <c r="Q16" s="219">
        <f>P16*220</f>
        <v>2737.6231355932205</v>
      </c>
      <c r="R16" s="220">
        <f>1+C4</f>
        <v>1.2070273894117651</v>
      </c>
      <c r="S16" s="218">
        <f>F16</f>
        <v>1</v>
      </c>
      <c r="T16" s="221">
        <f>220*P16*R16*S16</f>
        <v>3304.3861065483356</v>
      </c>
      <c r="V16" s="9">
        <f>AF16</f>
        <v>0</v>
      </c>
      <c r="W16" s="9">
        <f>AG16</f>
        <v>0</v>
      </c>
      <c r="X16" s="1">
        <f t="shared" si="0"/>
        <v>0</v>
      </c>
    </row>
    <row r="17" spans="1:24" ht="12.75">
      <c r="A17" s="320" t="str">
        <f>QUANT!A16</f>
        <v>2.4</v>
      </c>
      <c r="B17" s="317">
        <v>94295</v>
      </c>
      <c r="C17" s="317" t="str">
        <f>QUANT!C16</f>
        <v>SINAPI</v>
      </c>
      <c r="D17" s="752" t="str">
        <f>QUANT!D16</f>
        <v>Mestre de obras com encargos complementares</v>
      </c>
      <c r="E17" s="317" t="str">
        <f>QUANT!F16</f>
        <v>mês</v>
      </c>
      <c r="F17" s="753">
        <v>1</v>
      </c>
      <c r="G17" s="771">
        <v>5940.33</v>
      </c>
      <c r="H17" s="772"/>
      <c r="I17" s="753">
        <f t="shared" si="1"/>
        <v>7170.14</v>
      </c>
      <c r="J17" s="753">
        <f t="shared" si="2"/>
        <v>7170.14</v>
      </c>
      <c r="K17" s="768"/>
      <c r="L17" s="4"/>
      <c r="V17" s="9">
        <v>5139.03</v>
      </c>
      <c r="W17" s="281">
        <v>5940.33</v>
      </c>
      <c r="X17" s="1">
        <f t="shared" si="0"/>
        <v>801.3000000000002</v>
      </c>
    </row>
    <row r="18" spans="1:24" ht="12.75">
      <c r="A18" s="320" t="str">
        <f>QUANT!A17</f>
        <v>2.5</v>
      </c>
      <c r="B18" s="317">
        <v>93566</v>
      </c>
      <c r="C18" s="317" t="str">
        <f>QUANT!C17</f>
        <v>SINAPI</v>
      </c>
      <c r="D18" s="752" t="str">
        <f>QUANT!D17</f>
        <v>Chefe de escritório com encargos complementares</v>
      </c>
      <c r="E18" s="317" t="str">
        <f>QUANT!F17</f>
        <v>mês</v>
      </c>
      <c r="F18" s="753">
        <v>2.5</v>
      </c>
      <c r="G18" s="770">
        <v>3480.51</v>
      </c>
      <c r="H18" s="753"/>
      <c r="I18" s="753">
        <f t="shared" si="1"/>
        <v>4201.07</v>
      </c>
      <c r="J18" s="753">
        <f t="shared" si="2"/>
        <v>10502.68</v>
      </c>
      <c r="K18" s="768"/>
      <c r="L18" s="4"/>
      <c r="V18" s="9">
        <v>3085.51</v>
      </c>
      <c r="W18" s="28">
        <v>3480.51</v>
      </c>
      <c r="X18" s="1">
        <f t="shared" si="0"/>
        <v>395</v>
      </c>
    </row>
    <row r="19" spans="1:24" ht="12.75">
      <c r="A19" s="320" t="str">
        <f>QUANT!A18</f>
        <v>2.6</v>
      </c>
      <c r="B19" s="317">
        <v>93564</v>
      </c>
      <c r="C19" s="317" t="str">
        <f>QUANT!C18</f>
        <v>SINAPI</v>
      </c>
      <c r="D19" s="752" t="str">
        <f>QUANT!D18</f>
        <v>Apontador ou apropriador com encargos complementares</v>
      </c>
      <c r="E19" s="317" t="str">
        <f>QUANT!F18</f>
        <v>mês</v>
      </c>
      <c r="F19" s="753">
        <v>2.5</v>
      </c>
      <c r="G19" s="753">
        <v>3080.88</v>
      </c>
      <c r="H19" s="753"/>
      <c r="I19" s="753">
        <f t="shared" si="1"/>
        <v>3718.7</v>
      </c>
      <c r="J19" s="753">
        <f t="shared" si="2"/>
        <v>9296.75</v>
      </c>
      <c r="K19" s="768">
        <f>SUM(J14:J19)</f>
        <v>53995.12</v>
      </c>
      <c r="L19" s="4"/>
      <c r="V19" s="9">
        <v>2741.72</v>
      </c>
      <c r="W19" s="9">
        <v>3080.88</v>
      </c>
      <c r="X19" s="1">
        <f t="shared" si="0"/>
        <v>339.1600000000003</v>
      </c>
    </row>
    <row r="20" spans="1:24" ht="12.75">
      <c r="A20" s="320"/>
      <c r="B20" s="317"/>
      <c r="C20" s="317"/>
      <c r="D20" s="752"/>
      <c r="E20" s="317"/>
      <c r="F20" s="753"/>
      <c r="G20" s="753"/>
      <c r="H20" s="753"/>
      <c r="I20" s="753"/>
      <c r="J20" s="753"/>
      <c r="K20" s="768"/>
      <c r="L20" s="4"/>
      <c r="V20" s="9"/>
      <c r="W20" s="9"/>
      <c r="X20" s="1">
        <f t="shared" si="0"/>
        <v>0</v>
      </c>
    </row>
    <row r="21" spans="1:24" ht="12.75">
      <c r="A21" s="765" t="str">
        <f>QUANT!A20</f>
        <v>3.0</v>
      </c>
      <c r="B21" s="766"/>
      <c r="C21" s="766"/>
      <c r="D21" s="767" t="str">
        <f>QUANT!D20</f>
        <v>ENSAIOS TECNOLÓGICOS DE SOLO E ASFALTO</v>
      </c>
      <c r="E21" s="317"/>
      <c r="F21" s="753"/>
      <c r="G21" s="753"/>
      <c r="H21" s="753"/>
      <c r="I21" s="753"/>
      <c r="J21" s="753"/>
      <c r="K21" s="768"/>
      <c r="L21" s="4"/>
      <c r="V21" s="9"/>
      <c r="W21" s="9"/>
      <c r="X21" s="1">
        <f t="shared" si="0"/>
        <v>0</v>
      </c>
    </row>
    <row r="22" spans="1:24" ht="12.75">
      <c r="A22" s="320" t="str">
        <f>QUANT!A21</f>
        <v>3.1</v>
      </c>
      <c r="B22" s="317" t="str">
        <f>QUANT!B21</f>
        <v>74021/003</v>
      </c>
      <c r="C22" s="317" t="str">
        <f>QUANT!C21</f>
        <v>SINAPI</v>
      </c>
      <c r="D22" s="752" t="str">
        <f>QUANT!D21</f>
        <v>Ensaio de regularição de sub-leito</v>
      </c>
      <c r="E22" s="317" t="str">
        <f>QUANT!F21</f>
        <v>m²</v>
      </c>
      <c r="F22" s="753">
        <f>'TERRAP E PAVIM'!R24</f>
        <v>6754.02</v>
      </c>
      <c r="G22" s="753">
        <v>0.63</v>
      </c>
      <c r="H22" s="753"/>
      <c r="I22" s="753">
        <f aca="true" t="shared" si="3" ref="I22:I27">TRUNC((G22*(1+($C$4))),2)</f>
        <v>0.76</v>
      </c>
      <c r="J22" s="753">
        <f>INT(F22*G22*100+0.5)/100</f>
        <v>4255.03</v>
      </c>
      <c r="K22" s="768"/>
      <c r="L22" s="4"/>
      <c r="V22" s="9">
        <v>0.58</v>
      </c>
      <c r="W22" s="9">
        <v>0.63</v>
      </c>
      <c r="X22" s="1">
        <f t="shared" si="0"/>
        <v>0.050000000000000044</v>
      </c>
    </row>
    <row r="23" spans="1:24" ht="12.75">
      <c r="A23" s="320" t="str">
        <f>QUANT!A22</f>
        <v>3.2</v>
      </c>
      <c r="B23" s="317" t="str">
        <f>QUANT!B22</f>
        <v>74021/006</v>
      </c>
      <c r="C23" s="317" t="str">
        <f>QUANT!C22</f>
        <v>SINAPI</v>
      </c>
      <c r="D23" s="752" t="str">
        <f>QUANT!D22</f>
        <v>Ensaio de reforço do subleito estabilizada granulometricamente)</v>
      </c>
      <c r="E23" s="317" t="str">
        <f>QUANT!F22</f>
        <v>m³</v>
      </c>
      <c r="F23" s="753">
        <f>F22</f>
        <v>6754.02</v>
      </c>
      <c r="G23" s="753">
        <v>1.28</v>
      </c>
      <c r="H23" s="753"/>
      <c r="I23" s="753">
        <f t="shared" si="3"/>
        <v>1.54</v>
      </c>
      <c r="J23" s="753">
        <f>INT(F23*G23*100+0.5)/100</f>
        <v>8645.15</v>
      </c>
      <c r="K23" s="768"/>
      <c r="L23" s="4"/>
      <c r="V23" s="9">
        <v>1.13</v>
      </c>
      <c r="W23" s="9">
        <v>1.28</v>
      </c>
      <c r="X23" s="1">
        <f t="shared" si="0"/>
        <v>0.15000000000000013</v>
      </c>
    </row>
    <row r="24" spans="1:24" ht="12.75">
      <c r="A24" s="320" t="str">
        <f>QUANT!A23</f>
        <v>3.3</v>
      </c>
      <c r="B24" s="317" t="str">
        <f>QUANT!B23</f>
        <v>74021/006</v>
      </c>
      <c r="C24" s="317" t="str">
        <f>QUANT!C23</f>
        <v>SINAPI</v>
      </c>
      <c r="D24" s="752" t="str">
        <f>QUANT!D23</f>
        <v>Ensaio de Sub-base estabilizada granulometricamente)</v>
      </c>
      <c r="E24" s="317" t="str">
        <f>QUANT!F23</f>
        <v>m³</v>
      </c>
      <c r="F24" s="753">
        <f>'TERRAP E PAVIM'!S24</f>
        <v>1350.79</v>
      </c>
      <c r="G24" s="753">
        <v>1.28</v>
      </c>
      <c r="H24" s="753"/>
      <c r="I24" s="753">
        <f t="shared" si="3"/>
        <v>1.54</v>
      </c>
      <c r="J24" s="753">
        <f>INT(F24*G24*100+0.5)/100</f>
        <v>1729.01</v>
      </c>
      <c r="K24" s="768"/>
      <c r="L24" s="4"/>
      <c r="V24" s="9">
        <v>1.13</v>
      </c>
      <c r="W24" s="9">
        <v>1.28</v>
      </c>
      <c r="X24" s="1">
        <f t="shared" si="0"/>
        <v>0.15000000000000013</v>
      </c>
    </row>
    <row r="25" spans="1:24" ht="12.75">
      <c r="A25" s="320" t="str">
        <f>QUANT!A24</f>
        <v>3.4</v>
      </c>
      <c r="B25" s="317" t="str">
        <f>QUANT!B24</f>
        <v>74021/006</v>
      </c>
      <c r="C25" s="317" t="str">
        <f>QUANT!C24</f>
        <v>SINAPI</v>
      </c>
      <c r="D25" s="752" t="str">
        <f>QUANT!D24</f>
        <v>Ensaio de base estabilizada granulometricamente</v>
      </c>
      <c r="E25" s="317" t="str">
        <f>QUANT!F24</f>
        <v>m³</v>
      </c>
      <c r="F25" s="753">
        <f>F24</f>
        <v>1350.79</v>
      </c>
      <c r="G25" s="753">
        <v>1.28</v>
      </c>
      <c r="H25" s="753"/>
      <c r="I25" s="753">
        <f t="shared" si="3"/>
        <v>1.54</v>
      </c>
      <c r="J25" s="753">
        <f>INT(F25*G25*100+0.5)/100</f>
        <v>1729.01</v>
      </c>
      <c r="K25" s="768"/>
      <c r="L25" s="4"/>
      <c r="V25" s="9">
        <v>1.13</v>
      </c>
      <c r="W25" s="9">
        <v>1.28</v>
      </c>
      <c r="X25" s="1">
        <f t="shared" si="0"/>
        <v>0.15000000000000013</v>
      </c>
    </row>
    <row r="26" spans="1:24" ht="12.75">
      <c r="A26" s="320" t="str">
        <f>QUANT!A25</f>
        <v>3.5</v>
      </c>
      <c r="B26" s="317" t="str">
        <f>QUANT!B25</f>
        <v>73900/012</v>
      </c>
      <c r="C26" s="317" t="str">
        <f>QUANT!C25</f>
        <v>SINAPI</v>
      </c>
      <c r="D26" s="752" t="str">
        <f>QUANT!D25</f>
        <v>Ensaio de concreto asfáltico para cada 10 ton </v>
      </c>
      <c r="E26" s="317" t="str">
        <f>QUANT!F25</f>
        <v>ton</v>
      </c>
      <c r="F26" s="753">
        <f>'TERRAP E PAVIM'!X24</f>
        <v>216.12880000000004</v>
      </c>
      <c r="G26" s="325">
        <v>37.73</v>
      </c>
      <c r="H26" s="753"/>
      <c r="I26" s="753">
        <f t="shared" si="3"/>
        <v>45.54</v>
      </c>
      <c r="J26" s="753">
        <f>INT(F26*I26*100+0.5)/100</f>
        <v>9842.51</v>
      </c>
      <c r="K26" s="768"/>
      <c r="L26" s="4"/>
      <c r="V26" s="9">
        <v>33.68</v>
      </c>
      <c r="W26">
        <v>37.72</v>
      </c>
      <c r="X26" s="1">
        <f t="shared" si="0"/>
        <v>4.039999999999999</v>
      </c>
    </row>
    <row r="27" spans="1:24" ht="25.5">
      <c r="A27" s="320" t="str">
        <f>QUANT!A26</f>
        <v>3.6</v>
      </c>
      <c r="B27" s="317" t="str">
        <f>QUANT!B26</f>
        <v>74022/030</v>
      </c>
      <c r="C27" s="317" t="str">
        <f>QUANT!C26</f>
        <v>SINAPI</v>
      </c>
      <c r="D27" s="769" t="str">
        <f>QUANT!D26</f>
        <v>Ensaio de resistência a compressão simples do concreto - meio-fio, sarjetas e calçadas (considerado 1,0 amostra a cada 200 m)</v>
      </c>
      <c r="E27" s="317" t="str">
        <f>QUANT!F26</f>
        <v>un</v>
      </c>
      <c r="F27" s="753">
        <f>QUANT!G26</f>
        <v>8.12753</v>
      </c>
      <c r="G27" s="772">
        <v>108.13</v>
      </c>
      <c r="H27" s="772"/>
      <c r="I27" s="753">
        <f t="shared" si="3"/>
        <v>130.51</v>
      </c>
      <c r="J27" s="753">
        <f>INT(F27*I27*100+0.5)/100</f>
        <v>1060.72</v>
      </c>
      <c r="K27" s="768">
        <f>SUM(J22:J27)</f>
        <v>27261.43</v>
      </c>
      <c r="L27" s="4"/>
      <c r="V27" s="9">
        <v>96.54</v>
      </c>
      <c r="W27" s="282">
        <v>108.03</v>
      </c>
      <c r="X27" s="1">
        <f t="shared" si="0"/>
        <v>11.489999999999995</v>
      </c>
    </row>
    <row r="28" spans="1:24" ht="12.75">
      <c r="A28" s="320"/>
      <c r="B28" s="317"/>
      <c r="C28" s="317"/>
      <c r="D28" s="752"/>
      <c r="E28" s="317"/>
      <c r="F28" s="753"/>
      <c r="G28" s="753"/>
      <c r="H28" s="753"/>
      <c r="I28" s="753"/>
      <c r="J28" s="753"/>
      <c r="K28" s="753"/>
      <c r="L28" s="4"/>
      <c r="V28" s="9"/>
      <c r="W28" s="9"/>
      <c r="X28" s="1">
        <f t="shared" si="0"/>
        <v>0</v>
      </c>
    </row>
    <row r="29" spans="1:24" ht="12.75">
      <c r="A29" s="765" t="str">
        <f>QUANT!A28</f>
        <v>4.0</v>
      </c>
      <c r="B29" s="766"/>
      <c r="C29" s="766"/>
      <c r="D29" s="767" t="str">
        <f>QUANT!D28</f>
        <v>TERRAPLENAGEM</v>
      </c>
      <c r="E29" s="317"/>
      <c r="F29" s="753"/>
      <c r="G29" s="753"/>
      <c r="H29" s="753"/>
      <c r="I29" s="753"/>
      <c r="J29" s="753"/>
      <c r="K29" s="753"/>
      <c r="L29" s="4"/>
      <c r="V29" s="9"/>
      <c r="W29" s="9"/>
      <c r="X29" s="1">
        <f t="shared" si="0"/>
        <v>0</v>
      </c>
    </row>
    <row r="30" spans="1:24" ht="12.75">
      <c r="A30" s="320" t="s">
        <v>49</v>
      </c>
      <c r="B30" s="317" t="str">
        <f>QUANT!B29</f>
        <v>73822/002</v>
      </c>
      <c r="C30" s="317" t="str">
        <f>QUANT!C29</f>
        <v>SINAPI</v>
      </c>
      <c r="D30" s="773" t="str">
        <f>QUANT!D29</f>
        <v>Limpeza mecanizada de área com remoção de camada vegetal, utilizando motoniveladora</v>
      </c>
      <c r="E30" s="317" t="str">
        <f>QUANT!F29</f>
        <v>m²</v>
      </c>
      <c r="F30" s="753">
        <f>QUANT!G29</f>
        <v>2532.759</v>
      </c>
      <c r="G30" s="753">
        <v>0.52</v>
      </c>
      <c r="H30" s="753"/>
      <c r="I30" s="753">
        <f aca="true" t="shared" si="4" ref="I30:I35">TRUNC((G30*(1+($C$4))),2)</f>
        <v>0.62</v>
      </c>
      <c r="J30" s="753">
        <f aca="true" t="shared" si="5" ref="J30:J35">INT(F30*I30*100+0.5)/100</f>
        <v>1570.31</v>
      </c>
      <c r="K30" s="753"/>
      <c r="L30" s="4"/>
      <c r="V30" s="9">
        <v>0.51</v>
      </c>
      <c r="W30" s="9">
        <v>0.51</v>
      </c>
      <c r="X30" s="1">
        <f t="shared" si="0"/>
        <v>0</v>
      </c>
    </row>
    <row r="31" spans="1:24" ht="12.75">
      <c r="A31" s="320" t="s">
        <v>447</v>
      </c>
      <c r="B31" s="317" t="str">
        <f>QUANT!B30</f>
        <v>74205/001</v>
      </c>
      <c r="C31" s="317" t="str">
        <f>QUANT!C30</f>
        <v>SINAPI</v>
      </c>
      <c r="D31" s="752" t="str">
        <f>QUANT!D30</f>
        <v>Escavacao mecanica de material 1a. categoria, proveniente de corte de subleito (c/trator esteiras 160hp)</v>
      </c>
      <c r="E31" s="317" t="str">
        <f>QUANT!F30</f>
        <v>m³</v>
      </c>
      <c r="F31" s="753">
        <f>QUANT!G30</f>
        <v>4393.03</v>
      </c>
      <c r="G31" s="753">
        <v>1.43</v>
      </c>
      <c r="H31" s="753"/>
      <c r="I31" s="753">
        <f t="shared" si="4"/>
        <v>1.72</v>
      </c>
      <c r="J31" s="753">
        <f t="shared" si="5"/>
        <v>7556.01</v>
      </c>
      <c r="K31" s="753"/>
      <c r="L31" s="4"/>
      <c r="V31" s="9">
        <v>1.39</v>
      </c>
      <c r="W31" s="9">
        <v>1.42</v>
      </c>
      <c r="X31" s="1">
        <f t="shared" si="0"/>
        <v>0.030000000000000027</v>
      </c>
    </row>
    <row r="32" spans="1:24" ht="12.75">
      <c r="A32" s="320" t="s">
        <v>448</v>
      </c>
      <c r="B32" s="317">
        <f>QUANT!B31</f>
        <v>72888</v>
      </c>
      <c r="C32" s="317" t="str">
        <f>QUANT!C31</f>
        <v>SINAPI</v>
      </c>
      <c r="D32" s="752" t="str">
        <f>QUANT!D31</f>
        <v>Carga, manobras e descarga de areia, brita, pedra de mao e solos com caminhao basculante 6 m3 (descarga livre)</v>
      </c>
      <c r="E32" s="317" t="str">
        <f>QUANT!F31</f>
        <v>m³</v>
      </c>
      <c r="F32" s="753">
        <f>QUANT!G31</f>
        <v>4393.03</v>
      </c>
      <c r="G32" s="753">
        <v>1.11</v>
      </c>
      <c r="H32" s="753"/>
      <c r="I32" s="753">
        <f t="shared" si="4"/>
        <v>1.33</v>
      </c>
      <c r="J32" s="753">
        <f>INT(F32*I32*100+0.5)/100</f>
        <v>5842.73</v>
      </c>
      <c r="K32" s="753"/>
      <c r="L32" s="4"/>
      <c r="V32" s="9">
        <v>1.09</v>
      </c>
      <c r="W32" s="9">
        <v>1.1</v>
      </c>
      <c r="X32" s="1">
        <f t="shared" si="0"/>
        <v>0.010000000000000009</v>
      </c>
    </row>
    <row r="33" spans="1:24" s="3" customFormat="1" ht="12.75">
      <c r="A33" s="320" t="s">
        <v>449</v>
      </c>
      <c r="B33" s="320">
        <f>QUANT!B32</f>
        <v>93592</v>
      </c>
      <c r="C33" s="320" t="str">
        <f>QUANT!C32</f>
        <v>SINAPI</v>
      </c>
      <c r="D33" s="760" t="str">
        <f>QUANT!D32</f>
        <v>Transporte com caminhão basculante de 14 m3, em via urbana em revestimento primário (unidade: m3xkm). af_04/2016</v>
      </c>
      <c r="E33" s="320" t="str">
        <f>QUANT!F32</f>
        <v>m³xkm</v>
      </c>
      <c r="F33" s="320">
        <f>QUANT!G32</f>
        <v>8786.06</v>
      </c>
      <c r="G33" s="753">
        <v>1.03</v>
      </c>
      <c r="H33" s="753"/>
      <c r="I33" s="753">
        <f t="shared" si="4"/>
        <v>1.24</v>
      </c>
      <c r="J33" s="753">
        <f t="shared" si="5"/>
        <v>10894.71</v>
      </c>
      <c r="K33" s="768"/>
      <c r="L33" s="4"/>
      <c r="V33" s="9">
        <v>1.01</v>
      </c>
      <c r="W33" s="9">
        <v>1.02</v>
      </c>
      <c r="X33" s="1">
        <f t="shared" si="0"/>
        <v>0.010000000000000009</v>
      </c>
    </row>
    <row r="34" spans="1:24" s="231" customFormat="1" ht="12.75">
      <c r="A34" s="320" t="s">
        <v>450</v>
      </c>
      <c r="B34" s="317">
        <f>QUANT!B33</f>
        <v>93593</v>
      </c>
      <c r="C34" s="317" t="str">
        <f>QUANT!C33</f>
        <v>SINAPI</v>
      </c>
      <c r="D34" s="752" t="str">
        <f>QUANT!D33</f>
        <v>Transporte com caminhão basculante 14m3 em vias urbanas   pavimentada DMT = 8,6 (BOTA-FORA), ( NA JAZIDA ) </v>
      </c>
      <c r="E34" s="317" t="str">
        <f>QUANT!F33</f>
        <v>m³xkm</v>
      </c>
      <c r="F34" s="753">
        <f>QUANT!G33</f>
        <v>42612.390999999996</v>
      </c>
      <c r="G34" s="753">
        <v>0.69</v>
      </c>
      <c r="H34" s="753"/>
      <c r="I34" s="753">
        <f t="shared" si="4"/>
        <v>0.83</v>
      </c>
      <c r="J34" s="753">
        <f t="shared" si="5"/>
        <v>35368.28</v>
      </c>
      <c r="K34" s="768"/>
      <c r="L34" s="230"/>
      <c r="V34" s="229">
        <v>0.66</v>
      </c>
      <c r="W34" s="229">
        <v>0.66</v>
      </c>
      <c r="X34" s="1">
        <f t="shared" si="0"/>
        <v>0</v>
      </c>
    </row>
    <row r="35" spans="1:24" s="3" customFormat="1" ht="12.75">
      <c r="A35" s="320" t="s">
        <v>451</v>
      </c>
      <c r="B35" s="317">
        <f>QUANT!B34</f>
        <v>83344</v>
      </c>
      <c r="C35" s="317" t="str">
        <f>QUANT!C34</f>
        <v>SINAPI</v>
      </c>
      <c r="D35" s="752" t="str">
        <f>QUANT!D34</f>
        <v>Espalhamento de material em bota fora, com utilização de trator de esteiras de 165 hp</v>
      </c>
      <c r="E35" s="317" t="str">
        <f>QUANT!F34</f>
        <v>m³</v>
      </c>
      <c r="F35" s="753">
        <f>QUANT!G34</f>
        <v>4393.03</v>
      </c>
      <c r="G35" s="753">
        <v>0.89</v>
      </c>
      <c r="H35" s="753"/>
      <c r="I35" s="753">
        <f t="shared" si="4"/>
        <v>1.07</v>
      </c>
      <c r="J35" s="753">
        <f t="shared" si="5"/>
        <v>4700.54</v>
      </c>
      <c r="K35" s="768">
        <f>SUM(J30:J35)</f>
        <v>65932.57999999999</v>
      </c>
      <c r="L35" s="4"/>
      <c r="V35" s="9">
        <v>0.84</v>
      </c>
      <c r="W35" s="9">
        <v>0.88</v>
      </c>
      <c r="X35" s="1">
        <f t="shared" si="0"/>
        <v>0.040000000000000036</v>
      </c>
    </row>
    <row r="36" spans="1:24" s="3" customFormat="1" ht="12.75">
      <c r="A36" s="320"/>
      <c r="B36" s="317"/>
      <c r="C36" s="317"/>
      <c r="D36" s="752"/>
      <c r="E36" s="317"/>
      <c r="F36" s="753"/>
      <c r="G36" s="753"/>
      <c r="H36" s="753"/>
      <c r="I36" s="753"/>
      <c r="J36" s="753"/>
      <c r="K36" s="768"/>
      <c r="L36" s="4"/>
      <c r="V36" s="9"/>
      <c r="W36" s="9"/>
      <c r="X36" s="1">
        <f t="shared" si="0"/>
        <v>0</v>
      </c>
    </row>
    <row r="37" spans="1:24" s="3" customFormat="1" ht="12.75">
      <c r="A37" s="765" t="str">
        <f>QUANT!A36</f>
        <v>5.0</v>
      </c>
      <c r="B37" s="766"/>
      <c r="C37" s="766"/>
      <c r="D37" s="767" t="str">
        <f>QUANT!D36</f>
        <v>PAVIMENTAÇÃO</v>
      </c>
      <c r="E37" s="317"/>
      <c r="F37" s="753"/>
      <c r="G37" s="753"/>
      <c r="H37" s="753"/>
      <c r="I37" s="753"/>
      <c r="J37" s="753"/>
      <c r="K37" s="768"/>
      <c r="L37" s="4"/>
      <c r="V37" s="9"/>
      <c r="W37" s="9"/>
      <c r="X37" s="1">
        <f t="shared" si="0"/>
        <v>0</v>
      </c>
    </row>
    <row r="38" spans="1:24" s="3" customFormat="1" ht="12.75">
      <c r="A38" s="320" t="str">
        <f>QUANT!A37</f>
        <v>5.1</v>
      </c>
      <c r="B38" s="317">
        <f>QUANT!B37</f>
        <v>72961</v>
      </c>
      <c r="C38" s="317" t="str">
        <f>QUANT!C37</f>
        <v>SINAPI</v>
      </c>
      <c r="D38" s="752" t="str">
        <f>QUANT!D37</f>
        <v>Regularização e compactação de subleito até 20 cm de espessura</v>
      </c>
      <c r="E38" s="317" t="str">
        <f>QUANT!F37</f>
        <v>m²</v>
      </c>
      <c r="F38" s="753">
        <f>QUANT!G37</f>
        <v>2532.759</v>
      </c>
      <c r="G38" s="753">
        <v>1.22</v>
      </c>
      <c r="H38" s="753"/>
      <c r="I38" s="753">
        <f>TRUNC((G38*(1+($C$4))),2)</f>
        <v>1.47</v>
      </c>
      <c r="J38" s="753">
        <f>INT(F38*I38*100+0.5)/100</f>
        <v>3723.16</v>
      </c>
      <c r="K38" s="768"/>
      <c r="L38" s="4"/>
      <c r="V38" s="9">
        <v>1.22</v>
      </c>
      <c r="W38" s="9">
        <v>1.25</v>
      </c>
      <c r="X38" s="1">
        <f t="shared" si="0"/>
        <v>0.030000000000000027</v>
      </c>
    </row>
    <row r="39" spans="1:24" s="3" customFormat="1" ht="12.75">
      <c r="A39" s="320" t="str">
        <f>QUANT!A38</f>
        <v>5.2</v>
      </c>
      <c r="B39" s="317" t="str">
        <f>QUANT!B38</f>
        <v>(M980) (S/C)</v>
      </c>
      <c r="C39" s="317" t="str">
        <f>QUANT!C38</f>
        <v>COTAÇÃO</v>
      </c>
      <c r="D39" s="752" t="str">
        <f>QUANT!D38</f>
        <v>Indenização de jazida não condiz com o preço praticado na região (Preço praticado na jazida)</v>
      </c>
      <c r="E39" s="317" t="str">
        <f>QUANT!F38</f>
        <v>m³</v>
      </c>
      <c r="F39" s="753">
        <f>QUANT!G38</f>
        <v>4660.2255</v>
      </c>
      <c r="G39" s="753">
        <v>10</v>
      </c>
      <c r="H39" s="753"/>
      <c r="I39" s="753">
        <f>TRUNC((G39*(1+($C$5))),2)</f>
        <v>11.52</v>
      </c>
      <c r="J39" s="753">
        <f>INT(F39*I39*100+0.5)/100</f>
        <v>53685.8</v>
      </c>
      <c r="K39" s="768"/>
      <c r="L39" s="4"/>
      <c r="V39" s="9">
        <v>10</v>
      </c>
      <c r="W39" s="9">
        <v>10</v>
      </c>
      <c r="X39" s="1">
        <f t="shared" si="0"/>
        <v>0</v>
      </c>
    </row>
    <row r="40" spans="1:24" s="3" customFormat="1" ht="12.75">
      <c r="A40" s="320" t="str">
        <f>QUANT!A39</f>
        <v>5.3</v>
      </c>
      <c r="B40" s="317" t="str">
        <f>QUANT!B39</f>
        <v>96387</v>
      </c>
      <c r="C40" s="317" t="str">
        <f>QUANT!C39</f>
        <v>SINAPI</v>
      </c>
      <c r="D40" s="752" t="str">
        <f>QUANT!D39</f>
        <v>Execução e compactação de sub base com solo estabilizado granulometricamente - exclusive escavação, carga e transporte e solo. af_09/2017</v>
      </c>
      <c r="E40" s="317" t="str">
        <f>QUANT!F39</f>
        <v>m³</v>
      </c>
      <c r="F40" s="753">
        <f>QUANT!G39</f>
        <v>1350.79</v>
      </c>
      <c r="G40" s="753">
        <v>6.3</v>
      </c>
      <c r="H40" s="753"/>
      <c r="I40" s="753">
        <f aca="true" t="shared" si="6" ref="I40:I47">TRUNC((G40*(1+($C$4))),2)</f>
        <v>7.6</v>
      </c>
      <c r="J40" s="753">
        <f>INT(F40*I40*100+0.5)/100</f>
        <v>10266</v>
      </c>
      <c r="K40" s="768"/>
      <c r="L40" s="4"/>
      <c r="V40" s="9">
        <v>6.22</v>
      </c>
      <c r="W40" s="9">
        <v>6.5</v>
      </c>
      <c r="X40" s="1">
        <f t="shared" si="0"/>
        <v>0.28000000000000025</v>
      </c>
    </row>
    <row r="41" spans="1:24" s="3" customFormat="1" ht="12.75">
      <c r="A41" s="320" t="str">
        <f>QUANT!A40</f>
        <v>5.4</v>
      </c>
      <c r="B41" s="317" t="str">
        <f>QUANT!B40</f>
        <v>96387</v>
      </c>
      <c r="C41" s="317" t="str">
        <f>QUANT!C40</f>
        <v>SINAPI</v>
      </c>
      <c r="D41" s="752" t="str">
        <f>QUANT!D40</f>
        <v>Execução e compactação de base com solo estabilizado granulometricamente - exclusive escavação, carga e transporte e solo. af_09/2017</v>
      </c>
      <c r="E41" s="317" t="str">
        <f>QUANT!F40</f>
        <v>m³</v>
      </c>
      <c r="F41" s="753">
        <f>QUANT!G40</f>
        <v>1350.79</v>
      </c>
      <c r="G41" s="753">
        <f>G40</f>
        <v>6.3</v>
      </c>
      <c r="H41" s="753"/>
      <c r="I41" s="753">
        <f t="shared" si="6"/>
        <v>7.6</v>
      </c>
      <c r="J41" s="753">
        <f aca="true" t="shared" si="7" ref="J41:J47">INT(F41*I41*100+0.5)/100</f>
        <v>10266</v>
      </c>
      <c r="K41" s="768"/>
      <c r="L41" s="4"/>
      <c r="V41" s="9">
        <v>6.22</v>
      </c>
      <c r="W41" s="9">
        <v>6.5</v>
      </c>
      <c r="X41" s="1">
        <f t="shared" si="0"/>
        <v>0.28000000000000025</v>
      </c>
    </row>
    <row r="42" spans="1:24" s="3" customFormat="1" ht="12.75">
      <c r="A42" s="320" t="str">
        <f>QUANT!A41</f>
        <v>5.5</v>
      </c>
      <c r="B42" s="317">
        <f>QUANT!B41</f>
        <v>96401</v>
      </c>
      <c r="C42" s="317" t="str">
        <f>QUANT!C41</f>
        <v>SINAPI</v>
      </c>
      <c r="D42" s="752" t="str">
        <f>QUANT!D41</f>
        <v>Execução de imprimação com asfalto diluído CM-30. af_09/2017</v>
      </c>
      <c r="E42" s="317" t="str">
        <f>QUANT!F41</f>
        <v>m²</v>
      </c>
      <c r="F42" s="753">
        <f>QUANT!G41</f>
        <v>5403.22</v>
      </c>
      <c r="G42" s="753">
        <v>4.76</v>
      </c>
      <c r="H42" s="753"/>
      <c r="I42" s="753">
        <f t="shared" si="6"/>
        <v>5.74</v>
      </c>
      <c r="J42" s="753">
        <f t="shared" si="7"/>
        <v>31014.48</v>
      </c>
      <c r="K42" s="768"/>
      <c r="L42" s="4"/>
      <c r="V42" s="9">
        <v>4.23</v>
      </c>
      <c r="W42" s="9">
        <v>4.25</v>
      </c>
      <c r="X42" s="1">
        <f t="shared" si="0"/>
        <v>0.019999999999999574</v>
      </c>
    </row>
    <row r="43" spans="1:24" s="3" customFormat="1" ht="12.75">
      <c r="A43" s="320" t="str">
        <f>QUANT!A42</f>
        <v>5.6</v>
      </c>
      <c r="B43" s="317">
        <f>QUANT!B42</f>
        <v>72943</v>
      </c>
      <c r="C43" s="317" t="str">
        <f>QUANT!C42</f>
        <v>SINAPI</v>
      </c>
      <c r="D43" s="752" t="str">
        <f>QUANT!D42</f>
        <v>Pintura de ligação com emulsão RR-2C</v>
      </c>
      <c r="E43" s="317" t="str">
        <f>QUANT!F42</f>
        <v>m²</v>
      </c>
      <c r="F43" s="753">
        <f>QUANT!G42</f>
        <v>5403.22</v>
      </c>
      <c r="G43" s="753">
        <v>1.43</v>
      </c>
      <c r="H43" s="753"/>
      <c r="I43" s="753">
        <f t="shared" si="6"/>
        <v>1.72</v>
      </c>
      <c r="J43" s="753">
        <f t="shared" si="7"/>
        <v>9293.54</v>
      </c>
      <c r="K43" s="768"/>
      <c r="L43" s="4"/>
      <c r="V43" s="9">
        <v>1.38</v>
      </c>
      <c r="W43" s="9">
        <v>1.39</v>
      </c>
      <c r="X43" s="1">
        <f t="shared" si="0"/>
        <v>0.010000000000000009</v>
      </c>
    </row>
    <row r="44" spans="1:24" ht="12.75">
      <c r="A44" s="320" t="str">
        <f>QUANT!A43</f>
        <v>5.7</v>
      </c>
      <c r="B44" s="317">
        <f>QUANT!B43</f>
        <v>95993</v>
      </c>
      <c r="C44" s="317" t="str">
        <f>QUANT!C43</f>
        <v>SINAPI</v>
      </c>
      <c r="D44" s="752" t="str">
        <f>QUANT!D43</f>
        <v>Construção de pavimento com aplicação de concreto betuminoso usinado a quente (cbuq), camada de rolamento, com espessura de 4,0 cm  exclusive transporte. af_03/2017</v>
      </c>
      <c r="E44" s="317" t="str">
        <f>QUANT!F43</f>
        <v>m³</v>
      </c>
      <c r="F44" s="753">
        <f>QUANT!G43</f>
        <v>216.12880000000004</v>
      </c>
      <c r="G44" s="325">
        <v>704.24</v>
      </c>
      <c r="H44" s="753"/>
      <c r="I44" s="753">
        <f t="shared" si="6"/>
        <v>850.03</v>
      </c>
      <c r="J44" s="753">
        <f t="shared" si="7"/>
        <v>183715.96</v>
      </c>
      <c r="K44" s="753"/>
      <c r="L44" s="4"/>
      <c r="V44" s="9">
        <v>693.42</v>
      </c>
      <c r="W44">
        <v>695.97</v>
      </c>
      <c r="X44" s="1">
        <f t="shared" si="0"/>
        <v>2.550000000000068</v>
      </c>
    </row>
    <row r="45" spans="1:24" ht="12.75">
      <c r="A45" s="320" t="str">
        <f>QUANT!A44</f>
        <v>5.8</v>
      </c>
      <c r="B45" s="317">
        <f>QUANT!B44</f>
        <v>93598</v>
      </c>
      <c r="C45" s="317" t="str">
        <f>QUANT!C44</f>
        <v>SINAPI</v>
      </c>
      <c r="D45" s="752" t="str">
        <f>QUANT!D44</f>
        <v>Transporte com caminhão basculante de 14 m3, em via urbana em revestimento primário (unidade: tonxkm). af_04/2016</v>
      </c>
      <c r="E45" s="317" t="str">
        <f>QUANT!F44</f>
        <v>txkm</v>
      </c>
      <c r="F45" s="753">
        <f>QUANT!G44</f>
        <v>9941.8144</v>
      </c>
      <c r="G45" s="753">
        <v>0.69</v>
      </c>
      <c r="H45" s="753"/>
      <c r="I45" s="753">
        <f t="shared" si="6"/>
        <v>0.83</v>
      </c>
      <c r="J45" s="753">
        <f t="shared" si="7"/>
        <v>8251.71</v>
      </c>
      <c r="K45" s="753"/>
      <c r="L45" s="4"/>
      <c r="V45" s="9">
        <v>0.62</v>
      </c>
      <c r="W45" s="9">
        <v>0.68</v>
      </c>
      <c r="X45" s="1">
        <f t="shared" si="0"/>
        <v>0.06000000000000005</v>
      </c>
    </row>
    <row r="46" spans="1:24" ht="12.75">
      <c r="A46" s="320" t="str">
        <f>QUANT!A45</f>
        <v>5.9</v>
      </c>
      <c r="B46" s="317">
        <f>QUANT!B45</f>
        <v>95879</v>
      </c>
      <c r="C46" s="317" t="str">
        <f>QUANT!C45</f>
        <v>SINAPI</v>
      </c>
      <c r="D46" s="752" t="str">
        <f>QUANT!D45</f>
        <v>Transporte com caminhão basculante de 14 m3, em via urbana pavimentada, dmt até 30 km (unidade: tonxkm). af_12/2016</v>
      </c>
      <c r="E46" s="317" t="str">
        <f>QUANT!F45</f>
        <v>txkm</v>
      </c>
      <c r="F46" s="753">
        <f>QUANT!G45</f>
        <v>48217.79983999999</v>
      </c>
      <c r="G46" s="753">
        <v>0.64</v>
      </c>
      <c r="H46" s="753"/>
      <c r="I46" s="753">
        <f t="shared" si="6"/>
        <v>0.77</v>
      </c>
      <c r="J46" s="753">
        <f t="shared" si="7"/>
        <v>37127.71</v>
      </c>
      <c r="K46" s="753"/>
      <c r="L46" s="4"/>
      <c r="M46" s="515">
        <v>549960.3500000001</v>
      </c>
      <c r="N46" s="515"/>
      <c r="V46" s="9">
        <v>0.62</v>
      </c>
      <c r="W46" s="9">
        <v>0.63</v>
      </c>
      <c r="X46" s="1">
        <f t="shared" si="0"/>
        <v>0.010000000000000009</v>
      </c>
    </row>
    <row r="47" spans="1:24" ht="12.75">
      <c r="A47" s="320" t="str">
        <f>QUANT!A46</f>
        <v>5.10</v>
      </c>
      <c r="B47" s="317">
        <f>QUANT!B46</f>
        <v>72843</v>
      </c>
      <c r="C47" s="317" t="str">
        <f>QUANT!C46</f>
        <v>SINAPI</v>
      </c>
      <c r="D47" s="752" t="str">
        <f>QUANT!D46</f>
        <v>Transporte comercial com caminhao basculante 6 m3, rodovia pavimentada</v>
      </c>
      <c r="E47" s="317" t="str">
        <f>QUANT!F46</f>
        <v>txkm</v>
      </c>
      <c r="F47" s="753">
        <f>QUANT!G46</f>
        <v>13486.43</v>
      </c>
      <c r="G47" s="753">
        <v>0.71</v>
      </c>
      <c r="H47" s="753"/>
      <c r="I47" s="753">
        <f t="shared" si="6"/>
        <v>0.85</v>
      </c>
      <c r="J47" s="753">
        <f t="shared" si="7"/>
        <v>11463.47</v>
      </c>
      <c r="K47" s="768">
        <f>SUM(J38:J47)</f>
        <v>358807.83</v>
      </c>
      <c r="L47" s="4"/>
      <c r="V47" s="9">
        <v>0.7</v>
      </c>
      <c r="W47" s="9">
        <v>0.71</v>
      </c>
      <c r="X47" s="1">
        <f t="shared" si="0"/>
        <v>0.010000000000000009</v>
      </c>
    </row>
    <row r="48" spans="1:24" ht="12.75">
      <c r="A48" s="320"/>
      <c r="B48" s="317"/>
      <c r="C48" s="317"/>
      <c r="D48" s="752"/>
      <c r="E48" s="317"/>
      <c r="F48" s="753"/>
      <c r="G48" s="753"/>
      <c r="H48" s="753"/>
      <c r="I48" s="753"/>
      <c r="J48" s="753"/>
      <c r="K48" s="753"/>
      <c r="L48" s="4"/>
      <c r="V48" s="9"/>
      <c r="W48" s="9"/>
      <c r="X48" s="1">
        <f t="shared" si="0"/>
        <v>0</v>
      </c>
    </row>
    <row r="49" spans="1:24" ht="12.75">
      <c r="A49" s="765" t="str">
        <f>QUANT!A48</f>
        <v>6.0</v>
      </c>
      <c r="B49" s="766"/>
      <c r="C49" s="766"/>
      <c r="D49" s="767" t="str">
        <f>QUANT!D48</f>
        <v>SINALIZAÇÃO HORIZONTAL/VERTICAL</v>
      </c>
      <c r="E49" s="317"/>
      <c r="F49" s="753"/>
      <c r="G49" s="753"/>
      <c r="H49" s="753"/>
      <c r="I49" s="753"/>
      <c r="J49" s="753"/>
      <c r="K49" s="753"/>
      <c r="L49" s="4"/>
      <c r="V49" s="9"/>
      <c r="W49" s="9"/>
      <c r="X49" s="1">
        <f t="shared" si="0"/>
        <v>0</v>
      </c>
    </row>
    <row r="50" spans="1:24" ht="15" customHeight="1">
      <c r="A50" s="320" t="str">
        <f>QUANT!A49</f>
        <v>6.1</v>
      </c>
      <c r="B50" s="317">
        <f>QUANT!B49</f>
        <v>72947</v>
      </c>
      <c r="C50" s="317" t="str">
        <f>QUANT!C49</f>
        <v>SINAPI</v>
      </c>
      <c r="D50" s="752" t="str">
        <f>QUANT!D49</f>
        <v>Sinalizacao horizontal com tinta retrorrefletiva a base de resina acrilica  c/ micro esfera de vidro</v>
      </c>
      <c r="E50" s="317" t="str">
        <f>QUANT!F49</f>
        <v>m²</v>
      </c>
      <c r="F50" s="753">
        <f>QUANT!G49</f>
        <v>33.7</v>
      </c>
      <c r="G50" s="753">
        <v>27.25</v>
      </c>
      <c r="H50" s="753"/>
      <c r="I50" s="753">
        <f>TRUNC((G50*(1+($C$4))),2)</f>
        <v>32.89</v>
      </c>
      <c r="J50" s="753">
        <f>INT(F50*I50*100+0.5)/100</f>
        <v>1108.39</v>
      </c>
      <c r="K50" s="753"/>
      <c r="L50" s="4"/>
      <c r="V50" s="9">
        <v>26.86</v>
      </c>
      <c r="W50" s="9">
        <v>26.93</v>
      </c>
      <c r="X50" s="1">
        <f t="shared" si="0"/>
        <v>0.07000000000000028</v>
      </c>
    </row>
    <row r="51" spans="1:24" ht="15" customHeight="1">
      <c r="A51" s="320" t="str">
        <f>QUANT!A50</f>
        <v>6.2</v>
      </c>
      <c r="B51" s="317">
        <f>QUANT!B50</f>
        <v>5213405</v>
      </c>
      <c r="C51" s="317" t="str">
        <f>QUANT!C50</f>
        <v>SICRO 3</v>
      </c>
      <c r="D51" s="752" t="str">
        <f>QUANT!D50</f>
        <v>Pintura de setas e zebrados - tinta base acrílica - espessura de 0,6 mm</v>
      </c>
      <c r="E51" s="317" t="str">
        <f>QUANT!F50</f>
        <v>m²</v>
      </c>
      <c r="F51" s="753">
        <f>QUANT!G50</f>
        <v>0</v>
      </c>
      <c r="G51" s="753">
        <v>32.11</v>
      </c>
      <c r="H51" s="753"/>
      <c r="I51" s="753">
        <f>TRUNC((G51*(1+($C$4))),2)</f>
        <v>38.75</v>
      </c>
      <c r="J51" s="753">
        <f>INT(F51*I51*100+0.5)/100</f>
        <v>0</v>
      </c>
      <c r="K51" s="753"/>
      <c r="L51" s="4"/>
      <c r="M51" s="1" t="s">
        <v>373</v>
      </c>
      <c r="V51" s="9">
        <v>31.78</v>
      </c>
      <c r="W51" s="9">
        <v>32.61</v>
      </c>
      <c r="X51" s="1">
        <f t="shared" si="0"/>
        <v>0.8299999999999983</v>
      </c>
    </row>
    <row r="52" spans="1:24" ht="15" customHeight="1">
      <c r="A52" s="320" t="str">
        <f>QUANT!A51</f>
        <v>6.3</v>
      </c>
      <c r="B52" s="317">
        <f>QUANT!B51</f>
        <v>5213417</v>
      </c>
      <c r="C52" s="317" t="str">
        <f>QUANT!C51</f>
        <v>SICRO 3</v>
      </c>
      <c r="D52" s="752" t="str">
        <f>QUANT!D51</f>
        <v>Confecção de placa em aço nº 16 galvanizado, com película retrorrefletiva tipo I + III</v>
      </c>
      <c r="E52" s="317" t="str">
        <f>QUANT!F51</f>
        <v>m²</v>
      </c>
      <c r="F52" s="753">
        <f>QUANT!G51</f>
        <v>1.4149999999999998</v>
      </c>
      <c r="G52" s="325">
        <v>260.73</v>
      </c>
      <c r="H52" s="753"/>
      <c r="I52" s="753">
        <f>TRUNC((G52*(1+($C$4))),2)</f>
        <v>314.7</v>
      </c>
      <c r="J52" s="753">
        <f>INT(F52*I52*100+0.5)/100</f>
        <v>445.3</v>
      </c>
      <c r="K52" s="768">
        <f>SUM(J50:J52)</f>
        <v>1553.69</v>
      </c>
      <c r="L52" s="4"/>
      <c r="M52" s="1" t="s">
        <v>371</v>
      </c>
      <c r="V52" s="9">
        <v>256.04</v>
      </c>
      <c r="W52">
        <v>264.39</v>
      </c>
      <c r="X52" s="1">
        <f t="shared" si="0"/>
        <v>8.349999999999966</v>
      </c>
    </row>
    <row r="53" spans="1:24" ht="15" customHeight="1">
      <c r="A53" s="320"/>
      <c r="B53" s="317"/>
      <c r="C53" s="317"/>
      <c r="D53" s="752"/>
      <c r="E53" s="317"/>
      <c r="F53" s="753"/>
      <c r="G53" s="753"/>
      <c r="H53" s="753"/>
      <c r="I53" s="753"/>
      <c r="J53" s="753"/>
      <c r="K53" s="753"/>
      <c r="L53" s="4"/>
      <c r="V53" s="9"/>
      <c r="W53" s="9"/>
      <c r="X53" s="1">
        <f t="shared" si="0"/>
        <v>0</v>
      </c>
    </row>
    <row r="54" spans="1:24" ht="15" customHeight="1">
      <c r="A54" s="765" t="str">
        <f>QUANT!A53</f>
        <v>7.0</v>
      </c>
      <c r="B54" s="766"/>
      <c r="C54" s="766"/>
      <c r="D54" s="767" t="str">
        <f>QUANT!D53</f>
        <v>OBRAS COMPLEMENTARES</v>
      </c>
      <c r="E54" s="317"/>
      <c r="F54" s="753"/>
      <c r="G54" s="753"/>
      <c r="H54" s="753"/>
      <c r="I54" s="753"/>
      <c r="J54" s="753"/>
      <c r="K54" s="753"/>
      <c r="L54" s="4"/>
      <c r="V54" s="9"/>
      <c r="W54" s="9"/>
      <c r="X54" s="1">
        <f t="shared" si="0"/>
        <v>0</v>
      </c>
    </row>
    <row r="55" spans="1:24" ht="15" customHeight="1">
      <c r="A55" s="320" t="str">
        <f>QUANT!A54</f>
        <v>7.1</v>
      </c>
      <c r="B55" s="317">
        <f>QUANT!B54</f>
        <v>94267</v>
      </c>
      <c r="C55" s="317" t="str">
        <f>QUANT!C54</f>
        <v>SINAPI</v>
      </c>
      <c r="D55" s="752" t="str">
        <f>QUANT!D54</f>
        <v>Guia (meio-fio) e sarjeta conjugados de concreto, moldada in loco em trecho reto com extrusora, guia 13 cm base x 22 cm altura, sarjeta 30 cm base x 8,5 cm altura. af_06/2016</v>
      </c>
      <c r="E55" s="317" t="str">
        <f>QUANT!F54</f>
        <v>m</v>
      </c>
      <c r="F55" s="753">
        <f>QUANT!G54</f>
        <v>1625.5059999999999</v>
      </c>
      <c r="G55" s="325">
        <v>32.77</v>
      </c>
      <c r="H55" s="753"/>
      <c r="I55" s="753">
        <f>TRUNC((G55*(1+($C$4))),2)</f>
        <v>39.55</v>
      </c>
      <c r="J55" s="753">
        <f>INT(F55*I55*100+0.5)/100</f>
        <v>64288.76</v>
      </c>
      <c r="K55" s="753"/>
      <c r="L55" s="4"/>
      <c r="V55" s="9">
        <v>32.95</v>
      </c>
      <c r="W55">
        <v>34.39</v>
      </c>
      <c r="X55" s="1">
        <f t="shared" si="0"/>
        <v>1.4399999999999977</v>
      </c>
    </row>
    <row r="56" spans="1:24" ht="15" customHeight="1">
      <c r="A56" s="320" t="str">
        <f>QUANT!A55</f>
        <v>7.2</v>
      </c>
      <c r="B56" s="317" t="str">
        <f>QUANT!B55</f>
        <v>73916/002</v>
      </c>
      <c r="C56" s="317" t="str">
        <f>QUANT!C55</f>
        <v>SINAPI</v>
      </c>
      <c r="D56" s="752" t="str">
        <f>QUANT!D55</f>
        <v>Placa esmaltada para identificação NR de Rua, dimensões 45X25cm</v>
      </c>
      <c r="E56" s="317" t="str">
        <f>QUANT!F55</f>
        <v>unid</v>
      </c>
      <c r="F56" s="753">
        <f>QUANT!G55</f>
        <v>8</v>
      </c>
      <c r="G56" s="325">
        <v>139.02</v>
      </c>
      <c r="H56" s="753"/>
      <c r="I56" s="753">
        <f>TRUNC((G56*(1+($C$4))),2)</f>
        <v>167.8</v>
      </c>
      <c r="J56" s="753">
        <f>INT(F56*I56*100+0.5)/100</f>
        <v>1342.4</v>
      </c>
      <c r="K56" s="768">
        <f>SUM(J55:J56)</f>
        <v>65631.16</v>
      </c>
      <c r="L56" s="4"/>
      <c r="V56" s="9">
        <v>138.42</v>
      </c>
      <c r="W56">
        <v>139.02</v>
      </c>
      <c r="X56" s="1">
        <f t="shared" si="0"/>
        <v>0.6000000000000227</v>
      </c>
    </row>
    <row r="57" spans="1:24" ht="15" customHeight="1">
      <c r="A57" s="320"/>
      <c r="B57" s="317"/>
      <c r="C57" s="317"/>
      <c r="D57" s="752"/>
      <c r="E57" s="317"/>
      <c r="F57" s="753"/>
      <c r="G57" s="753"/>
      <c r="H57" s="753"/>
      <c r="I57" s="753"/>
      <c r="J57" s="753"/>
      <c r="K57" s="753"/>
      <c r="L57" s="4"/>
      <c r="V57" s="9"/>
      <c r="W57" s="9"/>
      <c r="X57" s="1">
        <f t="shared" si="0"/>
        <v>0</v>
      </c>
    </row>
    <row r="58" spans="1:24" ht="15" customHeight="1" hidden="1">
      <c r="A58" s="765" t="str">
        <f>QUANT!A57</f>
        <v>8.0</v>
      </c>
      <c r="B58" s="766"/>
      <c r="C58" s="766"/>
      <c r="D58" s="767" t="str">
        <f>QUANT!D57</f>
        <v>DRENAGEM</v>
      </c>
      <c r="E58" s="317"/>
      <c r="F58" s="753"/>
      <c r="G58" s="753"/>
      <c r="H58" s="753"/>
      <c r="I58" s="753"/>
      <c r="J58" s="753"/>
      <c r="K58" s="768"/>
      <c r="L58" s="4"/>
      <c r="V58" s="9"/>
      <c r="W58" s="9"/>
      <c r="X58" s="1">
        <f t="shared" si="0"/>
        <v>0</v>
      </c>
    </row>
    <row r="59" spans="1:24" ht="15" customHeight="1" hidden="1">
      <c r="A59" s="320" t="str">
        <f>QUANT!A58</f>
        <v>8.1</v>
      </c>
      <c r="B59" s="317">
        <f>QUANT!B58</f>
        <v>5213417</v>
      </c>
      <c r="C59" s="317" t="str">
        <f>QUANT!C58</f>
        <v>SICRO 3</v>
      </c>
      <c r="D59" s="752" t="str">
        <f>QUANT!D58</f>
        <v>Confecção de placa em aço nº 16 galvanizado, com película retrorrefletiva tipo I + III</v>
      </c>
      <c r="E59" s="317" t="str">
        <f>QUANT!F58</f>
        <v>m²</v>
      </c>
      <c r="F59" s="753">
        <f>QUANT!G58</f>
        <v>0</v>
      </c>
      <c r="G59" s="325">
        <v>264.39</v>
      </c>
      <c r="H59" s="753"/>
      <c r="I59" s="753">
        <f>TRUNC((G59*(1+($C$4))),2)</f>
        <v>319.12</v>
      </c>
      <c r="J59" s="753">
        <f aca="true" t="shared" si="8" ref="J59:J68">INT(F59*I59*100+0.5)/100</f>
        <v>0</v>
      </c>
      <c r="K59" s="768"/>
      <c r="L59" s="4"/>
      <c r="M59" s="1" t="s">
        <v>371</v>
      </c>
      <c r="V59" s="9">
        <v>256.04</v>
      </c>
      <c r="W59">
        <v>264.39</v>
      </c>
      <c r="X59" s="1">
        <f t="shared" si="0"/>
        <v>8.349999999999966</v>
      </c>
    </row>
    <row r="60" spans="1:24" s="3" customFormat="1" ht="15" customHeight="1" hidden="1">
      <c r="A60" s="320" t="str">
        <f>QUANT!A59</f>
        <v>8.2</v>
      </c>
      <c r="B60" s="317">
        <f>QUANT!B59</f>
        <v>85424</v>
      </c>
      <c r="C60" s="317" t="str">
        <f>QUANT!C59</f>
        <v>SINAPI</v>
      </c>
      <c r="D60" s="752" t="str">
        <f>QUANT!D59</f>
        <v>Isolamento de obra com tela plástica com malha de 5mm e estrutura de madeira pontaleteada</v>
      </c>
      <c r="E60" s="317" t="str">
        <f>QUANT!F59</f>
        <v>m²</v>
      </c>
      <c r="F60" s="753">
        <f>QUANT!G59</f>
        <v>0</v>
      </c>
      <c r="G60" s="325">
        <v>19.7</v>
      </c>
      <c r="H60" s="753"/>
      <c r="I60" s="753">
        <f aca="true" t="shared" si="9" ref="I60:I68">TRUNC((G60*(1+($C$4))),2)</f>
        <v>23.77</v>
      </c>
      <c r="J60" s="753">
        <f t="shared" si="8"/>
        <v>0</v>
      </c>
      <c r="K60" s="768"/>
      <c r="L60" s="4"/>
      <c r="V60" s="9">
        <v>18</v>
      </c>
      <c r="W60">
        <v>19.7</v>
      </c>
      <c r="X60" s="1">
        <f t="shared" si="0"/>
        <v>1.6999999999999993</v>
      </c>
    </row>
    <row r="61" spans="1:24" s="3" customFormat="1" ht="15" customHeight="1" hidden="1">
      <c r="A61" s="320" t="str">
        <f>QUANT!A60</f>
        <v>8.3</v>
      </c>
      <c r="B61" s="317" t="str">
        <f>QUANT!B60</f>
        <v>74219/001</v>
      </c>
      <c r="C61" s="317" t="str">
        <f>QUANT!C60</f>
        <v>SINAPI</v>
      </c>
      <c r="D61" s="752" t="str">
        <f>QUANT!D60</f>
        <v>Passadicos de madeira para pedestres</v>
      </c>
      <c r="E61" s="317" t="str">
        <f>QUANT!F60</f>
        <v>m²</v>
      </c>
      <c r="F61" s="753">
        <f>QUANT!G60</f>
        <v>0</v>
      </c>
      <c r="G61" s="325">
        <v>47.66</v>
      </c>
      <c r="H61" s="753"/>
      <c r="I61" s="753">
        <f t="shared" si="9"/>
        <v>57.52</v>
      </c>
      <c r="J61" s="753">
        <f t="shared" si="8"/>
        <v>0</v>
      </c>
      <c r="K61" s="768"/>
      <c r="L61" s="4"/>
      <c r="V61" s="9">
        <v>44.4</v>
      </c>
      <c r="W61">
        <v>47.66</v>
      </c>
      <c r="X61" s="1">
        <f t="shared" si="0"/>
        <v>3.259999999999998</v>
      </c>
    </row>
    <row r="62" spans="1:24" s="3" customFormat="1" ht="15" customHeight="1" hidden="1">
      <c r="A62" s="320" t="str">
        <f>QUANT!A61</f>
        <v>8.4</v>
      </c>
      <c r="B62" s="317">
        <f>QUANT!B61</f>
        <v>90091</v>
      </c>
      <c r="C62" s="317" t="str">
        <f>QUANT!C61</f>
        <v>SINAPI</v>
      </c>
      <c r="D62" s="752" t="str">
        <f>QUANT!D61</f>
        <v>Escavação mecanizada de vala com prof. até 1,5 m (média entre montante e jusante/uma composição por trecho), com retroescavadeira (0,26 m3/88 hp), larg. de 1,5 m a 2,5 m, em solo de 1a categoria, em locais com baixo nível de interferência. af_01/2015</v>
      </c>
      <c r="E62" s="317" t="str">
        <f>QUANT!F61</f>
        <v>m³</v>
      </c>
      <c r="F62" s="753">
        <f>QUANT!G61</f>
        <v>0</v>
      </c>
      <c r="G62" s="325">
        <v>5.16</v>
      </c>
      <c r="H62" s="753"/>
      <c r="I62" s="753">
        <f t="shared" si="9"/>
        <v>6.22</v>
      </c>
      <c r="J62" s="753">
        <f t="shared" si="8"/>
        <v>0</v>
      </c>
      <c r="K62" s="768"/>
      <c r="L62" s="4"/>
      <c r="V62" s="9">
        <v>5</v>
      </c>
      <c r="W62">
        <v>5.16</v>
      </c>
      <c r="X62" s="1">
        <f t="shared" si="0"/>
        <v>0.16000000000000014</v>
      </c>
    </row>
    <row r="63" spans="1:24" s="3" customFormat="1" ht="15" customHeight="1" hidden="1">
      <c r="A63" s="320" t="str">
        <f>QUANT!A62</f>
        <v>8.5</v>
      </c>
      <c r="B63" s="317">
        <f>QUANT!B62</f>
        <v>94097</v>
      </c>
      <c r="C63" s="317" t="str">
        <f>QUANT!C62</f>
        <v>SINAPI</v>
      </c>
      <c r="D63" s="752" t="str">
        <f>QUANT!D62</f>
        <v>Regularizacao e compactacao manual de terreno (fundo de valas)</v>
      </c>
      <c r="E63" s="317" t="str">
        <f>QUANT!F62</f>
        <v>m²</v>
      </c>
      <c r="F63" s="753">
        <f>QUANT!G62</f>
        <v>71.7</v>
      </c>
      <c r="G63" s="753">
        <v>4.69</v>
      </c>
      <c r="H63" s="753"/>
      <c r="I63" s="753">
        <f t="shared" si="9"/>
        <v>5.66</v>
      </c>
      <c r="J63" s="753">
        <f t="shared" si="8"/>
        <v>405.82</v>
      </c>
      <c r="K63" s="768"/>
      <c r="L63" s="4"/>
      <c r="V63" s="9">
        <v>4.23</v>
      </c>
      <c r="W63" s="9">
        <v>4.69</v>
      </c>
      <c r="X63" s="1">
        <f t="shared" si="0"/>
        <v>0.45999999999999996</v>
      </c>
    </row>
    <row r="64" spans="1:24" s="3" customFormat="1" ht="15" customHeight="1" hidden="1">
      <c r="A64" s="320" t="str">
        <f>QUANT!A63</f>
        <v>8.6</v>
      </c>
      <c r="B64" s="317">
        <f>QUANT!B63</f>
        <v>94103</v>
      </c>
      <c r="C64" s="317" t="str">
        <f>QUANT!C63</f>
        <v>SINAPI</v>
      </c>
      <c r="D64" s="752" t="str">
        <f>QUANT!D63</f>
        <v>Fornecimento e aplicação de Lastro de Brita  (com preparo de fundo de valas)</v>
      </c>
      <c r="E64" s="317" t="str">
        <f>QUANT!F63</f>
        <v>m³</v>
      </c>
      <c r="F64" s="753">
        <f>QUANT!G63</f>
        <v>7.170000000000001</v>
      </c>
      <c r="G64" s="325">
        <v>181.07</v>
      </c>
      <c r="H64" s="753"/>
      <c r="I64" s="753">
        <f t="shared" si="9"/>
        <v>218.55</v>
      </c>
      <c r="J64" s="753">
        <f t="shared" si="8"/>
        <v>1567</v>
      </c>
      <c r="K64" s="768"/>
      <c r="L64" s="4"/>
      <c r="V64" s="9">
        <v>169.91</v>
      </c>
      <c r="W64">
        <v>181.07</v>
      </c>
      <c r="X64" s="1">
        <f t="shared" si="0"/>
        <v>11.159999999999997</v>
      </c>
    </row>
    <row r="65" spans="1:24" s="3" customFormat="1" ht="15" customHeight="1" hidden="1">
      <c r="A65" s="320" t="str">
        <f>QUANT!A64</f>
        <v>8.7</v>
      </c>
      <c r="B65" s="317">
        <f>QUANT!B64</f>
        <v>93381</v>
      </c>
      <c r="C65" s="317" t="str">
        <f>QUANT!C64</f>
        <v>SINAPI</v>
      </c>
      <c r="D65" s="752" t="str">
        <f>QUANT!D64</f>
        <v>Reaterro mecanizado de vala com retroescavadeira (capacidade da caçamb a da retro: 0,26 m³ / potência: 88 hp), largura de 0,8 a 1,5 m, profun didade de 1,5 a 3,0 m, com solo (sem substituição) de 1ª categoria em locais com baixo nível de interferência. af_04/2016</v>
      </c>
      <c r="E65" s="317" t="str">
        <f>QUANT!F64</f>
        <v>m³</v>
      </c>
      <c r="F65" s="753">
        <f>QUANT!G64</f>
        <v>0</v>
      </c>
      <c r="G65" s="753">
        <v>6.38</v>
      </c>
      <c r="H65" s="753"/>
      <c r="I65" s="753">
        <f t="shared" si="9"/>
        <v>7.7</v>
      </c>
      <c r="J65" s="753">
        <f t="shared" si="8"/>
        <v>0</v>
      </c>
      <c r="K65" s="768"/>
      <c r="L65" s="4"/>
      <c r="V65" s="9">
        <v>6.04</v>
      </c>
      <c r="W65" s="9">
        <v>6.38</v>
      </c>
      <c r="X65" s="1">
        <f t="shared" si="0"/>
        <v>0.33999999999999986</v>
      </c>
    </row>
    <row r="66" spans="1:24" s="3" customFormat="1" ht="15" customHeight="1" hidden="1">
      <c r="A66" s="320" t="str">
        <f>QUANT!A65</f>
        <v>8.8</v>
      </c>
      <c r="B66" s="317" t="str">
        <f>QUANT!B65</f>
        <v>74010/001</v>
      </c>
      <c r="C66" s="317" t="str">
        <f>QUANT!C65</f>
        <v>SINAPI</v>
      </c>
      <c r="D66" s="752" t="str">
        <f>QUANT!D65</f>
        <v>Carga e descarga mecânica de solo utilizando caminhão basculante 5m³ /11t e pa carregadeira sobre pneus * 105 hp * cap. 1,72m3</v>
      </c>
      <c r="E66" s="317" t="str">
        <f>QUANT!F65</f>
        <v>m³</v>
      </c>
      <c r="F66" s="753">
        <f>QUANT!G65</f>
        <v>0</v>
      </c>
      <c r="G66" s="753">
        <v>1.5</v>
      </c>
      <c r="H66" s="753"/>
      <c r="I66" s="753">
        <f t="shared" si="9"/>
        <v>1.81</v>
      </c>
      <c r="J66" s="753">
        <f t="shared" si="8"/>
        <v>0</v>
      </c>
      <c r="K66" s="768"/>
      <c r="L66" s="4"/>
      <c r="V66" s="9">
        <v>1.46</v>
      </c>
      <c r="W66" s="9">
        <v>1.5</v>
      </c>
      <c r="X66" s="1">
        <f t="shared" si="0"/>
        <v>0.040000000000000036</v>
      </c>
    </row>
    <row r="67" spans="1:24" s="3" customFormat="1" ht="15" customHeight="1" hidden="1">
      <c r="A67" s="320" t="str">
        <f>QUANT!A66</f>
        <v>8.9</v>
      </c>
      <c r="B67" s="317">
        <f>QUANT!B66</f>
        <v>83344</v>
      </c>
      <c r="C67" s="317" t="str">
        <f>QUANT!C66</f>
        <v>SINAPI</v>
      </c>
      <c r="D67" s="752" t="str">
        <f>QUANT!D66</f>
        <v>Espalhamento de material em bota fora, com utilizacao de trator de esteiras de 165 HP</v>
      </c>
      <c r="E67" s="317" t="str">
        <f>QUANT!F66</f>
        <v>m³</v>
      </c>
      <c r="F67" s="753">
        <f>QUANT!G66</f>
        <v>0</v>
      </c>
      <c r="G67" s="753">
        <v>0.88</v>
      </c>
      <c r="H67" s="753"/>
      <c r="I67" s="753">
        <f t="shared" si="9"/>
        <v>1.06</v>
      </c>
      <c r="J67" s="753">
        <f t="shared" si="8"/>
        <v>0</v>
      </c>
      <c r="K67" s="768"/>
      <c r="L67" s="4"/>
      <c r="V67" s="9">
        <v>0.84</v>
      </c>
      <c r="W67" s="9">
        <v>0.88</v>
      </c>
      <c r="X67" s="1">
        <f t="shared" si="0"/>
        <v>0.040000000000000036</v>
      </c>
    </row>
    <row r="68" spans="1:24" s="3" customFormat="1" ht="15" customHeight="1" hidden="1">
      <c r="A68" s="320" t="str">
        <f>QUANT!A67</f>
        <v>8.10</v>
      </c>
      <c r="B68" s="317">
        <f>QUANT!B67</f>
        <v>94038</v>
      </c>
      <c r="C68" s="317" t="str">
        <f>QUANT!C67</f>
        <v>SINAPI</v>
      </c>
      <c r="D68" s="752" t="str">
        <f>QUANT!D67</f>
        <v>Escoramento de vala, tipo pontaleteamento, com profundidade de 0 a 1,5 m, largura maior ou igual a 1,5 m e menor que 2,5 m, em local com nível alto de interferência. af_06/2016</v>
      </c>
      <c r="E68" s="317" t="str">
        <f>QUANT!F67</f>
        <v>m²</v>
      </c>
      <c r="F68" s="753">
        <f>QUANT!G67</f>
        <v>0</v>
      </c>
      <c r="G68" s="753">
        <v>20.72</v>
      </c>
      <c r="H68" s="753"/>
      <c r="I68" s="753">
        <f t="shared" si="9"/>
        <v>25</v>
      </c>
      <c r="J68" s="753">
        <f t="shared" si="8"/>
        <v>0</v>
      </c>
      <c r="K68" s="768">
        <f>SUM(J59:J68)</f>
        <v>1972.82</v>
      </c>
      <c r="L68" s="4"/>
      <c r="V68" s="9">
        <v>18.84</v>
      </c>
      <c r="W68" s="9">
        <v>20.72</v>
      </c>
      <c r="X68" s="1">
        <f t="shared" si="0"/>
        <v>1.879999999999999</v>
      </c>
    </row>
    <row r="69" spans="1:24" s="3" customFormat="1" ht="15" customHeight="1" hidden="1">
      <c r="A69" s="320"/>
      <c r="B69" s="317"/>
      <c r="C69" s="317"/>
      <c r="D69" s="752"/>
      <c r="E69" s="317"/>
      <c r="F69" s="753"/>
      <c r="G69" s="753"/>
      <c r="H69" s="753"/>
      <c r="I69" s="753"/>
      <c r="J69" s="753"/>
      <c r="K69" s="768"/>
      <c r="L69" s="4"/>
      <c r="V69" s="9"/>
      <c r="W69" s="9"/>
      <c r="X69" s="1">
        <f t="shared" si="0"/>
        <v>0</v>
      </c>
    </row>
    <row r="70" spans="1:24" s="3" customFormat="1" ht="15" customHeight="1" hidden="1">
      <c r="A70" s="765" t="str">
        <f>QUANT!A69</f>
        <v>9.0</v>
      </c>
      <c r="B70" s="766"/>
      <c r="C70" s="766"/>
      <c r="D70" s="767" t="str">
        <f>QUANT!D69</f>
        <v>FORNECIMENTO/ASSENTAMENTO DE TUBOS TIPO PA-1 e PA-2</v>
      </c>
      <c r="E70" s="317"/>
      <c r="F70" s="753"/>
      <c r="G70" s="753"/>
      <c r="H70" s="753"/>
      <c r="I70" s="753"/>
      <c r="J70" s="753"/>
      <c r="K70" s="768"/>
      <c r="L70" s="4"/>
      <c r="V70" s="9"/>
      <c r="W70" s="9"/>
      <c r="X70" s="1">
        <f t="shared" si="0"/>
        <v>0</v>
      </c>
    </row>
    <row r="71" spans="1:24" s="3" customFormat="1" ht="15" customHeight="1" hidden="1">
      <c r="A71" s="320" t="str">
        <f>QUANT!A70</f>
        <v>9.1</v>
      </c>
      <c r="B71" s="317">
        <f>QUANT!B70</f>
        <v>7725</v>
      </c>
      <c r="C71" s="317" t="str">
        <f>QUANT!C70</f>
        <v>SINAPI</v>
      </c>
      <c r="D71" s="752" t="str">
        <f>QUANT!D70</f>
        <v>Tubo de concreto armado PA-1 PB NBR- 8890/2007 DN 600mm</v>
      </c>
      <c r="E71" s="317" t="str">
        <f>QUANT!F70</f>
        <v>m</v>
      </c>
      <c r="F71" s="753">
        <f>QUANT!G70</f>
        <v>0</v>
      </c>
      <c r="G71" s="753">
        <v>120</v>
      </c>
      <c r="H71" s="753"/>
      <c r="I71" s="753">
        <f>TRUNC((G71*(1+($C$4))),2)</f>
        <v>144.84</v>
      </c>
      <c r="J71" s="753">
        <f>INT(F71*I71*100+0.5)/100</f>
        <v>0</v>
      </c>
      <c r="K71" s="768"/>
      <c r="L71" s="4"/>
      <c r="V71" s="9">
        <v>120</v>
      </c>
      <c r="W71" s="9">
        <v>120</v>
      </c>
      <c r="X71" s="1">
        <f t="shared" si="0"/>
        <v>0</v>
      </c>
    </row>
    <row r="72" spans="1:24" s="3" customFormat="1" ht="15" customHeight="1" hidden="1">
      <c r="A72" s="320" t="str">
        <f>QUANT!A71</f>
        <v>9.2</v>
      </c>
      <c r="B72" s="317">
        <f>QUANT!B71</f>
        <v>7750</v>
      </c>
      <c r="C72" s="317" t="str">
        <f>QUANT!C71</f>
        <v>SINAPI</v>
      </c>
      <c r="D72" s="752" t="str">
        <f>QUANT!D71</f>
        <v>Tubo de concreto armado PA-1 PB NBR- 8890/2007 DN 800mm</v>
      </c>
      <c r="E72" s="317" t="str">
        <f>QUANT!F71</f>
        <v>m</v>
      </c>
      <c r="F72" s="753">
        <f>QUANT!G71</f>
        <v>0</v>
      </c>
      <c r="G72" s="753">
        <v>191</v>
      </c>
      <c r="H72" s="753"/>
      <c r="I72" s="753">
        <f>TRUNC((G72*(1+($C$4))),2)</f>
        <v>230.54</v>
      </c>
      <c r="J72" s="753">
        <f>INT(F72*I72*100+0.5)/100</f>
        <v>0</v>
      </c>
      <c r="K72" s="768">
        <f>SUM(J71:J72)</f>
        <v>0</v>
      </c>
      <c r="L72" s="4"/>
      <c r="V72" s="9">
        <v>191</v>
      </c>
      <c r="W72" s="9">
        <v>191</v>
      </c>
      <c r="X72" s="1">
        <f t="shared" si="0"/>
        <v>0</v>
      </c>
    </row>
    <row r="73" spans="1:24" s="3" customFormat="1" ht="15" customHeight="1" hidden="1">
      <c r="A73" s="320"/>
      <c r="B73" s="317"/>
      <c r="C73" s="317"/>
      <c r="D73" s="752"/>
      <c r="E73" s="317"/>
      <c r="F73" s="753"/>
      <c r="G73" s="753"/>
      <c r="H73" s="753"/>
      <c r="I73" s="753"/>
      <c r="J73" s="753"/>
      <c r="K73" s="768"/>
      <c r="L73" s="4"/>
      <c r="V73" s="9"/>
      <c r="W73" s="9"/>
      <c r="X73" s="1">
        <f aca="true" t="shared" si="10" ref="X73:X83">W73-V73</f>
        <v>0</v>
      </c>
    </row>
    <row r="74" spans="1:24" s="3" customFormat="1" ht="15" customHeight="1" hidden="1">
      <c r="A74" s="765" t="str">
        <f>QUANT!A73</f>
        <v>10.0</v>
      </c>
      <c r="B74" s="766"/>
      <c r="C74" s="766"/>
      <c r="D74" s="767" t="str">
        <f>QUANT!D73</f>
        <v>ASSENTAMENTO E REJUNTAMENTO DE TUBO DE CONCRETO </v>
      </c>
      <c r="E74" s="317"/>
      <c r="F74" s="753"/>
      <c r="G74" s="753"/>
      <c r="H74" s="753"/>
      <c r="I74" s="753"/>
      <c r="J74" s="753"/>
      <c r="K74" s="768"/>
      <c r="L74" s="4"/>
      <c r="V74" s="9"/>
      <c r="W74" s="9"/>
      <c r="X74" s="1">
        <f t="shared" si="10"/>
        <v>0</v>
      </c>
    </row>
    <row r="75" spans="1:24" s="3" customFormat="1" ht="15" customHeight="1" hidden="1">
      <c r="A75" s="320" t="str">
        <f>QUANT!A74</f>
        <v>10.1</v>
      </c>
      <c r="B75" s="317">
        <f>QUANT!B74</f>
        <v>92811</v>
      </c>
      <c r="C75" s="317" t="str">
        <f>QUANT!C74</f>
        <v>SINAPI</v>
      </c>
      <c r="D75" s="752" t="str">
        <f>QUANT!D74</f>
        <v>Assentamento de tubo de concreto diâmetro de 600mm</v>
      </c>
      <c r="E75" s="317" t="str">
        <f>QUANT!F74</f>
        <v>m</v>
      </c>
      <c r="F75" s="753">
        <f>QUANT!G74</f>
        <v>0</v>
      </c>
      <c r="G75" s="753">
        <v>53.75</v>
      </c>
      <c r="H75" s="753"/>
      <c r="I75" s="753">
        <f>TRUNC((G75*(1+($C$4))),2)</f>
        <v>64.87</v>
      </c>
      <c r="J75" s="753">
        <f>INT(F75*I75*100+0.5)/100</f>
        <v>0</v>
      </c>
      <c r="K75" s="768"/>
      <c r="L75" s="4"/>
      <c r="V75" s="9">
        <v>50.13</v>
      </c>
      <c r="W75" s="9">
        <v>53.75</v>
      </c>
      <c r="X75" s="1">
        <f t="shared" si="10"/>
        <v>3.6199999999999974</v>
      </c>
    </row>
    <row r="76" spans="1:24" s="3" customFormat="1" ht="15" customHeight="1" hidden="1">
      <c r="A76" s="320" t="str">
        <f>QUANT!A75</f>
        <v>10.2</v>
      </c>
      <c r="B76" s="317">
        <f>QUANT!B75</f>
        <v>92813</v>
      </c>
      <c r="C76" s="317" t="str">
        <f>QUANT!C75</f>
        <v>SINAPI</v>
      </c>
      <c r="D76" s="752" t="str">
        <f>QUANT!D75</f>
        <v>Assentamento de tubo de concreto diâmetro de 800mm</v>
      </c>
      <c r="E76" s="317" t="str">
        <f>QUANT!F75</f>
        <v>m</v>
      </c>
      <c r="F76" s="753">
        <f>QUANT!G75</f>
        <v>0</v>
      </c>
      <c r="G76" s="753">
        <v>72.05</v>
      </c>
      <c r="H76" s="753"/>
      <c r="I76" s="753">
        <f>TRUNC((G76*(1+($C$4))),2)</f>
        <v>86.96</v>
      </c>
      <c r="J76" s="753">
        <f>INT(F76*I76*100+0.5)/100</f>
        <v>0</v>
      </c>
      <c r="K76" s="768">
        <f>SUM(J75:J76)</f>
        <v>0</v>
      </c>
      <c r="L76" s="4"/>
      <c r="V76" s="9">
        <v>67.26</v>
      </c>
      <c r="W76" s="9">
        <v>72.05</v>
      </c>
      <c r="X76" s="1">
        <f t="shared" si="10"/>
        <v>4.789999999999992</v>
      </c>
    </row>
    <row r="77" spans="1:24" ht="15" customHeight="1" hidden="1">
      <c r="A77" s="320"/>
      <c r="B77" s="317"/>
      <c r="C77" s="317"/>
      <c r="D77" s="752"/>
      <c r="E77" s="317"/>
      <c r="F77" s="753"/>
      <c r="G77" s="753"/>
      <c r="H77" s="753"/>
      <c r="I77" s="753"/>
      <c r="J77" s="753"/>
      <c r="K77" s="768"/>
      <c r="L77" s="4"/>
      <c r="V77" s="9"/>
      <c r="W77" s="9"/>
      <c r="X77" s="1">
        <f t="shared" si="10"/>
        <v>0</v>
      </c>
    </row>
    <row r="78" spans="1:24" ht="15" customHeight="1" hidden="1">
      <c r="A78" s="765" t="str">
        <f>QUANT!A77</f>
        <v>11.0</v>
      </c>
      <c r="B78" s="766"/>
      <c r="C78" s="766"/>
      <c r="D78" s="767" t="str">
        <f>QUANT!D77</f>
        <v>ÓRGÃOS ACESSÓRIOS</v>
      </c>
      <c r="E78" s="317"/>
      <c r="F78" s="753"/>
      <c r="G78" s="753"/>
      <c r="H78" s="753"/>
      <c r="I78" s="753"/>
      <c r="J78" s="753"/>
      <c r="K78" s="753"/>
      <c r="V78" s="9"/>
      <c r="W78" s="9"/>
      <c r="X78" s="1">
        <f t="shared" si="10"/>
        <v>0</v>
      </c>
    </row>
    <row r="79" spans="1:24" ht="15" customHeight="1" hidden="1">
      <c r="A79" s="320" t="str">
        <f>QUANT!A78</f>
        <v>11.1</v>
      </c>
      <c r="B79" s="317">
        <f>QUANT!B78</f>
        <v>83659</v>
      </c>
      <c r="C79" s="317" t="str">
        <f>QUANT!C78</f>
        <v>SINAPI</v>
      </c>
      <c r="D79" s="752" t="str">
        <f>QUANT!D78</f>
        <v>BLS - Boca de lobo simples, c/abertura na guia 1,00m  conforme projeto  tipo</v>
      </c>
      <c r="E79" s="317" t="str">
        <f>QUANT!F78</f>
        <v>unid</v>
      </c>
      <c r="F79" s="753">
        <f>QUANT!G78</f>
        <v>0</v>
      </c>
      <c r="G79" s="325">
        <v>724.55</v>
      </c>
      <c r="H79" s="753"/>
      <c r="I79" s="753">
        <f>TRUNC((G79*(1+($C$4))),2)</f>
        <v>874.55</v>
      </c>
      <c r="J79" s="753">
        <f>INT(F79*I79*100+0.5)/100</f>
        <v>0</v>
      </c>
      <c r="K79" s="753"/>
      <c r="V79" s="9">
        <v>679.28</v>
      </c>
      <c r="W79">
        <v>724.55</v>
      </c>
      <c r="X79" s="1">
        <f t="shared" si="10"/>
        <v>45.26999999999998</v>
      </c>
    </row>
    <row r="80" spans="1:24" ht="15" customHeight="1" hidden="1">
      <c r="A80" s="320" t="str">
        <f>QUANT!A79</f>
        <v>11.2</v>
      </c>
      <c r="B80" s="317" t="str">
        <f>QUANT!B79</f>
        <v>COMP.</v>
      </c>
      <c r="C80" s="317" t="str">
        <f>QUANT!C79</f>
        <v>SICRO 3</v>
      </c>
      <c r="D80" s="752" t="str">
        <f>QUANT!D79</f>
        <v>BLD - Boca de lobo dupla, c/abertura pela guia 1,00m - conforme protjeto tipo</v>
      </c>
      <c r="E80" s="317" t="str">
        <f>QUANT!F79</f>
        <v>unid</v>
      </c>
      <c r="F80" s="753">
        <f>QUANT!G79</f>
        <v>0</v>
      </c>
      <c r="G80" s="753">
        <f>BLD!U41</f>
        <v>1547.1</v>
      </c>
      <c r="H80" s="753"/>
      <c r="I80" s="753">
        <f>TRUNC((G80*(1+($C$4))),2)</f>
        <v>1867.39</v>
      </c>
      <c r="J80" s="753">
        <f>INT(F80*I80*100+0.5)/100</f>
        <v>0</v>
      </c>
      <c r="K80" s="753"/>
      <c r="M80" s="1" t="s">
        <v>372</v>
      </c>
      <c r="V80" s="9">
        <f>'[1]BLD'!AJ41</f>
        <v>0</v>
      </c>
      <c r="W80" s="9">
        <f>BLD!AK41</f>
        <v>0</v>
      </c>
      <c r="X80" s="1">
        <f t="shared" si="10"/>
        <v>0</v>
      </c>
    </row>
    <row r="81" spans="1:24" ht="15" customHeight="1" hidden="1">
      <c r="A81" s="320" t="str">
        <f>QUANT!A80</f>
        <v>11.3</v>
      </c>
      <c r="B81" s="317">
        <f>QUANT!B80</f>
        <v>83710</v>
      </c>
      <c r="C81" s="317" t="str">
        <f>QUANT!C80</f>
        <v>SINAPI</v>
      </c>
      <c r="D81" s="752" t="str">
        <f>QUANT!D80</f>
        <v>Poco de visita em alvenaria, para rede d=0,80 m, parte fixa c/ 1,00 m de altura</v>
      </c>
      <c r="E81" s="317" t="str">
        <f>QUANT!F80</f>
        <v>unid</v>
      </c>
      <c r="F81" s="753">
        <f>QUANT!G80</f>
        <v>0</v>
      </c>
      <c r="G81" s="770">
        <v>3081.37</v>
      </c>
      <c r="H81" s="753"/>
      <c r="I81" s="753">
        <f>TRUNC((G81*(1+($C$4))),2)</f>
        <v>3719.29</v>
      </c>
      <c r="J81" s="753">
        <f>INT(F81*I81*100+0.5)/100</f>
        <v>0</v>
      </c>
      <c r="K81" s="753"/>
      <c r="V81" s="9">
        <v>2873.88</v>
      </c>
      <c r="W81" s="28">
        <v>3081.37</v>
      </c>
      <c r="X81" s="1">
        <f t="shared" si="10"/>
        <v>207.48999999999978</v>
      </c>
    </row>
    <row r="82" spans="1:24" ht="15" customHeight="1" hidden="1">
      <c r="A82" s="320" t="str">
        <f>QUANT!A81</f>
        <v>11.4</v>
      </c>
      <c r="B82" s="317">
        <f>QUANT!B81</f>
        <v>2003718</v>
      </c>
      <c r="C82" s="317" t="str">
        <f>QUANT!C81</f>
        <v>SICRO 3</v>
      </c>
      <c r="D82" s="752" t="str">
        <f>QUANT!D81</f>
        <v>Chaminé dos poços de visita - CPV 03 - areia e brita comerciais</v>
      </c>
      <c r="E82" s="317" t="str">
        <f>QUANT!F81</f>
        <v>unid</v>
      </c>
      <c r="F82" s="753">
        <f>QUANT!G81</f>
        <v>0</v>
      </c>
      <c r="G82" s="770">
        <v>1431.15</v>
      </c>
      <c r="H82" s="753"/>
      <c r="I82" s="753">
        <f>TRUNC((G82*(1+($C$4))),2)</f>
        <v>1727.43</v>
      </c>
      <c r="J82" s="753">
        <f>INT(F82*I82*100+0.5)/100</f>
        <v>0</v>
      </c>
      <c r="K82" s="753"/>
      <c r="M82" s="1" t="s">
        <v>372</v>
      </c>
      <c r="V82" s="9">
        <v>1368.84</v>
      </c>
      <c r="W82" s="28">
        <v>1431.15</v>
      </c>
      <c r="X82" s="1">
        <f t="shared" si="10"/>
        <v>62.31000000000017</v>
      </c>
    </row>
    <row r="83" spans="1:24" ht="15" customHeight="1" hidden="1">
      <c r="A83" s="320" t="str">
        <f>QUANT!A82</f>
        <v>11.5</v>
      </c>
      <c r="B83" s="317" t="str">
        <f>QUANT!B82</f>
        <v>73856/003</v>
      </c>
      <c r="C83" s="317" t="str">
        <f>QUANT!C82</f>
        <v>SINAPI</v>
      </c>
      <c r="D83" s="752" t="str">
        <f>QUANT!D82</f>
        <v>Boca para bueiro simples tubular, diâmetro =0,80m, em concreto ciclópico, incluindo formas, escavação, Reaterro e materiais, excluindo material Reaterro jazida e transporte.</v>
      </c>
      <c r="E83" s="317" t="str">
        <f>QUANT!F82</f>
        <v>unid</v>
      </c>
      <c r="F83" s="753">
        <f>QUANT!G82</f>
        <v>0</v>
      </c>
      <c r="G83" s="770">
        <v>1235.77</v>
      </c>
      <c r="H83" s="753"/>
      <c r="I83" s="753">
        <f>TRUNC((G83*(1+($C$4))),2)</f>
        <v>1491.6</v>
      </c>
      <c r="J83" s="753">
        <f>INT(F83*I83*100+0.5)/100</f>
        <v>0</v>
      </c>
      <c r="K83" s="753">
        <f>SUM(J79:J83)</f>
        <v>0</v>
      </c>
      <c r="V83" s="9">
        <v>1146.51</v>
      </c>
      <c r="W83" s="28">
        <v>1235.77</v>
      </c>
      <c r="X83" s="1">
        <f t="shared" si="10"/>
        <v>89.25999999999999</v>
      </c>
    </row>
    <row r="84" spans="1:23" ht="15" customHeight="1">
      <c r="A84" s="320"/>
      <c r="B84" s="317"/>
      <c r="C84" s="317"/>
      <c r="D84" s="752"/>
      <c r="E84" s="317"/>
      <c r="F84" s="753"/>
      <c r="G84" s="753"/>
      <c r="H84" s="753"/>
      <c r="I84" s="753"/>
      <c r="J84" s="774" t="s">
        <v>18</v>
      </c>
      <c r="K84" s="768">
        <f>SUM(K11:K83)</f>
        <v>605484.0299999999</v>
      </c>
      <c r="V84" s="9"/>
      <c r="W84" s="9"/>
    </row>
    <row r="85" ht="15" customHeight="1">
      <c r="V85" s="6"/>
    </row>
    <row r="86" ht="15" customHeight="1">
      <c r="V86" s="6"/>
    </row>
  </sheetData>
  <sheetProtection/>
  <mergeCells count="8">
    <mergeCell ref="M46:N46"/>
    <mergeCell ref="E3:J3"/>
    <mergeCell ref="E4:F4"/>
    <mergeCell ref="A1:D3"/>
    <mergeCell ref="A4:B4"/>
    <mergeCell ref="A5:B5"/>
    <mergeCell ref="C4:D4"/>
    <mergeCell ref="C5:D5"/>
  </mergeCells>
  <printOptions horizontalCentered="1"/>
  <pageMargins left="0.3937007874015748" right="0.1968503937007874" top="0.984251968503937" bottom="0.3937007874015748" header="0.5118110236220472" footer="0.5118110236220472"/>
  <pageSetup horizontalDpi="600" verticalDpi="600" orientation="landscape" paperSize="9" scale="76" r:id="rId1"/>
  <rowBreaks count="1" manualBreakCount="1">
    <brk id="36" max="10" man="1"/>
  </rowBreaks>
  <ignoredErrors>
    <ignoredError sqref="F2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="85" zoomScaleNormal="90" zoomScaleSheetLayoutView="85" zoomScalePageLayoutView="0" workbookViewId="0" topLeftCell="A10">
      <selection activeCell="I12" sqref="I12"/>
    </sheetView>
  </sheetViews>
  <sheetFormatPr defaultColWidth="9.140625" defaultRowHeight="14.25" customHeight="1"/>
  <cols>
    <col min="1" max="1" width="13.7109375" style="0" customWidth="1"/>
    <col min="2" max="2" width="59.00390625" style="0" customWidth="1"/>
    <col min="3" max="3" width="12.7109375" style="0" customWidth="1"/>
    <col min="4" max="4" width="12.140625" style="0" customWidth="1"/>
    <col min="5" max="5" width="8.00390625" style="0" customWidth="1"/>
    <col min="6" max="6" width="11.140625" style="0" bestFit="1" customWidth="1"/>
    <col min="8" max="8" width="12.8515625" style="0" customWidth="1"/>
    <col min="9" max="9" width="9.28125" style="0" bestFit="1" customWidth="1"/>
    <col min="10" max="10" width="21.57421875" style="0" customWidth="1"/>
  </cols>
  <sheetData>
    <row r="1" spans="1:10" ht="18.75" customHeight="1">
      <c r="A1" s="518" t="str">
        <f>QUANT!E3</f>
        <v>JARDIM ESMERALDA</v>
      </c>
      <c r="B1" s="519"/>
      <c r="C1" s="519"/>
      <c r="D1" s="519"/>
      <c r="E1" s="519"/>
      <c r="F1" s="519"/>
      <c r="G1" s="519"/>
      <c r="H1" s="519"/>
      <c r="I1" s="519"/>
      <c r="J1" s="520"/>
    </row>
    <row r="2" spans="1:10" ht="16.5" customHeight="1">
      <c r="A2" s="271" t="str">
        <f>'ORÇA '!A29</f>
        <v>4.0</v>
      </c>
      <c r="B2" s="529" t="str">
        <f>'ORÇA '!D29</f>
        <v>TERRAPLENAGEM</v>
      </c>
      <c r="C2" s="530"/>
      <c r="D2" s="530"/>
      <c r="E2" s="530"/>
      <c r="F2" s="530"/>
      <c r="G2" s="530"/>
      <c r="H2" s="530"/>
      <c r="I2" s="530"/>
      <c r="J2" s="531"/>
    </row>
    <row r="3" spans="1:10" ht="15" customHeight="1">
      <c r="A3" s="524" t="s">
        <v>380</v>
      </c>
      <c r="B3" s="525"/>
      <c r="C3" s="525"/>
      <c r="D3" s="525"/>
      <c r="E3" s="525"/>
      <c r="F3" s="525"/>
      <c r="G3" s="525"/>
      <c r="H3" s="526"/>
      <c r="I3" s="10"/>
      <c r="J3" s="272"/>
    </row>
    <row r="4" spans="1:10" ht="15" customHeight="1">
      <c r="A4" s="527" t="s">
        <v>19</v>
      </c>
      <c r="B4" s="528" t="s">
        <v>20</v>
      </c>
      <c r="C4" s="528" t="s">
        <v>21</v>
      </c>
      <c r="D4" s="528" t="s">
        <v>15</v>
      </c>
      <c r="E4" s="528" t="s">
        <v>22</v>
      </c>
      <c r="F4" s="537" t="s">
        <v>23</v>
      </c>
      <c r="G4" s="537"/>
      <c r="H4" s="538" t="s">
        <v>24</v>
      </c>
      <c r="I4" s="528" t="s">
        <v>25</v>
      </c>
      <c r="J4" s="516" t="s">
        <v>26</v>
      </c>
    </row>
    <row r="5" spans="1:11" ht="15" customHeight="1">
      <c r="A5" s="527"/>
      <c r="B5" s="517"/>
      <c r="C5" s="517"/>
      <c r="D5" s="517"/>
      <c r="E5" s="517"/>
      <c r="F5" s="353" t="s">
        <v>27</v>
      </c>
      <c r="G5" s="353">
        <v>9.7</v>
      </c>
      <c r="H5" s="534"/>
      <c r="I5" s="517"/>
      <c r="J5" s="532"/>
      <c r="K5" s="326"/>
    </row>
    <row r="6" spans="1:11" ht="15" customHeight="1">
      <c r="A6" s="273" t="str">
        <f>QUANT!B30</f>
        <v>74205/001</v>
      </c>
      <c r="B6" s="354" t="str">
        <f>QUANT!D30</f>
        <v>Escavacao mecanica de material 1a. categoria, proveniente de corte de subleito (c/trator esteiras 160hp)</v>
      </c>
      <c r="C6" s="353" t="s">
        <v>28</v>
      </c>
      <c r="D6" s="355">
        <f>QUANT!G30</f>
        <v>4393.03</v>
      </c>
      <c r="E6" s="353" t="s">
        <v>5</v>
      </c>
      <c r="F6" s="353">
        <v>1</v>
      </c>
      <c r="G6" s="353" t="s">
        <v>29</v>
      </c>
      <c r="H6" s="356">
        <f>D6*F6</f>
        <v>4393.03</v>
      </c>
      <c r="I6" s="288">
        <f>DMT!F5</f>
        <v>2</v>
      </c>
      <c r="J6" s="357">
        <f>H6*I6</f>
        <v>8786.06</v>
      </c>
      <c r="K6" s="326"/>
    </row>
    <row r="7" spans="1:11" ht="15" customHeight="1">
      <c r="A7" s="274" t="s">
        <v>18</v>
      </c>
      <c r="B7" s="358"/>
      <c r="C7" s="358"/>
      <c r="D7" s="358"/>
      <c r="E7" s="358"/>
      <c r="F7" s="358"/>
      <c r="G7" s="358"/>
      <c r="H7" s="358"/>
      <c r="I7" s="358"/>
      <c r="J7" s="275">
        <f>SUM(J6:J6)</f>
        <v>8786.06</v>
      </c>
      <c r="K7" s="326"/>
    </row>
    <row r="8" spans="1:11" ht="9" customHeight="1">
      <c r="A8" s="521"/>
      <c r="B8" s="522"/>
      <c r="C8" s="522"/>
      <c r="D8" s="522"/>
      <c r="E8" s="522"/>
      <c r="F8" s="522"/>
      <c r="G8" s="522"/>
      <c r="H8" s="522"/>
      <c r="I8" s="522"/>
      <c r="J8" s="523"/>
      <c r="K8" s="326"/>
    </row>
    <row r="9" spans="1:11" ht="14.25" customHeight="1">
      <c r="A9" s="524" t="s">
        <v>384</v>
      </c>
      <c r="B9" s="535"/>
      <c r="C9" s="535"/>
      <c r="D9" s="535"/>
      <c r="E9" s="535"/>
      <c r="F9" s="535"/>
      <c r="G9" s="535"/>
      <c r="H9" s="536"/>
      <c r="I9" s="358"/>
      <c r="J9" s="357">
        <v>45.7</v>
      </c>
      <c r="K9" s="326"/>
    </row>
    <row r="10" spans="1:11" ht="15" customHeight="1">
      <c r="A10" s="527" t="s">
        <v>19</v>
      </c>
      <c r="B10" s="517" t="s">
        <v>20</v>
      </c>
      <c r="C10" s="517" t="s">
        <v>21</v>
      </c>
      <c r="D10" s="517" t="s">
        <v>15</v>
      </c>
      <c r="E10" s="517" t="s">
        <v>22</v>
      </c>
      <c r="F10" s="533" t="s">
        <v>23</v>
      </c>
      <c r="G10" s="533"/>
      <c r="H10" s="534" t="s">
        <v>24</v>
      </c>
      <c r="I10" s="517" t="s">
        <v>25</v>
      </c>
      <c r="J10" s="532" t="s">
        <v>385</v>
      </c>
      <c r="K10" s="326"/>
    </row>
    <row r="11" spans="1:11" ht="15" customHeight="1">
      <c r="A11" s="527"/>
      <c r="B11" s="517"/>
      <c r="C11" s="517"/>
      <c r="D11" s="517"/>
      <c r="E11" s="517"/>
      <c r="F11" s="353" t="s">
        <v>27</v>
      </c>
      <c r="G11" s="353" t="s">
        <v>14</v>
      </c>
      <c r="H11" s="534"/>
      <c r="I11" s="517"/>
      <c r="J11" s="532"/>
      <c r="K11" s="326"/>
    </row>
    <row r="12" spans="1:11" ht="24" customHeight="1">
      <c r="A12" s="273" t="str">
        <f>QUANT!B30</f>
        <v>74205/001</v>
      </c>
      <c r="B12" s="354" t="str">
        <f>QUANT!D30</f>
        <v>Escavacao mecanica de material 1a. categoria, proveniente de corte de subleito (c/trator esteiras 160hp)</v>
      </c>
      <c r="C12" s="353" t="s">
        <v>28</v>
      </c>
      <c r="D12" s="355">
        <f>QUANT!G30</f>
        <v>4393.03</v>
      </c>
      <c r="E12" s="353" t="s">
        <v>5</v>
      </c>
      <c r="F12" s="353">
        <v>1</v>
      </c>
      <c r="G12" s="353" t="s">
        <v>5</v>
      </c>
      <c r="H12" s="356">
        <f>D12*F12</f>
        <v>4393.03</v>
      </c>
      <c r="I12" s="288">
        <f>DMT!G5</f>
        <v>9.7</v>
      </c>
      <c r="J12" s="357">
        <f>H12*I12</f>
        <v>42612.390999999996</v>
      </c>
      <c r="K12" s="326"/>
    </row>
    <row r="13" spans="1:11" ht="14.25" customHeight="1">
      <c r="A13" s="274" t="s">
        <v>18</v>
      </c>
      <c r="B13" s="358"/>
      <c r="C13" s="358"/>
      <c r="D13" s="358"/>
      <c r="E13" s="358"/>
      <c r="F13" s="358"/>
      <c r="G13" s="358"/>
      <c r="H13" s="358"/>
      <c r="I13" s="358"/>
      <c r="J13" s="275">
        <f>SUM(J12:J12)</f>
        <v>42612.390999999996</v>
      </c>
      <c r="K13" s="326"/>
    </row>
    <row r="14" spans="1:11" ht="9.75" customHeight="1">
      <c r="A14" s="276"/>
      <c r="B14" s="359"/>
      <c r="C14" s="359"/>
      <c r="D14" s="359"/>
      <c r="E14" s="359"/>
      <c r="F14" s="359"/>
      <c r="G14" s="359"/>
      <c r="H14" s="359"/>
      <c r="I14" s="359"/>
      <c r="J14" s="360"/>
      <c r="K14" s="326"/>
    </row>
    <row r="15" spans="1:10" ht="15" customHeight="1">
      <c r="A15" s="278" t="str">
        <f>'ORÇA '!A37</f>
        <v>5.0</v>
      </c>
      <c r="B15" s="228" t="str">
        <f>'ORÇA '!D37</f>
        <v>PAVIMENTAÇÃO</v>
      </c>
      <c r="C15" s="227"/>
      <c r="D15" s="227"/>
      <c r="E15" s="227"/>
      <c r="F15" s="227"/>
      <c r="G15" s="227"/>
      <c r="H15" s="227"/>
      <c r="I15" s="227"/>
      <c r="J15" s="277"/>
    </row>
    <row r="16" spans="1:10" ht="14.25" customHeight="1">
      <c r="A16" s="539" t="s">
        <v>380</v>
      </c>
      <c r="B16" s="540"/>
      <c r="C16" s="540"/>
      <c r="D16" s="540"/>
      <c r="E16" s="540"/>
      <c r="F16" s="540"/>
      <c r="G16" s="540"/>
      <c r="H16" s="540"/>
      <c r="I16" s="540"/>
      <c r="J16" s="541"/>
    </row>
    <row r="17" spans="1:10" ht="14.25" customHeight="1">
      <c r="A17" s="527" t="s">
        <v>19</v>
      </c>
      <c r="B17" s="528" t="s">
        <v>20</v>
      </c>
      <c r="C17" s="528" t="s">
        <v>21</v>
      </c>
      <c r="D17" s="528" t="s">
        <v>15</v>
      </c>
      <c r="E17" s="528" t="s">
        <v>22</v>
      </c>
      <c r="F17" s="537" t="s">
        <v>23</v>
      </c>
      <c r="G17" s="537"/>
      <c r="H17" s="528" t="s">
        <v>24</v>
      </c>
      <c r="I17" s="528" t="s">
        <v>25</v>
      </c>
      <c r="J17" s="516" t="s">
        <v>26</v>
      </c>
    </row>
    <row r="18" spans="1:10" ht="14.25" customHeight="1">
      <c r="A18" s="527"/>
      <c r="B18" s="528"/>
      <c r="C18" s="528"/>
      <c r="D18" s="528"/>
      <c r="E18" s="528"/>
      <c r="F18" s="11" t="s">
        <v>27</v>
      </c>
      <c r="G18" s="11" t="s">
        <v>14</v>
      </c>
      <c r="H18" s="528"/>
      <c r="I18" s="528"/>
      <c r="J18" s="516"/>
    </row>
    <row r="19" spans="1:10" ht="14.25" customHeight="1">
      <c r="A19" s="274" t="str">
        <f>QUANT!B39</f>
        <v>96387</v>
      </c>
      <c r="B19" s="10" t="str">
        <f>QUANT!D39</f>
        <v>Execução e compactação de sub base com solo estabilizado granulometricamente - exclusive escavação, carga e transporte e solo. af_09/2017</v>
      </c>
      <c r="C19" s="154" t="s">
        <v>28</v>
      </c>
      <c r="D19" s="23">
        <f>QUANT!G39</f>
        <v>1350.79</v>
      </c>
      <c r="E19" s="11" t="s">
        <v>5</v>
      </c>
      <c r="F19" s="11">
        <v>1.84</v>
      </c>
      <c r="G19" s="11" t="s">
        <v>29</v>
      </c>
      <c r="H19" s="24">
        <f>D19*F19</f>
        <v>2485.4536</v>
      </c>
      <c r="I19" s="288">
        <f>DMT!F5</f>
        <v>2</v>
      </c>
      <c r="J19" s="272">
        <f>H19*I19</f>
        <v>4970.9072</v>
      </c>
    </row>
    <row r="20" spans="1:10" ht="14.25" customHeight="1">
      <c r="A20" s="274" t="s">
        <v>31</v>
      </c>
      <c r="B20" s="10" t="str">
        <f>QUANT!D40</f>
        <v>Execução e compactação de base com solo estabilizado granulometricamente - exclusive escavação, carga e transporte e solo. af_09/2017</v>
      </c>
      <c r="C20" s="154" t="s">
        <v>28</v>
      </c>
      <c r="D20" s="23">
        <f>QUANT!G40</f>
        <v>1350.79</v>
      </c>
      <c r="E20" s="11" t="s">
        <v>5</v>
      </c>
      <c r="F20" s="11">
        <v>1.84</v>
      </c>
      <c r="G20" s="11" t="s">
        <v>29</v>
      </c>
      <c r="H20" s="24">
        <f>D20*F20</f>
        <v>2485.4536</v>
      </c>
      <c r="I20" s="288">
        <f>DMT!F5</f>
        <v>2</v>
      </c>
      <c r="J20" s="272">
        <f>H20*I20</f>
        <v>4970.9072</v>
      </c>
    </row>
    <row r="21" spans="1:10" ht="14.25" customHeight="1">
      <c r="A21" s="274" t="s">
        <v>18</v>
      </c>
      <c r="B21" s="10"/>
      <c r="C21" s="10"/>
      <c r="D21" s="10"/>
      <c r="E21" s="10"/>
      <c r="F21" s="10"/>
      <c r="G21" s="10"/>
      <c r="H21" s="10"/>
      <c r="I21" s="10"/>
      <c r="J21" s="275">
        <f>SUM(J19:J20)</f>
        <v>9941.8144</v>
      </c>
    </row>
    <row r="22" spans="1:10" ht="8.25" customHeight="1">
      <c r="A22" s="274"/>
      <c r="B22" s="10"/>
      <c r="C22" s="10"/>
      <c r="D22" s="10"/>
      <c r="E22" s="10"/>
      <c r="F22" s="10"/>
      <c r="G22" s="10"/>
      <c r="H22" s="10"/>
      <c r="I22" s="10"/>
      <c r="J22" s="272"/>
    </row>
    <row r="23" spans="1:10" ht="14.25" customHeight="1">
      <c r="A23" s="542" t="s">
        <v>381</v>
      </c>
      <c r="B23" s="543"/>
      <c r="C23" s="543"/>
      <c r="D23" s="543"/>
      <c r="E23" s="543"/>
      <c r="F23" s="543"/>
      <c r="G23" s="543"/>
      <c r="H23" s="543"/>
      <c r="I23" s="10"/>
      <c r="J23" s="272"/>
    </row>
    <row r="24" spans="1:10" ht="14.25" customHeight="1">
      <c r="A24" s="527" t="s">
        <v>19</v>
      </c>
      <c r="B24" s="528" t="s">
        <v>20</v>
      </c>
      <c r="C24" s="528" t="s">
        <v>21</v>
      </c>
      <c r="D24" s="528" t="s">
        <v>15</v>
      </c>
      <c r="E24" s="528" t="s">
        <v>22</v>
      </c>
      <c r="F24" s="537" t="s">
        <v>23</v>
      </c>
      <c r="G24" s="537"/>
      <c r="H24" s="528" t="s">
        <v>24</v>
      </c>
      <c r="I24" s="528" t="s">
        <v>25</v>
      </c>
      <c r="J24" s="516" t="s">
        <v>26</v>
      </c>
    </row>
    <row r="25" spans="1:10" ht="14.25" customHeight="1">
      <c r="A25" s="527"/>
      <c r="B25" s="528"/>
      <c r="C25" s="528"/>
      <c r="D25" s="528"/>
      <c r="E25" s="528"/>
      <c r="F25" s="11" t="s">
        <v>27</v>
      </c>
      <c r="G25" s="11" t="s">
        <v>14</v>
      </c>
      <c r="H25" s="528"/>
      <c r="I25" s="528"/>
      <c r="J25" s="516"/>
    </row>
    <row r="26" spans="1:10" ht="12.75">
      <c r="A26" s="274" t="str">
        <f>QUANT!B39</f>
        <v>96387</v>
      </c>
      <c r="B26" s="10" t="str">
        <f>QUANT!D39</f>
        <v>Execução e compactação de sub base com solo estabilizado granulometricamente - exclusive escavação, carga e transporte e solo. af_09/2017</v>
      </c>
      <c r="C26" s="11" t="s">
        <v>28</v>
      </c>
      <c r="D26" s="23">
        <f>QUANT!G39</f>
        <v>1350.79</v>
      </c>
      <c r="E26" s="11" t="s">
        <v>5</v>
      </c>
      <c r="F26" s="11">
        <v>1.84</v>
      </c>
      <c r="G26" s="11" t="s">
        <v>29</v>
      </c>
      <c r="H26" s="24">
        <f>D26*F26</f>
        <v>2485.4536</v>
      </c>
      <c r="I26" s="288">
        <f>DMT!G5</f>
        <v>9.7</v>
      </c>
      <c r="J26" s="272">
        <f>H26*I26</f>
        <v>24108.899919999996</v>
      </c>
    </row>
    <row r="27" spans="1:10" ht="14.25" customHeight="1">
      <c r="A27" s="274" t="str">
        <f>QUANT!B40</f>
        <v>96387</v>
      </c>
      <c r="B27" s="22" t="s">
        <v>30</v>
      </c>
      <c r="C27" s="11" t="s">
        <v>28</v>
      </c>
      <c r="D27" s="23">
        <f>QUANT!G40</f>
        <v>1350.79</v>
      </c>
      <c r="E27" s="11" t="s">
        <v>5</v>
      </c>
      <c r="F27" s="11">
        <v>1.84</v>
      </c>
      <c r="G27" s="11" t="s">
        <v>29</v>
      </c>
      <c r="H27" s="24">
        <f>D27*F27</f>
        <v>2485.4536</v>
      </c>
      <c r="I27" s="288">
        <f>DMT!G5</f>
        <v>9.7</v>
      </c>
      <c r="J27" s="272">
        <f>H27*I27</f>
        <v>24108.899919999996</v>
      </c>
    </row>
    <row r="28" spans="1:10" ht="14.25" customHeight="1">
      <c r="A28" s="274" t="s">
        <v>18</v>
      </c>
      <c r="B28" s="10"/>
      <c r="C28" s="10"/>
      <c r="D28" s="10"/>
      <c r="E28" s="10"/>
      <c r="F28" s="10"/>
      <c r="G28" s="10"/>
      <c r="H28" s="10"/>
      <c r="I28" s="10"/>
      <c r="J28" s="275">
        <f>SUM(J26:J27)</f>
        <v>48217.79983999999</v>
      </c>
    </row>
    <row r="29" spans="1:10" ht="8.25" customHeight="1">
      <c r="A29" s="274"/>
      <c r="B29" s="10"/>
      <c r="C29" s="10"/>
      <c r="D29" s="10"/>
      <c r="E29" s="10"/>
      <c r="F29" s="10"/>
      <c r="G29" s="10"/>
      <c r="H29" s="10"/>
      <c r="I29" s="10"/>
      <c r="J29" s="272"/>
    </row>
    <row r="30" spans="1:10" ht="14.25" customHeight="1">
      <c r="A30" s="539" t="s">
        <v>382</v>
      </c>
      <c r="B30" s="540"/>
      <c r="C30" s="540"/>
      <c r="D30" s="540"/>
      <c r="E30" s="540"/>
      <c r="F30" s="540"/>
      <c r="G30" s="540"/>
      <c r="H30" s="540"/>
      <c r="I30" s="540"/>
      <c r="J30" s="541"/>
    </row>
    <row r="31" spans="1:10" ht="15" customHeight="1">
      <c r="A31" s="527" t="s">
        <v>19</v>
      </c>
      <c r="B31" s="528" t="s">
        <v>20</v>
      </c>
      <c r="C31" s="528" t="s">
        <v>21</v>
      </c>
      <c r="D31" s="528" t="s">
        <v>15</v>
      </c>
      <c r="E31" s="528" t="s">
        <v>22</v>
      </c>
      <c r="F31" s="537" t="s">
        <v>23</v>
      </c>
      <c r="G31" s="537"/>
      <c r="H31" s="528" t="s">
        <v>24</v>
      </c>
      <c r="I31" s="528" t="s">
        <v>25</v>
      </c>
      <c r="J31" s="516" t="s">
        <v>26</v>
      </c>
    </row>
    <row r="32" spans="1:10" ht="14.25" customHeight="1">
      <c r="A32" s="527"/>
      <c r="B32" s="528"/>
      <c r="C32" s="528"/>
      <c r="D32" s="528"/>
      <c r="E32" s="528"/>
      <c r="F32" s="11" t="s">
        <v>27</v>
      </c>
      <c r="G32" s="11" t="s">
        <v>14</v>
      </c>
      <c r="H32" s="528"/>
      <c r="I32" s="528"/>
      <c r="J32" s="516"/>
    </row>
    <row r="33" spans="1:10" ht="26.25" customHeight="1">
      <c r="A33" s="279">
        <f>QUANT!B43</f>
        <v>95993</v>
      </c>
      <c r="B33" s="22" t="str">
        <f>QUANT!D43</f>
        <v>Construção de pavimento com aplicação de concreto betuminoso usinado a quente (cbuq), camada de rolamento, com espessura de 4,0 cm  exclusive transporte. af_03/2017</v>
      </c>
      <c r="C33" s="11" t="s">
        <v>98</v>
      </c>
      <c r="D33" s="23">
        <f>QUANT!G43</f>
        <v>216.12880000000004</v>
      </c>
      <c r="E33" s="11" t="s">
        <v>5</v>
      </c>
      <c r="F33" s="25">
        <v>2.4</v>
      </c>
      <c r="G33" s="11" t="s">
        <v>29</v>
      </c>
      <c r="H33" s="24">
        <f>D33*F33</f>
        <v>518.7091200000001</v>
      </c>
      <c r="I33" s="288">
        <f>DMT!K11</f>
        <v>26</v>
      </c>
      <c r="J33" s="272">
        <f>INT(H33*I33*100)/100</f>
        <v>13486.43</v>
      </c>
    </row>
    <row r="34" spans="1:10" ht="14.25" customHeight="1">
      <c r="A34" s="274" t="s">
        <v>18</v>
      </c>
      <c r="B34" s="10"/>
      <c r="C34" s="10"/>
      <c r="D34" s="10"/>
      <c r="E34" s="10"/>
      <c r="F34" s="10"/>
      <c r="G34" s="10"/>
      <c r="H34" s="10"/>
      <c r="I34" s="288"/>
      <c r="J34" s="275">
        <f>SUM(J33:J33)</f>
        <v>13486.43</v>
      </c>
    </row>
    <row r="35" spans="1:10" ht="8.25" customHeight="1">
      <c r="A35" s="274"/>
      <c r="B35" s="10"/>
      <c r="C35" s="10"/>
      <c r="D35" s="10"/>
      <c r="E35" s="10"/>
      <c r="F35" s="10"/>
      <c r="G35" s="10"/>
      <c r="H35" s="10"/>
      <c r="I35" s="10"/>
      <c r="J35" s="272"/>
    </row>
  </sheetData>
  <sheetProtection/>
  <mergeCells count="53">
    <mergeCell ref="F31:G31"/>
    <mergeCell ref="F17:G17"/>
    <mergeCell ref="I31:I32"/>
    <mergeCell ref="I24:I25"/>
    <mergeCell ref="H24:H25"/>
    <mergeCell ref="A23:H23"/>
    <mergeCell ref="A31:A32"/>
    <mergeCell ref="A16:J16"/>
    <mergeCell ref="I10:I11"/>
    <mergeCell ref="J10:J11"/>
    <mergeCell ref="A17:A18"/>
    <mergeCell ref="I17:I18"/>
    <mergeCell ref="D10:D11"/>
    <mergeCell ref="J31:J32"/>
    <mergeCell ref="B31:B32"/>
    <mergeCell ref="C31:C32"/>
    <mergeCell ref="J17:J18"/>
    <mergeCell ref="B17:B18"/>
    <mergeCell ref="C17:C18"/>
    <mergeCell ref="D17:D18"/>
    <mergeCell ref="H31:H32"/>
    <mergeCell ref="D24:D25"/>
    <mergeCell ref="E24:E25"/>
    <mergeCell ref="H4:H5"/>
    <mergeCell ref="E17:E18"/>
    <mergeCell ref="H17:H18"/>
    <mergeCell ref="D31:D32"/>
    <mergeCell ref="E31:E32"/>
    <mergeCell ref="B24:B25"/>
    <mergeCell ref="F24:G24"/>
    <mergeCell ref="C24:C25"/>
    <mergeCell ref="A30:J30"/>
    <mergeCell ref="A24:A25"/>
    <mergeCell ref="J4:J5"/>
    <mergeCell ref="F10:G10"/>
    <mergeCell ref="H10:H11"/>
    <mergeCell ref="A9:H9"/>
    <mergeCell ref="A10:A11"/>
    <mergeCell ref="B10:B11"/>
    <mergeCell ref="I4:I5"/>
    <mergeCell ref="E10:E11"/>
    <mergeCell ref="E4:E5"/>
    <mergeCell ref="F4:G4"/>
    <mergeCell ref="J24:J25"/>
    <mergeCell ref="C10:C11"/>
    <mergeCell ref="A1:J1"/>
    <mergeCell ref="A8:J8"/>
    <mergeCell ref="A3:H3"/>
    <mergeCell ref="A4:A5"/>
    <mergeCell ref="B4:B5"/>
    <mergeCell ref="C4:C5"/>
    <mergeCell ref="D4:D5"/>
    <mergeCell ref="B2:J2"/>
  </mergeCells>
  <printOptions horizontalCentered="1"/>
  <pageMargins left="0.7874015748031497" right="0.7874015748031497" top="0.984251968503937" bottom="0.5905511811023623" header="0.5118110236220472" footer="0.5118110236220472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7">
      <selection activeCell="A6" sqref="A6:B7"/>
    </sheetView>
  </sheetViews>
  <sheetFormatPr defaultColWidth="9.140625" defaultRowHeight="12.75"/>
  <cols>
    <col min="1" max="1" width="16.7109375" style="0" bestFit="1" customWidth="1"/>
    <col min="2" max="2" width="36.140625" style="0" bestFit="1" customWidth="1"/>
    <col min="3" max="3" width="9.421875" style="0" bestFit="1" customWidth="1"/>
    <col min="4" max="4" width="10.57421875" style="0" customWidth="1"/>
    <col min="5" max="5" width="9.421875" style="0" bestFit="1" customWidth="1"/>
    <col min="6" max="6" width="11.7109375" style="0" customWidth="1"/>
    <col min="7" max="8" width="9.421875" style="0" bestFit="1" customWidth="1"/>
    <col min="9" max="9" width="11.140625" style="0" bestFit="1" customWidth="1"/>
    <col min="10" max="10" width="17.7109375" style="0" customWidth="1"/>
  </cols>
  <sheetData>
    <row r="1" spans="1:10" ht="12.75">
      <c r="A1" s="162" t="s">
        <v>187</v>
      </c>
      <c r="B1" s="162"/>
      <c r="C1" s="163"/>
      <c r="D1" s="163"/>
      <c r="E1" s="163"/>
      <c r="F1" s="163"/>
      <c r="G1" s="163"/>
      <c r="H1" s="163"/>
      <c r="I1" s="163"/>
      <c r="J1" s="164"/>
    </row>
    <row r="2" spans="1:10" ht="12.75">
      <c r="A2" s="552" t="s">
        <v>441</v>
      </c>
      <c r="B2" s="553"/>
      <c r="C2" s="553"/>
      <c r="D2" s="553"/>
      <c r="E2" s="163"/>
      <c r="F2" s="163"/>
      <c r="G2" s="163"/>
      <c r="H2" s="163"/>
      <c r="I2" s="163"/>
      <c r="J2" s="164"/>
    </row>
    <row r="3" spans="1:10" ht="12.75">
      <c r="A3" s="162" t="str">
        <f>QUANT!E3</f>
        <v>JARDIM ESMERALDA</v>
      </c>
      <c r="B3" s="162"/>
      <c r="C3" s="163"/>
      <c r="D3" s="163"/>
      <c r="E3" s="163"/>
      <c r="F3" s="163"/>
      <c r="G3" s="163"/>
      <c r="H3" s="163"/>
      <c r="I3" s="163"/>
      <c r="J3" s="164"/>
    </row>
    <row r="4" spans="1:10" ht="12.75">
      <c r="A4" s="555" t="s">
        <v>59</v>
      </c>
      <c r="B4" s="556"/>
      <c r="C4" s="556"/>
      <c r="D4" s="556"/>
      <c r="E4" s="556"/>
      <c r="F4" s="556"/>
      <c r="G4" s="556"/>
      <c r="H4" s="556"/>
      <c r="I4" s="556"/>
      <c r="J4" s="557"/>
    </row>
    <row r="5" spans="1:11" ht="12.75">
      <c r="A5" s="558"/>
      <c r="B5" s="559"/>
      <c r="C5" s="559"/>
      <c r="D5" s="559"/>
      <c r="E5" s="559"/>
      <c r="F5" s="559"/>
      <c r="G5" s="559"/>
      <c r="H5" s="559"/>
      <c r="I5" s="559"/>
      <c r="J5" s="560"/>
      <c r="K5" s="326"/>
    </row>
    <row r="6" spans="1:11" ht="38.25">
      <c r="A6" s="561" t="s">
        <v>188</v>
      </c>
      <c r="B6" s="562"/>
      <c r="C6" s="554" t="s">
        <v>60</v>
      </c>
      <c r="D6" s="554" t="s">
        <v>61</v>
      </c>
      <c r="E6" s="349" t="s">
        <v>62</v>
      </c>
      <c r="F6" s="349" t="s">
        <v>63</v>
      </c>
      <c r="G6" s="349" t="s">
        <v>64</v>
      </c>
      <c r="H6" s="349" t="s">
        <v>65</v>
      </c>
      <c r="I6" s="349" t="s">
        <v>66</v>
      </c>
      <c r="J6" s="348" t="s">
        <v>67</v>
      </c>
      <c r="K6" s="326"/>
    </row>
    <row r="7" spans="1:11" ht="38.25">
      <c r="A7" s="563"/>
      <c r="B7" s="564"/>
      <c r="C7" s="554"/>
      <c r="D7" s="554"/>
      <c r="E7" s="350" t="s">
        <v>68</v>
      </c>
      <c r="F7" s="350" t="s">
        <v>69</v>
      </c>
      <c r="G7" s="350" t="s">
        <v>70</v>
      </c>
      <c r="H7" s="350" t="s">
        <v>71</v>
      </c>
      <c r="I7" s="350" t="s">
        <v>72</v>
      </c>
      <c r="J7" s="348">
        <v>6.8</v>
      </c>
      <c r="K7" s="326"/>
    </row>
    <row r="8" spans="1:11" ht="12.75">
      <c r="A8" s="130"/>
      <c r="B8" s="348"/>
      <c r="C8" s="348"/>
      <c r="D8" s="348"/>
      <c r="E8" s="350"/>
      <c r="F8" s="350"/>
      <c r="G8" s="350"/>
      <c r="H8" s="350"/>
      <c r="I8" s="350"/>
      <c r="J8" s="348"/>
      <c r="K8" s="326"/>
    </row>
    <row r="9" spans="1:11" ht="12.75" customHeight="1">
      <c r="A9" s="550" t="s">
        <v>390</v>
      </c>
      <c r="B9" s="565" t="s">
        <v>249</v>
      </c>
      <c r="C9" s="43">
        <v>0</v>
      </c>
      <c r="D9" s="36">
        <v>0.6</v>
      </c>
      <c r="E9" s="36">
        <v>1.4</v>
      </c>
      <c r="F9" s="43">
        <v>1.1</v>
      </c>
      <c r="G9" s="43">
        <v>1.1</v>
      </c>
      <c r="H9" s="43">
        <f>SUM(F9:G9)/2</f>
        <v>1.1</v>
      </c>
      <c r="I9" s="43">
        <f>SUM(C9*E9*H9)</f>
        <v>0</v>
      </c>
      <c r="J9" s="351">
        <v>45.7</v>
      </c>
      <c r="K9" s="326"/>
    </row>
    <row r="10" spans="1:11" ht="12.75" customHeight="1">
      <c r="A10" s="550"/>
      <c r="B10" s="566"/>
      <c r="C10" s="43">
        <v>0</v>
      </c>
      <c r="D10" s="36">
        <v>0.8</v>
      </c>
      <c r="E10" s="36">
        <v>1.6</v>
      </c>
      <c r="F10" s="43">
        <v>1.3</v>
      </c>
      <c r="G10" s="43">
        <v>1.3</v>
      </c>
      <c r="H10" s="43">
        <f>SUM(F10:G10)/2</f>
        <v>1.3</v>
      </c>
      <c r="I10" s="43">
        <f>SUM(C10*E10*H10)</f>
        <v>0</v>
      </c>
      <c r="J10" s="43">
        <f>SUM(C10*E10)</f>
        <v>0</v>
      </c>
      <c r="K10" s="326"/>
    </row>
    <row r="11" spans="1:11" ht="12.75">
      <c r="A11" s="550"/>
      <c r="B11" s="128" t="s">
        <v>87</v>
      </c>
      <c r="C11" s="35">
        <v>0</v>
      </c>
      <c r="D11" s="36">
        <v>1.4</v>
      </c>
      <c r="E11" s="37">
        <v>1.6</v>
      </c>
      <c r="F11" s="35"/>
      <c r="G11" s="35"/>
      <c r="H11" s="35">
        <v>1.6</v>
      </c>
      <c r="I11" s="35">
        <f>C11*D11*E11*H11</f>
        <v>0</v>
      </c>
      <c r="J11" s="351">
        <v>26</v>
      </c>
      <c r="K11" s="326"/>
    </row>
    <row r="12" spans="1:11" ht="12.75">
      <c r="A12" s="130"/>
      <c r="B12" s="128" t="s">
        <v>73</v>
      </c>
      <c r="C12" s="35">
        <v>0</v>
      </c>
      <c r="D12" s="36">
        <v>1.2</v>
      </c>
      <c r="E12" s="37">
        <v>2.84</v>
      </c>
      <c r="F12" s="35">
        <v>0</v>
      </c>
      <c r="G12" s="35">
        <v>0</v>
      </c>
      <c r="H12" s="35">
        <v>3.2</v>
      </c>
      <c r="I12" s="35">
        <f>C12*D12*E12*H12</f>
        <v>0</v>
      </c>
      <c r="J12" s="351">
        <f>SUM(C12*E12*D12)</f>
        <v>0</v>
      </c>
      <c r="K12" s="326"/>
    </row>
    <row r="13" spans="1:11" ht="12.75">
      <c r="A13" s="130"/>
      <c r="B13" s="128"/>
      <c r="C13" s="35"/>
      <c r="D13" s="36"/>
      <c r="E13" s="37"/>
      <c r="F13" s="35"/>
      <c r="G13" s="35"/>
      <c r="H13" s="35"/>
      <c r="I13" s="35"/>
      <c r="J13" s="351"/>
      <c r="K13" s="326"/>
    </row>
    <row r="14" spans="1:11" ht="12.75">
      <c r="A14" s="551"/>
      <c r="B14" s="128" t="s">
        <v>74</v>
      </c>
      <c r="C14" s="35"/>
      <c r="D14" s="38"/>
      <c r="E14" s="37"/>
      <c r="F14" s="35"/>
      <c r="G14" s="35"/>
      <c r="H14" s="35"/>
      <c r="I14" s="352">
        <f>SUM(I8:I12)</f>
        <v>0</v>
      </c>
      <c r="J14" s="351">
        <f>SUM(C14*E14)</f>
        <v>0</v>
      </c>
      <c r="K14" s="326"/>
    </row>
    <row r="15" spans="1:10" ht="12.75">
      <c r="A15" s="551"/>
      <c r="B15" s="128" t="s">
        <v>86</v>
      </c>
      <c r="C15" s="35"/>
      <c r="D15" s="36"/>
      <c r="E15" s="35"/>
      <c r="F15" s="35"/>
      <c r="G15" s="35"/>
      <c r="H15" s="35"/>
      <c r="I15" s="35"/>
      <c r="J15" s="129">
        <f>SUM(J8:J12)</f>
        <v>71.7</v>
      </c>
    </row>
    <row r="16" spans="1:10" ht="12.75">
      <c r="A16" s="547"/>
      <c r="B16" s="128"/>
      <c r="C16" s="280" t="s">
        <v>283</v>
      </c>
      <c r="D16" s="165"/>
      <c r="E16" s="544"/>
      <c r="F16" s="545"/>
      <c r="G16" s="545"/>
      <c r="H16" s="545"/>
      <c r="I16" s="545"/>
      <c r="J16" s="546"/>
    </row>
    <row r="17" spans="1:10" ht="12.75">
      <c r="A17" s="548"/>
      <c r="B17" s="128" t="s">
        <v>284</v>
      </c>
      <c r="C17" s="35">
        <v>0</v>
      </c>
      <c r="D17" s="165"/>
      <c r="E17" s="182"/>
      <c r="F17" s="183"/>
      <c r="G17" s="183"/>
      <c r="H17" s="183"/>
      <c r="I17" s="183"/>
      <c r="J17" s="184"/>
    </row>
    <row r="18" spans="1:10" ht="12.75">
      <c r="A18" s="548"/>
      <c r="B18" s="128" t="s">
        <v>285</v>
      </c>
      <c r="C18" s="35">
        <v>0</v>
      </c>
      <c r="D18" s="165"/>
      <c r="E18" s="182"/>
      <c r="F18" s="183"/>
      <c r="G18" s="183"/>
      <c r="H18" s="183"/>
      <c r="I18" s="183"/>
      <c r="J18" s="184"/>
    </row>
    <row r="19" spans="1:10" ht="12.75">
      <c r="A19" s="548"/>
      <c r="B19" s="160" t="s">
        <v>156</v>
      </c>
      <c r="C19" s="35">
        <v>0</v>
      </c>
      <c r="D19" s="165">
        <f>0.33*0.33*3.1416*C19</f>
        <v>0</v>
      </c>
      <c r="E19" s="174"/>
      <c r="F19" s="169"/>
      <c r="G19" s="169"/>
      <c r="H19" s="169"/>
      <c r="I19" s="169"/>
      <c r="J19" s="175"/>
    </row>
    <row r="20" spans="1:10" ht="12.75">
      <c r="A20" s="548"/>
      <c r="B20" s="160" t="s">
        <v>75</v>
      </c>
      <c r="C20" s="39">
        <v>0</v>
      </c>
      <c r="D20" s="165">
        <f>0.33*0.33*3.1416*C20</f>
        <v>0</v>
      </c>
      <c r="E20" s="174"/>
      <c r="F20" s="169"/>
      <c r="G20" s="169"/>
      <c r="H20" s="169"/>
      <c r="I20" s="169"/>
      <c r="J20" s="175"/>
    </row>
    <row r="21" spans="1:10" ht="12.75">
      <c r="A21" s="548"/>
      <c r="B21" s="160" t="s">
        <v>76</v>
      </c>
      <c r="C21" s="39">
        <v>0</v>
      </c>
      <c r="D21" s="165">
        <f>0.5*0.5*3.1416*C21</f>
        <v>0</v>
      </c>
      <c r="E21" s="174"/>
      <c r="F21" s="169"/>
      <c r="G21" s="169"/>
      <c r="H21" s="169"/>
      <c r="I21" s="169"/>
      <c r="J21" s="175"/>
    </row>
    <row r="22" spans="1:10" ht="12.75">
      <c r="A22" s="548"/>
      <c r="B22" s="160" t="s">
        <v>159</v>
      </c>
      <c r="C22" s="35">
        <v>0</v>
      </c>
      <c r="D22" s="165">
        <f>0.62*0.62*3.1416*C22</f>
        <v>0</v>
      </c>
      <c r="E22" s="174"/>
      <c r="F22" s="169"/>
      <c r="G22" s="169"/>
      <c r="H22" s="169"/>
      <c r="I22" s="169"/>
      <c r="J22" s="175"/>
    </row>
    <row r="23" spans="1:10" ht="12.75">
      <c r="A23" s="548"/>
      <c r="B23" s="160" t="s">
        <v>157</v>
      </c>
      <c r="C23" s="35"/>
      <c r="D23" s="165">
        <f>0.73*0.73*3.1416*C23</f>
        <v>0</v>
      </c>
      <c r="E23" s="174"/>
      <c r="F23" s="169"/>
      <c r="G23" s="169"/>
      <c r="H23" s="169"/>
      <c r="I23" s="169"/>
      <c r="J23" s="175"/>
    </row>
    <row r="24" spans="1:10" ht="12.75">
      <c r="A24" s="548"/>
      <c r="B24" s="128" t="s">
        <v>87</v>
      </c>
      <c r="C24" s="35">
        <v>0</v>
      </c>
      <c r="D24" s="165">
        <f>I11</f>
        <v>0</v>
      </c>
      <c r="E24" s="176"/>
      <c r="F24" s="170"/>
      <c r="G24" s="170"/>
      <c r="H24" s="170"/>
      <c r="I24" s="171"/>
      <c r="J24" s="177"/>
    </row>
    <row r="25" spans="1:10" ht="12.75">
      <c r="A25" s="548"/>
      <c r="B25" s="160" t="s">
        <v>77</v>
      </c>
      <c r="C25" s="35">
        <v>0</v>
      </c>
      <c r="D25" s="166">
        <f>I12</f>
        <v>0</v>
      </c>
      <c r="E25" s="176"/>
      <c r="F25" s="170"/>
      <c r="G25" s="172"/>
      <c r="H25" s="170"/>
      <c r="I25" s="171"/>
      <c r="J25" s="177"/>
    </row>
    <row r="26" spans="1:10" ht="12.75">
      <c r="A26" s="548"/>
      <c r="B26" s="111" t="s">
        <v>78</v>
      </c>
      <c r="C26" s="111"/>
      <c r="D26" s="167">
        <f>SUM(D19:D25)</f>
        <v>0</v>
      </c>
      <c r="E26" s="176"/>
      <c r="F26" s="170"/>
      <c r="G26" s="173"/>
      <c r="H26" s="170"/>
      <c r="I26" s="171"/>
      <c r="J26" s="177"/>
    </row>
    <row r="27" spans="1:10" ht="12.75">
      <c r="A27" s="548"/>
      <c r="B27" s="111" t="s">
        <v>79</v>
      </c>
      <c r="C27" s="111"/>
      <c r="D27" s="168">
        <f>I14-D26</f>
        <v>0</v>
      </c>
      <c r="E27" s="176"/>
      <c r="F27" s="170"/>
      <c r="G27" s="170"/>
      <c r="H27" s="170"/>
      <c r="I27" s="171"/>
      <c r="J27" s="177"/>
    </row>
    <row r="28" spans="1:10" ht="12.75">
      <c r="A28" s="549"/>
      <c r="B28" s="161" t="s">
        <v>80</v>
      </c>
      <c r="C28" s="161"/>
      <c r="D28" s="167">
        <f>SUM(J15)</f>
        <v>71.7</v>
      </c>
      <c r="E28" s="178"/>
      <c r="F28" s="179"/>
      <c r="G28" s="179"/>
      <c r="H28" s="179"/>
      <c r="I28" s="180"/>
      <c r="J28" s="181"/>
    </row>
  </sheetData>
  <sheetProtection/>
  <mergeCells count="10">
    <mergeCell ref="E16:J16"/>
    <mergeCell ref="A16:A28"/>
    <mergeCell ref="A9:A11"/>
    <mergeCell ref="A14:A15"/>
    <mergeCell ref="A2:D2"/>
    <mergeCell ref="C6:C7"/>
    <mergeCell ref="D6:D7"/>
    <mergeCell ref="A4:J5"/>
    <mergeCell ref="A6:B7"/>
    <mergeCell ref="B9:B10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A22">
      <selection activeCell="V41" sqref="V41"/>
    </sheetView>
  </sheetViews>
  <sheetFormatPr defaultColWidth="9.140625" defaultRowHeight="12.75"/>
  <cols>
    <col min="1" max="11" width="4.140625" style="0" customWidth="1"/>
    <col min="12" max="12" width="6.8515625" style="0" customWidth="1"/>
    <col min="13" max="20" width="4.140625" style="0" customWidth="1"/>
    <col min="21" max="21" width="12.7109375" style="0" customWidth="1"/>
  </cols>
  <sheetData>
    <row r="1" spans="1:21" ht="15">
      <c r="A1" s="567" t="s">
        <v>100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67">
        <v>43040</v>
      </c>
    </row>
    <row r="2" spans="1:21" ht="12.75">
      <c r="A2" s="569" t="s">
        <v>101</v>
      </c>
      <c r="B2" s="570"/>
      <c r="C2" s="570"/>
      <c r="D2" s="570"/>
      <c r="E2" s="571"/>
      <c r="F2" s="569" t="s">
        <v>133</v>
      </c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1"/>
      <c r="U2" s="52" t="s">
        <v>102</v>
      </c>
    </row>
    <row r="3" spans="1:21" ht="12.75" customHeight="1">
      <c r="A3" s="572" t="s">
        <v>103</v>
      </c>
      <c r="B3" s="573"/>
      <c r="C3" s="573"/>
      <c r="D3" s="573"/>
      <c r="E3" s="574"/>
      <c r="F3" s="575" t="s">
        <v>89</v>
      </c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7"/>
      <c r="U3" s="53" t="s">
        <v>10</v>
      </c>
    </row>
    <row r="4" spans="1:21" ht="12.75" customHeight="1">
      <c r="A4" s="578" t="s">
        <v>104</v>
      </c>
      <c r="B4" s="578"/>
      <c r="C4" s="578"/>
      <c r="D4" s="578"/>
      <c r="E4" s="578"/>
      <c r="F4" s="578"/>
      <c r="G4" s="578"/>
      <c r="H4" s="578"/>
      <c r="I4" s="578"/>
      <c r="J4" s="578"/>
      <c r="K4" s="580" t="s">
        <v>15</v>
      </c>
      <c r="L4" s="580"/>
      <c r="M4" s="580" t="s">
        <v>105</v>
      </c>
      <c r="N4" s="580"/>
      <c r="O4" s="580"/>
      <c r="P4" s="580"/>
      <c r="Q4" s="580" t="s">
        <v>106</v>
      </c>
      <c r="R4" s="580"/>
      <c r="S4" s="580"/>
      <c r="T4" s="580"/>
      <c r="U4" s="580" t="s">
        <v>99</v>
      </c>
    </row>
    <row r="5" spans="1:21" ht="12.75" customHeight="1">
      <c r="A5" s="578"/>
      <c r="B5" s="579"/>
      <c r="C5" s="579"/>
      <c r="D5" s="579"/>
      <c r="E5" s="579"/>
      <c r="F5" s="579"/>
      <c r="G5" s="579"/>
      <c r="H5" s="579"/>
      <c r="I5" s="579"/>
      <c r="J5" s="579"/>
      <c r="K5" s="581"/>
      <c r="L5" s="580"/>
      <c r="M5" s="580" t="s">
        <v>107</v>
      </c>
      <c r="N5" s="580"/>
      <c r="O5" s="580" t="s">
        <v>108</v>
      </c>
      <c r="P5" s="580"/>
      <c r="Q5" s="580" t="s">
        <v>107</v>
      </c>
      <c r="R5" s="580"/>
      <c r="S5" s="580" t="s">
        <v>108</v>
      </c>
      <c r="T5" s="580"/>
      <c r="U5" s="580"/>
    </row>
    <row r="6" spans="1:21" ht="12.75">
      <c r="A6" s="582"/>
      <c r="B6" s="583"/>
      <c r="C6" s="583"/>
      <c r="D6" s="583"/>
      <c r="E6" s="583"/>
      <c r="F6" s="583"/>
      <c r="G6" s="583"/>
      <c r="H6" s="583"/>
      <c r="I6" s="583"/>
      <c r="J6" s="583"/>
      <c r="K6" s="584"/>
      <c r="L6" s="585"/>
      <c r="M6" s="585"/>
      <c r="N6" s="585"/>
      <c r="O6" s="585"/>
      <c r="P6" s="585"/>
      <c r="Q6" s="586"/>
      <c r="R6" s="586"/>
      <c r="S6" s="586"/>
      <c r="T6" s="586"/>
      <c r="U6" s="54"/>
    </row>
    <row r="7" spans="1:21" ht="12.75">
      <c r="A7" s="587"/>
      <c r="B7" s="588"/>
      <c r="C7" s="588"/>
      <c r="D7" s="588"/>
      <c r="E7" s="588"/>
      <c r="F7" s="588"/>
      <c r="G7" s="588"/>
      <c r="H7" s="588"/>
      <c r="I7" s="588"/>
      <c r="J7" s="588"/>
      <c r="K7" s="589"/>
      <c r="L7" s="590"/>
      <c r="M7" s="590"/>
      <c r="N7" s="590"/>
      <c r="O7" s="590"/>
      <c r="P7" s="590"/>
      <c r="Q7" s="591"/>
      <c r="R7" s="591"/>
      <c r="S7" s="591"/>
      <c r="T7" s="591"/>
      <c r="U7" s="54"/>
    </row>
    <row r="8" spans="1:21" ht="12.75">
      <c r="A8" s="592"/>
      <c r="B8" s="593"/>
      <c r="C8" s="593"/>
      <c r="D8" s="593"/>
      <c r="E8" s="593"/>
      <c r="F8" s="593"/>
      <c r="G8" s="593"/>
      <c r="H8" s="593"/>
      <c r="I8" s="593"/>
      <c r="J8" s="593"/>
      <c r="K8" s="589"/>
      <c r="L8" s="590"/>
      <c r="M8" s="590"/>
      <c r="N8" s="590"/>
      <c r="O8" s="590"/>
      <c r="P8" s="590"/>
      <c r="Q8" s="591"/>
      <c r="R8" s="591"/>
      <c r="S8" s="591"/>
      <c r="T8" s="591"/>
      <c r="U8" s="54"/>
    </row>
    <row r="9" spans="1:21" ht="12.75">
      <c r="A9" s="587"/>
      <c r="B9" s="588"/>
      <c r="C9" s="588"/>
      <c r="D9" s="588"/>
      <c r="E9" s="588"/>
      <c r="F9" s="588"/>
      <c r="G9" s="588"/>
      <c r="H9" s="588"/>
      <c r="I9" s="588"/>
      <c r="J9" s="588"/>
      <c r="K9" s="589"/>
      <c r="L9" s="590"/>
      <c r="M9" s="590"/>
      <c r="N9" s="590"/>
      <c r="O9" s="590"/>
      <c r="P9" s="590"/>
      <c r="Q9" s="591"/>
      <c r="R9" s="591"/>
      <c r="S9" s="591"/>
      <c r="T9" s="591"/>
      <c r="U9" s="54"/>
    </row>
    <row r="10" spans="1:21" ht="12.75">
      <c r="A10" s="587"/>
      <c r="B10" s="588"/>
      <c r="C10" s="588"/>
      <c r="D10" s="588"/>
      <c r="E10" s="588"/>
      <c r="F10" s="588"/>
      <c r="G10" s="588"/>
      <c r="H10" s="588"/>
      <c r="I10" s="588"/>
      <c r="J10" s="588"/>
      <c r="K10" s="589"/>
      <c r="L10" s="590"/>
      <c r="M10" s="590"/>
      <c r="N10" s="590"/>
      <c r="O10" s="590"/>
      <c r="P10" s="590"/>
      <c r="Q10" s="591"/>
      <c r="R10" s="591"/>
      <c r="S10" s="591"/>
      <c r="T10" s="591"/>
      <c r="U10" s="54"/>
    </row>
    <row r="11" spans="1:21" ht="12.75">
      <c r="A11" s="587"/>
      <c r="B11" s="588"/>
      <c r="C11" s="588"/>
      <c r="D11" s="588"/>
      <c r="E11" s="588"/>
      <c r="F11" s="588"/>
      <c r="G11" s="588"/>
      <c r="H11" s="588"/>
      <c r="I11" s="588"/>
      <c r="J11" s="588"/>
      <c r="K11" s="589"/>
      <c r="L11" s="590"/>
      <c r="M11" s="590"/>
      <c r="N11" s="590"/>
      <c r="O11" s="590"/>
      <c r="P11" s="590"/>
      <c r="Q11" s="591"/>
      <c r="R11" s="591"/>
      <c r="S11" s="591"/>
      <c r="T11" s="591"/>
      <c r="U11" s="54"/>
    </row>
    <row r="12" spans="1:21" ht="12.75">
      <c r="A12" s="592"/>
      <c r="B12" s="593"/>
      <c r="C12" s="593"/>
      <c r="D12" s="593"/>
      <c r="E12" s="593"/>
      <c r="F12" s="593"/>
      <c r="G12" s="593"/>
      <c r="H12" s="593"/>
      <c r="I12" s="593"/>
      <c r="J12" s="593"/>
      <c r="K12" s="589"/>
      <c r="L12" s="590"/>
      <c r="M12" s="590"/>
      <c r="N12" s="590"/>
      <c r="O12" s="590"/>
      <c r="P12" s="590"/>
      <c r="Q12" s="591"/>
      <c r="R12" s="591"/>
      <c r="S12" s="591"/>
      <c r="T12" s="591"/>
      <c r="U12" s="54"/>
    </row>
    <row r="13" spans="1:21" ht="12.75">
      <c r="A13" s="592"/>
      <c r="B13" s="593"/>
      <c r="C13" s="593"/>
      <c r="D13" s="593"/>
      <c r="E13" s="593"/>
      <c r="F13" s="593"/>
      <c r="G13" s="593"/>
      <c r="H13" s="593"/>
      <c r="I13" s="593"/>
      <c r="J13" s="593"/>
      <c r="K13" s="589"/>
      <c r="L13" s="590"/>
      <c r="M13" s="590"/>
      <c r="N13" s="590"/>
      <c r="O13" s="590"/>
      <c r="P13" s="590"/>
      <c r="Q13" s="591"/>
      <c r="R13" s="591"/>
      <c r="S13" s="591"/>
      <c r="T13" s="591"/>
      <c r="U13" s="54"/>
    </row>
    <row r="14" spans="1:21" ht="12.75">
      <c r="A14" s="587"/>
      <c r="B14" s="588"/>
      <c r="C14" s="588"/>
      <c r="D14" s="588"/>
      <c r="E14" s="588"/>
      <c r="F14" s="588"/>
      <c r="G14" s="588"/>
      <c r="H14" s="588"/>
      <c r="I14" s="588"/>
      <c r="J14" s="588"/>
      <c r="K14" s="589"/>
      <c r="L14" s="590"/>
      <c r="M14" s="590"/>
      <c r="N14" s="590"/>
      <c r="O14" s="590"/>
      <c r="P14" s="590"/>
      <c r="Q14" s="591"/>
      <c r="R14" s="591"/>
      <c r="S14" s="591"/>
      <c r="T14" s="591"/>
      <c r="U14" s="54"/>
    </row>
    <row r="15" spans="1:21" ht="12.75">
      <c r="A15" s="594" t="s">
        <v>109</v>
      </c>
      <c r="B15" s="594"/>
      <c r="C15" s="594"/>
      <c r="D15" s="594"/>
      <c r="E15" s="594"/>
      <c r="F15" s="594"/>
      <c r="G15" s="594"/>
      <c r="H15" s="594"/>
      <c r="I15" s="594"/>
      <c r="J15" s="594"/>
      <c r="K15" s="595">
        <v>0.1551</v>
      </c>
      <c r="L15" s="595"/>
      <c r="M15" s="596"/>
      <c r="N15" s="596"/>
      <c r="O15" s="596"/>
      <c r="P15" s="596"/>
      <c r="Q15" s="597"/>
      <c r="R15" s="597"/>
      <c r="S15" s="597"/>
      <c r="T15" s="597"/>
      <c r="U15" s="54">
        <f>TRUNC(K15*U22,2)</f>
        <v>14.14</v>
      </c>
    </row>
    <row r="16" spans="1:21" ht="12.75">
      <c r="A16" s="598"/>
      <c r="B16" s="598"/>
      <c r="C16" s="598"/>
      <c r="D16" s="598"/>
      <c r="E16" s="598"/>
      <c r="F16" s="598"/>
      <c r="G16" s="598"/>
      <c r="H16" s="598"/>
      <c r="I16" s="598"/>
      <c r="J16" s="598"/>
      <c r="K16" s="598"/>
      <c r="L16" s="598"/>
      <c r="M16" s="598"/>
      <c r="N16" s="598"/>
      <c r="O16" s="598"/>
      <c r="P16" s="598"/>
      <c r="Q16" s="598"/>
      <c r="R16" s="599" t="s">
        <v>110</v>
      </c>
      <c r="S16" s="599"/>
      <c r="T16" s="599"/>
      <c r="U16" s="55">
        <f>SUM(U6:U15)</f>
        <v>14.14</v>
      </c>
    </row>
    <row r="17" spans="1:21" ht="24" customHeight="1">
      <c r="A17" s="578" t="s">
        <v>111</v>
      </c>
      <c r="B17" s="578"/>
      <c r="C17" s="578"/>
      <c r="D17" s="578"/>
      <c r="E17" s="578"/>
      <c r="F17" s="578"/>
      <c r="G17" s="578"/>
      <c r="H17" s="578"/>
      <c r="I17" s="578"/>
      <c r="J17" s="578"/>
      <c r="K17" s="578"/>
      <c r="L17" s="578"/>
      <c r="M17" s="578"/>
      <c r="N17" s="578"/>
      <c r="O17" s="580" t="s">
        <v>3</v>
      </c>
      <c r="P17" s="580"/>
      <c r="Q17" s="580"/>
      <c r="R17" s="580" t="s">
        <v>112</v>
      </c>
      <c r="S17" s="580"/>
      <c r="T17" s="580"/>
      <c r="U17" s="208" t="s">
        <v>99</v>
      </c>
    </row>
    <row r="18" spans="1:21" ht="12.75" customHeight="1">
      <c r="A18" s="600" t="s">
        <v>361</v>
      </c>
      <c r="B18" s="600"/>
      <c r="C18" s="600"/>
      <c r="D18" s="600"/>
      <c r="E18" s="600"/>
      <c r="F18" s="600"/>
      <c r="G18" s="600"/>
      <c r="H18" s="600"/>
      <c r="I18" s="600"/>
      <c r="J18" s="600"/>
      <c r="K18" s="600"/>
      <c r="L18" s="600"/>
      <c r="M18" s="600"/>
      <c r="N18" s="600"/>
      <c r="O18" s="601">
        <v>5.92</v>
      </c>
      <c r="P18" s="601"/>
      <c r="Q18" s="601"/>
      <c r="R18" s="602">
        <v>15.3996</v>
      </c>
      <c r="S18" s="602"/>
      <c r="T18" s="602"/>
      <c r="U18" s="56">
        <f>ROUND(R18*O18,2)</f>
        <v>91.17</v>
      </c>
    </row>
    <row r="19" spans="1:21" ht="12.75">
      <c r="A19" s="603"/>
      <c r="B19" s="603"/>
      <c r="C19" s="603"/>
      <c r="D19" s="603"/>
      <c r="E19" s="603"/>
      <c r="F19" s="603"/>
      <c r="G19" s="603"/>
      <c r="H19" s="603"/>
      <c r="I19" s="603"/>
      <c r="J19" s="603"/>
      <c r="K19" s="603"/>
      <c r="L19" s="603"/>
      <c r="M19" s="603"/>
      <c r="N19" s="603"/>
      <c r="O19" s="604"/>
      <c r="P19" s="604"/>
      <c r="Q19" s="604"/>
      <c r="R19" s="605"/>
      <c r="S19" s="605"/>
      <c r="T19" s="605"/>
      <c r="U19" s="57"/>
    </row>
    <row r="20" spans="1:21" ht="12.75">
      <c r="A20" s="603"/>
      <c r="B20" s="603"/>
      <c r="C20" s="603"/>
      <c r="D20" s="603"/>
      <c r="E20" s="603"/>
      <c r="F20" s="603"/>
      <c r="G20" s="603"/>
      <c r="H20" s="603"/>
      <c r="I20" s="603"/>
      <c r="J20" s="603"/>
      <c r="K20" s="603"/>
      <c r="L20" s="603"/>
      <c r="M20" s="603"/>
      <c r="N20" s="603"/>
      <c r="O20" s="604"/>
      <c r="P20" s="604"/>
      <c r="Q20" s="604"/>
      <c r="R20" s="605"/>
      <c r="S20" s="605"/>
      <c r="T20" s="605"/>
      <c r="U20" s="56"/>
    </row>
    <row r="21" spans="1:21" ht="12.75">
      <c r="A21" s="606"/>
      <c r="B21" s="606"/>
      <c r="C21" s="606"/>
      <c r="D21" s="606"/>
      <c r="E21" s="606"/>
      <c r="F21" s="606"/>
      <c r="G21" s="606"/>
      <c r="H21" s="606"/>
      <c r="I21" s="606"/>
      <c r="J21" s="606"/>
      <c r="K21" s="606"/>
      <c r="L21" s="606"/>
      <c r="M21" s="606"/>
      <c r="N21" s="606"/>
      <c r="O21" s="607"/>
      <c r="P21" s="607"/>
      <c r="Q21" s="607"/>
      <c r="R21" s="608"/>
      <c r="S21" s="608"/>
      <c r="T21" s="608"/>
      <c r="U21" s="58"/>
    </row>
    <row r="22" spans="1:21" ht="12.75">
      <c r="A22" s="598"/>
      <c r="B22" s="598"/>
      <c r="C22" s="598"/>
      <c r="D22" s="598"/>
      <c r="E22" s="598"/>
      <c r="F22" s="598"/>
      <c r="G22" s="598"/>
      <c r="H22" s="598"/>
      <c r="I22" s="598"/>
      <c r="J22" s="598"/>
      <c r="K22" s="598"/>
      <c r="L22" s="598"/>
      <c r="M22" s="598"/>
      <c r="N22" s="598"/>
      <c r="O22" s="598"/>
      <c r="P22" s="598"/>
      <c r="Q22" s="598"/>
      <c r="R22" s="599" t="s">
        <v>113</v>
      </c>
      <c r="S22" s="599"/>
      <c r="T22" s="599"/>
      <c r="U22" s="59">
        <f>SUM(U18:U21)</f>
        <v>91.17</v>
      </c>
    </row>
    <row r="23" spans="1:21" ht="12.75">
      <c r="A23" s="609" t="s">
        <v>114</v>
      </c>
      <c r="B23" s="609"/>
      <c r="C23" s="609"/>
      <c r="D23" s="609"/>
      <c r="E23" s="609"/>
      <c r="F23" s="609"/>
      <c r="G23" s="609"/>
      <c r="H23" s="609"/>
      <c r="I23" s="610"/>
      <c r="J23" s="611">
        <v>1</v>
      </c>
      <c r="K23" s="612"/>
      <c r="L23" s="612"/>
      <c r="M23" s="613" t="s">
        <v>115</v>
      </c>
      <c r="N23" s="613"/>
      <c r="O23" s="613"/>
      <c r="P23" s="613"/>
      <c r="Q23" s="613"/>
      <c r="R23" s="613"/>
      <c r="S23" s="613"/>
      <c r="T23" s="613"/>
      <c r="U23" s="59">
        <f>SUM(U16,U22)</f>
        <v>105.31</v>
      </c>
    </row>
    <row r="24" spans="1:21" ht="12.75">
      <c r="A24" s="614"/>
      <c r="B24" s="614"/>
      <c r="C24" s="614"/>
      <c r="D24" s="614" t="s">
        <v>116</v>
      </c>
      <c r="E24" s="614"/>
      <c r="F24" s="614"/>
      <c r="G24" s="614"/>
      <c r="H24" s="614"/>
      <c r="I24" s="614"/>
      <c r="J24" s="614"/>
      <c r="K24" s="614"/>
      <c r="L24" s="614"/>
      <c r="M24" s="614"/>
      <c r="N24" s="614"/>
      <c r="O24" s="614"/>
      <c r="P24" s="614"/>
      <c r="Q24" s="614"/>
      <c r="R24" s="614"/>
      <c r="S24" s="614"/>
      <c r="T24" s="614"/>
      <c r="U24" s="59">
        <f>U23/J23</f>
        <v>105.31</v>
      </c>
    </row>
    <row r="25" spans="1:21" ht="24" customHeight="1">
      <c r="A25" s="578" t="s">
        <v>117</v>
      </c>
      <c r="B25" s="578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80" t="s">
        <v>2</v>
      </c>
      <c r="N25" s="580"/>
      <c r="O25" s="580" t="s">
        <v>118</v>
      </c>
      <c r="P25" s="580"/>
      <c r="Q25" s="580"/>
      <c r="R25" s="580" t="s">
        <v>119</v>
      </c>
      <c r="S25" s="580"/>
      <c r="T25" s="580"/>
      <c r="U25" s="208" t="s">
        <v>120</v>
      </c>
    </row>
    <row r="26" spans="1:21" ht="12.75">
      <c r="A26" s="592" t="s">
        <v>134</v>
      </c>
      <c r="B26" s="592"/>
      <c r="C26" s="592"/>
      <c r="D26" s="592"/>
      <c r="E26" s="592"/>
      <c r="F26" s="592"/>
      <c r="G26" s="592"/>
      <c r="H26" s="592"/>
      <c r="I26" s="592"/>
      <c r="J26" s="592"/>
      <c r="K26" s="592"/>
      <c r="L26" s="592"/>
      <c r="M26" s="590" t="s">
        <v>7</v>
      </c>
      <c r="N26" s="590"/>
      <c r="O26" s="601">
        <v>9.54</v>
      </c>
      <c r="P26" s="601"/>
      <c r="Q26" s="601"/>
      <c r="R26" s="602">
        <v>75.12</v>
      </c>
      <c r="S26" s="602"/>
      <c r="T26" s="602"/>
      <c r="U26" s="56">
        <f>TRUNC(R26*O26,2)</f>
        <v>716.64</v>
      </c>
    </row>
    <row r="27" spans="1:21" ht="12.75">
      <c r="A27" s="592" t="s">
        <v>362</v>
      </c>
      <c r="B27" s="592"/>
      <c r="C27" s="592"/>
      <c r="D27" s="592"/>
      <c r="E27" s="592"/>
      <c r="F27" s="592"/>
      <c r="G27" s="592"/>
      <c r="H27" s="592"/>
      <c r="I27" s="592"/>
      <c r="J27" s="592"/>
      <c r="K27" s="592"/>
      <c r="L27" s="592"/>
      <c r="M27" s="590" t="s">
        <v>7</v>
      </c>
      <c r="N27" s="590"/>
      <c r="O27" s="601">
        <v>4.13</v>
      </c>
      <c r="P27" s="601"/>
      <c r="Q27" s="601"/>
      <c r="R27" s="602">
        <v>53.53</v>
      </c>
      <c r="S27" s="602"/>
      <c r="T27" s="602"/>
      <c r="U27" s="56">
        <f>TRUNC(R27*O27,2)</f>
        <v>221.07</v>
      </c>
    </row>
    <row r="28" spans="1:21" ht="12.75">
      <c r="A28" s="592" t="s">
        <v>363</v>
      </c>
      <c r="B28" s="592"/>
      <c r="C28" s="592"/>
      <c r="D28" s="592"/>
      <c r="E28" s="592"/>
      <c r="F28" s="592"/>
      <c r="G28" s="592"/>
      <c r="H28" s="592"/>
      <c r="I28" s="592"/>
      <c r="J28" s="592"/>
      <c r="K28" s="592"/>
      <c r="L28" s="592"/>
      <c r="M28" s="590" t="s">
        <v>5</v>
      </c>
      <c r="N28" s="590"/>
      <c r="O28" s="604">
        <v>0.83</v>
      </c>
      <c r="P28" s="604"/>
      <c r="Q28" s="604"/>
      <c r="R28" s="602">
        <v>332.01</v>
      </c>
      <c r="S28" s="602"/>
      <c r="T28" s="602"/>
      <c r="U28" s="56">
        <f>TRUNC(O28*R28,2)</f>
        <v>275.56</v>
      </c>
    </row>
    <row r="29" spans="1:21" ht="12.75">
      <c r="A29" s="615" t="s">
        <v>364</v>
      </c>
      <c r="B29" s="615"/>
      <c r="C29" s="615"/>
      <c r="D29" s="615"/>
      <c r="E29" s="615"/>
      <c r="F29" s="615"/>
      <c r="G29" s="615"/>
      <c r="H29" s="615"/>
      <c r="I29" s="615"/>
      <c r="J29" s="615"/>
      <c r="K29" s="615"/>
      <c r="L29" s="615"/>
      <c r="M29" s="590" t="s">
        <v>135</v>
      </c>
      <c r="N29" s="590"/>
      <c r="O29" s="604">
        <v>21.06</v>
      </c>
      <c r="P29" s="604"/>
      <c r="Q29" s="604"/>
      <c r="R29" s="602">
        <v>7.25</v>
      </c>
      <c r="S29" s="602"/>
      <c r="T29" s="602"/>
      <c r="U29" s="56">
        <f>TRUNC(O29*R29,2)</f>
        <v>152.68</v>
      </c>
    </row>
    <row r="30" spans="1:21" ht="12.75">
      <c r="A30" s="616" t="s">
        <v>365</v>
      </c>
      <c r="B30" s="617"/>
      <c r="C30" s="617"/>
      <c r="D30" s="617"/>
      <c r="E30" s="617"/>
      <c r="F30" s="617"/>
      <c r="G30" s="617"/>
      <c r="H30" s="617"/>
      <c r="I30" s="617"/>
      <c r="J30" s="617"/>
      <c r="K30" s="617"/>
      <c r="L30" s="618"/>
      <c r="M30" s="619" t="s">
        <v>5</v>
      </c>
      <c r="N30" s="620"/>
      <c r="O30" s="621">
        <v>0.24</v>
      </c>
      <c r="P30" s="622"/>
      <c r="Q30" s="623"/>
      <c r="R30" s="602">
        <v>316.02</v>
      </c>
      <c r="S30" s="602"/>
      <c r="T30" s="602"/>
      <c r="U30" s="56">
        <f>TRUNC(O30*R30,2)</f>
        <v>75.84</v>
      </c>
    </row>
    <row r="31" spans="1:21" ht="12.75">
      <c r="A31" s="624"/>
      <c r="B31" s="624"/>
      <c r="C31" s="624"/>
      <c r="D31" s="624"/>
      <c r="E31" s="624"/>
      <c r="F31" s="624"/>
      <c r="G31" s="624"/>
      <c r="H31" s="624"/>
      <c r="I31" s="624"/>
      <c r="J31" s="624"/>
      <c r="K31" s="624"/>
      <c r="L31" s="624"/>
      <c r="M31" s="596"/>
      <c r="N31" s="596"/>
      <c r="O31" s="607"/>
      <c r="P31" s="607"/>
      <c r="Q31" s="607"/>
      <c r="R31" s="608"/>
      <c r="S31" s="608"/>
      <c r="T31" s="608"/>
      <c r="U31" s="60"/>
    </row>
    <row r="32" spans="1:21" ht="12.75">
      <c r="A32" s="598"/>
      <c r="B32" s="598"/>
      <c r="C32" s="598"/>
      <c r="D32" s="598"/>
      <c r="E32" s="598"/>
      <c r="F32" s="598"/>
      <c r="G32" s="598"/>
      <c r="H32" s="598"/>
      <c r="I32" s="598"/>
      <c r="J32" s="598"/>
      <c r="K32" s="598"/>
      <c r="L32" s="598"/>
      <c r="M32" s="598"/>
      <c r="N32" s="598"/>
      <c r="O32" s="598"/>
      <c r="P32" s="598"/>
      <c r="Q32" s="598"/>
      <c r="R32" s="599" t="s">
        <v>121</v>
      </c>
      <c r="S32" s="599"/>
      <c r="T32" s="599"/>
      <c r="U32" s="59">
        <f>SUM(U26:U31)</f>
        <v>1441.79</v>
      </c>
    </row>
    <row r="33" spans="1:21" ht="12.75" customHeight="1">
      <c r="A33" s="578" t="s">
        <v>122</v>
      </c>
      <c r="B33" s="578"/>
      <c r="C33" s="578"/>
      <c r="D33" s="578"/>
      <c r="E33" s="578"/>
      <c r="F33" s="578"/>
      <c r="G33" s="578"/>
      <c r="H33" s="578"/>
      <c r="I33" s="614" t="s">
        <v>123</v>
      </c>
      <c r="J33" s="614"/>
      <c r="K33" s="614"/>
      <c r="L33" s="614"/>
      <c r="M33" s="614"/>
      <c r="N33" s="614"/>
      <c r="O33" s="580" t="s">
        <v>124</v>
      </c>
      <c r="P33" s="580"/>
      <c r="Q33" s="580"/>
      <c r="R33" s="580" t="s">
        <v>119</v>
      </c>
      <c r="S33" s="580"/>
      <c r="T33" s="580"/>
      <c r="U33" s="580" t="s">
        <v>120</v>
      </c>
    </row>
    <row r="34" spans="1:21" ht="12.75">
      <c r="A34" s="578"/>
      <c r="B34" s="578"/>
      <c r="C34" s="578"/>
      <c r="D34" s="578"/>
      <c r="E34" s="578"/>
      <c r="F34" s="578"/>
      <c r="G34" s="578"/>
      <c r="H34" s="578"/>
      <c r="I34" s="614" t="s">
        <v>125</v>
      </c>
      <c r="J34" s="614"/>
      <c r="K34" s="614" t="s">
        <v>126</v>
      </c>
      <c r="L34" s="614"/>
      <c r="M34" s="614" t="s">
        <v>18</v>
      </c>
      <c r="N34" s="614"/>
      <c r="O34" s="580"/>
      <c r="P34" s="580"/>
      <c r="Q34" s="580"/>
      <c r="R34" s="580"/>
      <c r="S34" s="580"/>
      <c r="T34" s="580"/>
      <c r="U34" s="580"/>
    </row>
    <row r="35" spans="1:21" ht="12.75">
      <c r="A35" s="625"/>
      <c r="B35" s="625"/>
      <c r="C35" s="625"/>
      <c r="D35" s="625"/>
      <c r="E35" s="625"/>
      <c r="F35" s="625"/>
      <c r="G35" s="625"/>
      <c r="H35" s="625"/>
      <c r="I35" s="626"/>
      <c r="J35" s="626"/>
      <c r="K35" s="626"/>
      <c r="L35" s="626"/>
      <c r="M35" s="626"/>
      <c r="N35" s="626"/>
      <c r="O35" s="627"/>
      <c r="P35" s="627"/>
      <c r="Q35" s="627"/>
      <c r="R35" s="628"/>
      <c r="S35" s="628"/>
      <c r="T35" s="628"/>
      <c r="U35" s="209">
        <f>INT((M35*O35*R35)*100)/100</f>
        <v>0</v>
      </c>
    </row>
    <row r="36" spans="1:21" ht="12.75">
      <c r="A36" s="629"/>
      <c r="B36" s="629"/>
      <c r="C36" s="629"/>
      <c r="D36" s="629"/>
      <c r="E36" s="629"/>
      <c r="F36" s="629"/>
      <c r="G36" s="629"/>
      <c r="H36" s="629"/>
      <c r="I36" s="630"/>
      <c r="J36" s="630"/>
      <c r="K36" s="630"/>
      <c r="L36" s="630"/>
      <c r="M36" s="630"/>
      <c r="N36" s="630"/>
      <c r="O36" s="631"/>
      <c r="P36" s="631"/>
      <c r="Q36" s="631"/>
      <c r="R36" s="632"/>
      <c r="S36" s="632"/>
      <c r="T36" s="632"/>
      <c r="U36" s="210">
        <f>INT((M36*O36*R36)*100)/100</f>
        <v>0</v>
      </c>
    </row>
    <row r="37" spans="1:21" ht="12.75">
      <c r="A37" s="629"/>
      <c r="B37" s="629"/>
      <c r="C37" s="629"/>
      <c r="D37" s="629"/>
      <c r="E37" s="629"/>
      <c r="F37" s="629"/>
      <c r="G37" s="629"/>
      <c r="H37" s="629"/>
      <c r="I37" s="630"/>
      <c r="J37" s="630"/>
      <c r="K37" s="630"/>
      <c r="L37" s="630"/>
      <c r="M37" s="630">
        <f>SUM(I37:L37)</f>
        <v>0</v>
      </c>
      <c r="N37" s="630"/>
      <c r="O37" s="631"/>
      <c r="P37" s="631"/>
      <c r="Q37" s="631"/>
      <c r="R37" s="632"/>
      <c r="S37" s="632"/>
      <c r="T37" s="632"/>
      <c r="U37" s="210">
        <f>INT((M37*O37*R37)*100)/100</f>
        <v>0</v>
      </c>
    </row>
    <row r="38" spans="1:21" ht="12.75">
      <c r="A38" s="633"/>
      <c r="B38" s="633"/>
      <c r="C38" s="633"/>
      <c r="D38" s="633"/>
      <c r="E38" s="633"/>
      <c r="F38" s="633"/>
      <c r="G38" s="633"/>
      <c r="H38" s="633"/>
      <c r="I38" s="634"/>
      <c r="J38" s="634"/>
      <c r="K38" s="634"/>
      <c r="L38" s="634"/>
      <c r="M38" s="634">
        <f>SUM(I38:L38)</f>
        <v>0</v>
      </c>
      <c r="N38" s="634"/>
      <c r="O38" s="635"/>
      <c r="P38" s="635"/>
      <c r="Q38" s="635"/>
      <c r="R38" s="636"/>
      <c r="S38" s="636"/>
      <c r="T38" s="636"/>
      <c r="U38" s="211">
        <f>INT((M38*O38*R38)*100)/100</f>
        <v>0</v>
      </c>
    </row>
    <row r="39" spans="1:21" ht="12.75">
      <c r="A39" s="598"/>
      <c r="B39" s="598"/>
      <c r="C39" s="598"/>
      <c r="D39" s="598"/>
      <c r="E39" s="598"/>
      <c r="F39" s="598"/>
      <c r="G39" s="598"/>
      <c r="H39" s="598"/>
      <c r="I39" s="598"/>
      <c r="J39" s="598"/>
      <c r="K39" s="598"/>
      <c r="L39" s="598"/>
      <c r="M39" s="598"/>
      <c r="N39" s="598"/>
      <c r="O39" s="598"/>
      <c r="P39" s="598"/>
      <c r="Q39" s="598"/>
      <c r="R39" s="599" t="s">
        <v>127</v>
      </c>
      <c r="S39" s="599"/>
      <c r="T39" s="599"/>
      <c r="U39" s="61">
        <f>SUM(U35:U38)</f>
        <v>0</v>
      </c>
    </row>
    <row r="40" spans="1:21" ht="12.75">
      <c r="A40" s="598"/>
      <c r="B40" s="598"/>
      <c r="C40" s="598"/>
      <c r="D40" s="598"/>
      <c r="E40" s="598"/>
      <c r="F40" s="598"/>
      <c r="G40" s="598"/>
      <c r="H40" s="598"/>
      <c r="I40" s="598"/>
      <c r="J40" s="598"/>
      <c r="K40" s="598"/>
      <c r="L40" s="598"/>
      <c r="M40" s="598"/>
      <c r="N40" s="598"/>
      <c r="O40" s="598"/>
      <c r="P40" s="598"/>
      <c r="Q40" s="598"/>
      <c r="R40" s="598"/>
      <c r="S40" s="598"/>
      <c r="T40" s="598"/>
      <c r="U40" s="598"/>
    </row>
    <row r="41" spans="1:21" ht="12.75">
      <c r="A41" s="637" t="s">
        <v>128</v>
      </c>
      <c r="B41" s="637"/>
      <c r="C41" s="637"/>
      <c r="D41" s="637"/>
      <c r="E41" s="637"/>
      <c r="F41" s="637"/>
      <c r="G41" s="637"/>
      <c r="H41" s="637"/>
      <c r="I41" s="637"/>
      <c r="J41" s="637"/>
      <c r="K41" s="637"/>
      <c r="L41" s="637"/>
      <c r="M41" s="637"/>
      <c r="N41" s="637"/>
      <c r="O41" s="637"/>
      <c r="P41" s="637"/>
      <c r="Q41" s="637"/>
      <c r="R41" s="637"/>
      <c r="S41" s="637"/>
      <c r="T41" s="637"/>
      <c r="U41" s="62">
        <f>SUM(U24,U32,U39)</f>
        <v>1547.1</v>
      </c>
    </row>
    <row r="42" spans="1:21" ht="12.75">
      <c r="A42" s="63" t="s">
        <v>129</v>
      </c>
      <c r="B42" s="64"/>
      <c r="C42" s="64"/>
      <c r="D42" s="64"/>
      <c r="E42" s="64"/>
      <c r="F42" s="64"/>
      <c r="G42" s="64"/>
      <c r="H42" s="65" t="s">
        <v>130</v>
      </c>
      <c r="I42" s="638">
        <v>0</v>
      </c>
      <c r="J42" s="638"/>
      <c r="K42" s="64" t="s">
        <v>131</v>
      </c>
      <c r="L42" s="64"/>
      <c r="M42" s="64"/>
      <c r="N42" s="64"/>
      <c r="O42" s="64"/>
      <c r="P42" s="64"/>
      <c r="Q42" s="64"/>
      <c r="R42" s="64"/>
      <c r="S42" s="64"/>
      <c r="T42" s="64"/>
      <c r="U42" s="66">
        <f>TRUNC((U41*I42),2)</f>
        <v>0</v>
      </c>
    </row>
    <row r="43" spans="1:21" ht="14.25">
      <c r="A43" s="639" t="s">
        <v>132</v>
      </c>
      <c r="B43" s="639"/>
      <c r="C43" s="639"/>
      <c r="D43" s="639"/>
      <c r="E43" s="639"/>
      <c r="F43" s="639"/>
      <c r="G43" s="639"/>
      <c r="H43" s="639"/>
      <c r="I43" s="639"/>
      <c r="J43" s="639"/>
      <c r="K43" s="639"/>
      <c r="L43" s="639"/>
      <c r="M43" s="639"/>
      <c r="N43" s="639"/>
      <c r="O43" s="639"/>
      <c r="P43" s="639"/>
      <c r="Q43" s="639"/>
      <c r="R43" s="639"/>
      <c r="S43" s="639"/>
      <c r="T43" s="639"/>
      <c r="U43" s="66">
        <f>TRUNC((U42+U41),2)</f>
        <v>1547.1</v>
      </c>
    </row>
  </sheetData>
  <sheetProtection/>
  <mergeCells count="166">
    <mergeCell ref="A39:Q39"/>
    <mergeCell ref="R39:T39"/>
    <mergeCell ref="A40:U40"/>
    <mergeCell ref="A41:T41"/>
    <mergeCell ref="I42:J42"/>
    <mergeCell ref="A43:T43"/>
    <mergeCell ref="A38:H38"/>
    <mergeCell ref="I38:J38"/>
    <mergeCell ref="K38:L38"/>
    <mergeCell ref="M38:N38"/>
    <mergeCell ref="O38:Q38"/>
    <mergeCell ref="R38:T38"/>
    <mergeCell ref="A37:H37"/>
    <mergeCell ref="I37:J37"/>
    <mergeCell ref="K37:L37"/>
    <mergeCell ref="M37:N37"/>
    <mergeCell ref="O37:Q37"/>
    <mergeCell ref="R37:T37"/>
    <mergeCell ref="A36:H36"/>
    <mergeCell ref="I36:J36"/>
    <mergeCell ref="K36:L36"/>
    <mergeCell ref="M36:N36"/>
    <mergeCell ref="O36:Q36"/>
    <mergeCell ref="R36:T36"/>
    <mergeCell ref="U33:U34"/>
    <mergeCell ref="I34:J34"/>
    <mergeCell ref="K34:L34"/>
    <mergeCell ref="M34:N34"/>
    <mergeCell ref="A35:H35"/>
    <mergeCell ref="I35:J35"/>
    <mergeCell ref="K35:L35"/>
    <mergeCell ref="M35:N35"/>
    <mergeCell ref="O35:Q35"/>
    <mergeCell ref="R35:T35"/>
    <mergeCell ref="A32:Q32"/>
    <mergeCell ref="R32:T32"/>
    <mergeCell ref="A33:H34"/>
    <mergeCell ref="I33:N33"/>
    <mergeCell ref="O33:Q34"/>
    <mergeCell ref="R33:T34"/>
    <mergeCell ref="A30:L30"/>
    <mergeCell ref="M30:N30"/>
    <mergeCell ref="O30:Q30"/>
    <mergeCell ref="R30:T30"/>
    <mergeCell ref="A31:L31"/>
    <mergeCell ref="M31:N31"/>
    <mergeCell ref="O31:Q31"/>
    <mergeCell ref="R31:T31"/>
    <mergeCell ref="A28:L28"/>
    <mergeCell ref="M28:N28"/>
    <mergeCell ref="O28:Q28"/>
    <mergeCell ref="R28:T28"/>
    <mergeCell ref="A29:L29"/>
    <mergeCell ref="M29:N29"/>
    <mergeCell ref="O29:Q29"/>
    <mergeCell ref="R29:T29"/>
    <mergeCell ref="A26:L26"/>
    <mergeCell ref="M26:N26"/>
    <mergeCell ref="O26:Q26"/>
    <mergeCell ref="R26:T26"/>
    <mergeCell ref="A27:L27"/>
    <mergeCell ref="M27:N27"/>
    <mergeCell ref="O27:Q27"/>
    <mergeCell ref="R27:T27"/>
    <mergeCell ref="A24:C24"/>
    <mergeCell ref="D24:T24"/>
    <mergeCell ref="A25:L25"/>
    <mergeCell ref="M25:N25"/>
    <mergeCell ref="O25:Q25"/>
    <mergeCell ref="R25:T25"/>
    <mergeCell ref="A21:N21"/>
    <mergeCell ref="O21:Q21"/>
    <mergeCell ref="R21:T21"/>
    <mergeCell ref="A22:Q22"/>
    <mergeCell ref="R22:T22"/>
    <mergeCell ref="A23:I23"/>
    <mergeCell ref="J23:L23"/>
    <mergeCell ref="M23:T23"/>
    <mergeCell ref="A19:N19"/>
    <mergeCell ref="O19:Q19"/>
    <mergeCell ref="R19:T19"/>
    <mergeCell ref="A20:N20"/>
    <mergeCell ref="O20:Q20"/>
    <mergeCell ref="R20:T20"/>
    <mergeCell ref="A16:Q16"/>
    <mergeCell ref="R16:T16"/>
    <mergeCell ref="A17:N17"/>
    <mergeCell ref="O17:Q17"/>
    <mergeCell ref="R17:T17"/>
    <mergeCell ref="A18:N18"/>
    <mergeCell ref="O18:Q18"/>
    <mergeCell ref="R18:T18"/>
    <mergeCell ref="A15:J15"/>
    <mergeCell ref="K15:L15"/>
    <mergeCell ref="M15:N15"/>
    <mergeCell ref="O15:P15"/>
    <mergeCell ref="Q15:R15"/>
    <mergeCell ref="S15:T15"/>
    <mergeCell ref="A14:J14"/>
    <mergeCell ref="K14:L14"/>
    <mergeCell ref="M14:N14"/>
    <mergeCell ref="O14:P14"/>
    <mergeCell ref="Q14:R14"/>
    <mergeCell ref="S14:T14"/>
    <mergeCell ref="A13:J13"/>
    <mergeCell ref="K13:L13"/>
    <mergeCell ref="M13:N13"/>
    <mergeCell ref="O13:P13"/>
    <mergeCell ref="Q13:R13"/>
    <mergeCell ref="S13:T13"/>
    <mergeCell ref="A12:J12"/>
    <mergeCell ref="K12:L12"/>
    <mergeCell ref="M12:N12"/>
    <mergeCell ref="O12:P12"/>
    <mergeCell ref="Q12:R12"/>
    <mergeCell ref="S12:T12"/>
    <mergeCell ref="A11:J11"/>
    <mergeCell ref="K11:L11"/>
    <mergeCell ref="M11:N11"/>
    <mergeCell ref="O11:P11"/>
    <mergeCell ref="Q11:R11"/>
    <mergeCell ref="S11:T11"/>
    <mergeCell ref="A10:J10"/>
    <mergeCell ref="K10:L10"/>
    <mergeCell ref="M10:N10"/>
    <mergeCell ref="O10:P10"/>
    <mergeCell ref="Q10:R10"/>
    <mergeCell ref="S10:T10"/>
    <mergeCell ref="A9:J9"/>
    <mergeCell ref="K9:L9"/>
    <mergeCell ref="M9:N9"/>
    <mergeCell ref="O9:P9"/>
    <mergeCell ref="Q9:R9"/>
    <mergeCell ref="S9:T9"/>
    <mergeCell ref="A8:J8"/>
    <mergeCell ref="K8:L8"/>
    <mergeCell ref="M8:N8"/>
    <mergeCell ref="O8:P8"/>
    <mergeCell ref="Q8:R8"/>
    <mergeCell ref="S8:T8"/>
    <mergeCell ref="S6:T6"/>
    <mergeCell ref="A7:J7"/>
    <mergeCell ref="K7:L7"/>
    <mergeCell ref="M7:N7"/>
    <mergeCell ref="O7:P7"/>
    <mergeCell ref="Q7:R7"/>
    <mergeCell ref="S7:T7"/>
    <mergeCell ref="U4:U5"/>
    <mergeCell ref="M5:N5"/>
    <mergeCell ref="O5:P5"/>
    <mergeCell ref="Q5:R5"/>
    <mergeCell ref="S5:T5"/>
    <mergeCell ref="A6:J6"/>
    <mergeCell ref="K6:L6"/>
    <mergeCell ref="M6:N6"/>
    <mergeCell ref="O6:P6"/>
    <mergeCell ref="Q6:R6"/>
    <mergeCell ref="A1:T1"/>
    <mergeCell ref="A2:E2"/>
    <mergeCell ref="F2:T2"/>
    <mergeCell ref="A3:E3"/>
    <mergeCell ref="F3:T3"/>
    <mergeCell ref="A4:J5"/>
    <mergeCell ref="K4:L5"/>
    <mergeCell ref="M4:P4"/>
    <mergeCell ref="Q4:T4"/>
  </mergeCells>
  <conditionalFormatting sqref="O6:P14">
    <cfRule type="cellIs" priority="1" dxfId="0" operator="equal" stopIfTrue="1">
      <formula>1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7"/>
  <sheetViews>
    <sheetView view="pageBreakPreview" zoomScale="70" zoomScaleNormal="80" zoomScaleSheetLayoutView="70" zoomScalePageLayoutView="0" workbookViewId="0" topLeftCell="A1">
      <selection activeCell="Y24" sqref="Y24"/>
    </sheetView>
  </sheetViews>
  <sheetFormatPr defaultColWidth="9.140625" defaultRowHeight="12.75"/>
  <cols>
    <col min="1" max="1" width="19.7109375" style="0" customWidth="1"/>
    <col min="2" max="2" width="7.7109375" style="0" customWidth="1"/>
    <col min="3" max="3" width="4.00390625" style="0" customWidth="1"/>
    <col min="4" max="4" width="6.28125" style="0" customWidth="1"/>
    <col min="5" max="5" width="7.00390625" style="0" customWidth="1"/>
    <col min="6" max="6" width="4.140625" style="0" customWidth="1"/>
    <col min="7" max="7" width="8.421875" style="0" customWidth="1"/>
    <col min="8" max="8" width="14.28125" style="0" customWidth="1"/>
    <col min="9" max="9" width="8.8515625" style="0" customWidth="1"/>
    <col min="10" max="10" width="12.421875" style="0" hidden="1" customWidth="1"/>
    <col min="11" max="11" width="11.7109375" style="0" customWidth="1"/>
    <col min="12" max="12" width="11.28125" style="0" customWidth="1"/>
    <col min="13" max="13" width="12.421875" style="0" hidden="1" customWidth="1"/>
    <col min="14" max="14" width="9.140625" style="0" customWidth="1"/>
    <col min="15" max="15" width="12.8515625" style="0" customWidth="1"/>
    <col min="16" max="16" width="12.421875" style="0" customWidth="1"/>
    <col min="17" max="17" width="10.28125" style="0" customWidth="1"/>
    <col min="18" max="26" width="12.421875" style="0" customWidth="1"/>
    <col min="28" max="28" width="12.421875" style="0" bestFit="1" customWidth="1"/>
  </cols>
  <sheetData>
    <row r="1" spans="1:27" s="70" customFormat="1" ht="27.75" customHeight="1">
      <c r="A1" s="642" t="s">
        <v>442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2"/>
      <c r="W1" s="642"/>
      <c r="X1" s="642"/>
      <c r="Y1" s="642"/>
      <c r="Z1"/>
      <c r="AA1" s="70">
        <v>100</v>
      </c>
    </row>
    <row r="2" spans="1:26" s="70" customFormat="1" ht="12.75" customHeight="1">
      <c r="A2" s="643" t="s">
        <v>136</v>
      </c>
      <c r="B2" s="643" t="s">
        <v>137</v>
      </c>
      <c r="C2" s="643"/>
      <c r="D2" s="643"/>
      <c r="E2" s="643"/>
      <c r="F2" s="643"/>
      <c r="G2" s="643"/>
      <c r="H2" s="640" t="s">
        <v>138</v>
      </c>
      <c r="I2" s="640" t="s">
        <v>139</v>
      </c>
      <c r="J2" s="640"/>
      <c r="K2" s="640"/>
      <c r="L2" s="640"/>
      <c r="M2" s="640"/>
      <c r="N2" s="640"/>
      <c r="O2" s="640" t="s">
        <v>166</v>
      </c>
      <c r="P2" s="640" t="s">
        <v>4</v>
      </c>
      <c r="Q2" s="640"/>
      <c r="R2" s="640" t="s">
        <v>140</v>
      </c>
      <c r="S2" s="640" t="s">
        <v>141</v>
      </c>
      <c r="T2" s="640" t="s">
        <v>142</v>
      </c>
      <c r="U2" s="640" t="s">
        <v>143</v>
      </c>
      <c r="V2" s="640" t="s">
        <v>144</v>
      </c>
      <c r="W2" s="640" t="s">
        <v>160</v>
      </c>
      <c r="X2" s="640" t="s">
        <v>393</v>
      </c>
      <c r="Y2" s="640" t="s">
        <v>392</v>
      </c>
      <c r="Z2"/>
    </row>
    <row r="3" spans="1:26" s="70" customFormat="1" ht="25.5" customHeight="1">
      <c r="A3" s="643"/>
      <c r="B3" s="643" t="s">
        <v>145</v>
      </c>
      <c r="C3" s="643"/>
      <c r="D3" s="643"/>
      <c r="E3" s="643" t="s">
        <v>146</v>
      </c>
      <c r="F3" s="643"/>
      <c r="G3" s="643"/>
      <c r="H3" s="640"/>
      <c r="I3" s="644" t="s">
        <v>147</v>
      </c>
      <c r="J3" s="644" t="s">
        <v>148</v>
      </c>
      <c r="K3" s="641" t="s">
        <v>149</v>
      </c>
      <c r="L3" s="641"/>
      <c r="M3" s="644" t="s">
        <v>150</v>
      </c>
      <c r="N3" s="644" t="s">
        <v>147</v>
      </c>
      <c r="O3" s="640"/>
      <c r="P3" s="640" t="s">
        <v>151</v>
      </c>
      <c r="Q3" s="640" t="s">
        <v>152</v>
      </c>
      <c r="R3" s="640"/>
      <c r="S3" s="640"/>
      <c r="T3" s="640"/>
      <c r="U3" s="640"/>
      <c r="V3" s="640"/>
      <c r="W3" s="640"/>
      <c r="X3" s="640"/>
      <c r="Y3" s="640"/>
      <c r="Z3"/>
    </row>
    <row r="4" spans="1:28" s="70" customFormat="1" ht="33.75" customHeight="1">
      <c r="A4" s="643"/>
      <c r="B4" s="643"/>
      <c r="C4" s="643"/>
      <c r="D4" s="643"/>
      <c r="E4" s="643"/>
      <c r="F4" s="643"/>
      <c r="G4" s="643"/>
      <c r="H4" s="640"/>
      <c r="I4" s="644"/>
      <c r="J4" s="644"/>
      <c r="K4" s="292" t="s">
        <v>153</v>
      </c>
      <c r="L4" s="292" t="s">
        <v>154</v>
      </c>
      <c r="M4" s="644"/>
      <c r="N4" s="644"/>
      <c r="O4" s="640"/>
      <c r="P4" s="640"/>
      <c r="Q4" s="640"/>
      <c r="R4" s="640"/>
      <c r="S4" s="640"/>
      <c r="T4" s="640"/>
      <c r="U4" s="640"/>
      <c r="V4" s="640"/>
      <c r="W4" s="640"/>
      <c r="X4" s="640"/>
      <c r="Y4" s="640"/>
      <c r="Z4"/>
      <c r="AB4" s="232">
        <f>'ORÇA '!K84</f>
        <v>605484.0299999999</v>
      </c>
    </row>
    <row r="5" spans="1:26" s="152" customFormat="1" ht="32.25" customHeight="1">
      <c r="A5" s="296" t="s">
        <v>424</v>
      </c>
      <c r="B5" s="297">
        <v>0</v>
      </c>
      <c r="C5" s="298" t="s">
        <v>155</v>
      </c>
      <c r="D5" s="299">
        <v>0</v>
      </c>
      <c r="E5" s="297">
        <v>9</v>
      </c>
      <c r="F5" s="297" t="s">
        <v>155</v>
      </c>
      <c r="G5" s="300">
        <v>13.153</v>
      </c>
      <c r="H5" s="301">
        <f>(E5*20+G5)-(B5*20+D5)</f>
        <v>193.153</v>
      </c>
      <c r="I5" s="302">
        <v>0.5</v>
      </c>
      <c r="J5" s="302">
        <v>0</v>
      </c>
      <c r="K5" s="302">
        <v>3.5</v>
      </c>
      <c r="L5" s="302">
        <v>3.5</v>
      </c>
      <c r="M5" s="303">
        <v>0</v>
      </c>
      <c r="N5" s="302">
        <v>0.5</v>
      </c>
      <c r="O5" s="302">
        <f>H5*3</f>
        <v>579.459</v>
      </c>
      <c r="P5" s="283">
        <v>927.92</v>
      </c>
      <c r="Q5" s="283">
        <v>0</v>
      </c>
      <c r="R5" s="304">
        <f>INT((I5+J5+K5+L5+M5+N5)*H5*100+0.5)/100</f>
        <v>1545.22</v>
      </c>
      <c r="S5" s="304">
        <f>INT((I5+J5+K5+L5+M5+N5)*H5*0.2*100+0.5)/100</f>
        <v>309.04</v>
      </c>
      <c r="T5" s="304">
        <f>INT((I5+J5+K5+L5+M5+N5)*H5*0.2*100+0.5)/100</f>
        <v>309.04</v>
      </c>
      <c r="U5" s="239">
        <f>INT((I5+J5+K5+L5+M5+N5)*H5*0.2*100+0.5)/100</f>
        <v>309.04</v>
      </c>
      <c r="V5" s="236">
        <f>INT(((J5-0.3)+K5+L5+(M5-0.3))*H5*100+0.5)/100</f>
        <v>1236.18</v>
      </c>
      <c r="W5" s="236">
        <f>INT(((J5-0.3)+K5+L5+(M5-0.3))*H5*100+0.5)/100</f>
        <v>1236.18</v>
      </c>
      <c r="X5" s="236">
        <f>V5*0.04</f>
        <v>49.4472</v>
      </c>
      <c r="Y5" s="236">
        <f>(H5*2)-(2*3.5)</f>
        <v>379.306</v>
      </c>
      <c r="Z5"/>
    </row>
    <row r="6" spans="1:26" s="152" customFormat="1" ht="24" customHeight="1">
      <c r="A6" s="305"/>
      <c r="B6" s="306"/>
      <c r="C6" s="307"/>
      <c r="D6" s="308"/>
      <c r="E6" s="306"/>
      <c r="F6" s="306"/>
      <c r="G6" s="309"/>
      <c r="H6" s="310"/>
      <c r="I6" s="311"/>
      <c r="J6" s="311"/>
      <c r="K6" s="311"/>
      <c r="L6" s="311"/>
      <c r="M6" s="312"/>
      <c r="N6" s="312"/>
      <c r="O6" s="312"/>
      <c r="P6" s="284"/>
      <c r="Q6" s="284"/>
      <c r="R6" s="284"/>
      <c r="S6" s="284"/>
      <c r="T6" s="284"/>
      <c r="U6" s="242"/>
      <c r="V6" s="241"/>
      <c r="W6" s="241"/>
      <c r="X6" s="242"/>
      <c r="Y6" s="241"/>
      <c r="Z6"/>
    </row>
    <row r="7" spans="1:26" s="152" customFormat="1" ht="23.25" customHeight="1">
      <c r="A7" s="313" t="s">
        <v>425</v>
      </c>
      <c r="B7" s="297">
        <v>0</v>
      </c>
      <c r="C7" s="298" t="s">
        <v>155</v>
      </c>
      <c r="D7" s="299">
        <v>0</v>
      </c>
      <c r="E7" s="297">
        <v>13</v>
      </c>
      <c r="F7" s="297" t="s">
        <v>155</v>
      </c>
      <c r="G7" s="300">
        <v>7.431</v>
      </c>
      <c r="H7" s="301">
        <f>(E7*20+G7)-(B7*20+D7)</f>
        <v>267.431</v>
      </c>
      <c r="I7" s="302">
        <v>0.5</v>
      </c>
      <c r="J7" s="302">
        <v>0</v>
      </c>
      <c r="K7" s="302">
        <v>3.5</v>
      </c>
      <c r="L7" s="302">
        <v>3.5</v>
      </c>
      <c r="M7" s="303">
        <v>0</v>
      </c>
      <c r="N7" s="302">
        <v>0.5</v>
      </c>
      <c r="O7" s="302">
        <f>H7*3</f>
        <v>802.2929999999999</v>
      </c>
      <c r="P7" s="283">
        <v>1241.02</v>
      </c>
      <c r="Q7" s="283">
        <v>0</v>
      </c>
      <c r="R7" s="304">
        <f>INT((I7+J7+K7+L7+M7+N7)*H7*100+0.5)/100</f>
        <v>2139.45</v>
      </c>
      <c r="S7" s="304">
        <f>INT((I7+J7+K7+L7+M7+N7)*H7*0.2*100+0.5)/100</f>
        <v>427.89</v>
      </c>
      <c r="T7" s="304">
        <f>INT((I7+J7+K7+L7+M7+N7)*H7*0.2*100+0.5)/100</f>
        <v>427.89</v>
      </c>
      <c r="U7" s="239">
        <f>INT((I7+J7+K7+L7+M7+N7)*H7*0.2*100+0.5)/100</f>
        <v>427.89</v>
      </c>
      <c r="V7" s="236">
        <f>INT(((J7-0.3)+K7+L7+(M7-0.3))*H7*100+0.5)/100</f>
        <v>1711.56</v>
      </c>
      <c r="W7" s="236">
        <f>INT(((J7-0.3)+K7+L7+(M7-0.3))*H7*100+0.5)/100</f>
        <v>1711.56</v>
      </c>
      <c r="X7" s="236">
        <f>V7*0.04</f>
        <v>68.4624</v>
      </c>
      <c r="Y7" s="236">
        <f>(H7*2)-(4*3.5)</f>
        <v>520.862</v>
      </c>
      <c r="Z7"/>
    </row>
    <row r="8" spans="1:26" s="152" customFormat="1" ht="24" customHeight="1">
      <c r="A8" s="305"/>
      <c r="B8" s="306"/>
      <c r="C8" s="307"/>
      <c r="D8" s="308"/>
      <c r="E8" s="306"/>
      <c r="F8" s="306"/>
      <c r="G8" s="309"/>
      <c r="H8" s="310"/>
      <c r="I8" s="311"/>
      <c r="J8" s="311"/>
      <c r="K8" s="311"/>
      <c r="L8" s="311"/>
      <c r="M8" s="312"/>
      <c r="N8" s="312"/>
      <c r="O8" s="312"/>
      <c r="P8" s="284"/>
      <c r="Q8" s="284"/>
      <c r="R8" s="284"/>
      <c r="S8" s="284"/>
      <c r="T8" s="284"/>
      <c r="U8" s="242"/>
      <c r="V8" s="241"/>
      <c r="W8" s="241"/>
      <c r="X8" s="242"/>
      <c r="Y8" s="241"/>
      <c r="Z8"/>
    </row>
    <row r="9" spans="1:26" s="152" customFormat="1" ht="30.75" customHeight="1">
      <c r="A9" s="296" t="s">
        <v>426</v>
      </c>
      <c r="B9" s="297">
        <v>0</v>
      </c>
      <c r="C9" s="298" t="s">
        <v>155</v>
      </c>
      <c r="D9" s="299">
        <v>0</v>
      </c>
      <c r="E9" s="297">
        <v>2</v>
      </c>
      <c r="F9" s="297" t="s">
        <v>155</v>
      </c>
      <c r="G9" s="300">
        <v>4.233</v>
      </c>
      <c r="H9" s="301">
        <f>(E9*20+G9)-(B9*20+D9)</f>
        <v>44.233</v>
      </c>
      <c r="I9" s="302">
        <v>0.5</v>
      </c>
      <c r="J9" s="302">
        <v>0</v>
      </c>
      <c r="K9" s="302">
        <v>3.5</v>
      </c>
      <c r="L9" s="302">
        <v>3.5</v>
      </c>
      <c r="M9" s="303">
        <v>0</v>
      </c>
      <c r="N9" s="302">
        <v>0.5</v>
      </c>
      <c r="O9" s="302">
        <f>H9*3</f>
        <v>132.69899999999998</v>
      </c>
      <c r="P9" s="285">
        <v>200.29</v>
      </c>
      <c r="Q9" s="285">
        <v>0</v>
      </c>
      <c r="R9" s="304">
        <f>INT((I9+J9+K9+L9+M9+N9)*H9*100+0.5)/100</f>
        <v>353.86</v>
      </c>
      <c r="S9" s="304">
        <f>INT((I9+J9+K9+L9+M9+N9)*H9*0.2*100+0.5)/100</f>
        <v>70.77</v>
      </c>
      <c r="T9" s="304">
        <f>INT((I9+J9+K9+L9+M9+N9)*H9*0.2*100+0.5)/100</f>
        <v>70.77</v>
      </c>
      <c r="U9" s="239">
        <f>INT((I9+J9+K9+L9+M9+N9)*H9*0.2*100+0.5)/100</f>
        <v>70.77</v>
      </c>
      <c r="V9" s="236">
        <f>INT(((J9-0.3)+K9+L9+(M9-0.3))*H9*100+0.5)/100</f>
        <v>283.09</v>
      </c>
      <c r="W9" s="236">
        <f>INT(((J9-0.3)+K9+L9+(M9-0.3))*H9*100+0.5)/100</f>
        <v>283.09</v>
      </c>
      <c r="X9" s="236">
        <f>V9*0.04</f>
        <v>11.323599999999999</v>
      </c>
      <c r="Y9" s="236">
        <f>(H9*2)-(2*7)</f>
        <v>74.466</v>
      </c>
      <c r="Z9"/>
    </row>
    <row r="10" spans="1:26" s="152" customFormat="1" ht="24" customHeight="1">
      <c r="A10" s="296"/>
      <c r="B10" s="297"/>
      <c r="C10" s="298"/>
      <c r="D10" s="299"/>
      <c r="E10" s="297"/>
      <c r="F10" s="297"/>
      <c r="G10" s="300"/>
      <c r="H10" s="301"/>
      <c r="I10" s="302"/>
      <c r="J10" s="302"/>
      <c r="K10" s="302"/>
      <c r="L10" s="302"/>
      <c r="M10" s="303"/>
      <c r="N10" s="302"/>
      <c r="O10" s="302"/>
      <c r="P10" s="283"/>
      <c r="Q10" s="283"/>
      <c r="R10" s="304"/>
      <c r="S10" s="304"/>
      <c r="T10" s="304"/>
      <c r="U10" s="239"/>
      <c r="V10" s="236"/>
      <c r="W10" s="236"/>
      <c r="X10" s="236"/>
      <c r="Y10" s="236"/>
      <c r="Z10"/>
    </row>
    <row r="11" spans="1:26" s="152" customFormat="1" ht="33.75" customHeight="1">
      <c r="A11" s="296" t="s">
        <v>427</v>
      </c>
      <c r="B11" s="297">
        <v>0</v>
      </c>
      <c r="C11" s="298" t="s">
        <v>155</v>
      </c>
      <c r="D11" s="299">
        <v>0</v>
      </c>
      <c r="E11" s="297">
        <v>2</v>
      </c>
      <c r="F11" s="297" t="s">
        <v>155</v>
      </c>
      <c r="G11" s="300">
        <v>16.14</v>
      </c>
      <c r="H11" s="301">
        <f>(E11*20+G11)-(B11*20+D11)</f>
        <v>56.14</v>
      </c>
      <c r="I11" s="302">
        <v>0.5</v>
      </c>
      <c r="J11" s="302">
        <v>0</v>
      </c>
      <c r="K11" s="302">
        <v>3.5</v>
      </c>
      <c r="L11" s="302">
        <v>3.5</v>
      </c>
      <c r="M11" s="303">
        <v>0</v>
      </c>
      <c r="N11" s="302">
        <v>0.5</v>
      </c>
      <c r="O11" s="302">
        <f>H11*3</f>
        <v>168.42000000000002</v>
      </c>
      <c r="P11" s="285">
        <v>304.29</v>
      </c>
      <c r="Q11" s="285"/>
      <c r="R11" s="304">
        <f>INT((I11+J11+K11+L11+M11+N11)*H11*100+0.5)/100</f>
        <v>449.12</v>
      </c>
      <c r="S11" s="304">
        <f>INT((I11+J11+K11+L11+M11+N11)*H11*0.2*100+0.5)/100</f>
        <v>89.82</v>
      </c>
      <c r="T11" s="304">
        <f>INT((I11+J11+K11+L11+M11+N11)*H11*0.2*100+0.5)/100</f>
        <v>89.82</v>
      </c>
      <c r="U11" s="239">
        <f>INT((I11+J11+K11+L11+M11+N11)*H11*0.2*100+0.5)/100</f>
        <v>89.82</v>
      </c>
      <c r="V11" s="236">
        <f>INT(((J11-0.3)+K11+L11+(M11-0.3))*H11*100+0.5)/100</f>
        <v>359.3</v>
      </c>
      <c r="W11" s="236">
        <f>INT(((J11-0.3)+K11+L11+(M11-0.3))*H11*100+0.5)/100</f>
        <v>359.3</v>
      </c>
      <c r="X11" s="236">
        <f>V11*0.04</f>
        <v>14.372</v>
      </c>
      <c r="Y11" s="236">
        <f>(H11*2)-(2*7)</f>
        <v>98.28</v>
      </c>
      <c r="Z11"/>
    </row>
    <row r="12" spans="1:26" s="152" customFormat="1" ht="33.75" customHeight="1">
      <c r="A12" s="296"/>
      <c r="B12" s="297"/>
      <c r="C12" s="298"/>
      <c r="D12" s="299"/>
      <c r="E12" s="297"/>
      <c r="F12" s="297"/>
      <c r="G12" s="300"/>
      <c r="H12" s="301"/>
      <c r="I12" s="302"/>
      <c r="J12" s="302"/>
      <c r="K12" s="302"/>
      <c r="L12" s="302"/>
      <c r="M12" s="303"/>
      <c r="N12" s="302"/>
      <c r="O12" s="302"/>
      <c r="P12" s="285"/>
      <c r="Q12" s="285"/>
      <c r="R12" s="304"/>
      <c r="S12" s="304"/>
      <c r="T12" s="304"/>
      <c r="U12" s="239"/>
      <c r="V12" s="236"/>
      <c r="W12" s="236"/>
      <c r="X12" s="236"/>
      <c r="Y12" s="236"/>
      <c r="Z12"/>
    </row>
    <row r="13" spans="1:26" s="152" customFormat="1" ht="24" customHeight="1">
      <c r="A13" s="296" t="s">
        <v>428</v>
      </c>
      <c r="B13" s="297">
        <v>0</v>
      </c>
      <c r="C13" s="298" t="s">
        <v>155</v>
      </c>
      <c r="D13" s="299">
        <v>0</v>
      </c>
      <c r="E13" s="297">
        <v>8</v>
      </c>
      <c r="F13" s="297" t="s">
        <v>155</v>
      </c>
      <c r="G13" s="300">
        <v>3.296</v>
      </c>
      <c r="H13" s="301">
        <f>(E13*20+G13)-(B13*20+D13)</f>
        <v>163.296</v>
      </c>
      <c r="I13" s="302">
        <v>0.5</v>
      </c>
      <c r="J13" s="302">
        <v>0</v>
      </c>
      <c r="K13" s="302">
        <v>3.5</v>
      </c>
      <c r="L13" s="302">
        <v>3.5</v>
      </c>
      <c r="M13" s="303">
        <v>0</v>
      </c>
      <c r="N13" s="302">
        <v>0.5</v>
      </c>
      <c r="O13" s="302">
        <f>H13*3</f>
        <v>489.888</v>
      </c>
      <c r="P13" s="285">
        <v>759.51</v>
      </c>
      <c r="Q13" s="285">
        <v>0</v>
      </c>
      <c r="R13" s="304">
        <f>INT((I13+J13+K13+L13+M13+N13)*H13*100+0.5)/100</f>
        <v>1306.37</v>
      </c>
      <c r="S13" s="304">
        <f>INT((I13+J13+K13+L13+M13+N13)*H13*0.2*100+0.5)/100</f>
        <v>261.27</v>
      </c>
      <c r="T13" s="304">
        <f>INT((I13+J13+K13+L13+M13+N13)*H13*0.2*100+0.5)/100</f>
        <v>261.27</v>
      </c>
      <c r="U13" s="239">
        <f>INT((I13+J13+K13+L13+M13+N13)*H13*0.2*100+0.5)/100</f>
        <v>261.27</v>
      </c>
      <c r="V13" s="236">
        <f>INT(((J13-0.3)+K13+L13+(M13-0.3))*H13*100+0.5)/100</f>
        <v>1045.09</v>
      </c>
      <c r="W13" s="236">
        <f>INT(((J13-0.3)+K13+L13+(M13-0.3))*H13*100+0.5)/100</f>
        <v>1045.09</v>
      </c>
      <c r="X13" s="236">
        <f>V13*0.04</f>
        <v>41.803599999999996</v>
      </c>
      <c r="Y13" s="236">
        <f>(H13*2)-(2*7)</f>
        <v>312.592</v>
      </c>
      <c r="Z13"/>
    </row>
    <row r="14" spans="1:26" s="152" customFormat="1" ht="24" customHeight="1">
      <c r="A14" s="296"/>
      <c r="B14" s="297"/>
      <c r="C14" s="298"/>
      <c r="D14" s="299"/>
      <c r="E14" s="297"/>
      <c r="F14" s="297"/>
      <c r="G14" s="300"/>
      <c r="H14" s="301"/>
      <c r="I14" s="302"/>
      <c r="J14" s="302"/>
      <c r="K14" s="302"/>
      <c r="L14" s="302"/>
      <c r="M14" s="303"/>
      <c r="N14" s="302"/>
      <c r="O14" s="302"/>
      <c r="P14" s="285"/>
      <c r="Q14" s="285"/>
      <c r="R14" s="304"/>
      <c r="S14" s="304"/>
      <c r="T14" s="304"/>
      <c r="U14" s="239"/>
      <c r="V14" s="236"/>
      <c r="W14" s="236"/>
      <c r="X14" s="236"/>
      <c r="Y14" s="236"/>
      <c r="Z14"/>
    </row>
    <row r="15" spans="1:26" s="152" customFormat="1" ht="24" customHeight="1">
      <c r="A15" s="296" t="s">
        <v>388</v>
      </c>
      <c r="B15" s="297">
        <v>0</v>
      </c>
      <c r="C15" s="298" t="s">
        <v>155</v>
      </c>
      <c r="D15" s="299">
        <v>0</v>
      </c>
      <c r="E15" s="297">
        <v>0</v>
      </c>
      <c r="F15" s="297" t="s">
        <v>155</v>
      </c>
      <c r="G15" s="300">
        <v>15</v>
      </c>
      <c r="H15" s="301">
        <f aca="true" t="shared" si="0" ref="H15:H22">(E15*20+G15)-(B15*20+D15)</f>
        <v>15</v>
      </c>
      <c r="I15" s="302">
        <v>0.5</v>
      </c>
      <c r="J15" s="302">
        <v>0</v>
      </c>
      <c r="K15" s="302">
        <v>3.5</v>
      </c>
      <c r="L15" s="302">
        <v>3.5</v>
      </c>
      <c r="M15" s="303">
        <v>0</v>
      </c>
      <c r="N15" s="302">
        <v>0.5</v>
      </c>
      <c r="O15" s="302">
        <f aca="true" t="shared" si="1" ref="O15:O22">H15*3</f>
        <v>45</v>
      </c>
      <c r="P15" s="283">
        <f aca="true" t="shared" si="2" ref="P15:P22">H15*(I15+K15+L15+N15)*1</f>
        <v>120</v>
      </c>
      <c r="Q15" s="283"/>
      <c r="R15" s="304">
        <f aca="true" t="shared" si="3" ref="R15:R22">INT((I15+J15+K15+L15+M15+N15)*H15*100+0.5)/100</f>
        <v>120</v>
      </c>
      <c r="S15" s="304">
        <f aca="true" t="shared" si="4" ref="S15:S22">INT((I15+J15+K15+L15+M15+N15)*H15*0.2*100+0.5)/100</f>
        <v>24</v>
      </c>
      <c r="T15" s="304">
        <f aca="true" t="shared" si="5" ref="T15:T22">INT((I15+J15+K15+L15+M15+N15)*H15*0.2*100+0.5)/100</f>
        <v>24</v>
      </c>
      <c r="U15" s="239">
        <f aca="true" t="shared" si="6" ref="U15:U22">INT((I15+J15+K15+L15+M15+N15)*H15*0.2*100+0.5)/100</f>
        <v>24</v>
      </c>
      <c r="V15" s="236">
        <f aca="true" t="shared" si="7" ref="V15:V22">INT(((J15-0.3)+K15+L15+(M15-0.3))*H15*100+0.5)/100</f>
        <v>96</v>
      </c>
      <c r="W15" s="236">
        <f aca="true" t="shared" si="8" ref="W15:W22">INT(((J15-0.3)+K15+L15+(M15-0.3))*H15*100+0.5)/100</f>
        <v>96</v>
      </c>
      <c r="X15" s="236">
        <f aca="true" t="shared" si="9" ref="X15:X22">V15*0.04</f>
        <v>3.84</v>
      </c>
      <c r="Y15" s="236">
        <f aca="true" t="shared" si="10" ref="Y15:Y22">(H15*2)</f>
        <v>30</v>
      </c>
      <c r="Z15"/>
    </row>
    <row r="16" spans="1:26" s="152" customFormat="1" ht="24" customHeight="1">
      <c r="A16" s="296" t="s">
        <v>388</v>
      </c>
      <c r="B16" s="297">
        <v>0</v>
      </c>
      <c r="C16" s="298" t="s">
        <v>155</v>
      </c>
      <c r="D16" s="299">
        <v>0</v>
      </c>
      <c r="E16" s="297">
        <v>0</v>
      </c>
      <c r="F16" s="297" t="s">
        <v>155</v>
      </c>
      <c r="G16" s="300">
        <v>15</v>
      </c>
      <c r="H16" s="301">
        <f t="shared" si="0"/>
        <v>15</v>
      </c>
      <c r="I16" s="302">
        <v>0.5</v>
      </c>
      <c r="J16" s="302">
        <v>0</v>
      </c>
      <c r="K16" s="302">
        <v>3.5</v>
      </c>
      <c r="L16" s="302">
        <v>3.5</v>
      </c>
      <c r="M16" s="303">
        <v>0</v>
      </c>
      <c r="N16" s="302">
        <v>0.5</v>
      </c>
      <c r="O16" s="302">
        <f t="shared" si="1"/>
        <v>45</v>
      </c>
      <c r="P16" s="283">
        <f t="shared" si="2"/>
        <v>120</v>
      </c>
      <c r="Q16" s="283"/>
      <c r="R16" s="304">
        <f t="shared" si="3"/>
        <v>120</v>
      </c>
      <c r="S16" s="304">
        <f t="shared" si="4"/>
        <v>24</v>
      </c>
      <c r="T16" s="304">
        <f t="shared" si="5"/>
        <v>24</v>
      </c>
      <c r="U16" s="239">
        <f t="shared" si="6"/>
        <v>24</v>
      </c>
      <c r="V16" s="236">
        <f t="shared" si="7"/>
        <v>96</v>
      </c>
      <c r="W16" s="236">
        <f t="shared" si="8"/>
        <v>96</v>
      </c>
      <c r="X16" s="236">
        <f t="shared" si="9"/>
        <v>3.84</v>
      </c>
      <c r="Y16" s="236">
        <f t="shared" si="10"/>
        <v>30</v>
      </c>
      <c r="Z16"/>
    </row>
    <row r="17" spans="1:26" s="152" customFormat="1" ht="24" customHeight="1">
      <c r="A17" s="296" t="s">
        <v>388</v>
      </c>
      <c r="B17" s="297">
        <v>0</v>
      </c>
      <c r="C17" s="298" t="s">
        <v>155</v>
      </c>
      <c r="D17" s="299">
        <v>0</v>
      </c>
      <c r="E17" s="297">
        <v>0</v>
      </c>
      <c r="F17" s="297" t="s">
        <v>155</v>
      </c>
      <c r="G17" s="300">
        <v>15</v>
      </c>
      <c r="H17" s="301">
        <f t="shared" si="0"/>
        <v>15</v>
      </c>
      <c r="I17" s="302">
        <v>0.5</v>
      </c>
      <c r="J17" s="302">
        <v>0</v>
      </c>
      <c r="K17" s="302">
        <v>3.5</v>
      </c>
      <c r="L17" s="302">
        <v>3.5</v>
      </c>
      <c r="M17" s="303">
        <v>0</v>
      </c>
      <c r="N17" s="302">
        <v>0.5</v>
      </c>
      <c r="O17" s="302">
        <f t="shared" si="1"/>
        <v>45</v>
      </c>
      <c r="P17" s="283">
        <f t="shared" si="2"/>
        <v>120</v>
      </c>
      <c r="Q17" s="283"/>
      <c r="R17" s="304">
        <f t="shared" si="3"/>
        <v>120</v>
      </c>
      <c r="S17" s="304">
        <f t="shared" si="4"/>
        <v>24</v>
      </c>
      <c r="T17" s="304">
        <f t="shared" si="5"/>
        <v>24</v>
      </c>
      <c r="U17" s="239">
        <f t="shared" si="6"/>
        <v>24</v>
      </c>
      <c r="V17" s="236">
        <f t="shared" si="7"/>
        <v>96</v>
      </c>
      <c r="W17" s="236">
        <f t="shared" si="8"/>
        <v>96</v>
      </c>
      <c r="X17" s="236">
        <f t="shared" si="9"/>
        <v>3.84</v>
      </c>
      <c r="Y17" s="236">
        <f t="shared" si="10"/>
        <v>30</v>
      </c>
      <c r="Z17"/>
    </row>
    <row r="18" spans="1:26" s="152" customFormat="1" ht="24" customHeight="1">
      <c r="A18" s="296" t="s">
        <v>388</v>
      </c>
      <c r="B18" s="297">
        <v>0</v>
      </c>
      <c r="C18" s="298" t="s">
        <v>155</v>
      </c>
      <c r="D18" s="299">
        <v>0</v>
      </c>
      <c r="E18" s="297">
        <v>0</v>
      </c>
      <c r="F18" s="297" t="s">
        <v>155</v>
      </c>
      <c r="G18" s="300">
        <v>15</v>
      </c>
      <c r="H18" s="301">
        <f t="shared" si="0"/>
        <v>15</v>
      </c>
      <c r="I18" s="302">
        <v>0.5</v>
      </c>
      <c r="J18" s="302"/>
      <c r="K18" s="302">
        <v>3.5</v>
      </c>
      <c r="L18" s="302">
        <v>3.5</v>
      </c>
      <c r="M18" s="303">
        <v>0</v>
      </c>
      <c r="N18" s="302">
        <v>0.5</v>
      </c>
      <c r="O18" s="302">
        <f t="shared" si="1"/>
        <v>45</v>
      </c>
      <c r="P18" s="283">
        <f t="shared" si="2"/>
        <v>120</v>
      </c>
      <c r="Q18" s="283"/>
      <c r="R18" s="304">
        <f t="shared" si="3"/>
        <v>120</v>
      </c>
      <c r="S18" s="304">
        <f t="shared" si="4"/>
        <v>24</v>
      </c>
      <c r="T18" s="304">
        <f t="shared" si="5"/>
        <v>24</v>
      </c>
      <c r="U18" s="239">
        <f t="shared" si="6"/>
        <v>24</v>
      </c>
      <c r="V18" s="236">
        <f t="shared" si="7"/>
        <v>96</v>
      </c>
      <c r="W18" s="236">
        <f t="shared" si="8"/>
        <v>96</v>
      </c>
      <c r="X18" s="236">
        <f t="shared" si="9"/>
        <v>3.84</v>
      </c>
      <c r="Y18" s="236">
        <f t="shared" si="10"/>
        <v>30</v>
      </c>
      <c r="Z18"/>
    </row>
    <row r="19" spans="1:26" s="152" customFormat="1" ht="24" customHeight="1">
      <c r="A19" s="296" t="s">
        <v>388</v>
      </c>
      <c r="B19" s="297">
        <v>0</v>
      </c>
      <c r="C19" s="298" t="s">
        <v>155</v>
      </c>
      <c r="D19" s="299">
        <v>0</v>
      </c>
      <c r="E19" s="297">
        <v>0</v>
      </c>
      <c r="F19" s="297" t="s">
        <v>155</v>
      </c>
      <c r="G19" s="300">
        <v>15</v>
      </c>
      <c r="H19" s="301">
        <f t="shared" si="0"/>
        <v>15</v>
      </c>
      <c r="I19" s="302">
        <v>0.5</v>
      </c>
      <c r="J19" s="302"/>
      <c r="K19" s="302">
        <v>3.5</v>
      </c>
      <c r="L19" s="302">
        <v>3.5</v>
      </c>
      <c r="M19" s="303">
        <v>0</v>
      </c>
      <c r="N19" s="302">
        <v>0.5</v>
      </c>
      <c r="O19" s="302">
        <f t="shared" si="1"/>
        <v>45</v>
      </c>
      <c r="P19" s="283">
        <f t="shared" si="2"/>
        <v>120</v>
      </c>
      <c r="Q19" s="283"/>
      <c r="R19" s="304">
        <f t="shared" si="3"/>
        <v>120</v>
      </c>
      <c r="S19" s="304">
        <f t="shared" si="4"/>
        <v>24</v>
      </c>
      <c r="T19" s="304">
        <f t="shared" si="5"/>
        <v>24</v>
      </c>
      <c r="U19" s="239">
        <f t="shared" si="6"/>
        <v>24</v>
      </c>
      <c r="V19" s="236">
        <f t="shared" si="7"/>
        <v>96</v>
      </c>
      <c r="W19" s="236">
        <f t="shared" si="8"/>
        <v>96</v>
      </c>
      <c r="X19" s="236">
        <f t="shared" si="9"/>
        <v>3.84</v>
      </c>
      <c r="Y19" s="236">
        <f t="shared" si="10"/>
        <v>30</v>
      </c>
      <c r="Z19"/>
    </row>
    <row r="20" spans="1:26" s="152" customFormat="1" ht="24" customHeight="1">
      <c r="A20" s="296" t="s">
        <v>388</v>
      </c>
      <c r="B20" s="297">
        <v>0</v>
      </c>
      <c r="C20" s="298" t="s">
        <v>155</v>
      </c>
      <c r="D20" s="299">
        <v>0</v>
      </c>
      <c r="E20" s="297">
        <v>0</v>
      </c>
      <c r="F20" s="297" t="s">
        <v>155</v>
      </c>
      <c r="G20" s="300">
        <v>15</v>
      </c>
      <c r="H20" s="301">
        <f t="shared" si="0"/>
        <v>15</v>
      </c>
      <c r="I20" s="302">
        <v>0.5</v>
      </c>
      <c r="J20" s="302"/>
      <c r="K20" s="302">
        <v>3.5</v>
      </c>
      <c r="L20" s="302">
        <v>3.5</v>
      </c>
      <c r="M20" s="303">
        <v>0</v>
      </c>
      <c r="N20" s="302">
        <v>0.5</v>
      </c>
      <c r="O20" s="302">
        <f t="shared" si="1"/>
        <v>45</v>
      </c>
      <c r="P20" s="283">
        <f t="shared" si="2"/>
        <v>120</v>
      </c>
      <c r="Q20" s="283"/>
      <c r="R20" s="304">
        <f t="shared" si="3"/>
        <v>120</v>
      </c>
      <c r="S20" s="304">
        <f t="shared" si="4"/>
        <v>24</v>
      </c>
      <c r="T20" s="304">
        <f t="shared" si="5"/>
        <v>24</v>
      </c>
      <c r="U20" s="239">
        <f t="shared" si="6"/>
        <v>24</v>
      </c>
      <c r="V20" s="236">
        <f t="shared" si="7"/>
        <v>96</v>
      </c>
      <c r="W20" s="236">
        <f t="shared" si="8"/>
        <v>96</v>
      </c>
      <c r="X20" s="236">
        <f t="shared" si="9"/>
        <v>3.84</v>
      </c>
      <c r="Y20" s="236">
        <f t="shared" si="10"/>
        <v>30</v>
      </c>
      <c r="Z20"/>
    </row>
    <row r="21" spans="1:26" s="152" customFormat="1" ht="24" customHeight="1">
      <c r="A21" s="296" t="s">
        <v>388</v>
      </c>
      <c r="B21" s="297">
        <v>0</v>
      </c>
      <c r="C21" s="298" t="s">
        <v>155</v>
      </c>
      <c r="D21" s="299">
        <v>0</v>
      </c>
      <c r="E21" s="297">
        <v>0</v>
      </c>
      <c r="F21" s="297" t="s">
        <v>155</v>
      </c>
      <c r="G21" s="300">
        <v>15</v>
      </c>
      <c r="H21" s="301">
        <f t="shared" si="0"/>
        <v>15</v>
      </c>
      <c r="I21" s="302">
        <v>0.5</v>
      </c>
      <c r="J21" s="302"/>
      <c r="K21" s="302">
        <v>3.5</v>
      </c>
      <c r="L21" s="302">
        <v>3.5</v>
      </c>
      <c r="M21" s="303">
        <v>0</v>
      </c>
      <c r="N21" s="302">
        <v>0.5</v>
      </c>
      <c r="O21" s="302">
        <f t="shared" si="1"/>
        <v>45</v>
      </c>
      <c r="P21" s="283">
        <f t="shared" si="2"/>
        <v>120</v>
      </c>
      <c r="Q21" s="283"/>
      <c r="R21" s="304">
        <f t="shared" si="3"/>
        <v>120</v>
      </c>
      <c r="S21" s="304">
        <f t="shared" si="4"/>
        <v>24</v>
      </c>
      <c r="T21" s="304">
        <f t="shared" si="5"/>
        <v>24</v>
      </c>
      <c r="U21" s="239">
        <f t="shared" si="6"/>
        <v>24</v>
      </c>
      <c r="V21" s="236">
        <f t="shared" si="7"/>
        <v>96</v>
      </c>
      <c r="W21" s="236">
        <f t="shared" si="8"/>
        <v>96</v>
      </c>
      <c r="X21" s="236">
        <f t="shared" si="9"/>
        <v>3.84</v>
      </c>
      <c r="Y21" s="236">
        <f t="shared" si="10"/>
        <v>30</v>
      </c>
      <c r="Z21"/>
    </row>
    <row r="22" spans="1:26" s="152" customFormat="1" ht="24" customHeight="1">
      <c r="A22" s="296" t="s">
        <v>388</v>
      </c>
      <c r="B22" s="297">
        <v>0</v>
      </c>
      <c r="C22" s="298" t="s">
        <v>155</v>
      </c>
      <c r="D22" s="299">
        <v>0</v>
      </c>
      <c r="E22" s="297">
        <v>0</v>
      </c>
      <c r="F22" s="297" t="s">
        <v>155</v>
      </c>
      <c r="G22" s="300">
        <v>15</v>
      </c>
      <c r="H22" s="301">
        <f t="shared" si="0"/>
        <v>15</v>
      </c>
      <c r="I22" s="302">
        <v>0.5</v>
      </c>
      <c r="J22" s="302"/>
      <c r="K22" s="302">
        <v>3.5</v>
      </c>
      <c r="L22" s="302">
        <v>3.5</v>
      </c>
      <c r="M22" s="303">
        <v>0</v>
      </c>
      <c r="N22" s="302">
        <v>0.5</v>
      </c>
      <c r="O22" s="302">
        <f t="shared" si="1"/>
        <v>45</v>
      </c>
      <c r="P22" s="283">
        <f t="shared" si="2"/>
        <v>120</v>
      </c>
      <c r="Q22" s="283"/>
      <c r="R22" s="304">
        <f t="shared" si="3"/>
        <v>120</v>
      </c>
      <c r="S22" s="304">
        <f t="shared" si="4"/>
        <v>24</v>
      </c>
      <c r="T22" s="304">
        <f t="shared" si="5"/>
        <v>24</v>
      </c>
      <c r="U22" s="239">
        <f t="shared" si="6"/>
        <v>24</v>
      </c>
      <c r="V22" s="236">
        <f t="shared" si="7"/>
        <v>96</v>
      </c>
      <c r="W22" s="236">
        <f t="shared" si="8"/>
        <v>96</v>
      </c>
      <c r="X22" s="236">
        <f t="shared" si="9"/>
        <v>3.84</v>
      </c>
      <c r="Y22" s="236">
        <f t="shared" si="10"/>
        <v>30</v>
      </c>
      <c r="Z22"/>
    </row>
    <row r="23" spans="1:26" s="152" customFormat="1" ht="15.75" customHeight="1">
      <c r="A23" s="233"/>
      <c r="B23" s="234"/>
      <c r="C23" s="235"/>
      <c r="D23" s="236"/>
      <c r="E23" s="234"/>
      <c r="F23" s="234"/>
      <c r="G23" s="236"/>
      <c r="H23" s="240"/>
      <c r="I23" s="237"/>
      <c r="J23" s="237"/>
      <c r="K23" s="237"/>
      <c r="L23" s="237"/>
      <c r="M23" s="236"/>
      <c r="N23" s="237"/>
      <c r="O23" s="237"/>
      <c r="P23" s="238"/>
      <c r="Q23" s="238"/>
      <c r="R23" s="239"/>
      <c r="S23" s="239"/>
      <c r="T23" s="239"/>
      <c r="U23" s="239"/>
      <c r="V23" s="236"/>
      <c r="W23" s="236"/>
      <c r="X23" s="236"/>
      <c r="Y23" s="236"/>
      <c r="Z23"/>
    </row>
    <row r="24" spans="1:26" s="152" customFormat="1" ht="36.75" customHeight="1">
      <c r="A24" s="293" t="s">
        <v>18</v>
      </c>
      <c r="B24" s="243"/>
      <c r="C24" s="244"/>
      <c r="D24" s="245"/>
      <c r="E24" s="243"/>
      <c r="F24" s="243"/>
      <c r="G24" s="245"/>
      <c r="H24" s="246">
        <f>SUM(H5:H22)</f>
        <v>844.2529999999999</v>
      </c>
      <c r="I24" s="246"/>
      <c r="J24" s="246"/>
      <c r="K24" s="246"/>
      <c r="L24" s="246"/>
      <c r="M24" s="246"/>
      <c r="N24" s="246"/>
      <c r="O24" s="246">
        <f>SUM(O5:O22)</f>
        <v>2532.759</v>
      </c>
      <c r="P24" s="246">
        <f>SUM(P5:P22)</f>
        <v>4393.03</v>
      </c>
      <c r="Q24" s="246">
        <f>SUM(Q10:Q23)</f>
        <v>0</v>
      </c>
      <c r="R24" s="246">
        <f aca="true" t="shared" si="11" ref="R24:Y24">SUM(R5:R22)</f>
        <v>6754.02</v>
      </c>
      <c r="S24" s="246">
        <f t="shared" si="11"/>
        <v>1350.79</v>
      </c>
      <c r="T24" s="246">
        <f t="shared" si="11"/>
        <v>1350.79</v>
      </c>
      <c r="U24" s="246">
        <f t="shared" si="11"/>
        <v>1350.79</v>
      </c>
      <c r="V24" s="246">
        <f t="shared" si="11"/>
        <v>5403.22</v>
      </c>
      <c r="W24" s="246">
        <f t="shared" si="11"/>
        <v>5403.22</v>
      </c>
      <c r="X24" s="246">
        <f t="shared" si="11"/>
        <v>216.12880000000004</v>
      </c>
      <c r="Y24" s="246">
        <f t="shared" si="11"/>
        <v>1625.5059999999999</v>
      </c>
      <c r="Z24"/>
    </row>
    <row r="25" spans="1:26" s="152" customFormat="1" ht="15.75" customHeight="1">
      <c r="A25"/>
      <c r="B25"/>
      <c r="C25"/>
      <c r="D25"/>
      <c r="E25"/>
      <c r="F25"/>
      <c r="G25"/>
      <c r="H25" s="247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s="152" customFormat="1" ht="15.75" customHeight="1">
      <c r="A26"/>
      <c r="B26"/>
      <c r="C26"/>
      <c r="D26"/>
      <c r="E26"/>
      <c r="F26"/>
      <c r="G26"/>
      <c r="H26" s="110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s="152" customFormat="1" ht="15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 s="21"/>
      <c r="Q27"/>
      <c r="R27"/>
      <c r="S27" s="68"/>
      <c r="T27"/>
      <c r="U27"/>
      <c r="V27"/>
      <c r="W27"/>
      <c r="X27" s="110"/>
      <c r="Y27"/>
      <c r="Z27"/>
    </row>
    <row r="28" spans="1:26" s="70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 s="132"/>
      <c r="P28" s="132"/>
      <c r="Q28" s="132"/>
      <c r="R28" s="132"/>
      <c r="S28"/>
      <c r="T28"/>
      <c r="U28"/>
      <c r="V28"/>
      <c r="W28"/>
      <c r="X28"/>
      <c r="Y28"/>
      <c r="Z28"/>
    </row>
    <row r="29" spans="1:26" s="70" customFormat="1" ht="12.75">
      <c r="A29"/>
      <c r="B29"/>
      <c r="C29"/>
      <c r="D29"/>
      <c r="E29"/>
      <c r="F29"/>
      <c r="G29"/>
      <c r="H29"/>
      <c r="I29"/>
      <c r="J29"/>
      <c r="K29"/>
      <c r="L29" s="27"/>
      <c r="M29"/>
      <c r="N29"/>
      <c r="O29" s="132"/>
      <c r="P29" s="132"/>
      <c r="Q29" s="132"/>
      <c r="R29" s="132"/>
      <c r="S29"/>
      <c r="T29"/>
      <c r="U29"/>
      <c r="V29"/>
      <c r="W29"/>
      <c r="X29"/>
      <c r="Y29"/>
      <c r="Z29"/>
    </row>
    <row r="30" spans="12:18" ht="12.75">
      <c r="L30" s="27"/>
      <c r="O30" s="132"/>
      <c r="P30" s="132"/>
      <c r="Q30" s="132"/>
      <c r="R30" s="132"/>
    </row>
    <row r="31" spans="12:18" ht="12.75">
      <c r="L31" s="27"/>
      <c r="O31" s="132"/>
      <c r="P31" s="132"/>
      <c r="Q31" s="132"/>
      <c r="R31" s="132"/>
    </row>
    <row r="32" ht="12.75">
      <c r="L32" s="27"/>
    </row>
    <row r="33" ht="12.75">
      <c r="L33" s="27"/>
    </row>
    <row r="34" ht="12.75">
      <c r="L34" s="27"/>
    </row>
    <row r="35" ht="12.75">
      <c r="L35" s="27"/>
    </row>
    <row r="36" ht="12.75">
      <c r="L36" s="27"/>
    </row>
    <row r="37" ht="12.75">
      <c r="L37" s="27"/>
    </row>
    <row r="38" ht="12.75">
      <c r="L38" s="27"/>
    </row>
    <row r="39" ht="12.75">
      <c r="L39" s="27"/>
    </row>
    <row r="40" ht="12.75">
      <c r="L40" s="27"/>
    </row>
    <row r="41" ht="12.75">
      <c r="L41" s="27"/>
    </row>
    <row r="42" ht="12.75">
      <c r="L42" s="27"/>
    </row>
    <row r="43" ht="12.75">
      <c r="L43" s="27"/>
    </row>
    <row r="44" ht="12.75">
      <c r="L44" s="27"/>
    </row>
    <row r="45" ht="12.75">
      <c r="L45" s="27"/>
    </row>
    <row r="46" ht="12.75">
      <c r="L46" s="27"/>
    </row>
    <row r="47" ht="12.75">
      <c r="L47" s="27"/>
    </row>
    <row r="48" ht="12.75">
      <c r="L48" s="27"/>
    </row>
    <row r="49" ht="12.75">
      <c r="L49" s="27"/>
    </row>
    <row r="50" ht="12.75">
      <c r="L50" s="27"/>
    </row>
    <row r="51" ht="12.75">
      <c r="L51" s="27"/>
    </row>
    <row r="52" ht="12.75">
      <c r="L52" s="27"/>
    </row>
    <row r="53" ht="12.75">
      <c r="L53" s="27"/>
    </row>
    <row r="54" ht="12.75">
      <c r="L54" s="27"/>
    </row>
    <row r="55" ht="12.75">
      <c r="L55" s="27"/>
    </row>
    <row r="56" ht="12.75">
      <c r="L56" s="27"/>
    </row>
    <row r="57" ht="12.75">
      <c r="L57" s="27"/>
    </row>
    <row r="58" ht="12.75">
      <c r="L58" s="27"/>
    </row>
    <row r="59" ht="12.75">
      <c r="L59" s="27"/>
    </row>
    <row r="60" ht="12.75">
      <c r="L60" s="27"/>
    </row>
    <row r="61" ht="12.75">
      <c r="L61" s="27"/>
    </row>
    <row r="62" ht="12.75">
      <c r="L62" s="27"/>
    </row>
    <row r="63" ht="12.75">
      <c r="L63" s="27"/>
    </row>
    <row r="64" ht="12.75">
      <c r="L64" s="27"/>
    </row>
    <row r="65" ht="12.75">
      <c r="L65" s="27"/>
    </row>
    <row r="66" ht="12.75">
      <c r="L66" s="27"/>
    </row>
    <row r="67" ht="12.75">
      <c r="L67" s="27"/>
    </row>
  </sheetData>
  <sheetProtection/>
  <mergeCells count="24">
    <mergeCell ref="B3:D4"/>
    <mergeCell ref="E3:G4"/>
    <mergeCell ref="I3:I4"/>
    <mergeCell ref="W2:W4"/>
    <mergeCell ref="Q3:Q4"/>
    <mergeCell ref="M3:M4"/>
    <mergeCell ref="N3:N4"/>
    <mergeCell ref="O2:O4"/>
    <mergeCell ref="A1:Y1"/>
    <mergeCell ref="A2:A4"/>
    <mergeCell ref="B2:G2"/>
    <mergeCell ref="H2:H4"/>
    <mergeCell ref="I2:N2"/>
    <mergeCell ref="R2:R4"/>
    <mergeCell ref="V2:V4"/>
    <mergeCell ref="P2:Q2"/>
    <mergeCell ref="J3:J4"/>
    <mergeCell ref="X2:X4"/>
    <mergeCell ref="Y2:Y4"/>
    <mergeCell ref="T2:T4"/>
    <mergeCell ref="U2:U4"/>
    <mergeCell ref="S2:S4"/>
    <mergeCell ref="P3:P4"/>
    <mergeCell ref="K3:L3"/>
  </mergeCells>
  <printOptions horizontalCentered="1"/>
  <pageMargins left="0.11811023622047245" right="0.11811023622047245" top="0.7874015748031497" bottom="0.3937007874015748" header="0.31496062992125984" footer="0.31496062992125984"/>
  <pageSetup fitToHeight="1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="60" zoomScalePageLayoutView="0" workbookViewId="0" topLeftCell="A1">
      <selection activeCell="M5" sqref="M5:M6"/>
    </sheetView>
  </sheetViews>
  <sheetFormatPr defaultColWidth="9.140625" defaultRowHeight="12.75"/>
  <cols>
    <col min="1" max="1" width="8.00390625" style="0" customWidth="1"/>
    <col min="2" max="2" width="37.421875" style="0" customWidth="1"/>
    <col min="3" max="4" width="8.00390625" style="0" customWidth="1"/>
    <col min="5" max="5" width="15.7109375" style="0" customWidth="1"/>
    <col min="6" max="6" width="7.57421875" style="0" customWidth="1"/>
    <col min="7" max="8" width="15.57421875" style="0" customWidth="1"/>
    <col min="9" max="9" width="23.7109375" style="0" customWidth="1"/>
  </cols>
  <sheetData>
    <row r="1" spans="1:9" ht="15">
      <c r="A1" s="662" t="s">
        <v>187</v>
      </c>
      <c r="B1" s="663"/>
      <c r="C1" s="663"/>
      <c r="D1" s="664"/>
      <c r="E1" s="665"/>
      <c r="F1" s="665"/>
      <c r="G1" s="664"/>
      <c r="H1" s="665"/>
      <c r="I1" s="666"/>
    </row>
    <row r="2" spans="1:9" ht="15">
      <c r="A2" s="667" t="str">
        <f>QUANT!E3</f>
        <v>JARDIM ESMERALDA</v>
      </c>
      <c r="B2" s="668"/>
      <c r="C2" s="668"/>
      <c r="D2" s="669"/>
      <c r="E2" s="670"/>
      <c r="F2" s="670"/>
      <c r="G2" s="669"/>
      <c r="H2" s="670"/>
      <c r="I2" s="671"/>
    </row>
    <row r="3" spans="1:9" ht="32.25" customHeight="1">
      <c r="A3" s="704" t="str">
        <f>'MEMORIAL DE CALCULO'!A2</f>
        <v>RUA CHAPADA DOS GUIMARÃES(DOURADO), RUA JANGADA, RUA N. SRA DO LIVRAMENTO, RUA BARÃO DE MELGAÇO E RUA ROSÁRIO OESTE </v>
      </c>
      <c r="B3" s="705"/>
      <c r="C3" s="705"/>
      <c r="D3" s="705"/>
      <c r="E3" s="705"/>
      <c r="F3" s="705"/>
      <c r="G3" s="705"/>
      <c r="H3" s="705"/>
      <c r="I3" s="706"/>
    </row>
    <row r="4" spans="1:9" ht="12.75">
      <c r="A4" s="710"/>
      <c r="B4" s="670"/>
      <c r="C4" s="670"/>
      <c r="D4" s="669"/>
      <c r="E4" s="670"/>
      <c r="F4" s="670"/>
      <c r="G4" s="669"/>
      <c r="H4" s="670"/>
      <c r="I4" s="671"/>
    </row>
    <row r="5" spans="1:11" ht="13.5" thickBot="1">
      <c r="A5" s="707" t="s">
        <v>186</v>
      </c>
      <c r="B5" s="651"/>
      <c r="C5" s="651"/>
      <c r="D5" s="708"/>
      <c r="E5" s="651"/>
      <c r="F5" s="651"/>
      <c r="G5" s="708">
        <v>9.7</v>
      </c>
      <c r="H5" s="651"/>
      <c r="I5" s="709"/>
      <c r="J5" s="326"/>
      <c r="K5" s="326"/>
    </row>
    <row r="6" spans="1:11" ht="16.5" customHeight="1">
      <c r="A6" s="656" t="s">
        <v>170</v>
      </c>
      <c r="B6" s="657"/>
      <c r="C6" s="657"/>
      <c r="D6" s="657"/>
      <c r="E6" s="657"/>
      <c r="F6" s="657"/>
      <c r="G6" s="657"/>
      <c r="H6" s="657"/>
      <c r="I6" s="658"/>
      <c r="J6" s="326"/>
      <c r="K6" s="326"/>
    </row>
    <row r="7" spans="1:11" ht="16.5" customHeight="1" thickBot="1">
      <c r="A7" s="659"/>
      <c r="B7" s="660"/>
      <c r="C7" s="660"/>
      <c r="D7" s="660"/>
      <c r="E7" s="660"/>
      <c r="F7" s="660"/>
      <c r="G7" s="660"/>
      <c r="H7" s="660"/>
      <c r="I7" s="661"/>
      <c r="J7" s="326">
        <v>6.8</v>
      </c>
      <c r="K7" s="326"/>
    </row>
    <row r="8" spans="1:11" ht="15">
      <c r="A8" s="645" t="s">
        <v>42</v>
      </c>
      <c r="B8" s="647" t="s">
        <v>1</v>
      </c>
      <c r="C8" s="648"/>
      <c r="D8" s="649"/>
      <c r="E8" s="334" t="s">
        <v>171</v>
      </c>
      <c r="F8" s="334" t="s">
        <v>172</v>
      </c>
      <c r="G8" s="334" t="s">
        <v>173</v>
      </c>
      <c r="H8" s="334" t="s">
        <v>174</v>
      </c>
      <c r="I8" s="335" t="s">
        <v>175</v>
      </c>
      <c r="J8" s="326"/>
      <c r="K8" s="326"/>
    </row>
    <row r="9" spans="1:11" ht="15.75" thickBot="1">
      <c r="A9" s="646"/>
      <c r="B9" s="650"/>
      <c r="C9" s="651"/>
      <c r="D9" s="652"/>
      <c r="E9" s="336" t="s">
        <v>176</v>
      </c>
      <c r="F9" s="336" t="s">
        <v>177</v>
      </c>
      <c r="G9" s="336" t="s">
        <v>177</v>
      </c>
      <c r="H9" s="336" t="s">
        <v>177</v>
      </c>
      <c r="I9" s="337" t="s">
        <v>177</v>
      </c>
      <c r="J9" s="326">
        <v>45.7</v>
      </c>
      <c r="K9" s="326"/>
    </row>
    <row r="10" spans="1:11" ht="15">
      <c r="A10" s="93" t="s">
        <v>56</v>
      </c>
      <c r="B10" s="653" t="s">
        <v>178</v>
      </c>
      <c r="C10" s="654"/>
      <c r="D10" s="655"/>
      <c r="E10" s="338">
        <f>SUM(E11:E14)</f>
        <v>6.080000000000001</v>
      </c>
      <c r="F10" s="338"/>
      <c r="G10" s="339"/>
      <c r="H10" s="340"/>
      <c r="I10" s="341"/>
      <c r="J10" s="326"/>
      <c r="K10" s="326"/>
    </row>
    <row r="11" spans="1:11" ht="15">
      <c r="A11" s="76" t="s">
        <v>57</v>
      </c>
      <c r="B11" s="672" t="s">
        <v>179</v>
      </c>
      <c r="C11" s="673"/>
      <c r="D11" s="674"/>
      <c r="E11" s="342">
        <v>4.01</v>
      </c>
      <c r="F11" s="342"/>
      <c r="G11" s="342"/>
      <c r="H11" s="343"/>
      <c r="I11" s="344"/>
      <c r="J11" s="326">
        <v>26</v>
      </c>
      <c r="K11" s="326"/>
    </row>
    <row r="12" spans="1:11" ht="15">
      <c r="A12" s="76" t="s">
        <v>58</v>
      </c>
      <c r="B12" s="345" t="s">
        <v>251</v>
      </c>
      <c r="C12" s="346"/>
      <c r="D12" s="347"/>
      <c r="E12" s="342">
        <v>0.4</v>
      </c>
      <c r="F12" s="342"/>
      <c r="G12" s="342"/>
      <c r="H12" s="343"/>
      <c r="I12" s="344"/>
      <c r="J12" s="326"/>
      <c r="K12" s="326"/>
    </row>
    <row r="13" spans="1:11" ht="15">
      <c r="A13" s="76" t="s">
        <v>180</v>
      </c>
      <c r="B13" s="672" t="s">
        <v>168</v>
      </c>
      <c r="C13" s="673"/>
      <c r="D13" s="674"/>
      <c r="E13" s="342">
        <v>0.56</v>
      </c>
      <c r="F13" s="342"/>
      <c r="G13" s="342"/>
      <c r="H13" s="343"/>
      <c r="I13" s="344"/>
      <c r="J13" s="326"/>
      <c r="K13" s="326"/>
    </row>
    <row r="14" spans="1:11" ht="15">
      <c r="A14" s="76" t="s">
        <v>250</v>
      </c>
      <c r="B14" s="672" t="s">
        <v>167</v>
      </c>
      <c r="C14" s="673"/>
      <c r="D14" s="674"/>
      <c r="E14" s="342">
        <v>1.11</v>
      </c>
      <c r="F14" s="342"/>
      <c r="G14" s="342"/>
      <c r="H14" s="343"/>
      <c r="I14" s="344"/>
      <c r="J14" s="326"/>
      <c r="K14" s="326"/>
    </row>
    <row r="15" spans="1:9" ht="15">
      <c r="A15" s="77"/>
      <c r="B15" s="675"/>
      <c r="C15" s="676"/>
      <c r="D15" s="677"/>
      <c r="E15" s="78"/>
      <c r="F15" s="79"/>
      <c r="G15" s="78"/>
      <c r="H15" s="80"/>
      <c r="I15" s="81"/>
    </row>
    <row r="16" spans="1:9" ht="15">
      <c r="A16" s="71" t="s">
        <v>43</v>
      </c>
      <c r="B16" s="678" t="s">
        <v>181</v>
      </c>
      <c r="C16" s="679"/>
      <c r="D16" s="680"/>
      <c r="E16" s="72">
        <f>E17</f>
        <v>7.3</v>
      </c>
      <c r="F16" s="72"/>
      <c r="G16" s="73"/>
      <c r="H16" s="74"/>
      <c r="I16" s="75"/>
    </row>
    <row r="17" spans="1:9" ht="15">
      <c r="A17" s="76" t="s">
        <v>54</v>
      </c>
      <c r="B17" s="681" t="s">
        <v>182</v>
      </c>
      <c r="C17" s="679"/>
      <c r="D17" s="680"/>
      <c r="E17" s="73">
        <v>7.3</v>
      </c>
      <c r="F17" s="73"/>
      <c r="G17" s="73"/>
      <c r="H17" s="74"/>
      <c r="I17" s="75"/>
    </row>
    <row r="18" spans="1:9" ht="15">
      <c r="A18" s="82"/>
      <c r="B18" s="682"/>
      <c r="C18" s="683"/>
      <c r="D18" s="684"/>
      <c r="E18" s="83"/>
      <c r="F18" s="84"/>
      <c r="G18" s="83"/>
      <c r="H18" s="85"/>
      <c r="I18" s="86"/>
    </row>
    <row r="19" spans="1:9" ht="15">
      <c r="A19" s="71" t="s">
        <v>44</v>
      </c>
      <c r="B19" s="678" t="s">
        <v>183</v>
      </c>
      <c r="C19" s="679"/>
      <c r="D19" s="680"/>
      <c r="E19" s="72">
        <f>E20+E21+E23+E22</f>
        <v>5.65</v>
      </c>
      <c r="F19" s="72"/>
      <c r="G19" s="73"/>
      <c r="H19" s="87"/>
      <c r="I19" s="75"/>
    </row>
    <row r="20" spans="1:9" ht="15">
      <c r="A20" s="76" t="s">
        <v>52</v>
      </c>
      <c r="B20" s="681" t="s">
        <v>252</v>
      </c>
      <c r="C20" s="679"/>
      <c r="D20" s="680"/>
      <c r="E20" s="96">
        <v>0.65</v>
      </c>
      <c r="F20" s="73"/>
      <c r="G20" s="73"/>
      <c r="H20" s="87"/>
      <c r="I20" s="75"/>
    </row>
    <row r="21" spans="1:9" ht="15">
      <c r="A21" s="76" t="s">
        <v>45</v>
      </c>
      <c r="B21" s="681" t="s">
        <v>253</v>
      </c>
      <c r="C21" s="679"/>
      <c r="D21" s="680"/>
      <c r="E21" s="73">
        <v>3</v>
      </c>
      <c r="F21" s="73"/>
      <c r="G21" s="73"/>
      <c r="H21" s="87"/>
      <c r="I21" s="75"/>
    </row>
    <row r="22" spans="1:9" ht="15">
      <c r="A22" s="76" t="s">
        <v>94</v>
      </c>
      <c r="B22" s="681" t="s">
        <v>254</v>
      </c>
      <c r="C22" s="685"/>
      <c r="D22" s="686"/>
      <c r="E22" s="73">
        <v>2</v>
      </c>
      <c r="F22" s="73"/>
      <c r="G22" s="73"/>
      <c r="H22" s="87"/>
      <c r="I22" s="75"/>
    </row>
    <row r="23" spans="1:9" ht="15">
      <c r="A23" s="76" t="s">
        <v>95</v>
      </c>
      <c r="B23" s="681" t="s">
        <v>169</v>
      </c>
      <c r="C23" s="679"/>
      <c r="D23" s="680"/>
      <c r="E23" s="73">
        <v>0</v>
      </c>
      <c r="F23" s="73"/>
      <c r="G23" s="73"/>
      <c r="H23" s="74"/>
      <c r="I23" s="75"/>
    </row>
    <row r="24" spans="1:9" ht="12.75">
      <c r="A24" s="76"/>
      <c r="B24" s="678" t="s">
        <v>184</v>
      </c>
      <c r="C24" s="679"/>
      <c r="D24" s="680"/>
      <c r="E24" s="88"/>
      <c r="F24" s="88"/>
      <c r="G24" s="89"/>
      <c r="H24" s="90"/>
      <c r="I24" s="91"/>
    </row>
    <row r="25" spans="1:9" ht="12.75">
      <c r="A25" s="687" t="s">
        <v>185</v>
      </c>
      <c r="B25" s="688"/>
      <c r="C25" s="688"/>
      <c r="D25" s="689"/>
      <c r="E25" s="693">
        <f>(((1+((E11+E12+E13)/100))*(1+((E14)/100))*(1+((E16/100)))/(1-((E20+E21+E22+E23)/100)))-1)</f>
        <v>0.20702738941176513</v>
      </c>
      <c r="F25" s="695"/>
      <c r="G25" s="695"/>
      <c r="H25" s="695"/>
      <c r="I25" s="697">
        <f>'ORÇA '!K77</f>
        <v>0</v>
      </c>
    </row>
    <row r="26" spans="1:9" ht="23.25" customHeight="1" thickBot="1">
      <c r="A26" s="690"/>
      <c r="B26" s="691"/>
      <c r="C26" s="691"/>
      <c r="D26" s="692"/>
      <c r="E26" s="694"/>
      <c r="F26" s="696"/>
      <c r="G26" s="696"/>
      <c r="H26" s="696"/>
      <c r="I26" s="698"/>
    </row>
    <row r="27" spans="1:9" ht="12.75">
      <c r="A27" s="143"/>
      <c r="B27" s="144"/>
      <c r="C27" s="145"/>
      <c r="D27" s="145"/>
      <c r="E27" s="144"/>
      <c r="F27" s="146"/>
      <c r="G27" s="147"/>
      <c r="H27" s="147"/>
      <c r="I27" s="148"/>
    </row>
    <row r="28" spans="1:9" ht="12.75" customHeight="1">
      <c r="A28" s="94" t="s">
        <v>255</v>
      </c>
      <c r="B28" s="149"/>
      <c r="C28" s="92"/>
      <c r="D28" s="92"/>
      <c r="E28" s="92"/>
      <c r="F28" s="133"/>
      <c r="G28" s="136"/>
      <c r="H28" s="134"/>
      <c r="I28" s="135"/>
    </row>
    <row r="29" spans="1:9" ht="12.75">
      <c r="A29" s="94"/>
      <c r="B29" s="92"/>
      <c r="C29" s="131"/>
      <c r="D29" s="131"/>
      <c r="E29" s="92"/>
      <c r="F29" s="133"/>
      <c r="G29" s="134"/>
      <c r="H29" s="134"/>
      <c r="I29" s="135"/>
    </row>
    <row r="30" spans="1:9" ht="15.75">
      <c r="A30" s="94"/>
      <c r="B30" s="92"/>
      <c r="C30" s="92"/>
      <c r="D30" s="92"/>
      <c r="E30" s="92"/>
      <c r="F30" s="133"/>
      <c r="G30" s="699"/>
      <c r="H30" s="699"/>
      <c r="I30" s="137"/>
    </row>
    <row r="31" spans="1:9" ht="15.75">
      <c r="A31" s="94"/>
      <c r="B31" s="700"/>
      <c r="C31" s="670"/>
      <c r="D31" s="670"/>
      <c r="E31" s="670"/>
      <c r="F31" s="138"/>
      <c r="G31" s="699"/>
      <c r="H31" s="699"/>
      <c r="I31" s="137"/>
    </row>
    <row r="32" spans="1:9" ht="15.75">
      <c r="A32" s="94"/>
      <c r="B32" s="670"/>
      <c r="C32" s="670"/>
      <c r="D32" s="670"/>
      <c r="E32" s="670"/>
      <c r="F32" s="133"/>
      <c r="G32" s="699"/>
      <c r="H32" s="699"/>
      <c r="I32" s="137"/>
    </row>
    <row r="33" spans="1:9" ht="15.75">
      <c r="A33" s="94"/>
      <c r="B33" s="702"/>
      <c r="C33" s="670"/>
      <c r="D33" s="670"/>
      <c r="E33" s="670"/>
      <c r="F33" s="133"/>
      <c r="G33" s="699"/>
      <c r="H33" s="701"/>
      <c r="I33" s="137"/>
    </row>
    <row r="34" spans="1:9" ht="13.5" thickBot="1">
      <c r="A34" s="95"/>
      <c r="B34" s="703"/>
      <c r="C34" s="703"/>
      <c r="D34" s="703"/>
      <c r="E34" s="703"/>
      <c r="F34" s="139"/>
      <c r="G34" s="140"/>
      <c r="H34" s="141"/>
      <c r="I34" s="142"/>
    </row>
  </sheetData>
  <sheetProtection/>
  <mergeCells count="42">
    <mergeCell ref="A3:I3"/>
    <mergeCell ref="A5:C5"/>
    <mergeCell ref="D5:F5"/>
    <mergeCell ref="G5:I5"/>
    <mergeCell ref="A4:C4"/>
    <mergeCell ref="D4:F4"/>
    <mergeCell ref="G4:I4"/>
    <mergeCell ref="I25:I26"/>
    <mergeCell ref="G30:G31"/>
    <mergeCell ref="H30:H31"/>
    <mergeCell ref="B31:E32"/>
    <mergeCell ref="G32:G33"/>
    <mergeCell ref="H32:H33"/>
    <mergeCell ref="B33:E34"/>
    <mergeCell ref="B24:D24"/>
    <mergeCell ref="A25:D26"/>
    <mergeCell ref="E25:E26"/>
    <mergeCell ref="F25:F26"/>
    <mergeCell ref="G25:G26"/>
    <mergeCell ref="H25:H26"/>
    <mergeCell ref="B18:D18"/>
    <mergeCell ref="B19:D19"/>
    <mergeCell ref="B20:D20"/>
    <mergeCell ref="B21:D21"/>
    <mergeCell ref="B22:D22"/>
    <mergeCell ref="B23:D23"/>
    <mergeCell ref="B11:D11"/>
    <mergeCell ref="B13:D13"/>
    <mergeCell ref="B14:D14"/>
    <mergeCell ref="B15:D15"/>
    <mergeCell ref="B16:D16"/>
    <mergeCell ref="B17:D17"/>
    <mergeCell ref="A8:A9"/>
    <mergeCell ref="B8:D9"/>
    <mergeCell ref="B10:D10"/>
    <mergeCell ref="A6:I7"/>
    <mergeCell ref="A1:C1"/>
    <mergeCell ref="D1:F1"/>
    <mergeCell ref="G1:I1"/>
    <mergeCell ref="A2:C2"/>
    <mergeCell ref="D2:F2"/>
    <mergeCell ref="G2:I2"/>
  </mergeCells>
  <printOptions/>
  <pageMargins left="0.511811024" right="0.511811024" top="0.787401575" bottom="0.787401575" header="0.31496062" footer="0.31496062"/>
  <pageSetup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ECP</dc:creator>
  <cp:keywords/>
  <dc:description/>
  <cp:lastModifiedBy>Usuário</cp:lastModifiedBy>
  <cp:lastPrinted>2018-08-14T17:38:49Z</cp:lastPrinted>
  <dcterms:created xsi:type="dcterms:W3CDTF">1997-03-06T18:55:11Z</dcterms:created>
  <dcterms:modified xsi:type="dcterms:W3CDTF">2018-08-14T17:39:00Z</dcterms:modified>
  <cp:category/>
  <cp:version/>
  <cp:contentType/>
  <cp:contentStatus/>
</cp:coreProperties>
</file>