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uliana.elias\Downloads\"/>
    </mc:Choice>
  </mc:AlternateContent>
  <bookViews>
    <workbookView xWindow="0" yWindow="0" windowWidth="23040" windowHeight="10350" tabRatio="783" activeTab="4"/>
  </bookViews>
  <sheets>
    <sheet name="base_índices" sheetId="9" r:id="rId1"/>
    <sheet name="base_dados_proj" sheetId="1" r:id="rId2"/>
    <sheet name="Pavimentação externa" sheetId="4" r:id="rId3"/>
    <sheet name="Pavimentação interna" sheetId="21" r:id="rId4"/>
    <sheet name="APRESENTAÇÃO" sheetId="5" r:id="rId5"/>
    <sheet name="RATEIO EEE" sheetId="22" r:id="rId6"/>
    <sheet name="RATEIO ENERGIA" sheetId="24" r:id="rId7"/>
  </sheets>
  <definedNames>
    <definedName name="_xlnm.Print_Area" localSheetId="4">APRESENTAÇÃO!$B$1:$F$124</definedName>
  </definedNames>
  <calcPr calcId="152511"/>
  <pivotCaches>
    <pivotCache cacheId="24" r:id="rId8"/>
    <pivotCache cacheId="25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E32" i="1" l="1"/>
  <c r="C25" i="5" l="1"/>
  <c r="C73" i="1" l="1"/>
  <c r="C74" i="1"/>
  <c r="D110" i="5"/>
  <c r="K110" i="5"/>
  <c r="E110" i="5" s="1"/>
  <c r="C110" i="5"/>
  <c r="D115" i="5"/>
  <c r="D114" i="5"/>
  <c r="K115" i="5"/>
  <c r="E115" i="5" s="1"/>
  <c r="C115" i="5"/>
  <c r="F110" i="5" l="1"/>
  <c r="F115" i="5"/>
  <c r="E40" i="5" l="1"/>
  <c r="E8" i="24"/>
  <c r="F7" i="24"/>
  <c r="F6" i="24"/>
  <c r="F5" i="24"/>
  <c r="F8" i="24" s="1"/>
  <c r="E2" i="22" l="1"/>
  <c r="B28" i="21" l="1"/>
  <c r="C48" i="1"/>
  <c r="E9" i="22" l="1"/>
  <c r="G5" i="22" s="1"/>
  <c r="G7" i="22" l="1"/>
  <c r="G6" i="22"/>
  <c r="F25" i="5" s="1"/>
  <c r="D28" i="5"/>
  <c r="D27" i="5"/>
  <c r="K28" i="5"/>
  <c r="E28" i="5" s="1"/>
  <c r="C28" i="5"/>
  <c r="K27" i="5"/>
  <c r="E27" i="5" s="1"/>
  <c r="C27" i="5"/>
  <c r="D93" i="5"/>
  <c r="E92" i="5"/>
  <c r="E91" i="5"/>
  <c r="F91" i="5" s="1"/>
  <c r="F90" i="5"/>
  <c r="F89" i="5"/>
  <c r="E63" i="5"/>
  <c r="F28" i="5" l="1"/>
  <c r="G9" i="22"/>
  <c r="F27" i="5"/>
  <c r="D74" i="5"/>
  <c r="K117" i="5"/>
  <c r="E117" i="5" s="1"/>
  <c r="D117" i="5"/>
  <c r="C117" i="5"/>
  <c r="D118" i="5"/>
  <c r="D116" i="5"/>
  <c r="D112" i="5"/>
  <c r="D111" i="5"/>
  <c r="K111" i="5"/>
  <c r="E111" i="5" s="1"/>
  <c r="C111" i="5"/>
  <c r="K93" i="5"/>
  <c r="E93" i="5" s="1"/>
  <c r="C93" i="5"/>
  <c r="D84" i="5"/>
  <c r="D73" i="5"/>
  <c r="D72" i="5"/>
  <c r="K73" i="5"/>
  <c r="E73" i="5" s="1"/>
  <c r="C73" i="5"/>
  <c r="K74" i="5"/>
  <c r="E74" i="5" s="1"/>
  <c r="C74" i="5"/>
  <c r="K72" i="5"/>
  <c r="E72" i="5" s="1"/>
  <c r="C72" i="5"/>
  <c r="D68" i="5"/>
  <c r="D67" i="5"/>
  <c r="K57" i="5"/>
  <c r="E57" i="5" s="1"/>
  <c r="C57" i="5"/>
  <c r="D44" i="5"/>
  <c r="D43" i="5"/>
  <c r="D42" i="5"/>
  <c r="E38" i="5"/>
  <c r="D34" i="5"/>
  <c r="D26" i="5"/>
  <c r="K26" i="5"/>
  <c r="E26" i="5" s="1"/>
  <c r="C26" i="5"/>
  <c r="F117" i="5" l="1"/>
  <c r="F72" i="5"/>
  <c r="F111" i="5"/>
  <c r="F93" i="5"/>
  <c r="F87" i="5" s="1"/>
  <c r="F73" i="5"/>
  <c r="F57" i="5"/>
  <c r="K10" i="5" l="1"/>
  <c r="E10" i="5" s="1"/>
  <c r="C10" i="5"/>
  <c r="D45" i="5"/>
  <c r="K67" i="5"/>
  <c r="E67" i="5" s="1"/>
  <c r="F67" i="5" s="1"/>
  <c r="C67" i="5"/>
  <c r="F10" i="5" l="1"/>
  <c r="K24" i="5" l="1"/>
  <c r="E24" i="5" s="1"/>
  <c r="K25" i="5"/>
  <c r="H31" i="1"/>
  <c r="F3" i="1"/>
  <c r="K45" i="5"/>
  <c r="E45" i="5" s="1"/>
  <c r="F45" i="5" s="1"/>
  <c r="C45" i="5"/>
  <c r="K44" i="5"/>
  <c r="E44" i="5" s="1"/>
  <c r="C44" i="5"/>
  <c r="K43" i="5"/>
  <c r="E43" i="5" s="1"/>
  <c r="C43" i="5"/>
  <c r="K42" i="5"/>
  <c r="E42" i="5" s="1"/>
  <c r="F42" i="5" s="1"/>
  <c r="C42" i="5"/>
  <c r="K35" i="5"/>
  <c r="E35" i="5" s="1"/>
  <c r="D35" i="5"/>
  <c r="C35" i="5"/>
  <c r="K34" i="5"/>
  <c r="C34" i="5"/>
  <c r="D55" i="5"/>
  <c r="D31" i="5"/>
  <c r="D32" i="5" s="1"/>
  <c r="F40" i="5"/>
  <c r="F38" i="5"/>
  <c r="D24" i="5"/>
  <c r="D23" i="5"/>
  <c r="B3" i="5"/>
  <c r="D64" i="5"/>
  <c r="K65" i="5"/>
  <c r="K64" i="5"/>
  <c r="E64" i="5" s="1"/>
  <c r="C64" i="5"/>
  <c r="K80" i="5"/>
  <c r="E80" i="5" s="1"/>
  <c r="F80" i="5" s="1"/>
  <c r="C80" i="5"/>
  <c r="F24" i="5" l="1"/>
  <c r="E34" i="5"/>
  <c r="F64" i="5"/>
  <c r="F32" i="1" l="1"/>
  <c r="C84" i="5" l="1"/>
  <c r="D97" i="5" l="1"/>
  <c r="K97" i="5"/>
  <c r="E97" i="5" s="1"/>
  <c r="C97" i="5"/>
  <c r="C96" i="5"/>
  <c r="K114" i="5"/>
  <c r="E114" i="5" s="1"/>
  <c r="C114" i="5"/>
  <c r="D113" i="5"/>
  <c r="K113" i="5"/>
  <c r="E113" i="5" s="1"/>
  <c r="C113" i="5"/>
  <c r="K112" i="5"/>
  <c r="E112" i="5" s="1"/>
  <c r="C112" i="5"/>
  <c r="C109" i="5"/>
  <c r="D109" i="5"/>
  <c r="K109" i="5"/>
  <c r="E109" i="5" s="1"/>
  <c r="D108" i="5"/>
  <c r="K108" i="5"/>
  <c r="E108" i="5" s="1"/>
  <c r="C108" i="5"/>
  <c r="D106" i="5"/>
  <c r="D107" i="5"/>
  <c r="K107" i="5"/>
  <c r="E107" i="5" s="1"/>
  <c r="C107" i="5"/>
  <c r="K106" i="5"/>
  <c r="E106" i="5" s="1"/>
  <c r="C106" i="5"/>
  <c r="K105" i="5"/>
  <c r="E105" i="5" s="1"/>
  <c r="D105" i="5"/>
  <c r="C105" i="5"/>
  <c r="D104" i="5"/>
  <c r="K104" i="5"/>
  <c r="E104" i="5" s="1"/>
  <c r="C104" i="5"/>
  <c r="F109" i="5" l="1"/>
  <c r="F97" i="5"/>
  <c r="F112" i="5"/>
  <c r="F114" i="5"/>
  <c r="F113" i="5"/>
  <c r="F108" i="5"/>
  <c r="F106" i="5"/>
  <c r="F107" i="5"/>
  <c r="F105" i="5"/>
  <c r="F104" i="5"/>
  <c r="C24" i="5" l="1"/>
  <c r="K23" i="5"/>
  <c r="E23" i="5" s="1"/>
  <c r="F23" i="5" s="1"/>
  <c r="F21" i="5" s="1"/>
  <c r="C23" i="5"/>
  <c r="K9" i="5"/>
  <c r="K11" i="5"/>
  <c r="K12" i="5"/>
  <c r="K13" i="5"/>
  <c r="K14" i="5"/>
  <c r="K15" i="5"/>
  <c r="K16" i="5"/>
  <c r="K17" i="5"/>
  <c r="K18" i="5"/>
  <c r="K19" i="5"/>
  <c r="K20" i="5"/>
  <c r="K21" i="5"/>
  <c r="K22" i="5"/>
  <c r="K29" i="5"/>
  <c r="K30" i="5"/>
  <c r="K31" i="5"/>
  <c r="K32" i="5"/>
  <c r="K33" i="5"/>
  <c r="K36" i="5"/>
  <c r="K37" i="5"/>
  <c r="K38" i="5"/>
  <c r="K39" i="5"/>
  <c r="E39" i="5" s="1"/>
  <c r="K40" i="5"/>
  <c r="K41" i="5"/>
  <c r="K46" i="5"/>
  <c r="E46" i="5" s="1"/>
  <c r="K47" i="5"/>
  <c r="K48" i="5"/>
  <c r="K49" i="5"/>
  <c r="K50" i="5"/>
  <c r="K51" i="5"/>
  <c r="K52" i="5"/>
  <c r="K53" i="5"/>
  <c r="K54" i="5"/>
  <c r="K55" i="5"/>
  <c r="K56" i="5"/>
  <c r="K58" i="5"/>
  <c r="K59" i="5"/>
  <c r="K60" i="5"/>
  <c r="K61" i="5"/>
  <c r="K62" i="5"/>
  <c r="K63" i="5"/>
  <c r="E65" i="5"/>
  <c r="K66" i="5"/>
  <c r="K68" i="5"/>
  <c r="E68" i="5" s="1"/>
  <c r="F68" i="5" s="1"/>
  <c r="K69" i="5"/>
  <c r="K70" i="5"/>
  <c r="K71" i="5"/>
  <c r="K75" i="5"/>
  <c r="K76" i="5"/>
  <c r="K77" i="5"/>
  <c r="K78" i="5"/>
  <c r="K79" i="5"/>
  <c r="K81" i="5"/>
  <c r="K82" i="5"/>
  <c r="K83" i="5"/>
  <c r="K84" i="5"/>
  <c r="E84" i="5" s="1"/>
  <c r="K85" i="5"/>
  <c r="E85" i="5" s="1"/>
  <c r="K86" i="5"/>
  <c r="K87" i="5"/>
  <c r="K88" i="5"/>
  <c r="K89" i="5"/>
  <c r="K94" i="5"/>
  <c r="K95" i="5"/>
  <c r="K96" i="5"/>
  <c r="E96" i="5" s="1"/>
  <c r="K98" i="5"/>
  <c r="K99" i="5"/>
  <c r="K100" i="5"/>
  <c r="K101" i="5"/>
  <c r="K102" i="5"/>
  <c r="K103" i="5"/>
  <c r="K116" i="5"/>
  <c r="E116" i="5" s="1"/>
  <c r="K120" i="5"/>
  <c r="K121" i="5"/>
  <c r="K122" i="5"/>
  <c r="K123" i="5"/>
  <c r="K124" i="5"/>
  <c r="B3" i="1" l="1"/>
  <c r="C116" i="5" l="1"/>
  <c r="E124" i="5"/>
  <c r="F124" i="5" s="1"/>
  <c r="E86" i="5"/>
  <c r="C47" i="1" l="1"/>
  <c r="C46" i="1" l="1"/>
  <c r="D103" i="5" l="1"/>
  <c r="D41" i="5" l="1"/>
  <c r="C103" i="5" l="1"/>
  <c r="E103" i="5"/>
  <c r="F103" i="5" s="1"/>
  <c r="E79" i="5" l="1"/>
  <c r="D79" i="5"/>
  <c r="C79" i="5"/>
  <c r="C66" i="5"/>
  <c r="E52" i="5"/>
  <c r="F52" i="5" s="1"/>
  <c r="C52" i="5"/>
  <c r="D48" i="5"/>
  <c r="E48" i="5"/>
  <c r="C48" i="5"/>
  <c r="E19" i="5"/>
  <c r="F19" i="5" s="1"/>
  <c r="C19" i="5"/>
  <c r="F48" i="5" l="1"/>
  <c r="E13" i="5"/>
  <c r="F13" i="5" s="1"/>
  <c r="C13" i="5"/>
  <c r="E15" i="5"/>
  <c r="F15" i="5" s="1"/>
  <c r="E16" i="5"/>
  <c r="E41" i="5"/>
  <c r="F41" i="5" s="1"/>
  <c r="C41" i="5"/>
  <c r="C15" i="5"/>
  <c r="D75" i="5" l="1"/>
  <c r="D71" i="5"/>
  <c r="E75" i="5"/>
  <c r="C75" i="5"/>
  <c r="E71" i="5"/>
  <c r="C71" i="5"/>
  <c r="F71" i="5" l="1"/>
  <c r="F75" i="5"/>
  <c r="D36" i="5" l="1"/>
  <c r="C39" i="5"/>
  <c r="E37" i="5"/>
  <c r="C37" i="5"/>
  <c r="E36" i="5"/>
  <c r="C36" i="5"/>
  <c r="E33" i="5"/>
  <c r="C33" i="5"/>
  <c r="E32" i="5"/>
  <c r="C32" i="5"/>
  <c r="E31" i="5"/>
  <c r="C31" i="5"/>
  <c r="C25" i="1"/>
  <c r="C22" i="1"/>
  <c r="E21" i="1"/>
  <c r="F21" i="1" s="1"/>
  <c r="F36" i="5" l="1"/>
  <c r="D47" i="5"/>
  <c r="D37" i="5"/>
  <c r="F37" i="5" s="1"/>
  <c r="I25" i="1"/>
  <c r="F32" i="5"/>
  <c r="F31" i="5"/>
  <c r="D46" i="5"/>
  <c r="F46" i="5" s="1"/>
  <c r="H20" i="1"/>
  <c r="D33" i="5"/>
  <c r="F33" i="5" s="1"/>
  <c r="E20" i="1"/>
  <c r="F20" i="1" s="1"/>
  <c r="I20" i="1" l="1"/>
  <c r="J20" i="1" s="1"/>
  <c r="F116" i="5" l="1"/>
  <c r="C68" i="5" l="1"/>
  <c r="D66" i="5" l="1"/>
  <c r="F66" i="5" s="1"/>
  <c r="E31" i="1" l="1"/>
  <c r="C41" i="1" l="1"/>
  <c r="F31" i="1" l="1"/>
  <c r="I31" i="1" l="1"/>
  <c r="J31" i="1" s="1"/>
  <c r="D65" i="5" l="1"/>
  <c r="F65" i="5" s="1"/>
  <c r="D56" i="5"/>
  <c r="C60" i="5" l="1"/>
  <c r="C61" i="5"/>
  <c r="C62" i="5"/>
  <c r="C58" i="5"/>
  <c r="D61" i="5" l="1"/>
  <c r="D60" i="5" l="1"/>
  <c r="E60" i="5"/>
  <c r="D85" i="5" l="1"/>
  <c r="D81" i="5"/>
  <c r="B5" i="5" l="1"/>
  <c r="F63" i="5" l="1"/>
  <c r="C46" i="5" l="1"/>
  <c r="E47" i="5"/>
  <c r="F47" i="5" s="1"/>
  <c r="C47" i="5"/>
  <c r="F101" i="5" l="1"/>
  <c r="D98" i="5"/>
  <c r="D99" i="5"/>
  <c r="D96" i="5"/>
  <c r="F96" i="5" s="1"/>
  <c r="D76" i="5"/>
  <c r="D59" i="5"/>
  <c r="D58" i="5"/>
  <c r="D51" i="5"/>
  <c r="D17" i="5"/>
  <c r="D16" i="5"/>
  <c r="F16" i="5" s="1"/>
  <c r="D14" i="5"/>
  <c r="D12" i="5"/>
  <c r="D11" i="5"/>
  <c r="D9" i="5"/>
  <c r="C33" i="1"/>
  <c r="F29" i="5" l="1"/>
  <c r="D62" i="5"/>
  <c r="E100" i="5" l="1"/>
  <c r="C100" i="5"/>
  <c r="C65" i="5"/>
  <c r="E62" i="5"/>
  <c r="F62" i="5" s="1"/>
  <c r="E61" i="5"/>
  <c r="F61" i="5" s="1"/>
  <c r="E122" i="5"/>
  <c r="C76" i="5" l="1"/>
  <c r="C59" i="5"/>
  <c r="C56" i="5"/>
  <c r="C124" i="5"/>
  <c r="C123" i="5"/>
  <c r="C122" i="5"/>
  <c r="C99" i="5"/>
  <c r="C98" i="5"/>
  <c r="C86" i="5"/>
  <c r="C85" i="5"/>
  <c r="C81" i="5"/>
  <c r="C55" i="5"/>
  <c r="C51" i="5"/>
  <c r="E99" i="5" l="1"/>
  <c r="F99" i="5" s="1"/>
  <c r="E59" i="5"/>
  <c r="F59" i="5" s="1"/>
  <c r="E58" i="5"/>
  <c r="F58" i="5" s="1"/>
  <c r="E56" i="5"/>
  <c r="F56" i="5" s="1"/>
  <c r="E76" i="5"/>
  <c r="F76" i="5" s="1"/>
  <c r="E55" i="5"/>
  <c r="F55" i="5" s="1"/>
  <c r="F85" i="5"/>
  <c r="E98" i="5"/>
  <c r="F98" i="5" s="1"/>
  <c r="E123" i="5"/>
  <c r="F123" i="5" s="1"/>
  <c r="E51" i="5"/>
  <c r="F51" i="5" s="1"/>
  <c r="E81" i="5"/>
  <c r="F81" i="5" s="1"/>
  <c r="F122" i="5"/>
  <c r="F120" i="5" l="1"/>
  <c r="F53" i="5"/>
  <c r="F77" i="5"/>
  <c r="F69" i="5"/>
  <c r="E11" i="5"/>
  <c r="F11" i="5" s="1"/>
  <c r="E18" i="5"/>
  <c r="F18" i="5" s="1"/>
  <c r="E12" i="5"/>
  <c r="F12" i="5" s="1"/>
  <c r="E14" i="5"/>
  <c r="F14" i="5" s="1"/>
  <c r="E9" i="5"/>
  <c r="E17" i="5"/>
  <c r="F17" i="5" s="1"/>
  <c r="E20" i="5"/>
  <c r="F20" i="5" s="1"/>
  <c r="F49" i="5" l="1"/>
  <c r="C20" i="5"/>
  <c r="C18" i="5"/>
  <c r="C17" i="5"/>
  <c r="C16" i="5"/>
  <c r="C14" i="5"/>
  <c r="C12" i="5"/>
  <c r="C11" i="5"/>
  <c r="F9" i="5" l="1"/>
  <c r="C9" i="5"/>
  <c r="F7" i="5" l="1"/>
  <c r="F84" i="5"/>
  <c r="C56" i="1"/>
  <c r="D100" i="5" l="1"/>
  <c r="D86" i="5"/>
  <c r="F100" i="5" l="1"/>
  <c r="F94" i="5" s="1"/>
  <c r="F86" i="5"/>
  <c r="F82" i="5" s="1"/>
</calcChain>
</file>

<file path=xl/comments1.xml><?xml version="1.0" encoding="utf-8"?>
<comments xmlns="http://schemas.openxmlformats.org/spreadsheetml/2006/main">
  <authors>
    <author>Rayane Gama</author>
    <author>Lorena Martins</author>
  </authors>
  <commentList>
    <comment ref="J20" authorId="0" shapeId="0">
      <text>
        <r>
          <rPr>
            <b/>
            <sz val="9"/>
            <color indexed="81"/>
            <rFont val="Segoe UI"/>
            <family val="2"/>
          </rPr>
          <t>Rayane Gama:
FAZENDA TAMURA</t>
        </r>
      </text>
    </comment>
    <comment ref="F21" authorId="0" shapeId="0">
      <text>
        <r>
          <rPr>
            <b/>
            <sz val="9"/>
            <color indexed="81"/>
            <rFont val="Segoe UI"/>
            <family val="2"/>
          </rPr>
          <t>Rayane Gama:</t>
        </r>
        <r>
          <rPr>
            <sz val="9"/>
            <color indexed="81"/>
            <rFont val="Segoe UI"/>
            <family val="2"/>
          </rPr>
          <t xml:space="preserve">
GUAXE
</t>
        </r>
      </text>
    </comment>
    <comment ref="C25" authorId="1" shapeId="0">
      <text>
        <r>
          <rPr>
            <b/>
            <sz val="9"/>
            <color indexed="81"/>
            <rFont val="Segoe UI"/>
            <family val="2"/>
          </rPr>
          <t>Lorena Martins:</t>
        </r>
        <r>
          <rPr>
            <sz val="9"/>
            <color indexed="81"/>
            <rFont val="Segoe UI"/>
            <family val="2"/>
          </rPr>
          <t xml:space="preserve">
Recomendada a majoração da área de plantio de grama devido à erros de cálculo (taludes) e perdas materiais em obra.
Sugerido: 1,5.</t>
        </r>
      </text>
    </comment>
    <comment ref="C46" authorId="1" shapeId="0">
      <text>
        <r>
          <rPr>
            <b/>
            <sz val="9"/>
            <color indexed="81"/>
            <rFont val="Segoe UI"/>
            <family val="2"/>
          </rPr>
          <t>Lorena Martins:</t>
        </r>
        <r>
          <rPr>
            <sz val="9"/>
            <color indexed="81"/>
            <rFont val="Segoe UI"/>
            <family val="2"/>
          </rPr>
          <t xml:space="preserve">
Recomendada a majoração da área de plantio de grama devido à erros de cálculo (taludes) e perdas materiais em obra.
Sugerido: 1,5.</t>
        </r>
      </text>
    </comment>
  </commentList>
</comments>
</file>

<file path=xl/connections.xml><?xml version="1.0" encoding="utf-8"?>
<connections xmlns="http://schemas.openxmlformats.org/spreadsheetml/2006/main">
  <connection id="1" sourceFile="Y:\Engenharia\PLANEJAMENTO DE OBRAS GINCO\ORÇAMENTO DE OBRAS\00 - Banco de Dados _ Serviços.xlsx" keepAlive="1" name="00 - Banco de Dados _ Serviços" type="5" refreshedVersion="5">
    <dbPr connection="Provider=Microsoft.ACE.OLEDB.12.0;User ID=Admin;Data Source=Y:\Engenharia\PLANEJAMENTO DE OBRAS GINCO\ORÇAMENTO DE OBRAS\00 - Banco de Dados _ Serviço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2$" commandType="3"/>
  </connection>
  <connection id="2" sourceFile="Y:\Engenharia\PLANEJAMENTO DE OBRAS GINCO\ORÇAMENTO DE OBRAS\00 - Banco de Dados _ Serviços.xlsx" odcFile="C:\Users\lorena.martins\Documents\Minhas fontes de dados\00 - Banco de Dados _ Serviços Plan2$.odc" keepAlive="1" name="00 - Banco de Dados _ Serviços Plan2$" type="5" refreshedVersion="5">
    <dbPr connection="Provider=Microsoft.ACE.OLEDB.12.0;User ID=Admin;Data Source=Y:\Engenharia\PLANEJAMENTO DE OBRAS GINCO\ORÇAMENTO DE OBRAS\00 - Banco de Dados _ Serviço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2$" commandType="3"/>
  </connection>
  <connection id="3" sourceFile="Y:\Engenharia\PLANEJAMENTO DE OBRAS GINCO\ORÇAMENTO DE OBRAS\Banco de Dados_Índices.xlsx" keepAlive="1" name="Banco de Dados_Índices" type="5" refreshedVersion="5">
    <dbPr connection="Provider=Microsoft.ACE.OLEDB.12.0;User ID=Admin;Data Source=Y:\Engenharia\PLANEJAMENTO DE OBRAS GINCO\ORÇAMENTO DE OBRAS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SUPREMO ITALIA$'" commandType="3"/>
  </connection>
  <connection id="4" sourceFile="F:\Engenharia\PLANEJAMENTO DE OBRAS GINCO\01-ORÇAMENTO DE OBRAS\00 - Arquivos padrão\00. Viabilidades\Atualização 2021\Banco de Dados_Índices 2021.xlsx" keepAlive="1" name="Banco de Dados_Índices 2021" type="5" refreshedVersion="6" background="1">
    <dbPr connection="Provider=Microsoft.ACE.OLEDB.12.0;User ID=Admin;Data Source=F:\Engenharia\PLANEJAMENTO DE OBRAS GINCO\01-ORÇAMENTO DE OBRAS\00 - Arquivos padrão\00. Viabilidades\Atualização 2021\Banco de Dados_Índices 202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5" sourceFile="I:\Engenharia\PLANEJAMENTO DE OBRAS GINCO\01-ORÇAMENTO DE OBRAS\00 - Arquivos padrão\00. Viabilidades\Atualização 2021\Banco de Dados_Índices 2021 - CUSTOS REAIS.xlsx" keepAlive="1" name="Banco de Dados_Índices 2021 - CUSTOS REAIS" type="5" refreshedVersion="5">
    <dbPr connection="Provider=Microsoft.ACE.OLEDB.12.0;User ID=Admin;Data Source=I:\Engenharia\PLANEJAMENTO DE OBRAS GINCO\01-ORÇAMENTO DE OBRAS\00 - Arquivos padrão\00. Viabilidades\Atualização 2021\Banco de Dados_Índices 2021 - CUSTOS REAI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6" sourceFile="F:\Engenharia\PLANEJAMENTO DE OBRAS GINCO\01-ORÇAMENTO DE OBRAS\00 - Arquivos padrão\00. Viabilidades\Atualização 2021\Banco de Dados_Índices 2021 - CUSTOS REAIS.xlsx" keepAlive="1" name="Banco de Dados_Índices 2021 - CUSTOS REAIS1" type="5" refreshedVersion="6" background="1">
    <dbPr connection="Provider=Microsoft.ACE.OLEDB.12.0;User ID=Admin;Data Source=F:\Engenharia\PLANEJAMENTO DE OBRAS GINCO\01-ORÇAMENTO DE OBRAS\00 - Arquivos padrão\00. Viabilidades\Atualização 2021\Banco de Dados_Índices 2021 - CUSTOS REAI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7" sourceFile="F:\05 - ENGENHARIA\PLANEJAMENTO DE OBRAS GINCO\01-ORÇAMENTO DE OBRAS\00 - Arquivos padrão\00. Viabilidades\Estudo Atualização 2021\Banco de Dados_Índices 2021 - CUSTOS REAIS.xlsx" keepAlive="1" name="Banco de Dados_Índices 2021 - CUSTOS REAIS2" type="5" refreshedVersion="7" background="1">
    <dbPr connection="Provider=Microsoft.ACE.OLEDB.12.0;User ID=Admin;Data Source=F:\05 - ENGENHARIA\PLANEJAMENTO DE OBRAS GINCO\01-ORÇAMENTO DE OBRAS\00 - Arquivos padrão\00. Viabilidades\Estudo Atualização 2021\Banco de Dados_Índices 2021 - CUSTOS REAI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8" sourceFile="F:\05 - ENGENHARIA\PLANEJAMENTO DE OBRAS GINCO\01-ORÇAMENTO DE OBRAS\00 - Arquivos padrão\00. Viabilidades\Estudo Atualização 2021\Banco de Dados_Índices 2021 - CUSTOS REAIS.xlsx" keepAlive="1" name="Banco de Dados_Índices 2021 - CUSTOS REAIS3" type="5" refreshedVersion="7" background="1">
    <dbPr connection="Provider=Microsoft.ACE.OLEDB.12.0;User ID=Admin;Data Source=F:\05 - ENGENHARIA\PLANEJAMENTO DE OBRAS GINCO\01-ORÇAMENTO DE OBRAS\00 - Arquivos padrão\00. Viabilidades\Estudo Atualização 2021\Banco de Dados_Índices 2021 - CUSTOS REAI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9" sourceFile="F:\05 - ENGENHARIA\PLANEJAMENTO DE OBRAS GINCO\01-ORÇAMENTO DE OBRAS\00 - Arquivos padrão\00. Viabilidades\Estudo Atualização 2021\Banco de Dados_Índices 2021 - CUSTOS REAIS.xlsx" keepAlive="1" name="Banco de Dados_Índices 2021 - CUSTOS REAIS4" type="5" refreshedVersion="7" background="1">
    <dbPr connection="Provider=Microsoft.ACE.OLEDB.12.0;User ID=Admin;Data Source=F:\05 - ENGENHARIA\PLANEJAMENTO DE OBRAS GINCO\01-ORÇAMENTO DE OBRAS\00 - Arquivos padrão\00. Viabilidades\Estudo Atualização 2021\Banco de Dados_Índices 2021 - CUSTOS REAI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0" sourceFile="F:\05 - ENGENHARIA\PLANEJAMENTO DE OBRAS GINCO\01-ORÇAMENTO DE OBRAS\00 - Arquivos padrão\00. Viabilidades\Estudo Atualização 2021\Banco de Dados_Índices 2021 - CUSTOS REAIS.xlsx" keepAlive="1" name="Banco de Dados_Índices 2021 - CUSTOS REAIS5" type="5" refreshedVersion="7" background="1">
    <dbPr connection="Provider=Microsoft.ACE.OLEDB.12.0;User ID=Admin;Data Source=F:\05 - ENGENHARIA\PLANEJAMENTO DE OBRAS GINCO\01-ORÇAMENTO DE OBRAS\00 - Arquivos padrão\00. Viabilidades\Estudo Atualização 2021\Banco de Dados_Índices 2021 - CUSTOS REAI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1" sourceFile="F:\05 - ENGENHARIA\PLANEJAMENTO DE OBRAS GINCO\01-ORÇAMENTO DE OBRAS\00 - Arquivos padrão\00. Viabilidades\Estudo Atualização 2021\Banco de Dados_Índices 2021 - CUSTOS REAIS.xlsx" keepAlive="1" name="Banco de Dados_Índices 2021 - CUSTOS REAIS6" type="5" refreshedVersion="7" background="1">
    <dbPr connection="Provider=Microsoft.ACE.OLEDB.12.0;User ID=Admin;Data Source=F:\05 - ENGENHARIA\PLANEJAMENTO DE OBRAS GINCO\01-ORÇAMENTO DE OBRAS\00 - Arquivos padrão\00. Viabilidades\Estudo Atualização 2021\Banco de Dados_Índices 2021 - CUSTOS REAI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2" sourceFile="F:\Engenharia\PLANEJAMENTO DE OBRAS GINCO\01-ORÇAMENTO DE OBRAS\00 - Arquivos padrão\00. Viabilidades\Atualização 2021\Banco de Dados_Índices 2021.xlsx" keepAlive="1" name="Banco de Dados_Índices 20211" type="5" refreshedVersion="6" background="1">
    <dbPr connection="Provider=Microsoft.ACE.OLEDB.12.0;User ID=Admin;Data Source=F:\Engenharia\PLANEJAMENTO DE OBRAS GINCO\01-ORÇAMENTO DE OBRAS\00 - Arquivos padrão\00. Viabilidades\Atualização 2021\Banco de Dados_Índices 202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COLUNAS BUSCA$'" commandType="3"/>
  </connection>
  <connection id="13" sourceFile="F:\Engenharia\PLANEJAMENTO DE OBRAS GINCO\01-ORÇAMENTO DE OBRAS\00 - Arquivos padrão\00. Viabilidades\Atualização 2021\Banco de Dados_Índices 2021.xlsx" keepAlive="1" name="Banco de Dados_Índices 20212" type="5" refreshedVersion="6" background="1">
    <dbPr connection="Provider=Microsoft.ACE.OLEDB.12.0;User ID=Admin;Data Source=F:\Engenharia\PLANEJAMENTO DE OBRAS GINCO\01-ORÇAMENTO DE OBRAS\00 - Arquivos padrão\00. Viabilidades\Atualização 2021\Banco de Dados_Índices 202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4" sourceFile="F:\Engenharia\PLANEJAMENTO DE OBRAS GINCO\01-ORÇAMENTO DE OBRAS\00 - Arquivos padrão\00. Viabilidades\Atualização 2021\Banco de Dados_Índices 2021.xlsx" keepAlive="1" name="Banco de Dados_Índices 20213" type="5" refreshedVersion="6" background="1">
    <dbPr connection="Provider=Microsoft.ACE.OLEDB.12.0;User ID=Admin;Data Source=F:\Engenharia\PLANEJAMENTO DE OBRAS GINCO\01-ORÇAMENTO DE OBRAS\00 - Arquivos padrão\00. Viabilidades\Atualização 2021\Banco de Dados_Índices 202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5" sourceFile="Y:\Engenharia\PLANEJAMENTO DE OBRAS GINCO\ORÇAMENTO DE OBRAS\Banco de Dados_Índices.xlsx" odcFile="C:\Users\lorena.martins\Documents\Minhas fontes de dados\Banco de Dados_Índices 'SUPREMO ITALIA$'.odc" keepAlive="1" name="Banco de Dados_Índices 'SUPREMO ITALIA$'" type="5" refreshedVersion="5">
    <dbPr connection="Provider=Microsoft.ACE.OLEDB.12.0;User ID=Admin;Data Source=Y:\Engenharia\PLANEJAMENTO DE OBRAS GINCO\ORÇAMENTO DE OBRAS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SUPREMO ITALIA$'" commandType="3"/>
  </connection>
  <connection id="16" sourceFile="Y:\Engenharia\PLANEJAMENTO DE OBRAS GINCO\ORÇAMENTO DE OBRAS\Banco de Dados_Índices.xlsx" keepAlive="1" name="Banco de Dados_Índices1" type="5" refreshedVersion="5">
    <dbPr connection="Provider=Microsoft.ACE.OLEDB.12.0;User ID=Admin;Data Source=Y:\Engenharia\PLANEJAMENTO DE OBRAS GINCO\ORÇAMENTO DE OBRA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SUPREMO ITALIA$'" commandType="3"/>
  </connection>
  <connection id="17" sourceFile="Y:\Engenharia\PLANEJAMENTO DE OBRAS GINCO\ORÇAMENTO DE OBRAS\00 - Arquivos padrão\Banco de Dados_Índices.xlsx" keepAlive="1" name="Banco de Dados_Índices10" type="5" refreshedVersion="5">
    <dbPr connection="Provider=Microsoft.ACE.OLEDB.12.0;User ID=Admin;Data Source=Y:\Engenharia\PLANEJAMENTO DE OBRAS GINCO\ORÇAMENTO DE OBRAS\00 - Arquivos padrão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8" sourceFile="Y:\Engenharia\PLANEJAMENTO DE OBRAS GINCO\ORÇAMENTO DE OBRAS\00 - Arquivos padrão\Banco de Dados_Índices.xlsx" keepAlive="1" name="Banco de Dados_Índices11" type="5" refreshedVersion="5">
    <dbPr connection="Provider=Microsoft.ACE.OLEDB.12.0;User ID=Admin;Data Source=Y:\Engenharia\PLANEJAMENTO DE OBRAS GINCO\ORÇAMENTO DE OBRAS\00 - Arquivos padrão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19" sourceFile="Y:\Engenharia\PLANEJAMENTO DE OBRAS GINCO\ORÇAMENTO DE OBRAS\00 - Arquivos padrão\Viabilidades\Banco de Dados_Índices.xlsx" keepAlive="1" name="Banco de Dados_Índices12" type="5" refreshedVersion="5">
    <dbPr connection="Provider=Microsoft.ACE.OLEDB.12.0;User ID=Admin;Data Source=Y:\Engenharia\PLANEJAMENTO DE OBRAS GINCO\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0" sourceFile="Y:\Engenharia\PLANEJAMENTO DE OBRAS GINCO\01-ORÇAMENTO DE OBRAS\00 - Arquivos padrão\Viabilidades\Banco de Dados_Índices.xlsx" keepAlive="1" name="Banco de Dados_Índices13" type="5" refreshedVersion="5">
    <dbPr connection="Provider=Microsoft.ACE.OLEDB.12.0;User ID=Admin;Data Source=Y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1" sourceFile="Y:\Engenharia\PLANEJAMENTO DE OBRAS GINCO\01-ORÇAMENTO DE OBRAS\00 - Arquivos padrão\Viabilidades\Banco de Dados_Índices.xlsx" keepAlive="1" name="Banco de Dados_Índices14" type="5" refreshedVersion="5">
    <dbPr connection="Provider=Microsoft.ACE.OLEDB.12.0;User ID=Admin;Data Source=Y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2" sourceFile="F:\Engenharia\PLANEJAMENTO DE OBRAS GINCO\01-ORÇAMENTO DE OBRAS\00 - Arquivos padrão\Viabilidades\Banco de Dados_Índices.xlsx" keepAlive="1" name="Banco de Dados_Índices15" type="5" refreshedVersion="6">
    <dbPr connection="Provider=Microsoft.ACE.OLEDB.12.0;User ID=Admin;Data Source=F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3" sourceFile="F:\Engenharia\PLANEJAMENTO DE OBRAS GINCO\01-ORÇAMENTO DE OBRAS\00 - Arquivos padrão\Viabilidades\Banco de Dados_Índices.xlsx" keepAlive="1" name="Banco de Dados_Índices16" type="5" refreshedVersion="6">
    <dbPr connection="Provider=Microsoft.ACE.OLEDB.12.0;User ID=Admin;Data Source=F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4" sourceFile="F:\Engenharia\PLANEJAMENTO DE OBRAS GINCO\01-ORÇAMENTO DE OBRAS\00 - Arquivos padrão\Viabilidades\Banco de Dados_Índices.xlsx" keepAlive="1" name="Banco de Dados_Índices17" type="5" refreshedVersion="6">
    <dbPr connection="Provider=Microsoft.ACE.OLEDB.12.0;User ID=Admin;Data Source=F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5" sourceFile="J:\Engenharia\PLANEJAMENTO DE OBRAS GINCO\01-ORÇAMENTO DE OBRAS\00 - Arquivos padrão\Viabilidades\Banco de Dados_Índices.xlsx" keepAlive="1" name="Banco de Dados_Índices18" type="5" refreshedVersion="6" background="1">
    <dbPr connection="Provider=Microsoft.ACE.OLEDB.12.0;User ID=Admin;Data Source=J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6" sourceFile="J:\Engenharia\PLANEJAMENTO DE OBRAS GINCO\01-ORÇAMENTO DE OBRAS\00 - Arquivos padrão\Viabilidades\Banco de Dados_Índices.xlsx" keepAlive="1" name="Banco de Dados_Índices19" type="5" refreshedVersion="6" background="1">
    <dbPr connection="Provider=Microsoft.ACE.OLEDB.12.0;User ID=Admin;Data Source=J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7" sourceFile="Y:\Engenharia\PLANEJAMENTO DE OBRAS GINCO\ORÇAMENTO DE OBRAS\Banco de Dados_Índices.xlsx" keepAlive="1" name="Banco de Dados_Índices2" type="5" refreshedVersion="5">
    <dbPr connection="Provider=Microsoft.ACE.OLEDB.12.0;User ID=Admin;Data Source=Y:\Engenharia\PLANEJAMENTO DE OBRAS GINCO\ORÇAMENTO DE OBRA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8" sourceFile="J:\Engenharia\PLANEJAMENTO DE OBRAS GINCO\01-ORÇAMENTO DE OBRAS\00 - Arquivos padrão\Viabilidades\Banco de Dados_Índices.xlsx" keepAlive="1" name="Banco de Dados_Índices20" type="5" refreshedVersion="6" background="1">
    <dbPr connection="Provider=Microsoft.ACE.OLEDB.12.0;User ID=Admin;Data Source=J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29" sourceFile="F:\Engenharia\PLANEJAMENTO DE OBRAS GINCO\01-ORÇAMENTO DE OBRAS\00 - Arquivos padrão\Viabilidades\Banco de Dados_Índices.xlsx" keepAlive="1" name="Banco de Dados_Índices21" type="5" refreshedVersion="5">
    <dbPr connection="Provider=Microsoft.ACE.OLEDB.12.0;User ID=Admin;Data Source=F:\Engenharia\PLANEJAMENTO DE OBRAS GINCO\01-ORÇAMENTO DE OBRAS\00 - Arquivos padrão\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0" sourceFile="J:\Engenharia\PLANEJAMENTO DE OBRAS GINCO\01-ORÇAMENTO DE OBRAS\00 - Arquivos padrão\00_Viabilidades\Banco de Dados_Índices.xlsx" keepAlive="1" name="Banco de Dados_Índices22" type="5" refreshedVersion="6" background="1">
    <dbPr connection="Provider=Microsoft.ACE.OLEDB.12.0;User ID=Admin;Data Source=J:\Engenharia\PLANEJAMENTO DE OBRAS GINCO\01-ORÇAMENTO DE OBRAS\00 - Arquivos padrão\00_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1" sourceFile="J:\Engenharia\PLANEJAMENTO DE OBRAS GINCO\01-ORÇAMENTO DE OBRAS\00 - Arquivos padrão\00_Viabilidades\Banco de Dados_Índices.xlsx" keepAlive="1" name="Banco de Dados_Índices23" type="5" refreshedVersion="6" background="1">
    <dbPr connection="Provider=Microsoft.ACE.OLEDB.12.0;User ID=Admin;Data Source=J:\Engenharia\PLANEJAMENTO DE OBRAS GINCO\01-ORÇAMENTO DE OBRAS\00 - Arquivos padrão\00_Viabilidades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COLUNAS BUSCA$'" commandType="3"/>
  </connection>
  <connection id="32" sourceFile="C:\Users\lorena.martins\Desktop\03.08.2018\Banco de Dados_Índices.xlsx" keepAlive="1" name="Banco de Dados_Índices3" type="5" refreshedVersion="5" background="1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3" sourceFile="C:\Users\lorena.martins\Desktop\03.08.2018\Banco de Dados_Índices.xlsx" keepAlive="1" name="Banco de Dados_Índices4" type="5" refreshedVersion="5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4" sourceFile="C:\Users\lorena.martins\Desktop\03.08.2018\Banco de Dados_Índices.xlsx" keepAlive="1" name="Banco de Dados_Índices5" type="5" refreshedVersion="5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5" sourceFile="C:\Users\lorena.martins\Desktop\03.08.2018\Banco de Dados_Índices.xlsx" keepAlive="1" name="Banco de Dados_Índices6" type="5" refreshedVersion="5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6" sourceFile="C:\Users\lorena.martins\Desktop\03.08.2018\Banco de Dados_Índices.xlsx" keepAlive="1" name="Banco de Dados_Índices7" type="5" refreshedVersion="5">
    <dbPr connection="Provider=Microsoft.ACE.OLEDB.12.0;User ID=Admin;Data Source=C:\Users\lorena.martins\Desktop\03.08.2018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  <connection id="37" sourceFile="C:\Users\lorena.martins\Desktop\03.08.2018\Banco de Dados_Índices.xlsx" keepAlive="1" name="Banco de Dados_Índices8" type="5" refreshedVersion="5">
    <dbPr connection="Provider=Microsoft.ACE.OLEDB.12.0;User ID=Admin;Data Source=Y:\Engenharia\PLANEJAMENTO DE OBRAS GINCO\ORÇAMENTO DE OBRAS\00 - Arquivos padrão\Banco de Dados_Índice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COLUNAS BUSCA$'" commandType="3"/>
  </connection>
  <connection id="38" sourceFile="Y:\Engenharia\PLANEJAMENTO DE OBRAS GINCO\ORÇAMENTO DE OBRAS\00 - Arquivos padrão\Banco de Dados_Índices.xlsx" keepAlive="1" name="Banco de Dados_Índices9" type="5" refreshedVersion="5">
    <dbPr connection="Provider=Microsoft.ACE.OLEDB.12.0;User ID=Admin;Data Source=Y:\Engenharia\PLANEJAMENTO DE OBRAS GINCO\ORÇAMENTO DE OBRAS\00 - Arquivos padrão\Banco de Dados_Índices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INDICES$" commandType="3"/>
  </connection>
</connections>
</file>

<file path=xl/sharedStrings.xml><?xml version="1.0" encoding="utf-8"?>
<sst xmlns="http://schemas.openxmlformats.org/spreadsheetml/2006/main" count="717" uniqueCount="347">
  <si>
    <t>Nº LOTES</t>
  </si>
  <si>
    <t>LOTES</t>
  </si>
  <si>
    <t>M2</t>
  </si>
  <si>
    <t>M</t>
  </si>
  <si>
    <t>FATOR</t>
  </si>
  <si>
    <t>DADOS GERAIS</t>
  </si>
  <si>
    <t>ÁREA TOTAL EMPRENDIMENTO</t>
  </si>
  <si>
    <t>ÁREA RENDÁVEL - VENDA</t>
  </si>
  <si>
    <t>ÁREA PAVIMENTO - CBUQ</t>
  </si>
  <si>
    <t>ÁREA GRAMA ESMERALDA</t>
  </si>
  <si>
    <t>PERÍMETRO MEIO FIO</t>
  </si>
  <si>
    <t>PERÍMETRO DRENO DE PAVIMENTO</t>
  </si>
  <si>
    <t>EDIFICAÇÕES</t>
  </si>
  <si>
    <t>EMISSÁRIO DE ESGOTO</t>
  </si>
  <si>
    <t>ADUTORA DE ÁGUA</t>
  </si>
  <si>
    <t>VB</t>
  </si>
  <si>
    <t>UND</t>
  </si>
  <si>
    <t>DURAÇÃO PAVIMENTAÇÃO - CONTROLE TECN.</t>
  </si>
  <si>
    <t>MÊS</t>
  </si>
  <si>
    <t>SERVIÇOS COMPLEMENTARES</t>
  </si>
  <si>
    <t>ÁREAS ESPORTIVAS</t>
  </si>
  <si>
    <t>CAMPO SOCIETY</t>
  </si>
  <si>
    <t>QUADRA DE TENIS</t>
  </si>
  <si>
    <t>QUADRA POLIESPORTIVA</t>
  </si>
  <si>
    <t>ELETRICA E SPDA CAMPOS E QUADRAS</t>
  </si>
  <si>
    <t>PERÍODO DE OBRA</t>
  </si>
  <si>
    <t>ESPELHO D'ÁGUA</t>
  </si>
  <si>
    <t>ÁREAS RECREATIVAS</t>
  </si>
  <si>
    <t>CAPIM - PLANTIO</t>
  </si>
  <si>
    <t>SEGURANÇA</t>
  </si>
  <si>
    <t>Soma de PADRÃO (ATUAL)</t>
  </si>
  <si>
    <t>LIMPEZA INICIAL DA ÁREA - M2</t>
  </si>
  <si>
    <t>RESERVATÓRIO - UND</t>
  </si>
  <si>
    <t>CONTROLE TECNOLOGICO - MÊS</t>
  </si>
  <si>
    <t>DRENO DE PAVIMENTO - M</t>
  </si>
  <si>
    <t>REDE DE ÁGUA - M (REDE)</t>
  </si>
  <si>
    <t>MURO DE FECHAMENTO - M (PLACAS)</t>
  </si>
  <si>
    <t>GRAMA ESMERALDA - M2</t>
  </si>
  <si>
    <t>CAPIM - M2</t>
  </si>
  <si>
    <t>PAISAGISMO - GERAL - M2</t>
  </si>
  <si>
    <t>MARCO DOS LOTES - LOTES</t>
  </si>
  <si>
    <t>MANUTENÇÃO DAS ÁREAS VERDES - M2</t>
  </si>
  <si>
    <t>DEPÓSITO DE LIXO - M2</t>
  </si>
  <si>
    <t>CAMPO SOCIETY - UND</t>
  </si>
  <si>
    <t>QUADRA DE TENIS - UND</t>
  </si>
  <si>
    <t>QUADRA POLIESPORTIVA - UND</t>
  </si>
  <si>
    <t>ELETRICA E SPDA CAMPOS E QUADRAS - UND</t>
  </si>
  <si>
    <t>BANCO DE CONCRETO - UND</t>
  </si>
  <si>
    <t>ESPELHO D'ÁGUA - M2</t>
  </si>
  <si>
    <t>SEGURANÇA -PÓS OBRA - MÊS</t>
  </si>
  <si>
    <t>MANUTENÇÃO CAMPOS E QUADRAS - MÊS</t>
  </si>
  <si>
    <t>MANUTENÇÃO PAISAGISMO - MÊS</t>
  </si>
  <si>
    <t>LIMPEZA PARA ENTREGA DEFINITIVA - RETOQUES - VB</t>
  </si>
  <si>
    <t>Total Geral</t>
  </si>
  <si>
    <t>Rótulos de Linha</t>
  </si>
  <si>
    <t>ALIMENTAÇÃO - MÊS</t>
  </si>
  <si>
    <t>CONTÊINER ESCRITÓRIO - MÊS</t>
  </si>
  <si>
    <t>ENERGIA ELÉTRICA - MÊS</t>
  </si>
  <si>
    <t>INTERNET - MÊS</t>
  </si>
  <si>
    <t>MATERIAL DE ESCRITÓRIO - VB</t>
  </si>
  <si>
    <t>PLOTAGENS E CÓPIAS - VB</t>
  </si>
  <si>
    <t>RATEIO SISTEMA DE ABASTECIMENTO - LOTES</t>
  </si>
  <si>
    <t>REDE + CERCA - M</t>
  </si>
  <si>
    <t>SEGURANÇA - INFRAESTRUTURA - M</t>
  </si>
  <si>
    <t>SEGURANÇA DO TRABALHO - VB</t>
  </si>
  <si>
    <t>VEÍCULOS (COMBUSTÍVEL + MANUTENÇÃO) - MÊS</t>
  </si>
  <si>
    <t>PRIMOR DAS TORRES</t>
  </si>
  <si>
    <t>SUPREMO ITÁLIA</t>
  </si>
  <si>
    <t>Soma de COLUNA</t>
  </si>
  <si>
    <t>Qtde</t>
  </si>
  <si>
    <t>ORÇAMENTO PRELIMINAR</t>
  </si>
  <si>
    <t>EXTERNO - INFRAESTRUTURA</t>
  </si>
  <si>
    <t>INSTALAÇÕES E ADMINISTRAÇÃO DE OBRA</t>
  </si>
  <si>
    <t>SISTEMAS LOCAIS</t>
  </si>
  <si>
    <t>INTERNO - SERVIÇOS INICIAIS</t>
  </si>
  <si>
    <t>INTERNO - INFRAESTRUTURA</t>
  </si>
  <si>
    <t>FECHAMENTO PERIMETRAL</t>
  </si>
  <si>
    <t>PAISAGISMO</t>
  </si>
  <si>
    <t>CAMPOS E QUADRAS</t>
  </si>
  <si>
    <t>Custo unitário</t>
  </si>
  <si>
    <t>Custo total</t>
  </si>
  <si>
    <t>Base de dados</t>
  </si>
  <si>
    <t>Total item</t>
  </si>
  <si>
    <t>CUSTO TOTAL DA OBRA</t>
  </si>
  <si>
    <t xml:space="preserve">PISTA DE COOPER </t>
  </si>
  <si>
    <t>Soma de xPRIMOR</t>
  </si>
  <si>
    <t>Soma de xSUPREMO ITALIA</t>
  </si>
  <si>
    <t>Soma de xVILLA JARDIM</t>
  </si>
  <si>
    <t>Soma de xFL ITALIA</t>
  </si>
  <si>
    <t>Soma de xFL PARQUE</t>
  </si>
  <si>
    <t>Soma de xFL DA MATA</t>
  </si>
  <si>
    <t>Soma de xBELVEDERE II</t>
  </si>
  <si>
    <t xml:space="preserve">BELVEDERE II </t>
  </si>
  <si>
    <t>FLORAIS ITÁLIA</t>
  </si>
  <si>
    <t>FLORAIS DA MATA</t>
  </si>
  <si>
    <t>ADUTORA DE ÁGUA - M</t>
  </si>
  <si>
    <t>DRENAGEM COMPLEMENTAR - GERAL - VB</t>
  </si>
  <si>
    <t>ETE - VB</t>
  </si>
  <si>
    <t>INSTALAÇÕES PROVISÓRIAS - VB</t>
  </si>
  <si>
    <t>LIMPEZA GERAL PARA ENTREGA DE OBRA  - VB</t>
  </si>
  <si>
    <t>LIMPEZA PERIÓDICA DAS RUAS (PIPA + SERVENTE) - M2 (PAVIMENTO)</t>
  </si>
  <si>
    <t>MURO DE FECHAMENTO - M (BLOCOS)</t>
  </si>
  <si>
    <t>PAVIMENTAÇÃO - M2</t>
  </si>
  <si>
    <t>REDE DE ÁGUA - LIG. DOM.</t>
  </si>
  <si>
    <t>REDE DE ÁGUA - M (MEIO FIO)</t>
  </si>
  <si>
    <t>REDE DE ESGOTO - M (MEIO FIO)</t>
  </si>
  <si>
    <t>REDE DE ESGOTO - M (REDE)</t>
  </si>
  <si>
    <t xml:space="preserve">VILLA JD </t>
  </si>
  <si>
    <t>FLORAIS DO PARQUE</t>
  </si>
  <si>
    <t>GRADIL  - M2</t>
  </si>
  <si>
    <t>ATI - UND</t>
  </si>
  <si>
    <t>TERRAPLENAGEM GERAL - NÍVEL I - M2</t>
  </si>
  <si>
    <t>TERRAPLENAGEM GERAL - NÍVEL II - M2</t>
  </si>
  <si>
    <t>TERRAPLENAGEM GERAL - NÍVEL III - M2</t>
  </si>
  <si>
    <t>SINALIZAÇÃO HORIZONTAL E VERTICAL - INTERNO - VB</t>
  </si>
  <si>
    <t>GALERIA DE ÁGUAS PLUVIAIS - NÍVEL II  - M2 (PAVIMENTO)</t>
  </si>
  <si>
    <t>GALERIA DE ÁGUAS PLUVIAIS - NÍVEL I - M2 (PAVIMENTO)</t>
  </si>
  <si>
    <t>REDE ELÉTRICA - M2 (PAVIMENTO)</t>
  </si>
  <si>
    <t>CONTROLE DE ACESSO SIMPLES - VB</t>
  </si>
  <si>
    <t>CONTROLE DE ACESSO DUPLO - VB</t>
  </si>
  <si>
    <t>HISTÓRICO DE CUSTO / PADRÃO ATUAL</t>
  </si>
  <si>
    <t>CALÇADAS / PISTA DE COOPER - M2</t>
  </si>
  <si>
    <t>ARQUIBANCADA - UND</t>
  </si>
  <si>
    <t>ÁREA PAVIMENTO - CAMADAS ESTRUTURAIS / IMPRIMAÇÃO</t>
  </si>
  <si>
    <t>QTDE PROJ</t>
  </si>
  <si>
    <t xml:space="preserve">PERÍODO PÓS OBRA </t>
  </si>
  <si>
    <t>ÁREA GRADIL DE FECHAMENTO</t>
  </si>
  <si>
    <t>MEIO FIO (+ 5%) - M</t>
  </si>
  <si>
    <t>DRENAGEM COMPLEMENTAR - MURO NÍVEL I - VB</t>
  </si>
  <si>
    <t>DRENAGEM COMPLEMENTAR - MURO NÍVEL II - VB</t>
  </si>
  <si>
    <t xml:space="preserve">SISTEMA DA QUALIDADE
Procedimento da Qualidade
Estimativa Inicial </t>
  </si>
  <si>
    <t>Custo baseado em ESTUDO DE CUSTO DAS EDIFICAÇÕES</t>
  </si>
  <si>
    <t>GALERIA DE ÁGUAS PLUVIAIS - M2</t>
  </si>
  <si>
    <t>RATEIO SISTEMA DE SANEAMENTO  - LOTES</t>
  </si>
  <si>
    <t>FONTE INTERATIVA</t>
  </si>
  <si>
    <t>ENERGIA SOLAR - IMPLANTAÇÃO SISTEMA</t>
  </si>
  <si>
    <t>PROPOSTA DE PRESTAÇÃO DE SERVIÇO - GRUPO ÂMBITO</t>
  </si>
  <si>
    <t>CONCERTINA - M</t>
  </si>
  <si>
    <t>CALÇADA</t>
  </si>
  <si>
    <t>SINALIZAÇÃO HORIZONTAL E VERTICAL - INTERNO - M2 (PAV)</t>
  </si>
  <si>
    <t>REDE ELÉTRICA - TRAVESSIAS - LOTES</t>
  </si>
  <si>
    <t>BICICLETÁRIO - M</t>
  </si>
  <si>
    <t>BANHEIRO - VB</t>
  </si>
  <si>
    <t>EXTERNO</t>
  </si>
  <si>
    <t>INTERNO</t>
  </si>
  <si>
    <t xml:space="preserve">PISO TÁTIL </t>
  </si>
  <si>
    <t>LARGURA</t>
  </si>
  <si>
    <t>REDE ELÉTRICA EXTERNA</t>
  </si>
  <si>
    <t>MATERIAL DE CONSUMO - MÊS</t>
  </si>
  <si>
    <t>SEGURANÇA (12 HORAS) - MÊS</t>
  </si>
  <si>
    <t>SEGURANÇA (24 HORAS) - MÊS</t>
  </si>
  <si>
    <t>SERVIÇO TOPOGRÁFICO  - MÊS</t>
  </si>
  <si>
    <t>VIGA BENKELMAN  - VB</t>
  </si>
  <si>
    <t>VIGA BENKELMAN  - M2 (PAVIMENTO)</t>
  </si>
  <si>
    <t>REDE ELÉTRICA - ILUMINAÇÃO DE AVENIDAS - M</t>
  </si>
  <si>
    <t>PISO TÁTIL - M</t>
  </si>
  <si>
    <t>PLAYGROUND CONVENCIONAL - VB</t>
  </si>
  <si>
    <t>Soma de xSAFIRA</t>
  </si>
  <si>
    <t>Soma de xAV# JUAREZ</t>
  </si>
  <si>
    <t>FLORAIS SAFIRA</t>
  </si>
  <si>
    <t>FLORAIS ESMERALDA</t>
  </si>
  <si>
    <t>AV. JUAREZ</t>
  </si>
  <si>
    <t>ENTRADA DE ENERGIA - VB</t>
  </si>
  <si>
    <t>CARTA DA ENERGISA N°60504767/2020/DCMD/ENERGISA</t>
  </si>
  <si>
    <t>LIXEIRA</t>
  </si>
  <si>
    <t>PARQUE</t>
  </si>
  <si>
    <t>Soma de xDUBAI</t>
  </si>
  <si>
    <t>Soma de xREGIÃO VG</t>
  </si>
  <si>
    <t>Soma de xFL CHAPADA</t>
  </si>
  <si>
    <t>Soma de xESMERALDA</t>
  </si>
  <si>
    <t>Soma de xPÉROLA</t>
  </si>
  <si>
    <t>Soma de xTORONTO</t>
  </si>
  <si>
    <t>Soma de xCHICAGO</t>
  </si>
  <si>
    <t>DUBAI</t>
  </si>
  <si>
    <t>REGIÃO VG</t>
  </si>
  <si>
    <t>FL CHAPADA</t>
  </si>
  <si>
    <t>TORONTO</t>
  </si>
  <si>
    <t>CHICAGO</t>
  </si>
  <si>
    <t>PÉROLA</t>
  </si>
  <si>
    <t>PLAYGROUND SUPERPLAY (350M2 DE PISO DE BORRACHA) - VB</t>
  </si>
  <si>
    <t>LIXEIRA MOBILIÁRIO URBANO - VB - VB</t>
  </si>
  <si>
    <t>BANCO MOBILIÁRIO URBANO - VB - VB</t>
  </si>
  <si>
    <t>QUADRA DE AREIA - UND</t>
  </si>
  <si>
    <t>CAMPO DE FUTEBOL PEQUENO - 720M² - UND</t>
  </si>
  <si>
    <t>CAMPO DE FUTEBOL PEQUENO</t>
  </si>
  <si>
    <t>ADMINISTRAÇÃO</t>
  </si>
  <si>
    <t>GUARITA DE SERVIÇO</t>
  </si>
  <si>
    <t>GUARITA SOCIAL</t>
  </si>
  <si>
    <t>ESPAÇO GOURMET</t>
  </si>
  <si>
    <t>PISCINA</t>
  </si>
  <si>
    <t>DEPÓSITO DE LIXO</t>
  </si>
  <si>
    <t>QUIOSQUE</t>
  </si>
  <si>
    <t>CHURRASQUEIRA</t>
  </si>
  <si>
    <t>COWORKING</t>
  </si>
  <si>
    <t>ESPAÇO FITNESS</t>
  </si>
  <si>
    <t>PLAYGROUND DE MADEIRA</t>
  </si>
  <si>
    <t xml:space="preserve">MONUMENTO </t>
  </si>
  <si>
    <t>SAFIRA</t>
  </si>
  <si>
    <t>CHAPADA</t>
  </si>
  <si>
    <t>ESTAÇÃO ELEVATÓRIA DE ESGOTO</t>
  </si>
  <si>
    <t/>
  </si>
  <si>
    <t>MONUMENTO - VB</t>
  </si>
  <si>
    <t>QUADRA DE AREIA</t>
  </si>
  <si>
    <t>BICICLETÁRIO 1</t>
  </si>
  <si>
    <t>BICICLETÁRIO 2</t>
  </si>
  <si>
    <t>ADM+COW+GSE+GSO+FITNESS</t>
  </si>
  <si>
    <t>REDE ELÉTRICA - ILUMINAÇÃO APPS  - M</t>
  </si>
  <si>
    <t>FONTE INTERATIVA - 16 SAÍDAS - UND</t>
  </si>
  <si>
    <t>CALÇADAS / PAVER - M2</t>
  </si>
  <si>
    <t>VESTIÁRIO + DML</t>
  </si>
  <si>
    <t>FECHAMENTO DE ÁREAS COMUNITÁRIAS COM TELA ELETROSOLDADA</t>
  </si>
  <si>
    <t>FECHAMENTO DE ÁREAS COMUNITÁRIAS COM CERCA DE ARAME</t>
  </si>
  <si>
    <t>COMERCIAL</t>
  </si>
  <si>
    <t>ÁREA GRAMA ESMERALDA - CALÇADA</t>
  </si>
  <si>
    <t>ESTAR DESCOBERTO EM PAVER</t>
  </si>
  <si>
    <t xml:space="preserve">ARQUIBANCADA </t>
  </si>
  <si>
    <t>ATI EM PAVER (74M2)</t>
  </si>
  <si>
    <t>ESTAÇÃO DE GINÁSTICA EM PAVER (139M2) C/ PERGOLADO EM ARCO (10M)</t>
  </si>
  <si>
    <t>ESTAÇÃO DE GINÁSTICA SIMPLES EM PAVER (84M2)</t>
  </si>
  <si>
    <t xml:space="preserve">ESTAR DESCOBERTO EM CONCRETO (62M2) COM ÁRVORE </t>
  </si>
  <si>
    <t>ESTAR EM CONCRETO (12M2) COM PERGOLADO EM ARCO (10M)</t>
  </si>
  <si>
    <t>ESTAR EM CONCRETO (10M2) COM PERGOLADO RETO (3,5M)</t>
  </si>
  <si>
    <t>ESTAR EM PAVER (77M2) COM PERGOLADO EM ARCO (10M)</t>
  </si>
  <si>
    <t xml:space="preserve">BANCO DE CONCRETO SIMPLES </t>
  </si>
  <si>
    <t xml:space="preserve">BANCO DE CONCRETO MOBILIÁRIO </t>
  </si>
  <si>
    <t xml:space="preserve">HORTA MANDALA </t>
  </si>
  <si>
    <t>PET PARQUE</t>
  </si>
  <si>
    <t>PONTO DE ÔNIBUS</t>
  </si>
  <si>
    <t>BAIA PARA PONTO DE ÔNIBUS (M2??)</t>
  </si>
  <si>
    <t xml:space="preserve">PLAYGROUND SUPERPLAY (350M2) </t>
  </si>
  <si>
    <t>PERÍMETRO MURO DE FECHAMENTO TRADICIONAL</t>
  </si>
  <si>
    <t>PERÍMETRO MURO DE FECHAMENTO EM PLACAS VAZADAS</t>
  </si>
  <si>
    <t>**CALÇADA EXTERNA EM FRENTE AO CLUBE</t>
  </si>
  <si>
    <t>PAISAGISMO GERAL</t>
  </si>
  <si>
    <t>QTDE PROJ - EXTERNA</t>
  </si>
  <si>
    <t>Estimativa de Custo - (CONJUNTO BOMBAS, ELÉTRICA, FUNDAÇÃO E ACESSÓRIOS</t>
  </si>
  <si>
    <t>EMISSÁRIO DE ESGOTO - CALÇADA - M</t>
  </si>
  <si>
    <t>EMISSÁRIO DE ESGOTO - RUA - M</t>
  </si>
  <si>
    <t>ESTAÇÃO ELEVATÓRIA - CUIABÁ - VB</t>
  </si>
  <si>
    <t>ESTAÇÃO ELEVATÓRIA - VÁRZEA GRANDE - VB</t>
  </si>
  <si>
    <t>DRENAGEM COMPLEMENTAR PROTEÇÃO CHUVAS - VB</t>
  </si>
  <si>
    <t>POÇO ARTESIANO - 150 METROS  - UND</t>
  </si>
  <si>
    <t>REDE DE ESGOTO - TERÇO DA RUA - LOTES</t>
  </si>
  <si>
    <t>REDE DE ESGOTO - CALÇADA - LOTES</t>
  </si>
  <si>
    <t>GALERIA DE ÁGUA PLUVIAIS - REDE EXTERNA  - M (REDE)</t>
  </si>
  <si>
    <t>BUEIRO SIMPLES COM BOCA P/ TRANSPOSIÇÃO DE CÓRREGO - M</t>
  </si>
  <si>
    <t>REDE ELÉTRICA - CAIXAS CP02 - 60X70 C/ TAMPA - LOTES</t>
  </si>
  <si>
    <t>MURETA PARA GRADIL + PILAR - M</t>
  </si>
  <si>
    <t>FECHAMENTO EM TELA ELETROSOLDADA - M</t>
  </si>
  <si>
    <t>FECHAMENTO EM CERCA DE ARAME E MOURÕES EM MADEIRA  - M</t>
  </si>
  <si>
    <t>FECHAMENTO EM CERCA DE ARAME E MOURÕES EM CONCRETO  - M</t>
  </si>
  <si>
    <t>ESTAR DESCOBERTO EM PAVER - UND</t>
  </si>
  <si>
    <t>ESTAR DESCOBERTO EM CONCRETO C/ÁRVORE  - UND</t>
  </si>
  <si>
    <t>ESTAR EM CONCRETO C/ PERGOLADO RETO - UND</t>
  </si>
  <si>
    <t>ESTAR EM CONCRETO C/ PERGOLADO EM ARCO  - M</t>
  </si>
  <si>
    <t>PET PARQUE - UND</t>
  </si>
  <si>
    <t>HORTA SEM COBERTURA - UND</t>
  </si>
  <si>
    <t>COBERTURA HORTA - UND</t>
  </si>
  <si>
    <t>CALÇADAS/ FEIRA EM CONCRETO ARMADO  - M2</t>
  </si>
  <si>
    <t>CALÇADAS/ ACESSO DEPÓSITO DE LIXO - ACESSO  - M2</t>
  </si>
  <si>
    <t>ESTAÇÃO DE GINÁSTICA EM PAVER COMUM  - UND</t>
  </si>
  <si>
    <t>PONTO DE ÔNIBUS - UND</t>
  </si>
  <si>
    <t>BAIA P/ PONTO DE ÔNIBUS EM CONCRETO ARMADO - M2</t>
  </si>
  <si>
    <t>ESTAÇÃO DE GINÁSTICA EM PAVER C/ PERGOLADO EM ARCO - 10 M - UND</t>
  </si>
  <si>
    <t xml:space="preserve">ESTAÇÃO DE TRATAMENTO DE ESGOTO </t>
  </si>
  <si>
    <t>ILUMINAÇÃO DAS APPS</t>
  </si>
  <si>
    <t>CALÇADA PRAÇA (PIGMENTADA)</t>
  </si>
  <si>
    <t xml:space="preserve">CALÇADA EM PAVER </t>
  </si>
  <si>
    <t>GINCO PLATINUM INCORPORAÇÕES LTDA</t>
  </si>
  <si>
    <t>Sexta-feira, 23 de julho de 2021</t>
  </si>
  <si>
    <t>Usuário: RAYANEB</t>
  </si>
  <si>
    <t>Planilha Orçamentária</t>
  </si>
  <si>
    <t xml:space="preserve">Orçamento: </t>
  </si>
  <si>
    <t>Item</t>
  </si>
  <si>
    <t>Código</t>
  </si>
  <si>
    <t>Descrição</t>
  </si>
  <si>
    <t xml:space="preserve">Unid </t>
  </si>
  <si>
    <t>Quantidade</t>
  </si>
  <si>
    <t>Custo Unit.</t>
  </si>
  <si>
    <t>Custo Total</t>
  </si>
  <si>
    <t>CAMADAS ESTRUTURAIS</t>
  </si>
  <si>
    <t>01.01</t>
  </si>
  <si>
    <t>ENG0024</t>
  </si>
  <si>
    <t xml:space="preserve">REGULARIZAÇÃO E COMPACTAÇÃO DE SUBLEITO ATÉ 20 CM DE ESPESSURA </t>
  </si>
  <si>
    <t>M²</t>
  </si>
  <si>
    <t>01.02</t>
  </si>
  <si>
    <t>ENG0610</t>
  </si>
  <si>
    <t xml:space="preserve">EXECUÇÃO DE REFORÇO DE SUBLEITO COM SOLO ESTABILIZADO GRANULOMETRICAMENTE COM MATERIAL DE JAZIDA, MISTURA EM PISTA </t>
  </si>
  <si>
    <t>M³</t>
  </si>
  <si>
    <t>01.03</t>
  </si>
  <si>
    <t>ENG0163</t>
  </si>
  <si>
    <t xml:space="preserve">EXECUÇÃO DE SUB BASE/BASE ESTABILIZADA GRANULOMETRICAMENTE COM MATERIAL DE JAZIDA </t>
  </si>
  <si>
    <t>01.04</t>
  </si>
  <si>
    <t>ENG0026</t>
  </si>
  <si>
    <t>AQUISIÇÃO DE MATERIAL DE JAZIDA</t>
  </si>
  <si>
    <t>01.05</t>
  </si>
  <si>
    <t>ENG0016</t>
  </si>
  <si>
    <t xml:space="preserve">TRANSPORTE DE MATERIAL COM CAMINHÃO BASCULANTE EM VIAS URBANAS PAVIMENTADAS </t>
  </si>
  <si>
    <t xml:space="preserve">TxK M </t>
  </si>
  <si>
    <t>Total do Item 01</t>
  </si>
  <si>
    <t>BETUMINOSOS E CONCRETO ARMADO</t>
  </si>
  <si>
    <t>02.01</t>
  </si>
  <si>
    <t>ENG0030</t>
  </si>
  <si>
    <t>IMPRIMAÇÃO COM ASFALTO DILUÍDO (CM 30)</t>
  </si>
  <si>
    <t>02.02</t>
  </si>
  <si>
    <t>ENG0031</t>
  </si>
  <si>
    <t>PINTURA DE LIGAÇÃO (RR 2C)</t>
  </si>
  <si>
    <t>02.03</t>
  </si>
  <si>
    <t>ENG0230</t>
  </si>
  <si>
    <t xml:space="preserve">CONCRETO BETUMINOSO USINADO A QUENTE (CBUQ) PARA CAPA DE ROLAMENTO E: 2 A 4 CM, FORNECIMENTO E APLICAÇÃO, EXCLUSIVE TRANSPORTE </t>
  </si>
  <si>
    <t>02.04</t>
  </si>
  <si>
    <t>Total do Item 02</t>
  </si>
  <si>
    <t>BDI</t>
  </si>
  <si>
    <t>04.01</t>
  </si>
  <si>
    <t>ENG0138</t>
  </si>
  <si>
    <t>BDI MÃO DE OBRA</t>
  </si>
  <si>
    <t>04.02</t>
  </si>
  <si>
    <t>ENG0139</t>
  </si>
  <si>
    <t>BDI MATERIAIS</t>
  </si>
  <si>
    <t>04.03</t>
  </si>
  <si>
    <t>ENG0140</t>
  </si>
  <si>
    <t>BDI SERVIÇOS</t>
  </si>
  <si>
    <t>Total do Item 04</t>
  </si>
  <si>
    <t>Total do Orçamento</t>
  </si>
  <si>
    <t>UAU! Software de Automação e Gestão Empresarial</t>
  </si>
  <si>
    <t>Página</t>
  </si>
  <si>
    <t>GUARITA SOCIAL - VB</t>
  </si>
  <si>
    <t>ADMINISTRAÇÃO + GUARITA DE SERVIÇO - M2</t>
  </si>
  <si>
    <t>ESTIMATIVA DE CUSTO baseada em Estudo das Edificações</t>
  </si>
  <si>
    <t xml:space="preserve">ACESSO DEPÓSITO DE LIXO </t>
  </si>
  <si>
    <t>ETE - LOTES</t>
  </si>
  <si>
    <t>ETA - LOTES</t>
  </si>
  <si>
    <t>SEVILHA</t>
  </si>
  <si>
    <t>MADRI</t>
  </si>
  <si>
    <t>BARCELONA</t>
  </si>
  <si>
    <t>TOTAL</t>
  </si>
  <si>
    <t>ELEVATÓRIA</t>
  </si>
  <si>
    <t xml:space="preserve">CONDOMÍNIO FLORAIS MADRI </t>
  </si>
  <si>
    <t>Obra: 00095 - CUSTO DE OBRA GINCO MADRI</t>
  </si>
  <si>
    <t>3 - PAV INT VIA - R10</t>
  </si>
  <si>
    <t>CARTA Nº 85267181-2021-DCMD-ENERGISA</t>
  </si>
  <si>
    <t>ÁREA DE VENDA</t>
  </si>
  <si>
    <t>R10</t>
  </si>
  <si>
    <t>TERRAPLENAGEM GERAL - M2</t>
  </si>
  <si>
    <t>CALÇADAS / CONCRETO PIGMENTADO S/ ARMAÇÃO - M2</t>
  </si>
  <si>
    <t xml:space="preserve">CALÇADA CONCRETO SIMPLES PIGMENTADO </t>
  </si>
  <si>
    <t>20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</si>
</sst>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&quot;R$&quot;#,##0.00"/>
    <numFmt numFmtId="167" formatCode="_-&quot;R$ &quot;* #,##0.00_-;&quot;-R$ &quot;* #,##0.00_-;_-&quot;R$ &quot;* \-??_-;_-@_-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D7EE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9" fillId="0" borderId="0" applyFont="0" applyFill="0" applyBorder="0" applyAlignment="0" applyProtection="0"/>
    <xf numFmtId="167" fontId="18" fillId="0" borderId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1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2" fillId="6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4" fontId="12" fillId="6" borderId="1" xfId="0" applyNumberFormat="1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4" fontId="10" fillId="0" borderId="0" xfId="1" applyFont="1" applyFill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44" fontId="8" fillId="0" borderId="0" xfId="1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4" fontId="7" fillId="0" borderId="0" xfId="1" applyFont="1" applyFill="1" applyAlignment="1">
      <alignment horizontal="left" vertical="center"/>
    </xf>
    <xf numFmtId="44" fontId="10" fillId="0" borderId="0" xfId="1" applyFont="1" applyFill="1" applyAlignment="1">
      <alignment horizontal="center" vertical="center"/>
    </xf>
    <xf numFmtId="44" fontId="8" fillId="0" borderId="0" xfId="1" applyFont="1" applyFill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7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164" fontId="1" fillId="4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Fill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4" fontId="10" fillId="0" borderId="0" xfId="1" applyFont="1" applyFill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4" fontId="8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4" fontId="7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" fontId="13" fillId="7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4" fontId="14" fillId="7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quotePrefix="1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4" fontId="1" fillId="0" borderId="0" xfId="1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164" fontId="8" fillId="0" borderId="1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64" fontId="22" fillId="0" borderId="0" xfId="0" applyNumberFormat="1" applyFont="1"/>
    <xf numFmtId="4" fontId="23" fillId="0" borderId="1" xfId="6" applyNumberFormat="1" applyFont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44" fontId="10" fillId="0" borderId="0" xfId="1" applyFont="1" applyFill="1" applyAlignment="1">
      <alignment vertical="center"/>
    </xf>
    <xf numFmtId="44" fontId="10" fillId="0" borderId="0" xfId="1" applyFont="1" applyAlignment="1">
      <alignment horizontal="left" vertical="center"/>
    </xf>
    <xf numFmtId="10" fontId="1" fillId="0" borderId="0" xfId="8" applyNumberFormat="1" applyFont="1" applyFill="1" applyAlignment="1">
      <alignment horizontal="center" vertical="center"/>
    </xf>
    <xf numFmtId="0" fontId="24" fillId="0" borderId="0" xfId="0" applyFont="1"/>
    <xf numFmtId="44" fontId="24" fillId="0" borderId="0" xfId="1" applyFont="1" applyFill="1" applyBorder="1"/>
    <xf numFmtId="4" fontId="24" fillId="0" borderId="0" xfId="0" applyNumberFormat="1" applyFont="1"/>
    <xf numFmtId="164" fontId="24" fillId="0" borderId="0" xfId="0" applyNumberFormat="1" applyFont="1"/>
    <xf numFmtId="0" fontId="24" fillId="9" borderId="0" xfId="0" applyFont="1" applyFill="1"/>
    <xf numFmtId="164" fontId="24" fillId="9" borderId="0" xfId="0" applyNumberFormat="1" applyFont="1" applyFill="1"/>
    <xf numFmtId="164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0" fillId="8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</cellXfs>
  <cellStyles count="9">
    <cellStyle name="Moeda" xfId="1" builtinId="4"/>
    <cellStyle name="Moeda 2" xfId="2"/>
    <cellStyle name="Moeda 3" xfId="7"/>
    <cellStyle name="Moeda 4" xfId="6"/>
    <cellStyle name="Normal" xfId="0" builtinId="0"/>
    <cellStyle name="Normal 2" xfId="4"/>
    <cellStyle name="Porcentagem" xfId="8" builtinId="5"/>
    <cellStyle name="Separador de milhares 2" xfId="3"/>
    <cellStyle name="Vírgula 2" xfId="5"/>
  </cellStyles>
  <dxfs count="8">
    <dxf>
      <alignment horizontal="center" readingOrder="0"/>
    </dxf>
    <dxf>
      <alignment horizontal="center" readingOrder="0"/>
    </dxf>
    <dxf>
      <numFmt numFmtId="165" formatCode="&quot;R$&quot;\ #,##0.00"/>
    </dxf>
    <dxf>
      <numFmt numFmtId="165" formatCode="&quot;R$&quot;\ #,##0.00"/>
    </dxf>
    <dxf>
      <alignment horizontal="center" readingOrder="0"/>
    </dxf>
    <dxf>
      <alignment horizontal="center" readingOrder="0"/>
    </dxf>
    <dxf>
      <numFmt numFmtId="165" formatCode="&quot;R$&quot;\ #,##0.00"/>
    </dxf>
    <dxf>
      <numFmt numFmtId="165" formatCode="&quot;R$&quot;\ #,##0.00"/>
    </dxf>
  </dxfs>
  <tableStyles count="0" defaultTableStyle="TableStyleMedium2" defaultPivotStyle="PivotStyleLight16"/>
  <colors>
    <mruColors>
      <color rgb="FFE20000"/>
      <color rgb="FFEE0000"/>
      <color rgb="FFFAC6C2"/>
      <color rgb="FFF6CACA"/>
      <color rgb="FFD5572F"/>
      <color rgb="FFFFFF66"/>
      <color rgb="FFF1F9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131234</xdr:colOff>
      <xdr:row>1</xdr:row>
      <xdr:rowOff>155574</xdr:rowOff>
    </xdr:from>
    <xdr:to>
      <xdr:col>1</xdr:col>
      <xdr:colOff>1217084</xdr:colOff>
      <xdr:row>1</xdr:row>
      <xdr:rowOff>422275</xdr:rowOff>
    </xdr:to>
    <xdr:pic>
      <xdr:nvPicPr>
        <xdr:cNvPr id="2" name="Imagem 1" descr="Logo Gin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09" y="374649"/>
          <a:ext cx="1085850" cy="266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ane Gama" refreshedDate="44246.616545833334" backgroundQuery="1" createdVersion="6" refreshedVersion="6" minRefreshableVersion="3" recordCount="17">
  <cacheSource type="external" connectionId="12"/>
  <cacheFields count="2">
    <cacheField name="EMPREENDIMENTO" numFmtId="0">
      <sharedItems count="17">
        <s v="PADRÃO ATUAL"/>
        <s v="VILLA JD "/>
        <s v="FLORAIS DA MATA"/>
        <s v="FLORAIS ITÁLIA"/>
        <s v="SUPREMO ITÁLIA"/>
        <s v="PRIMOR DAS TORRES"/>
        <s v="BELVEDERE II "/>
        <s v="FLORAIS DO PARQUE"/>
        <s v="FLORAIS SAFIRA"/>
        <s v="FLORAIS ESMERALDA"/>
        <s v="AV. JUAREZ"/>
        <s v="DUBAI"/>
        <s v="REGIÃO VG"/>
        <s v="FL CHAPADA"/>
        <s v="TORONTO"/>
        <s v="CHICAGO"/>
        <s v="PÉROLA"/>
      </sharedItems>
    </cacheField>
    <cacheField name="COLUNA" numFmtId="0">
      <sharedItems containsSemiMixedTypes="0" containsString="0" containsNumber="1" containsInteger="1" minValue="2" maxValue="18" count="17"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yane Gama" refreshedDate="44427.420063541664" backgroundQuery="1" createdVersion="7" refreshedVersion="7" minRefreshableVersion="3" recordCount="115">
  <cacheSource type="external" connectionId="11"/>
  <cacheFields count="37">
    <cacheField name="SERVIÇO" numFmtId="0">
      <sharedItems/>
    </cacheField>
    <cacheField name="UNIDADE" numFmtId="0">
      <sharedItems count="13">
        <s v="MÊS"/>
        <s v="VB"/>
        <s v="LOTES"/>
        <s v="M"/>
        <s v="M2"/>
        <s v="M2 (PAVIMENTO)"/>
        <s v="UND"/>
        <s v="M2 (PAV)"/>
        <s v="M (REDE)"/>
        <s v="M (MEIO FIO)"/>
        <s v="LIG. DOM."/>
        <s v="M (BLOCOS)"/>
        <s v="M (PLACAS)"/>
      </sharedItems>
    </cacheField>
    <cacheField name="NOME" numFmtId="0">
      <sharedItems count="115">
        <s v="ENERGIA ELÉTRICA - MÊS"/>
        <s v="INTERNET - MÊS"/>
        <s v="CONTÊINER ESCRITÓRIO - MÊS"/>
        <s v="BANHEIRO - VB"/>
        <s v="INSTALAÇÕES PROVISÓRIAS - VB"/>
        <s v="MATERIAL DE CONSUMO - MÊS"/>
        <s v="ALIMENTAÇÃO - MÊS"/>
        <s v="VEÍCULOS (COMBUSTÍVEL + MANUTENÇÃO) - MÊS"/>
        <s v="SEGURANÇA (12 HORAS) - MÊS"/>
        <s v="SEGURANÇA (24 HORAS) - MÊS"/>
        <s v="SERVIÇO TOPOGRÁFICO  - MÊS"/>
        <s v="PLOTAGENS E CÓPIAS - VB"/>
        <s v="MATERIAL DE ESCRITÓRIO - VB"/>
        <s v="SEGURANÇA DO TRABALHO - VB"/>
        <s v="RATEIO SISTEMA DE ABASTECIMENTO - LOTES"/>
        <s v="RATEIO SISTEMA DE SANEAMENTO  - LOTES"/>
        <s v="ETE - VB"/>
        <s v="ETE - LOTES"/>
        <s v="ETA - LOTES"/>
        <s v="EMISSÁRIO DE ESGOTO - CALÇADA - M"/>
        <s v="EMISSÁRIO DE ESGOTO - RUA - M"/>
        <s v="ADUTORA DE ÁGUA - M"/>
        <s v="ESTAÇÃO ELEVATÓRIA - CUIABÁ - VB"/>
        <s v="ESTAÇÃO ELEVATÓRIA - VÁRZEA GRANDE - VB"/>
        <s v="LIMPEZA INICIAL DA ÁREA - M2"/>
        <s v="LIMPEZA PERIÓDICA DAS RUAS (PIPA + SERVENTE) - M2 (PAVIMENTO)"/>
        <s v="DRENAGEM COMPLEMENTAR PROTEÇÃO CHUVAS - VB"/>
        <s v="RESERVATÓRIO - UND"/>
        <s v="POÇO ARTESIANO - 150 METROS  - UND"/>
        <s v="TERRAPLENAGEM GERAL - M2"/>
        <s v="TERRAPLENAGEM GERAL - NÍVEL I - M2"/>
        <s v="TERRAPLENAGEM GERAL - NÍVEL II - M2"/>
        <s v="TERRAPLENAGEM GERAL - NÍVEL III - M2"/>
        <s v="CONTROLE TECNOLOGICO - MÊS"/>
        <s v="SINALIZAÇÃO HORIZONTAL E VERTICAL - INTERNO - M2 (PAV)"/>
        <s v="SINALIZAÇÃO HORIZONTAL E VERTICAL - INTERNO - VB"/>
        <s v="MEIO FIO (+ 5%) - M"/>
        <s v="DRENO DE PAVIMENTO - M"/>
        <s v="REDE DE ÁGUA - M (REDE)"/>
        <s v="REDE DE ÁGUA - M (MEIO FIO)"/>
        <s v="REDE DE ÁGUA - LIG. DOM."/>
        <s v="REDE DE ESGOTO - TERÇO DA RUA - LOTES"/>
        <s v="REDE DE ESGOTO - CALÇADA - LOTES"/>
        <s v="REDE DE ESGOTO - M (REDE)"/>
        <s v="REDE DE ESGOTO - M (MEIO FIO)"/>
        <s v="GALERIA DE ÁGUAS PLUVIAIS - M2"/>
        <s v="GALERIA DE ÁGUAS PLUVIAIS - NÍVEL II  - M2 (PAVIMENTO)"/>
        <s v="GALERIA DE ÁGUAS PLUVIAIS - NÍVEL I - M2 (PAVIMENTO)"/>
        <s v="GALERIA DE ÁGUA PLUVIAIS - REDE EXTERNA  - M (REDE)"/>
        <s v="BUEIRO SIMPLES COM BOCA P/ TRANSPOSIÇÃO DE CÓRREGO - M"/>
        <s v="REDE ELÉTRICA - M2 (PAVIMENTO)"/>
        <s v="REDE ELÉTRICA - TRAVESSIAS - LOTES"/>
        <s v="REDE ELÉTRICA - CAIXAS CP02 - 60X70 C/ TAMPA - LOTES"/>
        <s v="VIGA BENKELMAN  - VB"/>
        <s v="VIGA BENKELMAN  - M2 (PAVIMENTO)"/>
        <s v="REDE ELÉTRICA - ILUMINAÇÃO APPS  - M"/>
        <s v="REDE ELÉTRICA - ILUMINAÇÃO DE AVENIDAS - M"/>
        <s v="MURO DE FECHAMENTO - M (BLOCOS)"/>
        <s v="MURO DE FECHAMENTO - M (PLACAS)"/>
        <s v="MURETA PARA GRADIL + PILAR - M"/>
        <s v="GRADIL  - M2"/>
        <s v="FECHAMENTO EM TELA ELETROSOLDADA - M"/>
        <s v="FECHAMENTO EM CERCA DE ARAME E MOURÕES EM MADEIRA  - M"/>
        <s v="FECHAMENTO EM CERCA DE ARAME E MOURÕES EM CONCRETO  - M"/>
        <s v="CONTROLE DE ACESSO SIMPLES - VB"/>
        <s v="CONTROLE DE ACESSO DUPLO - VB"/>
        <s v="SEGURANÇA - INFRAESTRUTURA - M"/>
        <s v="CONCERTINA - M"/>
        <s v="PISO TÁTIL - M"/>
        <s v="REDE + CERCA - M"/>
        <s v="GRAMA ESMERALDA - M2"/>
        <s v="CAPIM - M2"/>
        <s v="PAISAGISMO - GERAL - M2"/>
        <s v="MANUTENÇÃO DAS ÁREAS VERDES - M2"/>
        <s v="ESTAR DESCOBERTO EM PAVER - UND"/>
        <s v="ESTAR DESCOBERTO EM CONCRETO C/ÁRVORE  - UND"/>
        <s v="ESTAR EM CONCRETO C/ PERGOLADO RETO - UND"/>
        <s v="ESTAR EM CONCRETO C/ PERGOLADO EM ARCO  - M"/>
        <s v="BICICLETÁRIO - M"/>
        <s v="PET PARQUE - UND"/>
        <s v="HORTA SEM COBERTURA - UND"/>
        <s v="COBERTURA HORTA - UND"/>
        <s v="FONTE INTERATIVA - 16 SAÍDAS - UND"/>
        <s v="CALÇADAS / PAVER - M2"/>
        <s v="CALÇADAS / PISTA DE COOPER - M2"/>
        <s v="CALÇADAS/ FEIRA EM CONCRETO ARMADO  - M2"/>
        <s v="CALÇADAS / CONCRETO PIGMENTADO S/ ARMAÇÃO - M2"/>
        <s v="CALÇADAS/ ACESSO DEPÓSITO DE LIXO - ACESSO  - M2"/>
        <s v="PLAYGROUND SUPERPLAY (350M2 DE PISO DE BORRACHA) - VB"/>
        <s v="PLAYGROUND CONVENCIONAL - VB"/>
        <s v="LIXEIRA MOBILIÁRIO URBANO - VB - VB"/>
        <s v="BANCO MOBILIÁRIO URBANO - VB - VB"/>
        <s v="ESTAÇÃO DE GINÁSTICA EM PAVER COMUM  - UND"/>
        <s v="PONTO DE ÔNIBUS - UND"/>
        <s v="BAIA P/ PONTO DE ÔNIBUS EM CONCRETO ARMADO - M2"/>
        <s v="ESTAÇÃO DE GINÁSTICA EM PAVER C/ PERGOLADO EM ARCO - 10 M - UND"/>
        <s v="CAMPO SOCIETY - UND"/>
        <s v="CAMPO DE FUTEBOL PEQUENO - 720M² - UND"/>
        <s v="QUADRA POLIESPORTIVA - UND"/>
        <s v="QUADRA DE TENIS - UND"/>
        <s v="QUADRA DE AREIA - UND"/>
        <s v="ELETRICA E SPDA CAMPOS E QUADRAS - UND"/>
        <s v="ARQUIBANCADA - UND"/>
        <s v="ESPELHO D'ÁGUA - M2"/>
        <s v="ATI - UND"/>
        <s v="BANCO DE CONCRETO - UND"/>
        <s v="DRENAGEM COMPLEMENTAR - MURO NÍVEL II - VB"/>
        <s v="DRENAGEM COMPLEMENTAR - MURO NÍVEL I - VB"/>
        <s v="DRENAGEM COMPLEMENTAR - GERAL - VB"/>
        <s v="LIMPEZA GERAL PARA ENTREGA DE OBRA  - VB"/>
        <s v="MARCO DOS LOTES - LOTES"/>
        <s v="SEGURANÇA -PÓS OBRA - MÊS"/>
        <s v="MANUTENÇÃO CAMPOS E QUADRAS - MÊS"/>
        <s v="MANUTENÇÃO PAISAGISMO - MÊS"/>
        <s v="LIMPEZA PARA ENTREGA DEFINITIVA - RETOQUES - VB"/>
      </sharedItems>
    </cacheField>
    <cacheField name="PADRÃO (ATUAL)" numFmtId="0">
      <sharedItems containsString="0" containsBlank="1" containsNumber="1" minValue="0.46889999999999998" maxValue="990717.14769999997"/>
    </cacheField>
    <cacheField name="VILLA JARDIM" numFmtId="0">
      <sharedItems containsString="0" containsBlank="1" containsNumber="1" minValue="0" maxValue="448784.68" count="5">
        <m/>
        <n v="904.79600000000005"/>
        <n v="286.27510000000001"/>
        <n v="448784.68"/>
        <n v="0"/>
      </sharedItems>
    </cacheField>
    <cacheField name="FL DA MATA" numFmtId="0">
      <sharedItems containsString="0" containsBlank="1" containsNumber="1" minValue="0" maxValue="151475.62849999999" count="16">
        <m/>
        <n v="0"/>
        <n v="8.5052000000000003"/>
        <n v="68.745599999999996"/>
        <n v="40.7455"/>
        <n v="2221.4677000000001"/>
        <n v="118.3291"/>
        <n v="71.642300000000006"/>
        <n v="6.5590000000000002"/>
        <n v="72.053200000000004"/>
        <n v="32.546199999999999"/>
        <n v="151475.62849999999"/>
        <n v="121.15219999999999"/>
        <n v="0.72550000000000003"/>
        <n v="1.0458000000000001"/>
        <n v="378.66160000000002"/>
      </sharedItems>
    </cacheField>
    <cacheField name="FL ITALIA" numFmtId="0">
      <sharedItems containsString="0" containsBlank="1" containsNumber="1" minValue="0" maxValue="1419452.0966" count="26">
        <m/>
        <n v="1419452.0966"/>
        <n v="0"/>
        <n v="314.72899999999998"/>
        <n v="1.9081999999999999"/>
        <n v="0.72"/>
        <n v="112434.0808"/>
        <n v="5.0438000000000001"/>
        <n v="1.5643"/>
        <n v="82515.334099999993"/>
        <n v="70.119100000000003"/>
        <n v="45.7971"/>
        <n v="2014.9455"/>
        <n v="94.607600000000005"/>
        <n v="58.1648"/>
        <n v="9.5173000000000005"/>
        <n v="80.933599999999998"/>
        <n v="29.602"/>
        <n v="924.08699999999999"/>
        <n v="120005.13"/>
        <n v="1.4831000000000001"/>
        <n v="0.83099999999999996"/>
        <n v="39136.0743"/>
        <n v="103369.8931"/>
        <n v="124122.53660000001"/>
        <n v="66.889499999999998"/>
      </sharedItems>
    </cacheField>
    <cacheField name="SUPREMO ITALIA" numFmtId="0">
      <sharedItems containsString="0" containsBlank="1" containsNumber="1" minValue="0" maxValue="963851.20550000004"/>
    </cacheField>
    <cacheField name="PRIMOR" numFmtId="0">
      <sharedItems containsString="0" containsBlank="1" containsNumber="1" minValue="0" maxValue="890533.05810000002"/>
    </cacheField>
    <cacheField name="BELVEDERE II" numFmtId="0">
      <sharedItems containsString="0" containsBlank="1" containsNumber="1" minValue="0" maxValue="1013282.4023"/>
    </cacheField>
    <cacheField name="FL PARQUE" numFmtId="0">
      <sharedItems containsString="0" containsBlank="1" containsNumber="1" minValue="0" maxValue="264380.63"/>
    </cacheField>
    <cacheField name="SAFIRA" numFmtId="0">
      <sharedItems containsString="0" containsBlank="1" containsNumber="1" minValue="0" maxValue="395.09100000000001" count="7">
        <m/>
        <n v="0"/>
        <n v="1.2438"/>
        <n v="9.7203999999999997"/>
        <n v="6.907"/>
        <n v="72.223100000000002"/>
        <n v="395.09100000000001"/>
      </sharedItems>
    </cacheField>
    <cacheField name="ESMERALDA" numFmtId="0">
      <sharedItems containsString="0" containsBlank="1" containsNumber="1" minValue="0" maxValue="4.6909000000000001" count="4">
        <m/>
        <n v="0"/>
        <n v="1.2927"/>
        <n v="4.6909000000000001"/>
      </sharedItems>
    </cacheField>
    <cacheField name="AV# JUAREZ" numFmtId="0">
      <sharedItems containsString="0" containsBlank="1" containsNumber="1" minValue="0" maxValue="167566" count="7">
        <m/>
        <n v="0"/>
        <n v="3.4670999999999998"/>
        <n v="167566"/>
        <n v="50.519399999999997"/>
        <n v="56.951900000000002"/>
        <n v="1083.0071"/>
      </sharedItems>
    </cacheField>
    <cacheField name="DUBAI" numFmtId="0">
      <sharedItems containsString="0" containsBlank="1" containsNumber="1" minValue="0" maxValue="92681.78" count="10">
        <m/>
        <n v="0"/>
        <n v="1.5590999999999999"/>
        <n v="3.3685999999999998"/>
        <n v="14.769600000000001"/>
        <n v="47.251899999999999"/>
        <n v="1.9397"/>
        <n v="88147.896999999997"/>
        <n v="92681.78"/>
        <n v="65729.08"/>
      </sharedItems>
    </cacheField>
    <cacheField name="REGIÃO VG" numFmtId="0">
      <sharedItems containsString="0" containsBlank="1" containsNumber="1" minValue="0" maxValue="1095201.9251000001" count="10">
        <m/>
        <n v="1314.9724000000001"/>
        <n v="2163.0621999999998"/>
        <n v="1095201.9251000001"/>
        <n v="1200.6575"/>
        <n v="929.33330000000001"/>
        <n v="213.82859999999999"/>
        <n v="202.45840000000001"/>
        <n v="422366.17"/>
        <n v="0"/>
      </sharedItems>
    </cacheField>
    <cacheField name="FL CHAPADA" numFmtId="0">
      <sharedItems containsString="0" containsBlank="1" containsNumber="1" minValue="0" maxValue="1899.8912" count="13">
        <m/>
        <n v="0"/>
        <n v="145.4804"/>
        <n v="0.61680000000000001"/>
        <n v="87"/>
        <n v="72.400000000000006"/>
        <n v="68.210099999999997"/>
        <n v="45.921599999999998"/>
        <n v="1899.8912"/>
        <n v="148.2389"/>
        <n v="83.298299999999998"/>
        <n v="217.5532"/>
        <n v="792.32889999999998"/>
      </sharedItems>
    </cacheField>
    <cacheField name=" TORONTO" numFmtId="0">
      <sharedItems containsString="0" containsBlank="1" containsNumber="1" minValue="0" maxValue="3.8418000000000001" count="4">
        <m/>
        <n v="0"/>
        <n v="2.0451000000000001"/>
        <n v="3.8418000000000001"/>
      </sharedItems>
    </cacheField>
    <cacheField name="CHICAGO" numFmtId="0">
      <sharedItems containsString="0" containsBlank="1" containsNumber="1" containsInteger="1" minValue="0" maxValue="0" count="2">
        <m/>
        <n v="0"/>
      </sharedItems>
    </cacheField>
    <cacheField name="PÉROLA" numFmtId="0">
      <sharedItems containsString="0" containsBlank="1" containsNumber="1" containsInteger="1" minValue="0" maxValue="0" count="2">
        <m/>
        <n v="0"/>
      </sharedItems>
    </cacheField>
    <cacheField name="F21" numFmtId="0">
      <sharedItems containsString="0" containsBlank="1" count="1">
        <m/>
      </sharedItems>
    </cacheField>
    <cacheField name="xVILLA JARDIM" numFmtId="0">
      <sharedItems containsString="0" containsBlank="1" containsNumber="1" minValue="0" maxValue="448784.68" count="5">
        <n v="0"/>
        <n v="904.79600000000005"/>
        <m/>
        <n v="286.27510000000001"/>
        <n v="448784.68"/>
      </sharedItems>
    </cacheField>
    <cacheField name="xFL DA MATA" numFmtId="0">
      <sharedItems containsString="0" containsBlank="1" containsNumber="1" minValue="0" maxValue="151475.62849999999" count="16">
        <n v="0"/>
        <m/>
        <n v="8.5052000000000003"/>
        <n v="68.745599999999996"/>
        <n v="40.7455"/>
        <n v="2221.4677000000001"/>
        <n v="118.3291"/>
        <n v="71.642300000000006"/>
        <n v="6.5590000000000002"/>
        <n v="72.053200000000004"/>
        <n v="32.546199999999999"/>
        <n v="151475.62849999999"/>
        <n v="121.15219999999999"/>
        <n v="0.72550000000000003"/>
        <n v="1.0458000000000001"/>
        <n v="378.66160000000002"/>
      </sharedItems>
    </cacheField>
    <cacheField name="xFL ITALIA" numFmtId="0">
      <sharedItems containsString="0" containsBlank="1" containsNumber="1" minValue="0" maxValue="1419452.0966" count="26">
        <n v="0"/>
        <n v="1419452.0966"/>
        <m/>
        <n v="314.72899999999998"/>
        <n v="1.9081999999999999"/>
        <n v="0.72"/>
        <n v="112434.0808"/>
        <n v="5.0438000000000001"/>
        <n v="1.5643"/>
        <n v="82515.334099999993"/>
        <n v="70.119100000000003"/>
        <n v="45.7971"/>
        <n v="2014.9455"/>
        <n v="94.607600000000005"/>
        <n v="58.1648"/>
        <n v="9.5173000000000005"/>
        <n v="80.933599999999998"/>
        <n v="29.602"/>
        <n v="924.08699999999999"/>
        <n v="120005.13"/>
        <n v="1.4831000000000001"/>
        <n v="0.83099999999999996"/>
        <n v="39136.0743"/>
        <n v="103369.8931"/>
        <n v="124122.53660000001"/>
        <n v="66.889499999999998"/>
      </sharedItems>
    </cacheField>
    <cacheField name="xSUPREMO ITALIA" numFmtId="0">
      <sharedItems containsString="0" containsBlank="1" containsNumber="1" minValue="0" maxValue="963851.20550000004"/>
    </cacheField>
    <cacheField name="xPRIMOR" numFmtId="0">
      <sharedItems containsString="0" containsBlank="1" containsNumber="1" minValue="0" maxValue="890533.05810000002"/>
    </cacheField>
    <cacheField name="xBELVEDERE II" numFmtId="0">
      <sharedItems containsString="0" containsBlank="1" containsNumber="1" minValue="0" maxValue="1013282.4023"/>
    </cacheField>
    <cacheField name="xFL PARQUE" numFmtId="0">
      <sharedItems containsString="0" containsBlank="1" containsNumber="1" minValue="0" maxValue="264380.63"/>
    </cacheField>
    <cacheField name="xSAFIRA" numFmtId="0">
      <sharedItems containsString="0" containsBlank="1" containsNumber="1" minValue="0" maxValue="395.09100000000001" count="7">
        <n v="0"/>
        <m/>
        <n v="1.2438"/>
        <n v="9.7203999999999997"/>
        <n v="6.907"/>
        <n v="72.223100000000002"/>
        <n v="395.09100000000001"/>
      </sharedItems>
    </cacheField>
    <cacheField name="xESMERALDA" numFmtId="0">
      <sharedItems containsString="0" containsBlank="1" containsNumber="1" minValue="0" maxValue="4.6909000000000001" count="4">
        <n v="0"/>
        <m/>
        <n v="1.2927"/>
        <n v="4.6909000000000001"/>
      </sharedItems>
    </cacheField>
    <cacheField name="xAV# JUAREZ" numFmtId="0">
      <sharedItems containsString="0" containsBlank="1" containsNumber="1" minValue="0" maxValue="167566" count="7">
        <n v="0"/>
        <m/>
        <n v="3.4670999999999998"/>
        <n v="167566"/>
        <n v="50.519399999999997"/>
        <n v="56.951900000000002"/>
        <n v="1083.0071"/>
      </sharedItems>
    </cacheField>
    <cacheField name="xDUBAI" numFmtId="0">
      <sharedItems containsString="0" containsBlank="1" containsNumber="1" minValue="0" maxValue="88147.896999999997" count="8">
        <n v="0"/>
        <m/>
        <n v="1.5590999999999999"/>
        <n v="3.3685999999999998"/>
        <n v="14.769600000000001"/>
        <n v="47.251899999999999"/>
        <n v="1.9397"/>
        <n v="88147.896999999997"/>
      </sharedItems>
    </cacheField>
    <cacheField name="xREGIÃO VG" numFmtId="0">
      <sharedItems containsString="0" containsBlank="1" containsNumber="1" minValue="0" maxValue="1095201.9251000001" count="9">
        <n v="0"/>
        <n v="1314.9724000000001"/>
        <n v="2163.0621999999998"/>
        <n v="1095201.9251000001"/>
        <n v="1200.6575"/>
        <m/>
        <n v="213.82859999999999"/>
        <n v="202.45840000000001"/>
        <n v="422366.17"/>
      </sharedItems>
    </cacheField>
    <cacheField name="xFL CHAPADA" numFmtId="0">
      <sharedItems containsString="0" containsBlank="1" containsNumber="1" minValue="0" maxValue="1899.8912" count="13">
        <n v="0"/>
        <m/>
        <n v="145.4804"/>
        <n v="0.61680000000000001"/>
        <n v="87"/>
        <n v="72.400000000000006"/>
        <n v="68.210099999999997"/>
        <n v="45.921599999999998"/>
        <n v="1899.8912"/>
        <n v="148.2389"/>
        <n v="83.298299999999998"/>
        <n v="217.5532"/>
        <n v="792.32889999999998"/>
      </sharedItems>
    </cacheField>
    <cacheField name="xTORONTO" numFmtId="0">
      <sharedItems containsString="0" containsBlank="1" containsNumber="1" minValue="0" maxValue="3.8418000000000001" count="4">
        <n v="0"/>
        <m/>
        <n v="2.0451000000000001"/>
        <n v="3.8418000000000001"/>
      </sharedItems>
    </cacheField>
    <cacheField name="xCHICAGO" numFmtId="0">
      <sharedItems containsString="0" containsBlank="1" containsNumber="1" containsInteger="1" minValue="0" maxValue="0" count="2">
        <n v="0"/>
        <m/>
      </sharedItems>
    </cacheField>
    <cacheField name="xPÉROLA" numFmtId="0">
      <sharedItems containsString="0" containsBlank="1" containsNumber="1" containsInteger="1" minValue="0" maxValue="0" count="2"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ENERGIA ELÉTRICA"/>
    <x v="0"/>
    <x v="0"/>
    <n v="2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INTERNET"/>
    <x v="0"/>
    <x v="1"/>
    <n v="289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ONTÊINER ESCRITÓRIO"/>
    <x v="0"/>
    <x v="2"/>
    <n v="85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BANHEIRO"/>
    <x v="1"/>
    <x v="3"/>
    <n v="5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INSTALAÇÕES PROVISÓRIAS"/>
    <x v="1"/>
    <x v="4"/>
    <n v="2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MATERIAL DE CONSUMO"/>
    <x v="0"/>
    <x v="5"/>
    <n v="3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ALIMENTAÇÃO"/>
    <x v="0"/>
    <x v="6"/>
    <n v="792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VEÍCULOS (COMBUSTÍVEL + MANUTENÇÃO)"/>
    <x v="0"/>
    <x v="7"/>
    <n v="12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EGURANÇA (12 HORAS)"/>
    <x v="0"/>
    <x v="8"/>
    <n v="12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EGURANÇA (24 HORAS)"/>
    <x v="0"/>
    <x v="9"/>
    <n v="24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ERVIÇO TOPOGRÁFICO "/>
    <x v="0"/>
    <x v="10"/>
    <n v="6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PLOTAGENS E CÓPIAS"/>
    <x v="1"/>
    <x v="11"/>
    <n v="15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MATERIAL DE ESCRITÓRIO"/>
    <x v="1"/>
    <x v="12"/>
    <n v="2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EGURANÇA DO TRABALHO"/>
    <x v="1"/>
    <x v="13"/>
    <n v="22537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RATEIO SISTEMA DE ABASTECIMENTO"/>
    <x v="2"/>
    <x v="14"/>
    <n v="1314.9724000000001"/>
    <x v="1"/>
    <x v="0"/>
    <x v="0"/>
    <m/>
    <m/>
    <m/>
    <m/>
    <x v="0"/>
    <x v="0"/>
    <x v="0"/>
    <x v="0"/>
    <x v="1"/>
    <x v="0"/>
    <x v="0"/>
    <x v="0"/>
    <x v="0"/>
    <x v="0"/>
    <x v="1"/>
    <x v="0"/>
    <x v="0"/>
    <n v="0"/>
    <n v="0"/>
    <n v="0"/>
    <n v="0"/>
    <x v="0"/>
    <x v="0"/>
    <x v="0"/>
    <x v="0"/>
    <x v="1"/>
    <x v="0"/>
    <x v="0"/>
    <x v="0"/>
    <x v="0"/>
  </r>
  <r>
    <s v="RATEIO SISTEMA DE SANEAMENTO "/>
    <x v="2"/>
    <x v="15"/>
    <n v="2163.0621999999998"/>
    <x v="0"/>
    <x v="0"/>
    <x v="0"/>
    <m/>
    <n v="1305.7669000000001"/>
    <n v="2202.7878000000001"/>
    <m/>
    <x v="0"/>
    <x v="0"/>
    <x v="0"/>
    <x v="0"/>
    <x v="2"/>
    <x v="0"/>
    <x v="0"/>
    <x v="0"/>
    <x v="0"/>
    <x v="0"/>
    <x v="0"/>
    <x v="0"/>
    <x v="0"/>
    <n v="0"/>
    <n v="1305.7669000000001"/>
    <n v="2202.7878000000001"/>
    <n v="0"/>
    <x v="0"/>
    <x v="0"/>
    <x v="0"/>
    <x v="0"/>
    <x v="2"/>
    <x v="0"/>
    <x v="0"/>
    <x v="0"/>
    <x v="0"/>
  </r>
  <r>
    <s v="ETE"/>
    <x v="1"/>
    <x v="16"/>
    <n v="990717.14769999997"/>
    <x v="0"/>
    <x v="0"/>
    <x v="1"/>
    <n v="963851.20550000004"/>
    <n v="890533.05810000002"/>
    <n v="1013282.4023"/>
    <m/>
    <x v="0"/>
    <x v="0"/>
    <x v="0"/>
    <x v="0"/>
    <x v="3"/>
    <x v="0"/>
    <x v="0"/>
    <x v="0"/>
    <x v="0"/>
    <x v="0"/>
    <x v="0"/>
    <x v="0"/>
    <x v="1"/>
    <n v="963851.20550000004"/>
    <n v="890533.05810000002"/>
    <n v="1013282.4023"/>
    <n v="0"/>
    <x v="0"/>
    <x v="0"/>
    <x v="0"/>
    <x v="0"/>
    <x v="3"/>
    <x v="0"/>
    <x v="0"/>
    <x v="0"/>
    <x v="0"/>
  </r>
  <r>
    <s v="ETE"/>
    <x v="2"/>
    <x v="17"/>
    <n v="1200.6575"/>
    <x v="0"/>
    <x v="0"/>
    <x v="0"/>
    <m/>
    <m/>
    <m/>
    <m/>
    <x v="0"/>
    <x v="0"/>
    <x v="0"/>
    <x v="0"/>
    <x v="4"/>
    <x v="0"/>
    <x v="0"/>
    <x v="0"/>
    <x v="0"/>
    <x v="0"/>
    <x v="0"/>
    <x v="0"/>
    <x v="0"/>
    <n v="0"/>
    <n v="0"/>
    <n v="0"/>
    <n v="0"/>
    <x v="0"/>
    <x v="0"/>
    <x v="0"/>
    <x v="0"/>
    <x v="4"/>
    <x v="0"/>
    <x v="0"/>
    <x v="0"/>
    <x v="0"/>
  </r>
  <r>
    <s v="ETA"/>
    <x v="2"/>
    <x v="18"/>
    <n v="929.33330000000001"/>
    <x v="0"/>
    <x v="0"/>
    <x v="0"/>
    <m/>
    <m/>
    <m/>
    <m/>
    <x v="0"/>
    <x v="0"/>
    <x v="0"/>
    <x v="0"/>
    <x v="5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MISSÁRIO DE ESGOTO - CALÇADA"/>
    <x v="3"/>
    <x v="19"/>
    <n v="213.82859999999999"/>
    <x v="2"/>
    <x v="0"/>
    <x v="0"/>
    <m/>
    <n v="310.29399999999998"/>
    <m/>
    <m/>
    <x v="0"/>
    <x v="0"/>
    <x v="0"/>
    <x v="0"/>
    <x v="6"/>
    <x v="0"/>
    <x v="0"/>
    <x v="0"/>
    <x v="0"/>
    <x v="0"/>
    <x v="3"/>
    <x v="0"/>
    <x v="0"/>
    <n v="0"/>
    <n v="310.29399999999998"/>
    <n v="0"/>
    <n v="0"/>
    <x v="0"/>
    <x v="0"/>
    <x v="0"/>
    <x v="0"/>
    <x v="6"/>
    <x v="0"/>
    <x v="0"/>
    <x v="0"/>
    <x v="0"/>
  </r>
  <r>
    <s v="EMISSÁRIO DE ESGOTO - RUA"/>
    <x v="3"/>
    <x v="20"/>
    <n v="286.27510000000001"/>
    <x v="2"/>
    <x v="1"/>
    <x v="2"/>
    <n v="0"/>
    <n v="310.29399999999998"/>
    <n v="0"/>
    <n v="0"/>
    <x v="1"/>
    <x v="1"/>
    <x v="1"/>
    <x v="1"/>
    <x v="6"/>
    <x v="1"/>
    <x v="1"/>
    <x v="1"/>
    <x v="1"/>
    <x v="0"/>
    <x v="3"/>
    <x v="0"/>
    <x v="0"/>
    <n v="0"/>
    <n v="310.29399999999998"/>
    <n v="0"/>
    <n v="0"/>
    <x v="0"/>
    <x v="0"/>
    <x v="0"/>
    <x v="0"/>
    <x v="6"/>
    <x v="0"/>
    <x v="0"/>
    <x v="0"/>
    <x v="0"/>
  </r>
  <r>
    <s v="ADUTORA DE ÁGUA"/>
    <x v="3"/>
    <x v="21"/>
    <n v="202.45840000000001"/>
    <x v="0"/>
    <x v="0"/>
    <x v="3"/>
    <m/>
    <n v="271.9649"/>
    <n v="97.5565"/>
    <m/>
    <x v="0"/>
    <x v="0"/>
    <x v="0"/>
    <x v="0"/>
    <x v="7"/>
    <x v="2"/>
    <x v="0"/>
    <x v="0"/>
    <x v="0"/>
    <x v="0"/>
    <x v="0"/>
    <x v="0"/>
    <x v="3"/>
    <n v="0"/>
    <n v="271.9649"/>
    <n v="97.5565"/>
    <n v="0"/>
    <x v="0"/>
    <x v="0"/>
    <x v="0"/>
    <x v="0"/>
    <x v="7"/>
    <x v="2"/>
    <x v="0"/>
    <x v="0"/>
    <x v="0"/>
  </r>
  <r>
    <s v="ESTAÇÃO ELEVATÓRIA - CUIABÁ"/>
    <x v="1"/>
    <x v="22"/>
    <n v="650000"/>
    <x v="3"/>
    <x v="0"/>
    <x v="0"/>
    <n v="878747.70730000001"/>
    <m/>
    <m/>
    <m/>
    <x v="0"/>
    <x v="0"/>
    <x v="0"/>
    <x v="0"/>
    <x v="8"/>
    <x v="0"/>
    <x v="0"/>
    <x v="0"/>
    <x v="0"/>
    <x v="0"/>
    <x v="4"/>
    <x v="0"/>
    <x v="0"/>
    <n v="878747.70730000001"/>
    <n v="0"/>
    <n v="0"/>
    <n v="0"/>
    <x v="0"/>
    <x v="0"/>
    <x v="0"/>
    <x v="0"/>
    <x v="8"/>
    <x v="0"/>
    <x v="0"/>
    <x v="0"/>
    <x v="0"/>
  </r>
  <r>
    <s v="ESTAÇÃO ELEVATÓRIA - VÁRZEA GRANDE"/>
    <x v="1"/>
    <x v="23"/>
    <n v="450000"/>
    <x v="3"/>
    <x v="1"/>
    <x v="2"/>
    <n v="878747.70730000001"/>
    <n v="0"/>
    <n v="0"/>
    <n v="0"/>
    <x v="1"/>
    <x v="1"/>
    <x v="1"/>
    <x v="1"/>
    <x v="8"/>
    <x v="1"/>
    <x v="1"/>
    <x v="1"/>
    <x v="1"/>
    <x v="0"/>
    <x v="4"/>
    <x v="0"/>
    <x v="0"/>
    <n v="878747.70730000001"/>
    <n v="0"/>
    <n v="0"/>
    <n v="0"/>
    <x v="0"/>
    <x v="0"/>
    <x v="0"/>
    <x v="0"/>
    <x v="8"/>
    <x v="0"/>
    <x v="0"/>
    <x v="0"/>
    <x v="0"/>
  </r>
  <r>
    <s v="LIMPEZA INICIAL DA ÁREA"/>
    <x v="4"/>
    <x v="24"/>
    <n v="2.2397999999999998"/>
    <x v="0"/>
    <x v="0"/>
    <x v="4"/>
    <n v="2.0884"/>
    <n v="0.72060000000000002"/>
    <n v="2.2397999999999998"/>
    <n v="1.9461999999999999"/>
    <x v="2"/>
    <x v="2"/>
    <x v="0"/>
    <x v="2"/>
    <x v="0"/>
    <x v="3"/>
    <x v="2"/>
    <x v="0"/>
    <x v="0"/>
    <x v="0"/>
    <x v="0"/>
    <x v="0"/>
    <x v="4"/>
    <n v="2.0884"/>
    <n v="0.72060000000000002"/>
    <n v="2.2397999999999998"/>
    <n v="1.9461999999999999"/>
    <x v="2"/>
    <x v="2"/>
    <x v="0"/>
    <x v="2"/>
    <x v="0"/>
    <x v="3"/>
    <x v="2"/>
    <x v="0"/>
    <x v="0"/>
  </r>
  <r>
    <s v="LIMPEZA PERIÓDICA DAS RUAS (PIPA + SERVENTE)"/>
    <x v="5"/>
    <x v="25"/>
    <n v="0.82269999999999999"/>
    <x v="0"/>
    <x v="0"/>
    <x v="5"/>
    <n v="0.97599999999999998"/>
    <n v="0.78069999999999995"/>
    <n v="0.81399999999999995"/>
    <m/>
    <x v="0"/>
    <x v="0"/>
    <x v="0"/>
    <x v="0"/>
    <x v="0"/>
    <x v="0"/>
    <x v="0"/>
    <x v="0"/>
    <x v="0"/>
    <x v="0"/>
    <x v="0"/>
    <x v="0"/>
    <x v="5"/>
    <n v="0.97599999999999998"/>
    <n v="0.78069999999999995"/>
    <n v="0.81399999999999995"/>
    <n v="0"/>
    <x v="0"/>
    <x v="0"/>
    <x v="0"/>
    <x v="0"/>
    <x v="0"/>
    <x v="0"/>
    <x v="0"/>
    <x v="0"/>
    <x v="0"/>
  </r>
  <r>
    <s v="DRENAGEM COMPLEMENTAR PROTEÇÃO CHUVAS"/>
    <x v="1"/>
    <x v="26"/>
    <n v="63876.498899999999"/>
    <x v="0"/>
    <x v="0"/>
    <x v="0"/>
    <m/>
    <m/>
    <n v="63876.498899999999"/>
    <m/>
    <x v="0"/>
    <x v="0"/>
    <x v="0"/>
    <x v="0"/>
    <x v="0"/>
    <x v="0"/>
    <x v="0"/>
    <x v="0"/>
    <x v="0"/>
    <x v="0"/>
    <x v="0"/>
    <x v="0"/>
    <x v="0"/>
    <n v="0"/>
    <n v="0"/>
    <n v="63876.498899999999"/>
    <n v="0"/>
    <x v="0"/>
    <x v="0"/>
    <x v="0"/>
    <x v="0"/>
    <x v="0"/>
    <x v="0"/>
    <x v="0"/>
    <x v="0"/>
    <x v="0"/>
  </r>
  <r>
    <s v="RESERVATÓRIO"/>
    <x v="6"/>
    <x v="27"/>
    <n v="65000"/>
    <x v="0"/>
    <x v="0"/>
    <x v="0"/>
    <n v="102884.85370000001"/>
    <n v="67731.719599999997"/>
    <n v="48510.051599999999"/>
    <n v="58086.18"/>
    <x v="0"/>
    <x v="0"/>
    <x v="0"/>
    <x v="0"/>
    <x v="0"/>
    <x v="0"/>
    <x v="0"/>
    <x v="0"/>
    <x v="0"/>
    <x v="0"/>
    <x v="0"/>
    <x v="0"/>
    <x v="0"/>
    <n v="102884.85370000001"/>
    <n v="67731.719599999997"/>
    <n v="48510.051599999999"/>
    <n v="58086.18"/>
    <x v="0"/>
    <x v="0"/>
    <x v="0"/>
    <x v="0"/>
    <x v="0"/>
    <x v="0"/>
    <x v="0"/>
    <x v="0"/>
    <x v="0"/>
  </r>
  <r>
    <s v="POÇO ARTESIANO - 150 METROS "/>
    <x v="6"/>
    <x v="28"/>
    <n v="80000"/>
    <x v="0"/>
    <x v="0"/>
    <x v="6"/>
    <n v="103449.2993"/>
    <n v="63571.734900000003"/>
    <n v="57992.594899999996"/>
    <n v="84100.800499999998"/>
    <x v="0"/>
    <x v="0"/>
    <x v="0"/>
    <x v="0"/>
    <x v="0"/>
    <x v="0"/>
    <x v="0"/>
    <x v="0"/>
    <x v="0"/>
    <x v="0"/>
    <x v="0"/>
    <x v="0"/>
    <x v="6"/>
    <n v="103449.2993"/>
    <n v="63571.734900000003"/>
    <n v="57992.594899999996"/>
    <n v="84100.800499999998"/>
    <x v="0"/>
    <x v="0"/>
    <x v="0"/>
    <x v="0"/>
    <x v="0"/>
    <x v="0"/>
    <x v="0"/>
    <x v="0"/>
    <x v="0"/>
  </r>
  <r>
    <s v="TERRAPLENAGEM GERAL"/>
    <x v="4"/>
    <x v="29"/>
    <n v="12.8893"/>
    <x v="0"/>
    <x v="2"/>
    <x v="7"/>
    <n v="7.4629000000000003"/>
    <n v="12.8893"/>
    <n v="9.2315000000000005"/>
    <n v="1.9762999999999999"/>
    <x v="3"/>
    <x v="3"/>
    <x v="1"/>
    <x v="3"/>
    <x v="9"/>
    <x v="1"/>
    <x v="3"/>
    <x v="1"/>
    <x v="1"/>
    <x v="0"/>
    <x v="0"/>
    <x v="2"/>
    <x v="7"/>
    <n v="7.4629000000000003"/>
    <n v="12.8893"/>
    <n v="9.2315000000000005"/>
    <n v="1.9762999999999999"/>
    <x v="3"/>
    <x v="3"/>
    <x v="0"/>
    <x v="3"/>
    <x v="0"/>
    <x v="0"/>
    <x v="3"/>
    <x v="0"/>
    <x v="0"/>
  </r>
  <r>
    <s v="TERRAPLENAGEM GERAL - NÍVEL I"/>
    <x v="4"/>
    <x v="30"/>
    <n v="5.043800000000000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TERRAPLENAGEM GERAL - NÍVEL II"/>
    <x v="4"/>
    <x v="31"/>
    <n v="8.5052000000000003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TERRAPLENAGEM GERAL - NÍVEL III"/>
    <x v="4"/>
    <x v="32"/>
    <n v="12.8893"/>
    <x v="0"/>
    <x v="2"/>
    <x v="7"/>
    <n v="7.4629000000000003"/>
    <n v="12.8893"/>
    <n v="9.2315000000000005"/>
    <n v="1.9762999999999999"/>
    <x v="3"/>
    <x v="3"/>
    <x v="0"/>
    <x v="3"/>
    <x v="0"/>
    <x v="0"/>
    <x v="3"/>
    <x v="0"/>
    <x v="0"/>
    <x v="0"/>
    <x v="0"/>
    <x v="2"/>
    <x v="7"/>
    <n v="7.4629000000000003"/>
    <n v="12.8893"/>
    <n v="9.2315000000000005"/>
    <n v="1.9762999999999999"/>
    <x v="3"/>
    <x v="3"/>
    <x v="0"/>
    <x v="3"/>
    <x v="0"/>
    <x v="0"/>
    <x v="3"/>
    <x v="0"/>
    <x v="0"/>
  </r>
  <r>
    <s v="CONTROLE TECNOLOGICO"/>
    <x v="0"/>
    <x v="33"/>
    <n v="13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SINALIZAÇÃO HORIZONTAL E VERTICAL - INTERNO"/>
    <x v="7"/>
    <x v="34"/>
    <n v="2.5842999999999998"/>
    <x v="0"/>
    <x v="0"/>
    <x v="8"/>
    <n v="1.9508000000000001"/>
    <n v="1.8602000000000001"/>
    <n v="2.6865999999999999"/>
    <n v="1.7016"/>
    <x v="0"/>
    <x v="0"/>
    <x v="2"/>
    <x v="0"/>
    <x v="0"/>
    <x v="0"/>
    <x v="0"/>
    <x v="0"/>
    <x v="0"/>
    <x v="0"/>
    <x v="0"/>
    <x v="0"/>
    <x v="8"/>
    <n v="1.9508000000000001"/>
    <n v="1.8602000000000001"/>
    <n v="2.6865999999999999"/>
    <n v="1.7016"/>
    <x v="0"/>
    <x v="0"/>
    <x v="2"/>
    <x v="0"/>
    <x v="0"/>
    <x v="0"/>
    <x v="0"/>
    <x v="0"/>
    <x v="0"/>
  </r>
  <r>
    <s v="SINALIZAÇÃO HORIZONTAL E VERTICAL - INTERNO"/>
    <x v="1"/>
    <x v="35"/>
    <n v="95418.044599999994"/>
    <x v="0"/>
    <x v="0"/>
    <x v="9"/>
    <n v="82944.395300000004"/>
    <n v="108115.2788"/>
    <n v="108097.1703"/>
    <m/>
    <x v="0"/>
    <x v="0"/>
    <x v="3"/>
    <x v="0"/>
    <x v="0"/>
    <x v="0"/>
    <x v="0"/>
    <x v="0"/>
    <x v="0"/>
    <x v="0"/>
    <x v="0"/>
    <x v="0"/>
    <x v="9"/>
    <n v="82944.395300000004"/>
    <n v="108115.2788"/>
    <n v="108097.1703"/>
    <n v="0"/>
    <x v="0"/>
    <x v="0"/>
    <x v="3"/>
    <x v="0"/>
    <x v="0"/>
    <x v="0"/>
    <x v="0"/>
    <x v="0"/>
    <x v="0"/>
  </r>
  <r>
    <s v="MEIO FIO (+ 5%)"/>
    <x v="3"/>
    <x v="36"/>
    <n v="67.252899999999997"/>
    <x v="0"/>
    <x v="0"/>
    <x v="0"/>
    <m/>
    <n v="78.381"/>
    <n v="70.358900000000006"/>
    <n v="67.252899999999997"/>
    <x v="0"/>
    <x v="0"/>
    <x v="4"/>
    <x v="4"/>
    <x v="0"/>
    <x v="4"/>
    <x v="0"/>
    <x v="0"/>
    <x v="0"/>
    <x v="0"/>
    <x v="0"/>
    <x v="0"/>
    <x v="0"/>
    <n v="0"/>
    <n v="78.381"/>
    <n v="70.358900000000006"/>
    <n v="67.252899999999997"/>
    <x v="0"/>
    <x v="0"/>
    <x v="4"/>
    <x v="4"/>
    <x v="0"/>
    <x v="4"/>
    <x v="0"/>
    <x v="0"/>
    <x v="0"/>
  </r>
  <r>
    <s v="DRENO DE PAVIMENTO"/>
    <x v="3"/>
    <x v="37"/>
    <n v="69.5428"/>
    <x v="0"/>
    <x v="0"/>
    <x v="0"/>
    <n v="81.231300000000005"/>
    <n v="97.486800000000002"/>
    <n v="81.505099999999999"/>
    <n v="69.5428"/>
    <x v="0"/>
    <x v="0"/>
    <x v="5"/>
    <x v="5"/>
    <x v="0"/>
    <x v="5"/>
    <x v="0"/>
    <x v="0"/>
    <x v="0"/>
    <x v="0"/>
    <x v="0"/>
    <x v="0"/>
    <x v="0"/>
    <n v="81.231300000000005"/>
    <n v="97.486800000000002"/>
    <n v="81.505099999999999"/>
    <n v="69.5428"/>
    <x v="0"/>
    <x v="0"/>
    <x v="5"/>
    <x v="5"/>
    <x v="0"/>
    <x v="5"/>
    <x v="0"/>
    <x v="0"/>
    <x v="0"/>
  </r>
  <r>
    <s v="REDE DE ÁGUA"/>
    <x v="8"/>
    <x v="38"/>
    <n v="69.065600000000003"/>
    <x v="0"/>
    <x v="3"/>
    <x v="10"/>
    <n v="65.048199999999994"/>
    <n v="73.205200000000005"/>
    <n v="40.787700000000001"/>
    <n v="91.574700000000007"/>
    <x v="0"/>
    <x v="0"/>
    <x v="0"/>
    <x v="0"/>
    <x v="0"/>
    <x v="6"/>
    <x v="0"/>
    <x v="0"/>
    <x v="0"/>
    <x v="0"/>
    <x v="0"/>
    <x v="3"/>
    <x v="10"/>
    <n v="65.048199999999994"/>
    <n v="73.205200000000005"/>
    <n v="40.787700000000001"/>
    <n v="91.574700000000007"/>
    <x v="0"/>
    <x v="0"/>
    <x v="0"/>
    <x v="0"/>
    <x v="0"/>
    <x v="6"/>
    <x v="0"/>
    <x v="0"/>
    <x v="0"/>
  </r>
  <r>
    <s v="REDE DE ÁGUA"/>
    <x v="9"/>
    <x v="39"/>
    <n v="45.240900000000003"/>
    <x v="0"/>
    <x v="4"/>
    <x v="11"/>
    <n v="40.441499999999998"/>
    <n v="53.299100000000003"/>
    <n v="30.361000000000001"/>
    <n v="54.244700000000002"/>
    <x v="0"/>
    <x v="0"/>
    <x v="0"/>
    <x v="0"/>
    <x v="0"/>
    <x v="7"/>
    <x v="0"/>
    <x v="0"/>
    <x v="0"/>
    <x v="0"/>
    <x v="0"/>
    <x v="4"/>
    <x v="11"/>
    <n v="40.441499999999998"/>
    <n v="53.299100000000003"/>
    <n v="30.361000000000001"/>
    <n v="54.244700000000002"/>
    <x v="0"/>
    <x v="0"/>
    <x v="0"/>
    <x v="0"/>
    <x v="0"/>
    <x v="7"/>
    <x v="0"/>
    <x v="0"/>
    <x v="0"/>
  </r>
  <r>
    <s v="REDE DE ÁGUA"/>
    <x v="10"/>
    <x v="40"/>
    <n v="4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n v="0"/>
    <x v="0"/>
    <x v="0"/>
    <x v="0"/>
    <x v="0"/>
    <x v="0"/>
    <x v="0"/>
    <x v="0"/>
    <x v="0"/>
    <x v="0"/>
  </r>
  <r>
    <s v="REDE DE ESGOTO - TERÇO DA RUA"/>
    <x v="2"/>
    <x v="41"/>
    <n v="2568.1403"/>
    <x v="0"/>
    <x v="5"/>
    <x v="12"/>
    <n v="4530.9337999999998"/>
    <n v="2654.0810999999999"/>
    <n v="2482.1995999999999"/>
    <n v="1534.1513"/>
    <x v="0"/>
    <x v="0"/>
    <x v="0"/>
    <x v="0"/>
    <x v="0"/>
    <x v="0"/>
    <x v="0"/>
    <x v="0"/>
    <x v="0"/>
    <x v="0"/>
    <x v="0"/>
    <x v="5"/>
    <x v="12"/>
    <n v="4530.9337999999998"/>
    <n v="2654.0810999999999"/>
    <n v="2482.1995999999999"/>
    <n v="1534.1513"/>
    <x v="0"/>
    <x v="0"/>
    <x v="0"/>
    <x v="0"/>
    <x v="0"/>
    <x v="8"/>
    <x v="0"/>
    <x v="0"/>
    <x v="0"/>
  </r>
  <r>
    <s v="REDE DE ESGOTO - CALÇADA"/>
    <x v="2"/>
    <x v="42"/>
    <n v="1899.8912"/>
    <x v="4"/>
    <x v="5"/>
    <x v="12"/>
    <n v="4530.9337999999998"/>
    <n v="2654.0810999999999"/>
    <n v="2482.1995999999999"/>
    <n v="1534.1513"/>
    <x v="1"/>
    <x v="1"/>
    <x v="1"/>
    <x v="1"/>
    <x v="9"/>
    <x v="8"/>
    <x v="1"/>
    <x v="1"/>
    <x v="1"/>
    <x v="0"/>
    <x v="0"/>
    <x v="5"/>
    <x v="12"/>
    <n v="4530.9337999999998"/>
    <n v="2654.0810999999999"/>
    <n v="2482.1995999999999"/>
    <n v="1534.1513"/>
    <x v="0"/>
    <x v="0"/>
    <x v="0"/>
    <x v="0"/>
    <x v="0"/>
    <x v="1"/>
    <x v="0"/>
    <x v="0"/>
    <x v="0"/>
  </r>
  <r>
    <s v="REDE DE ESGOTO"/>
    <x v="8"/>
    <x v="43"/>
    <n v="180.51240000000001"/>
    <x v="0"/>
    <x v="6"/>
    <x v="13"/>
    <n v="180.51240000000001"/>
    <n v="209.9134"/>
    <n v="138.20230000000001"/>
    <n v="113.0408"/>
    <x v="0"/>
    <x v="0"/>
    <x v="0"/>
    <x v="0"/>
    <x v="0"/>
    <x v="9"/>
    <x v="0"/>
    <x v="0"/>
    <x v="0"/>
    <x v="0"/>
    <x v="0"/>
    <x v="6"/>
    <x v="13"/>
    <n v="180.51240000000001"/>
    <n v="209.9134"/>
    <n v="138.20230000000001"/>
    <n v="113.0408"/>
    <x v="0"/>
    <x v="0"/>
    <x v="0"/>
    <x v="0"/>
    <x v="0"/>
    <x v="9"/>
    <x v="0"/>
    <x v="0"/>
    <x v="0"/>
  </r>
  <r>
    <s v="REDE DE ESGOTO"/>
    <x v="9"/>
    <x v="44"/>
    <n v="129.3425"/>
    <x v="0"/>
    <x v="7"/>
    <x v="14"/>
    <n v="102.5286"/>
    <n v="146.42320000000001"/>
    <n v="139.07570000000001"/>
    <n v="77.543899999999994"/>
    <x v="0"/>
    <x v="0"/>
    <x v="0"/>
    <x v="0"/>
    <x v="0"/>
    <x v="10"/>
    <x v="0"/>
    <x v="0"/>
    <x v="0"/>
    <x v="0"/>
    <x v="0"/>
    <x v="7"/>
    <x v="14"/>
    <n v="102.5286"/>
    <n v="146.42320000000001"/>
    <n v="139.07570000000001"/>
    <n v="77.543899999999994"/>
    <x v="0"/>
    <x v="0"/>
    <x v="0"/>
    <x v="0"/>
    <x v="0"/>
    <x v="10"/>
    <x v="0"/>
    <x v="0"/>
    <x v="0"/>
  </r>
  <r>
    <s v="GALERIA DE ÁGUAS PLUVIAIS"/>
    <x v="4"/>
    <x v="45"/>
    <n v="7.9378000000000002"/>
    <x v="0"/>
    <x v="8"/>
    <x v="15"/>
    <n v="7.5754999999999999"/>
    <n v="10.292400000000001"/>
    <n v="7.5774999999999997"/>
    <n v="7.1356999999999999"/>
    <x v="4"/>
    <x v="0"/>
    <x v="0"/>
    <x v="0"/>
    <x v="0"/>
    <x v="0"/>
    <x v="0"/>
    <x v="0"/>
    <x v="0"/>
    <x v="0"/>
    <x v="0"/>
    <x v="8"/>
    <x v="15"/>
    <n v="7.5754999999999999"/>
    <n v="10.292400000000001"/>
    <n v="7.5774999999999997"/>
    <n v="7.1356999999999999"/>
    <x v="4"/>
    <x v="0"/>
    <x v="0"/>
    <x v="0"/>
    <x v="0"/>
    <x v="0"/>
    <x v="0"/>
    <x v="0"/>
    <x v="0"/>
  </r>
  <r>
    <s v="GALERIA DE ÁGUAS PLUVIAIS - NÍVEL II "/>
    <x v="5"/>
    <x v="46"/>
    <n v="65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GALERIA DE ÁGUAS PLUVIAIS - NÍVEL I"/>
    <x v="5"/>
    <x v="47"/>
    <n v="50"/>
    <x v="0"/>
    <x v="9"/>
    <x v="16"/>
    <n v="60.936500000000002"/>
    <n v="51.646700000000003"/>
    <n v="48.214199999999998"/>
    <n v="44.3001"/>
    <x v="5"/>
    <x v="0"/>
    <x v="0"/>
    <x v="0"/>
    <x v="0"/>
    <x v="0"/>
    <x v="0"/>
    <x v="0"/>
    <x v="0"/>
    <x v="0"/>
    <x v="0"/>
    <x v="9"/>
    <x v="16"/>
    <n v="60.936500000000002"/>
    <n v="51.646700000000003"/>
    <n v="48.214199999999998"/>
    <n v="44.3001"/>
    <x v="5"/>
    <x v="0"/>
    <x v="0"/>
    <x v="0"/>
    <x v="0"/>
    <x v="0"/>
    <x v="0"/>
    <x v="0"/>
    <x v="0"/>
  </r>
  <r>
    <s v="GALERIA DE ÁGUA PLUVIAIS - REDE EXTERNA "/>
    <x v="8"/>
    <x v="48"/>
    <m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BUEIRO SIMPLES COM BOCA P/ TRANSPOSIÇÃO DE CÓRREGO"/>
    <x v="3"/>
    <x v="49"/>
    <n v="95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REDE ELÉTRICA"/>
    <x v="5"/>
    <x v="50"/>
    <n v="33.3093"/>
    <x v="0"/>
    <x v="10"/>
    <x v="17"/>
    <n v="170.46440000000001"/>
    <n v="29.653600000000001"/>
    <n v="29.7713"/>
    <n v="33.3093"/>
    <x v="0"/>
    <x v="0"/>
    <x v="0"/>
    <x v="0"/>
    <x v="0"/>
    <x v="0"/>
    <x v="0"/>
    <x v="0"/>
    <x v="0"/>
    <x v="0"/>
    <x v="0"/>
    <x v="10"/>
    <x v="17"/>
    <n v="170.46440000000001"/>
    <n v="29.653600000000001"/>
    <n v="29.7713"/>
    <n v="33.3093"/>
    <x v="0"/>
    <x v="0"/>
    <x v="0"/>
    <x v="0"/>
    <x v="0"/>
    <x v="0"/>
    <x v="0"/>
    <x v="0"/>
    <x v="0"/>
  </r>
  <r>
    <s v="REDE ELÉTRICA - TRAVESSIAS"/>
    <x v="2"/>
    <x v="51"/>
    <n v="215.49809999999999"/>
    <x v="0"/>
    <x v="0"/>
    <x v="0"/>
    <m/>
    <n v="198.02019999999999"/>
    <n v="174.55019999999999"/>
    <n v="213.44290000000001"/>
    <x v="0"/>
    <x v="0"/>
    <x v="0"/>
    <x v="0"/>
    <x v="0"/>
    <x v="11"/>
    <x v="0"/>
    <x v="0"/>
    <x v="0"/>
    <x v="0"/>
    <x v="0"/>
    <x v="0"/>
    <x v="0"/>
    <n v="0"/>
    <n v="198.02019999999999"/>
    <n v="174.55019999999999"/>
    <n v="213.44290000000001"/>
    <x v="0"/>
    <x v="0"/>
    <x v="0"/>
    <x v="0"/>
    <x v="0"/>
    <x v="11"/>
    <x v="0"/>
    <x v="0"/>
    <x v="0"/>
  </r>
  <r>
    <s v="REDE ELÉTRICA - CAIXAS CP02 - 60X70 C/ TAMPA"/>
    <x v="2"/>
    <x v="52"/>
    <n v="5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VIGA BENKELMAN "/>
    <x v="1"/>
    <x v="53"/>
    <n v="22559.398099999999"/>
    <x v="0"/>
    <x v="0"/>
    <x v="0"/>
    <n v="17884.164199999999"/>
    <n v="32884.262499999997"/>
    <n v="16909.767800000001"/>
    <m/>
    <x v="0"/>
    <x v="0"/>
    <x v="0"/>
    <x v="0"/>
    <x v="0"/>
    <x v="0"/>
    <x v="0"/>
    <x v="0"/>
    <x v="0"/>
    <x v="0"/>
    <x v="0"/>
    <x v="0"/>
    <x v="0"/>
    <n v="17884.164199999999"/>
    <n v="32884.262499999997"/>
    <n v="16909.767800000001"/>
    <n v="0"/>
    <x v="0"/>
    <x v="0"/>
    <x v="0"/>
    <x v="0"/>
    <x v="0"/>
    <x v="0"/>
    <x v="0"/>
    <x v="0"/>
    <x v="0"/>
  </r>
  <r>
    <s v="VIGA BENKELMAN "/>
    <x v="5"/>
    <x v="54"/>
    <n v="0.46889999999999998"/>
    <x v="0"/>
    <x v="0"/>
    <x v="0"/>
    <n v="0.42059999999999997"/>
    <n v="0.56579999999999997"/>
    <n v="0.42030000000000001"/>
    <m/>
    <x v="0"/>
    <x v="0"/>
    <x v="0"/>
    <x v="0"/>
    <x v="0"/>
    <x v="0"/>
    <x v="0"/>
    <x v="0"/>
    <x v="0"/>
    <x v="0"/>
    <x v="0"/>
    <x v="0"/>
    <x v="0"/>
    <n v="0.42059999999999997"/>
    <n v="0.56579999999999997"/>
    <n v="0.42030000000000001"/>
    <n v="0"/>
    <x v="0"/>
    <x v="0"/>
    <x v="0"/>
    <x v="0"/>
    <x v="0"/>
    <x v="0"/>
    <x v="0"/>
    <x v="0"/>
    <x v="0"/>
  </r>
  <r>
    <s v="REDE ELÉTRICA - ILUMINAÇÃO APPS "/>
    <x v="3"/>
    <x v="55"/>
    <n v="258.74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REDE ELÉTRICA - ILUMINAÇÃO DE AVENIDAS"/>
    <x v="3"/>
    <x v="56"/>
    <n v="1083.0071"/>
    <x v="0"/>
    <x v="0"/>
    <x v="0"/>
    <m/>
    <m/>
    <m/>
    <m/>
    <x v="0"/>
    <x v="0"/>
    <x v="6"/>
    <x v="0"/>
    <x v="0"/>
    <x v="0"/>
    <x v="0"/>
    <x v="0"/>
    <x v="0"/>
    <x v="0"/>
    <x v="0"/>
    <x v="0"/>
    <x v="0"/>
    <n v="0"/>
    <n v="0"/>
    <n v="0"/>
    <n v="0"/>
    <x v="0"/>
    <x v="0"/>
    <x v="6"/>
    <x v="0"/>
    <x v="0"/>
    <x v="0"/>
    <x v="0"/>
    <x v="0"/>
    <x v="0"/>
  </r>
  <r>
    <s v="MURO DE FECHAMENTO"/>
    <x v="11"/>
    <x v="57"/>
    <n v="753.9126"/>
    <x v="0"/>
    <x v="0"/>
    <x v="18"/>
    <m/>
    <m/>
    <n v="583.73829999999998"/>
    <m/>
    <x v="0"/>
    <x v="0"/>
    <x v="0"/>
    <x v="0"/>
    <x v="0"/>
    <x v="0"/>
    <x v="0"/>
    <x v="0"/>
    <x v="0"/>
    <x v="0"/>
    <x v="0"/>
    <x v="0"/>
    <x v="18"/>
    <n v="0"/>
    <n v="0"/>
    <n v="583.73829999999998"/>
    <n v="0"/>
    <x v="0"/>
    <x v="0"/>
    <x v="0"/>
    <x v="0"/>
    <x v="0"/>
    <x v="0"/>
    <x v="0"/>
    <x v="0"/>
    <x v="0"/>
  </r>
  <r>
    <s v="MURO DE FECHAMENTO"/>
    <x v="12"/>
    <x v="58"/>
    <n v="752.74289999999996"/>
    <x v="0"/>
    <x v="0"/>
    <x v="0"/>
    <n v="815.70690000000002"/>
    <n v="689.6875"/>
    <m/>
    <n v="713.2482"/>
    <x v="0"/>
    <x v="0"/>
    <x v="0"/>
    <x v="0"/>
    <x v="0"/>
    <x v="12"/>
    <x v="0"/>
    <x v="0"/>
    <x v="0"/>
    <x v="0"/>
    <x v="0"/>
    <x v="0"/>
    <x v="0"/>
    <n v="815.70690000000002"/>
    <n v="689.6875"/>
    <n v="0"/>
    <n v="713.2482"/>
    <x v="0"/>
    <x v="0"/>
    <x v="0"/>
    <x v="0"/>
    <x v="0"/>
    <x v="12"/>
    <x v="0"/>
    <x v="0"/>
    <x v="0"/>
  </r>
  <r>
    <s v="MURETA PARA GRADIL + PILAR"/>
    <x v="3"/>
    <x v="59"/>
    <n v="199.2555000000000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GRADIL "/>
    <x v="4"/>
    <x v="60"/>
    <n v="470"/>
    <x v="0"/>
    <x v="0"/>
    <x v="0"/>
    <n v="471.73230000000001"/>
    <n v="323.34429999999998"/>
    <m/>
    <n v="532.49069999999995"/>
    <x v="6"/>
    <x v="0"/>
    <x v="0"/>
    <x v="0"/>
    <x v="0"/>
    <x v="0"/>
    <x v="0"/>
    <x v="0"/>
    <x v="0"/>
    <x v="0"/>
    <x v="0"/>
    <x v="0"/>
    <x v="0"/>
    <n v="471.73230000000001"/>
    <n v="323.34429999999998"/>
    <n v="0"/>
    <n v="532.49069999999995"/>
    <x v="6"/>
    <x v="0"/>
    <x v="0"/>
    <x v="0"/>
    <x v="0"/>
    <x v="0"/>
    <x v="0"/>
    <x v="0"/>
    <x v="0"/>
  </r>
  <r>
    <s v="FECHAMENTO EM TELA ELETROSOLDADA"/>
    <x v="3"/>
    <x v="61"/>
    <n v="582.41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FECHAMENTO EM CERCA DE ARAME E MOURÕES EM MADEIRA "/>
    <x v="3"/>
    <x v="62"/>
    <n v="25.54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FECHAMENTO EM CERCA DE ARAME E MOURÕES EM CONCRETO "/>
    <x v="3"/>
    <x v="63"/>
    <n v="52.79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CONTROLE DE ACESSO SIMPLES"/>
    <x v="1"/>
    <x v="64"/>
    <n v="140000"/>
    <x v="0"/>
    <x v="0"/>
    <x v="0"/>
    <m/>
    <n v="141520.258"/>
    <n v="138888.9982"/>
    <m/>
    <x v="0"/>
    <x v="0"/>
    <x v="0"/>
    <x v="0"/>
    <x v="0"/>
    <x v="0"/>
    <x v="0"/>
    <x v="0"/>
    <x v="0"/>
    <x v="0"/>
    <x v="0"/>
    <x v="0"/>
    <x v="0"/>
    <n v="0"/>
    <n v="141520.258"/>
    <n v="138888.9982"/>
    <n v="0"/>
    <x v="0"/>
    <x v="0"/>
    <x v="0"/>
    <x v="0"/>
    <x v="0"/>
    <x v="0"/>
    <x v="0"/>
    <x v="0"/>
    <x v="0"/>
  </r>
  <r>
    <s v="CONTROLE DE ACESSO DUPLO"/>
    <x v="1"/>
    <x v="65"/>
    <n v="200000"/>
    <x v="0"/>
    <x v="11"/>
    <x v="19"/>
    <n v="199140.0612"/>
    <m/>
    <m/>
    <m/>
    <x v="0"/>
    <x v="0"/>
    <x v="0"/>
    <x v="0"/>
    <x v="0"/>
    <x v="0"/>
    <x v="0"/>
    <x v="0"/>
    <x v="0"/>
    <x v="0"/>
    <x v="0"/>
    <x v="11"/>
    <x v="19"/>
    <n v="199140.0612"/>
    <n v="0"/>
    <n v="0"/>
    <n v="0"/>
    <x v="0"/>
    <x v="0"/>
    <x v="0"/>
    <x v="0"/>
    <x v="0"/>
    <x v="0"/>
    <x v="0"/>
    <x v="0"/>
    <x v="0"/>
  </r>
  <r>
    <s v="SEGURANÇA - INFRAESTRUTURA"/>
    <x v="3"/>
    <x v="66"/>
    <n v="35"/>
    <x v="0"/>
    <x v="0"/>
    <x v="0"/>
    <n v="32.962699999999998"/>
    <n v="34.479900000000001"/>
    <n v="22.3004"/>
    <n v="34.720100000000002"/>
    <x v="0"/>
    <x v="0"/>
    <x v="0"/>
    <x v="0"/>
    <x v="0"/>
    <x v="0"/>
    <x v="0"/>
    <x v="0"/>
    <x v="0"/>
    <x v="0"/>
    <x v="0"/>
    <x v="0"/>
    <x v="0"/>
    <n v="32.962699999999998"/>
    <n v="34.479900000000001"/>
    <n v="22.3004"/>
    <n v="34.720100000000002"/>
    <x v="0"/>
    <x v="0"/>
    <x v="0"/>
    <x v="0"/>
    <x v="0"/>
    <x v="0"/>
    <x v="0"/>
    <x v="0"/>
    <x v="0"/>
  </r>
  <r>
    <s v="CONCERTINA"/>
    <x v="3"/>
    <x v="67"/>
    <n v="28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PISO TÁTIL"/>
    <x v="3"/>
    <x v="68"/>
    <n v="29.43250000000000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REDE + CERCA"/>
    <x v="3"/>
    <x v="69"/>
    <n v="128.95830000000001"/>
    <x v="0"/>
    <x v="12"/>
    <x v="0"/>
    <n v="96.144499999999994"/>
    <n v="160.24469999999999"/>
    <n v="105.4781"/>
    <m/>
    <x v="0"/>
    <x v="0"/>
    <x v="0"/>
    <x v="0"/>
    <x v="0"/>
    <x v="0"/>
    <x v="0"/>
    <x v="0"/>
    <x v="0"/>
    <x v="0"/>
    <x v="0"/>
    <x v="12"/>
    <x v="0"/>
    <n v="96.144499999999994"/>
    <n v="160.24469999999999"/>
    <n v="105.4781"/>
    <n v="0"/>
    <x v="0"/>
    <x v="0"/>
    <x v="0"/>
    <x v="0"/>
    <x v="0"/>
    <x v="0"/>
    <x v="0"/>
    <x v="0"/>
    <x v="0"/>
  </r>
  <r>
    <s v="GRAMA ESMERALDA"/>
    <x v="4"/>
    <x v="70"/>
    <n v="10.5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APIM"/>
    <x v="4"/>
    <x v="71"/>
    <n v="1.3958999999999999"/>
    <x v="0"/>
    <x v="0"/>
    <x v="0"/>
    <m/>
    <m/>
    <m/>
    <n v="1.3958999999999999"/>
    <x v="0"/>
    <x v="0"/>
    <x v="0"/>
    <x v="0"/>
    <x v="0"/>
    <x v="0"/>
    <x v="0"/>
    <x v="0"/>
    <x v="0"/>
    <x v="0"/>
    <x v="0"/>
    <x v="0"/>
    <x v="0"/>
    <n v="0"/>
    <n v="0"/>
    <n v="0"/>
    <n v="1.3958999999999999"/>
    <x v="0"/>
    <x v="0"/>
    <x v="0"/>
    <x v="0"/>
    <x v="0"/>
    <x v="0"/>
    <x v="0"/>
    <x v="0"/>
    <x v="0"/>
  </r>
  <r>
    <s v="PAISAGISMO - GERAL"/>
    <x v="4"/>
    <x v="72"/>
    <n v="1.9397"/>
    <x v="0"/>
    <x v="13"/>
    <x v="20"/>
    <n v="1.7661"/>
    <n v="1.3645"/>
    <n v="1.2831999999999999"/>
    <n v="1.4144000000000001"/>
    <x v="0"/>
    <x v="0"/>
    <x v="0"/>
    <x v="6"/>
    <x v="0"/>
    <x v="0"/>
    <x v="0"/>
    <x v="0"/>
    <x v="0"/>
    <x v="0"/>
    <x v="0"/>
    <x v="13"/>
    <x v="20"/>
    <n v="1.7661"/>
    <n v="1.3645"/>
    <n v="1.2831999999999999"/>
    <n v="1.4144000000000001"/>
    <x v="0"/>
    <x v="0"/>
    <x v="0"/>
    <x v="6"/>
    <x v="0"/>
    <x v="0"/>
    <x v="0"/>
    <x v="0"/>
    <x v="0"/>
  </r>
  <r>
    <s v="MANUTENÇÃO DAS ÁREAS VERDES"/>
    <x v="4"/>
    <x v="73"/>
    <n v="0.83099999999999996"/>
    <x v="0"/>
    <x v="14"/>
    <x v="21"/>
    <n v="0.7641"/>
    <n v="0.44340000000000002"/>
    <n v="0.75719999999999998"/>
    <m/>
    <x v="0"/>
    <x v="0"/>
    <x v="0"/>
    <x v="0"/>
    <x v="0"/>
    <x v="0"/>
    <x v="0"/>
    <x v="0"/>
    <x v="0"/>
    <x v="0"/>
    <x v="0"/>
    <x v="14"/>
    <x v="21"/>
    <n v="0.7641"/>
    <n v="0.44340000000000002"/>
    <n v="0.75719999999999998"/>
    <n v="0"/>
    <x v="0"/>
    <x v="0"/>
    <x v="0"/>
    <x v="0"/>
    <x v="0"/>
    <x v="0"/>
    <x v="0"/>
    <x v="0"/>
    <x v="0"/>
  </r>
  <r>
    <s v="ESTAR DESCOBERTO EM PAVER"/>
    <x v="6"/>
    <x v="74"/>
    <n v="4714.3634000000002"/>
    <x v="0"/>
    <x v="0"/>
    <x v="0"/>
    <m/>
    <n v="5053.6598999999997"/>
    <n v="4375.0668999999998"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STAR DESCOBERTO EM CONCRETO C/ÁRVORE "/>
    <x v="6"/>
    <x v="75"/>
    <n v="7128.72"/>
    <x v="0"/>
    <x v="0"/>
    <x v="0"/>
    <m/>
    <m/>
    <m/>
    <n v="7128.72"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STAR EM CONCRETO C/ PERGOLADO RETO"/>
    <x v="6"/>
    <x v="76"/>
    <n v="7080.74"/>
    <x v="0"/>
    <x v="0"/>
    <x v="0"/>
    <m/>
    <m/>
    <m/>
    <n v="7080.74"/>
    <x v="0"/>
    <x v="0"/>
    <x v="0"/>
    <x v="0"/>
    <x v="0"/>
    <x v="0"/>
    <x v="0"/>
    <x v="0"/>
    <x v="0"/>
    <x v="0"/>
    <x v="0"/>
    <x v="0"/>
    <x v="0"/>
    <n v="0"/>
    <n v="0"/>
    <n v="0"/>
    <n v="7080.74"/>
    <x v="0"/>
    <x v="0"/>
    <x v="0"/>
    <x v="0"/>
    <x v="0"/>
    <x v="0"/>
    <x v="0"/>
    <x v="0"/>
    <x v="0"/>
  </r>
  <r>
    <s v="ESTAR EM CONCRETO C/ PERGOLADO EM ARCO "/>
    <x v="3"/>
    <x v="77"/>
    <n v="1589.7150999999999"/>
    <x v="0"/>
    <x v="0"/>
    <x v="0"/>
    <m/>
    <m/>
    <m/>
    <n v="1589.7150999999999"/>
    <x v="0"/>
    <x v="0"/>
    <x v="0"/>
    <x v="0"/>
    <x v="0"/>
    <x v="0"/>
    <x v="0"/>
    <x v="0"/>
    <x v="0"/>
    <x v="0"/>
    <x v="0"/>
    <x v="0"/>
    <x v="0"/>
    <n v="0"/>
    <n v="0"/>
    <n v="0"/>
    <n v="1589.7150999999999"/>
    <x v="0"/>
    <x v="0"/>
    <x v="0"/>
    <x v="0"/>
    <x v="0"/>
    <x v="0"/>
    <x v="0"/>
    <x v="0"/>
    <x v="0"/>
  </r>
  <r>
    <s v="BICICLETÁRIO"/>
    <x v="3"/>
    <x v="78"/>
    <n v="1027.4322999999999"/>
    <x v="0"/>
    <x v="0"/>
    <x v="0"/>
    <m/>
    <m/>
    <m/>
    <n v="1027.4322999999999"/>
    <x v="0"/>
    <x v="0"/>
    <x v="0"/>
    <x v="0"/>
    <x v="0"/>
    <x v="0"/>
    <x v="0"/>
    <x v="0"/>
    <x v="0"/>
    <x v="0"/>
    <x v="0"/>
    <x v="0"/>
    <x v="0"/>
    <n v="0"/>
    <n v="0"/>
    <n v="0"/>
    <n v="1027.4322999999999"/>
    <x v="0"/>
    <x v="0"/>
    <x v="0"/>
    <x v="0"/>
    <x v="0"/>
    <x v="0"/>
    <x v="0"/>
    <x v="0"/>
    <x v="0"/>
  </r>
  <r>
    <s v="PET PARQUE"/>
    <x v="6"/>
    <x v="79"/>
    <n v="90000"/>
    <x v="0"/>
    <x v="0"/>
    <x v="0"/>
    <m/>
    <m/>
    <m/>
    <m/>
    <x v="0"/>
    <x v="0"/>
    <x v="0"/>
    <x v="7"/>
    <x v="0"/>
    <x v="0"/>
    <x v="0"/>
    <x v="0"/>
    <x v="0"/>
    <x v="0"/>
    <x v="0"/>
    <x v="0"/>
    <x v="0"/>
    <n v="0"/>
    <n v="0"/>
    <n v="0"/>
    <n v="0"/>
    <x v="0"/>
    <x v="0"/>
    <x v="0"/>
    <x v="7"/>
    <x v="0"/>
    <x v="0"/>
    <x v="0"/>
    <x v="0"/>
    <x v="0"/>
  </r>
  <r>
    <s v="HORTA SEM COBERTURA"/>
    <x v="6"/>
    <x v="80"/>
    <n v="35000"/>
    <x v="0"/>
    <x v="0"/>
    <x v="0"/>
    <m/>
    <m/>
    <m/>
    <n v="35000"/>
    <x v="0"/>
    <x v="0"/>
    <x v="0"/>
    <x v="0"/>
    <x v="0"/>
    <x v="0"/>
    <x v="0"/>
    <x v="0"/>
    <x v="0"/>
    <x v="0"/>
    <x v="0"/>
    <x v="0"/>
    <x v="0"/>
    <n v="0"/>
    <n v="0"/>
    <n v="0"/>
    <n v="35000"/>
    <x v="0"/>
    <x v="0"/>
    <x v="0"/>
    <x v="0"/>
    <x v="0"/>
    <x v="0"/>
    <x v="0"/>
    <x v="0"/>
    <x v="0"/>
  </r>
  <r>
    <s v="COBERTURA HORTA"/>
    <x v="6"/>
    <x v="81"/>
    <n v="300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FONTE INTERATIVA - 16 SAÍDAS"/>
    <x v="6"/>
    <x v="82"/>
    <n v="120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ALÇADAS / PAVER"/>
    <x v="4"/>
    <x v="83"/>
    <n v="227.82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ALÇADAS / PISTA DE COOPER"/>
    <x v="4"/>
    <x v="84"/>
    <n v="66"/>
    <x v="0"/>
    <x v="0"/>
    <x v="0"/>
    <n v="65.757199999999997"/>
    <n v="65.411000000000001"/>
    <n v="70.051400000000001"/>
    <m/>
    <x v="0"/>
    <x v="0"/>
    <x v="0"/>
    <x v="0"/>
    <x v="0"/>
    <x v="0"/>
    <x v="0"/>
    <x v="0"/>
    <x v="0"/>
    <x v="0"/>
    <x v="0"/>
    <x v="0"/>
    <x v="0"/>
    <n v="65.757199999999997"/>
    <n v="65.411000000000001"/>
    <n v="70.051400000000001"/>
    <n v="0"/>
    <x v="0"/>
    <x v="0"/>
    <x v="0"/>
    <x v="0"/>
    <x v="0"/>
    <x v="0"/>
    <x v="0"/>
    <x v="0"/>
    <x v="0"/>
  </r>
  <r>
    <s v="CALÇADAS/ FEIRA EM CONCRETO ARMADO "/>
    <x v="4"/>
    <x v="85"/>
    <n v="135.6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CALÇADAS / CONCRETO PIGMENTADO S/ ARMAÇÃO"/>
    <x v="4"/>
    <x v="86"/>
    <n v="8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CALÇADAS/ ACESSO DEPÓSITO DE LIXO - ACESSO "/>
    <x v="4"/>
    <x v="87"/>
    <n v="135.6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PLAYGROUND SUPERPLAY (350M2 DE PISO DE BORRACHA)"/>
    <x v="1"/>
    <x v="88"/>
    <n v="313013.90700000001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PLAYGROUND CONVENCIONAL"/>
    <x v="1"/>
    <x v="89"/>
    <n v="65837.426099999997"/>
    <x v="0"/>
    <x v="0"/>
    <x v="0"/>
    <m/>
    <n v="70249.180399999997"/>
    <n v="61425.671799999996"/>
    <m/>
    <x v="0"/>
    <x v="0"/>
    <x v="0"/>
    <x v="0"/>
    <x v="0"/>
    <x v="0"/>
    <x v="0"/>
    <x v="0"/>
    <x v="0"/>
    <x v="0"/>
    <x v="0"/>
    <x v="0"/>
    <x v="0"/>
    <n v="0"/>
    <n v="70249.180399999997"/>
    <n v="61425.671799999996"/>
    <n v="0"/>
    <x v="0"/>
    <x v="0"/>
    <x v="0"/>
    <x v="0"/>
    <x v="0"/>
    <x v="0"/>
    <x v="0"/>
    <x v="0"/>
    <x v="0"/>
  </r>
  <r>
    <s v="LIXEIRA MOBILIÁRIO URBANO - VB"/>
    <x v="1"/>
    <x v="90"/>
    <n v="7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BANCO MOBILIÁRIO URBANO - VB"/>
    <x v="1"/>
    <x v="91"/>
    <n v="1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ESTAÇÃO DE GINÁSTICA EM PAVER COMUM "/>
    <x v="6"/>
    <x v="92"/>
    <n v="19624.543000000001"/>
    <x v="0"/>
    <x v="0"/>
    <x v="0"/>
    <m/>
    <n v="19624.543000000001"/>
    <n v="19023.598099999999"/>
    <m/>
    <x v="0"/>
    <x v="0"/>
    <x v="0"/>
    <x v="0"/>
    <x v="0"/>
    <x v="0"/>
    <x v="0"/>
    <x v="0"/>
    <x v="0"/>
    <x v="0"/>
    <x v="0"/>
    <x v="0"/>
    <x v="0"/>
    <n v="0"/>
    <n v="19624.543000000001"/>
    <n v="19023.598099999999"/>
    <n v="0"/>
    <x v="0"/>
    <x v="0"/>
    <x v="0"/>
    <x v="0"/>
    <x v="0"/>
    <x v="0"/>
    <x v="0"/>
    <x v="0"/>
    <x v="0"/>
  </r>
  <r>
    <s v="PONTO DE ÔNIBUS"/>
    <x v="6"/>
    <x v="93"/>
    <n v="92681.78"/>
    <x v="0"/>
    <x v="0"/>
    <x v="0"/>
    <m/>
    <m/>
    <m/>
    <m/>
    <x v="0"/>
    <x v="0"/>
    <x v="0"/>
    <x v="8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BAIA P/ PONTO DE ÔNIBUS EM CONCRETO ARMADO"/>
    <x v="4"/>
    <x v="94"/>
    <n v="11077.3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STAÇÃO DE GINÁSTICA EM PAVER C/ PERGOLADO EM ARCO - 10 M"/>
    <x v="6"/>
    <x v="95"/>
    <n v="65729.08"/>
    <x v="0"/>
    <x v="0"/>
    <x v="0"/>
    <m/>
    <m/>
    <m/>
    <m/>
    <x v="0"/>
    <x v="0"/>
    <x v="0"/>
    <x v="9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CAMPO SOCIETY"/>
    <x v="6"/>
    <x v="96"/>
    <n v="264380.63"/>
    <x v="0"/>
    <x v="0"/>
    <x v="0"/>
    <n v="189979.91510000001"/>
    <n v="229035.39670000001"/>
    <n v="235294.84659999999"/>
    <n v="264380.63"/>
    <x v="0"/>
    <x v="0"/>
    <x v="0"/>
    <x v="0"/>
    <x v="0"/>
    <x v="0"/>
    <x v="0"/>
    <x v="0"/>
    <x v="0"/>
    <x v="0"/>
    <x v="0"/>
    <x v="0"/>
    <x v="0"/>
    <n v="189979.91510000001"/>
    <n v="229035.39670000001"/>
    <n v="235294.84659999999"/>
    <n v="264380.63"/>
    <x v="0"/>
    <x v="0"/>
    <x v="0"/>
    <x v="0"/>
    <x v="0"/>
    <x v="0"/>
    <x v="0"/>
    <x v="0"/>
    <x v="0"/>
  </r>
  <r>
    <s v="CAMPO DE FUTEBOL PEQUENO - 720M²"/>
    <x v="6"/>
    <x v="97"/>
    <n v="2000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QUADRA POLIESPORTIVA"/>
    <x v="6"/>
    <x v="98"/>
    <n v="205791.79139999999"/>
    <x v="0"/>
    <x v="0"/>
    <x v="0"/>
    <n v="176229.44510000001"/>
    <n v="205791.79139999999"/>
    <n v="180994.28140000001"/>
    <m/>
    <x v="0"/>
    <x v="0"/>
    <x v="0"/>
    <x v="0"/>
    <x v="0"/>
    <x v="0"/>
    <x v="0"/>
    <x v="0"/>
    <x v="0"/>
    <x v="0"/>
    <x v="0"/>
    <x v="0"/>
    <x v="0"/>
    <n v="176229.44510000001"/>
    <n v="205791.79139999999"/>
    <n v="180994.28140000001"/>
    <n v="0"/>
    <x v="0"/>
    <x v="0"/>
    <x v="0"/>
    <x v="0"/>
    <x v="0"/>
    <x v="0"/>
    <x v="0"/>
    <x v="0"/>
    <x v="0"/>
  </r>
  <r>
    <s v="QUADRA DE TENIS"/>
    <x v="6"/>
    <x v="99"/>
    <n v="160000"/>
    <x v="0"/>
    <x v="0"/>
    <x v="0"/>
    <n v="144492.5385"/>
    <n v="168884.17"/>
    <n v="137803.0877"/>
    <n v="158330"/>
    <x v="0"/>
    <x v="0"/>
    <x v="0"/>
    <x v="0"/>
    <x v="0"/>
    <x v="0"/>
    <x v="0"/>
    <x v="0"/>
    <x v="0"/>
    <x v="0"/>
    <x v="0"/>
    <x v="0"/>
    <x v="0"/>
    <n v="144492.5385"/>
    <n v="168884.17"/>
    <n v="137803.0877"/>
    <n v="158330"/>
    <x v="0"/>
    <x v="0"/>
    <x v="0"/>
    <x v="0"/>
    <x v="0"/>
    <x v="0"/>
    <x v="0"/>
    <x v="0"/>
    <x v="0"/>
  </r>
  <r>
    <s v="QUADRA DE AREIA"/>
    <x v="6"/>
    <x v="100"/>
    <n v="228000"/>
    <x v="0"/>
    <x v="0"/>
    <x v="0"/>
    <m/>
    <m/>
    <m/>
    <m/>
    <x v="0"/>
    <x v="0"/>
    <x v="0"/>
    <x v="0"/>
    <x v="0"/>
    <x v="0"/>
    <x v="0"/>
    <x v="0"/>
    <x v="0"/>
    <x v="0"/>
    <x v="2"/>
    <x v="1"/>
    <x v="2"/>
    <m/>
    <m/>
    <m/>
    <m/>
    <x v="1"/>
    <x v="1"/>
    <x v="1"/>
    <x v="1"/>
    <x v="5"/>
    <x v="1"/>
    <x v="1"/>
    <x v="1"/>
    <x v="1"/>
  </r>
  <r>
    <s v="ELETRICA E SPDA CAMPOS E QUADRAS"/>
    <x v="6"/>
    <x v="101"/>
    <n v="75000"/>
    <x v="0"/>
    <x v="0"/>
    <x v="0"/>
    <n v="44330.520600000003"/>
    <n v="20236.410899999999"/>
    <n v="46666.666700000002"/>
    <n v="73344.333299999998"/>
    <x v="0"/>
    <x v="0"/>
    <x v="0"/>
    <x v="0"/>
    <x v="0"/>
    <x v="0"/>
    <x v="0"/>
    <x v="0"/>
    <x v="0"/>
    <x v="0"/>
    <x v="0"/>
    <x v="0"/>
    <x v="0"/>
    <n v="44330.520600000003"/>
    <n v="20236.410899999999"/>
    <n v="46666.666700000002"/>
    <n v="73344.333299999998"/>
    <x v="0"/>
    <x v="0"/>
    <x v="0"/>
    <x v="0"/>
    <x v="0"/>
    <x v="0"/>
    <x v="0"/>
    <x v="0"/>
    <x v="0"/>
  </r>
  <r>
    <s v="ARQUIBANCADA"/>
    <x v="6"/>
    <x v="102"/>
    <n v="25000"/>
    <x v="0"/>
    <x v="0"/>
    <x v="0"/>
    <m/>
    <m/>
    <m/>
    <n v="24974.27"/>
    <x v="0"/>
    <x v="0"/>
    <x v="0"/>
    <x v="0"/>
    <x v="0"/>
    <x v="0"/>
    <x v="0"/>
    <x v="0"/>
    <x v="0"/>
    <x v="0"/>
    <x v="0"/>
    <x v="0"/>
    <x v="0"/>
    <n v="0"/>
    <n v="0"/>
    <n v="0"/>
    <n v="24974.27"/>
    <x v="0"/>
    <x v="0"/>
    <x v="0"/>
    <x v="0"/>
    <x v="0"/>
    <x v="0"/>
    <x v="0"/>
    <x v="0"/>
    <x v="0"/>
  </r>
  <r>
    <s v="ESPELHO D'ÁGUA"/>
    <x v="4"/>
    <x v="103"/>
    <n v="378.66160000000002"/>
    <x v="0"/>
    <x v="15"/>
    <x v="0"/>
    <n v="549.09960000000001"/>
    <m/>
    <m/>
    <m/>
    <x v="0"/>
    <x v="0"/>
    <x v="0"/>
    <x v="0"/>
    <x v="0"/>
    <x v="0"/>
    <x v="0"/>
    <x v="0"/>
    <x v="0"/>
    <x v="0"/>
    <x v="0"/>
    <x v="15"/>
    <x v="0"/>
    <n v="549.09960000000001"/>
    <n v="0"/>
    <n v="0"/>
    <n v="0"/>
    <x v="0"/>
    <x v="0"/>
    <x v="0"/>
    <x v="0"/>
    <x v="0"/>
    <x v="0"/>
    <x v="0"/>
    <x v="0"/>
    <x v="0"/>
  </r>
  <r>
    <s v="ATI"/>
    <x v="6"/>
    <x v="104"/>
    <n v="37603.417099999999"/>
    <x v="0"/>
    <x v="0"/>
    <x v="22"/>
    <m/>
    <m/>
    <m/>
    <n v="36070.76"/>
    <x v="0"/>
    <x v="0"/>
    <x v="0"/>
    <x v="0"/>
    <x v="0"/>
    <x v="0"/>
    <x v="0"/>
    <x v="0"/>
    <x v="0"/>
    <x v="0"/>
    <x v="0"/>
    <x v="0"/>
    <x v="22"/>
    <n v="0"/>
    <n v="0"/>
    <n v="0"/>
    <n v="36070.76"/>
    <x v="0"/>
    <x v="0"/>
    <x v="0"/>
    <x v="0"/>
    <x v="0"/>
    <x v="0"/>
    <x v="0"/>
    <x v="0"/>
    <x v="0"/>
  </r>
  <r>
    <s v="BANCO DE CONCRETO"/>
    <x v="6"/>
    <x v="105"/>
    <n v="75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DRENAGEM COMPLEMENTAR - MURO NÍVEL II"/>
    <x v="1"/>
    <x v="106"/>
    <n v="50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DRENAGEM COMPLEMENTAR - MURO NÍVEL I"/>
    <x v="1"/>
    <x v="107"/>
    <n v="25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DRENAGEM COMPLEMENTAR - GERAL"/>
    <x v="1"/>
    <x v="108"/>
    <n v="60000"/>
    <x v="0"/>
    <x v="0"/>
    <x v="23"/>
    <n v="246919.58840000001"/>
    <n v="57286.023200000003"/>
    <n v="58547.8"/>
    <m/>
    <x v="0"/>
    <x v="0"/>
    <x v="0"/>
    <x v="0"/>
    <x v="0"/>
    <x v="0"/>
    <x v="0"/>
    <x v="0"/>
    <x v="0"/>
    <x v="0"/>
    <x v="0"/>
    <x v="0"/>
    <x v="23"/>
    <n v="246919.58840000001"/>
    <n v="57286.023200000003"/>
    <n v="58547.8"/>
    <n v="0"/>
    <x v="0"/>
    <x v="0"/>
    <x v="0"/>
    <x v="0"/>
    <x v="0"/>
    <x v="0"/>
    <x v="0"/>
    <x v="0"/>
    <x v="0"/>
  </r>
  <r>
    <s v="LIMPEZA GERAL PARA ENTREGA DE OBRA "/>
    <x v="1"/>
    <x v="109"/>
    <n v="81322.078699999998"/>
    <x v="0"/>
    <x v="0"/>
    <x v="24"/>
    <n v="83406.740300000005"/>
    <n v="79237.417000000001"/>
    <m/>
    <m/>
    <x v="0"/>
    <x v="0"/>
    <x v="0"/>
    <x v="0"/>
    <x v="0"/>
    <x v="0"/>
    <x v="0"/>
    <x v="0"/>
    <x v="0"/>
    <x v="0"/>
    <x v="0"/>
    <x v="0"/>
    <x v="24"/>
    <n v="83406.740300000005"/>
    <n v="79237.417000000001"/>
    <n v="0"/>
    <n v="0"/>
    <x v="0"/>
    <x v="0"/>
    <x v="0"/>
    <x v="0"/>
    <x v="0"/>
    <x v="0"/>
    <x v="0"/>
    <x v="0"/>
    <x v="0"/>
  </r>
  <r>
    <s v="MARCO DOS LOTES"/>
    <x v="2"/>
    <x v="110"/>
    <n v="90"/>
    <x v="0"/>
    <x v="0"/>
    <x v="25"/>
    <n v="57.403599999999997"/>
    <n v="23.3398"/>
    <m/>
    <m/>
    <x v="0"/>
    <x v="0"/>
    <x v="0"/>
    <x v="0"/>
    <x v="0"/>
    <x v="0"/>
    <x v="0"/>
    <x v="0"/>
    <x v="0"/>
    <x v="0"/>
    <x v="0"/>
    <x v="0"/>
    <x v="25"/>
    <n v="57.403599999999997"/>
    <n v="23.3398"/>
    <n v="0"/>
    <n v="0"/>
    <x v="0"/>
    <x v="0"/>
    <x v="0"/>
    <x v="0"/>
    <x v="0"/>
    <x v="0"/>
    <x v="0"/>
    <x v="0"/>
    <x v="0"/>
  </r>
  <r>
    <s v="SEGURANÇA -PÓS OBRA"/>
    <x v="0"/>
    <x v="111"/>
    <n v="13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MANUTENÇÃO CAMPOS E QUADRAS"/>
    <x v="0"/>
    <x v="112"/>
    <n v="36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MANUTENÇÃO PAISAGISMO"/>
    <x v="0"/>
    <x v="113"/>
    <n v="30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  <r>
    <s v="LIMPEZA PARA ENTREGA DEFINITIVA - RETOQUES"/>
    <x v="1"/>
    <x v="114"/>
    <n v="15000"/>
    <x v="0"/>
    <x v="0"/>
    <x v="0"/>
    <m/>
    <m/>
    <m/>
    <m/>
    <x v="0"/>
    <x v="0"/>
    <x v="0"/>
    <x v="0"/>
    <x v="0"/>
    <x v="0"/>
    <x v="0"/>
    <x v="0"/>
    <x v="0"/>
    <x v="0"/>
    <x v="0"/>
    <x v="0"/>
    <x v="0"/>
    <n v="0"/>
    <n v="0"/>
    <n v="0"/>
    <n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24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fieldListSortAscending="1">
  <location ref="A141:B159" firstHeaderRow="1" firstDataRow="1" firstDataCol="1"/>
  <pivotFields count="2">
    <pivotField axis="axisRow" showAll="0">
      <items count="18">
        <item n="HISTÓRICO DE CUSTO / PADRÃO ATUAL" x="0"/>
        <item x="5"/>
        <item x="4"/>
        <item x="6"/>
        <item x="3"/>
        <item x="2"/>
        <item x="1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a de COLUNA" fld="1" baseField="0" baseItem="5" numFmtId="165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4" cacheId="25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5" indent="0" outline="1" outlineData="1" multipleFieldFilters="0" fieldListSortAscending="1">
  <location ref="A1:R116" firstHeaderRow="0" firstDataRow="1" firstDataCol="1"/>
  <pivotFields count="37">
    <pivotField showAll="0"/>
    <pivotField showAll="0"/>
    <pivotField axis="axisRow" showAll="0">
      <items count="116">
        <item x="21"/>
        <item x="6"/>
        <item x="105"/>
        <item x="96"/>
        <item x="71"/>
        <item x="2"/>
        <item x="33"/>
        <item x="108"/>
        <item x="37"/>
        <item x="101"/>
        <item x="0"/>
        <item x="103"/>
        <item x="16"/>
        <item x="70"/>
        <item x="4"/>
        <item x="1"/>
        <item x="109"/>
        <item x="24"/>
        <item x="114"/>
        <item x="25"/>
        <item x="112"/>
        <item x="73"/>
        <item x="113"/>
        <item x="110"/>
        <item x="12"/>
        <item x="57"/>
        <item x="58"/>
        <item x="72"/>
        <item x="11"/>
        <item x="99"/>
        <item x="98"/>
        <item x="14"/>
        <item x="69"/>
        <item x="40"/>
        <item x="39"/>
        <item x="38"/>
        <item x="44"/>
        <item x="43"/>
        <item x="27"/>
        <item x="66"/>
        <item x="13"/>
        <item x="111"/>
        <item x="7"/>
        <item x="60"/>
        <item x="104"/>
        <item x="30"/>
        <item x="31"/>
        <item x="32"/>
        <item x="35"/>
        <item x="46"/>
        <item x="47"/>
        <item x="50"/>
        <item x="64"/>
        <item x="65"/>
        <item x="84"/>
        <item x="102"/>
        <item x="36"/>
        <item x="107"/>
        <item x="106"/>
        <item x="45"/>
        <item x="15"/>
        <item x="34"/>
        <item x="51"/>
        <item x="67"/>
        <item x="78"/>
        <item x="3"/>
        <item x="5"/>
        <item x="8"/>
        <item x="9"/>
        <item x="10"/>
        <item x="53"/>
        <item x="54"/>
        <item x="56"/>
        <item x="68"/>
        <item x="89"/>
        <item x="88"/>
        <item x="90"/>
        <item x="91"/>
        <item x="100"/>
        <item x="97"/>
        <item x="55"/>
        <item x="82"/>
        <item x="83"/>
        <item x="19"/>
        <item x="20"/>
        <item x="22"/>
        <item x="23"/>
        <item x="26"/>
        <item x="28"/>
        <item x="41"/>
        <item x="42"/>
        <item x="48"/>
        <item x="49"/>
        <item x="52"/>
        <item x="59"/>
        <item x="61"/>
        <item x="62"/>
        <item x="63"/>
        <item x="74"/>
        <item x="75"/>
        <item x="76"/>
        <item x="77"/>
        <item x="79"/>
        <item x="80"/>
        <item x="81"/>
        <item x="85"/>
        <item x="87"/>
        <item x="92"/>
        <item x="93"/>
        <item x="94"/>
        <item x="95"/>
        <item x="17"/>
        <item x="18"/>
        <item x="29"/>
        <item x="86"/>
        <item t="default"/>
      </items>
    </pivotField>
    <pivotField dataField="1"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Soma de PADRÃO (ATUAL)" fld="3" baseField="4" baseItem="0"/>
    <dataField name="Soma de xVILLA JARDIM" fld="21" baseField="4" baseItem="0"/>
    <dataField name="Soma de xFL DA MATA" fld="22" baseField="4" baseItem="0"/>
    <dataField name="Soma de xFL ITALIA" fld="23" baseField="4" baseItem="0"/>
    <dataField name="Soma de xSUPREMO ITALIA" fld="24" baseField="4" baseItem="0"/>
    <dataField name="Soma de xPRIMOR" fld="25" baseField="4" baseItem="0"/>
    <dataField name="Soma de xBELVEDERE II" fld="26" baseField="4" baseItem="0"/>
    <dataField name="Soma de xFL PARQUE" fld="27" baseField="4" baseItem="0"/>
    <dataField name="Soma de xSAFIRA" fld="28" baseField="0" baseItem="0"/>
    <dataField name="Soma de xAV# JUAREZ" fld="30" baseField="0" baseItem="0"/>
    <dataField name="Soma de xDUBAI" fld="31" baseField="0" baseItem="0"/>
    <dataField name="Soma de xREGIÃO VG" fld="32" baseField="0" baseItem="0"/>
    <dataField name="Soma de xFL CHAPADA" fld="33" baseField="0" baseItem="0"/>
    <dataField name="Soma de xESMERALDA" fld="29" baseField="0" baseItem="0"/>
    <dataField name="Soma de xPÉROLA" fld="36" baseField="0" baseItem="0"/>
    <dataField name="Soma de xTORONTO" fld="34" baseField="0" baseItem="0"/>
    <dataField name="Soma de xCHICAGO" fld="35" baseField="0" baseItem="0"/>
  </dataFields>
  <formats count="4"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zoomScale="70" zoomScaleNormal="70" workbookViewId="0">
      <selection activeCell="C38" sqref="C38"/>
    </sheetView>
  </sheetViews>
  <sheetFormatPr defaultRowHeight="15" x14ac:dyDescent="0.25"/>
  <cols>
    <col min="1" max="1" width="75.85546875" bestFit="1" customWidth="1"/>
    <col min="2" max="2" width="32.85546875" style="7" bestFit="1" customWidth="1"/>
    <col min="3" max="3" width="30" style="7" customWidth="1"/>
    <col min="4" max="4" width="27.85546875" style="7" customWidth="1"/>
    <col min="5" max="5" width="24.5703125" style="7" customWidth="1"/>
    <col min="6" max="6" width="33.85546875" style="7" customWidth="1"/>
    <col min="7" max="7" width="23" style="7" customWidth="1"/>
    <col min="8" max="8" width="29.5703125" style="7" customWidth="1"/>
    <col min="9" max="9" width="27.28515625" style="7" customWidth="1"/>
    <col min="10" max="10" width="22.42578125" style="7" bestFit="1" customWidth="1"/>
    <col min="11" max="11" width="28.28515625" bestFit="1" customWidth="1"/>
    <col min="12" max="12" width="20.7109375" bestFit="1" customWidth="1"/>
    <col min="13" max="13" width="26.85546875" bestFit="1" customWidth="1"/>
    <col min="14" max="14" width="28.85546875" bestFit="1" customWidth="1"/>
    <col min="15" max="15" width="28.28515625" bestFit="1" customWidth="1"/>
    <col min="16" max="16" width="23.140625" bestFit="1" customWidth="1"/>
    <col min="17" max="17" width="25.42578125" bestFit="1" customWidth="1"/>
    <col min="18" max="18" width="24.5703125" bestFit="1" customWidth="1"/>
  </cols>
  <sheetData>
    <row r="1" spans="1:18" x14ac:dyDescent="0.25">
      <c r="A1" s="64" t="s">
        <v>54</v>
      </c>
      <c r="B1" s="66" t="s">
        <v>30</v>
      </c>
      <c r="C1" s="66" t="s">
        <v>87</v>
      </c>
      <c r="D1" s="66" t="s">
        <v>90</v>
      </c>
      <c r="E1" s="66" t="s">
        <v>88</v>
      </c>
      <c r="F1" s="66" t="s">
        <v>86</v>
      </c>
      <c r="G1" s="66" t="s">
        <v>85</v>
      </c>
      <c r="H1" s="66" t="s">
        <v>91</v>
      </c>
      <c r="I1" s="66" t="s">
        <v>89</v>
      </c>
      <c r="J1" t="s">
        <v>157</v>
      </c>
      <c r="K1" t="s">
        <v>158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</row>
    <row r="2" spans="1:18" x14ac:dyDescent="0.25">
      <c r="A2" s="65" t="s">
        <v>95</v>
      </c>
      <c r="B2" s="66">
        <v>202.45840000000001</v>
      </c>
      <c r="C2" s="66">
        <v>0</v>
      </c>
      <c r="D2" s="66">
        <v>0</v>
      </c>
      <c r="E2" s="66">
        <v>314.72899999999998</v>
      </c>
      <c r="F2" s="66">
        <v>0</v>
      </c>
      <c r="G2" s="66">
        <v>271.9649</v>
      </c>
      <c r="H2" s="66">
        <v>97.5565</v>
      </c>
      <c r="I2" s="66">
        <v>0</v>
      </c>
      <c r="J2" s="66">
        <v>0</v>
      </c>
      <c r="K2" s="66">
        <v>0</v>
      </c>
      <c r="L2" s="66">
        <v>0</v>
      </c>
      <c r="M2" s="66">
        <v>202.45840000000001</v>
      </c>
      <c r="N2" s="66">
        <v>145.4804</v>
      </c>
      <c r="O2" s="66">
        <v>0</v>
      </c>
      <c r="P2" s="66">
        <v>0</v>
      </c>
      <c r="Q2" s="66">
        <v>0</v>
      </c>
      <c r="R2" s="66">
        <v>0</v>
      </c>
    </row>
    <row r="3" spans="1:18" x14ac:dyDescent="0.25">
      <c r="A3" s="65" t="s">
        <v>55</v>
      </c>
      <c r="B3" s="66">
        <v>792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66">
        <v>0</v>
      </c>
      <c r="O3" s="66">
        <v>0</v>
      </c>
      <c r="P3" s="66">
        <v>0</v>
      </c>
      <c r="Q3" s="66">
        <v>0</v>
      </c>
      <c r="R3" s="66">
        <v>0</v>
      </c>
    </row>
    <row r="4" spans="1:18" x14ac:dyDescent="0.25">
      <c r="A4" s="65" t="s">
        <v>47</v>
      </c>
      <c r="B4" s="66">
        <v>750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6">
        <v>0</v>
      </c>
      <c r="R4" s="66">
        <v>0</v>
      </c>
    </row>
    <row r="5" spans="1:18" x14ac:dyDescent="0.25">
      <c r="A5" s="65" t="s">
        <v>43</v>
      </c>
      <c r="B5" s="66">
        <v>264380.63</v>
      </c>
      <c r="C5" s="66">
        <v>0</v>
      </c>
      <c r="D5" s="66">
        <v>0</v>
      </c>
      <c r="E5" s="66">
        <v>0</v>
      </c>
      <c r="F5" s="66">
        <v>189979.91510000001</v>
      </c>
      <c r="G5" s="66">
        <v>229035.39670000001</v>
      </c>
      <c r="H5" s="66">
        <v>235294.84659999999</v>
      </c>
      <c r="I5" s="66">
        <v>264380.63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0</v>
      </c>
    </row>
    <row r="6" spans="1:18" x14ac:dyDescent="0.25">
      <c r="A6" s="65" t="s">
        <v>38</v>
      </c>
      <c r="B6" s="66">
        <v>1.3958999999999999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1.3958999999999999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</row>
    <row r="7" spans="1:18" x14ac:dyDescent="0.25">
      <c r="A7" s="65" t="s">
        <v>56</v>
      </c>
      <c r="B7" s="66">
        <v>850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</row>
    <row r="8" spans="1:18" x14ac:dyDescent="0.25">
      <c r="A8" s="65" t="s">
        <v>33</v>
      </c>
      <c r="B8" s="66">
        <v>13000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</row>
    <row r="9" spans="1:18" x14ac:dyDescent="0.25">
      <c r="A9" s="65" t="s">
        <v>96</v>
      </c>
      <c r="B9" s="66">
        <v>60000</v>
      </c>
      <c r="C9" s="66">
        <v>0</v>
      </c>
      <c r="D9" s="66">
        <v>0</v>
      </c>
      <c r="E9" s="66">
        <v>103369.8931</v>
      </c>
      <c r="F9" s="66">
        <v>246919.58840000001</v>
      </c>
      <c r="G9" s="66">
        <v>57286.023200000003</v>
      </c>
      <c r="H9" s="66">
        <v>58547.8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</row>
    <row r="10" spans="1:18" x14ac:dyDescent="0.25">
      <c r="A10" s="65" t="s">
        <v>34</v>
      </c>
      <c r="B10" s="66">
        <v>69.5428</v>
      </c>
      <c r="C10" s="66">
        <v>0</v>
      </c>
      <c r="D10" s="66">
        <v>0</v>
      </c>
      <c r="E10" s="66">
        <v>0</v>
      </c>
      <c r="F10" s="66">
        <v>81.231300000000005</v>
      </c>
      <c r="G10" s="66">
        <v>97.486800000000002</v>
      </c>
      <c r="H10" s="66">
        <v>81.505099999999999</v>
      </c>
      <c r="I10" s="66">
        <v>69.5428</v>
      </c>
      <c r="J10" s="66">
        <v>0</v>
      </c>
      <c r="K10" s="66">
        <v>56.951900000000002</v>
      </c>
      <c r="L10" s="66">
        <v>47.251899999999999</v>
      </c>
      <c r="M10" s="66">
        <v>0</v>
      </c>
      <c r="N10" s="66">
        <v>72.400000000000006</v>
      </c>
      <c r="O10" s="66">
        <v>0</v>
      </c>
      <c r="P10" s="66">
        <v>0</v>
      </c>
      <c r="Q10" s="66">
        <v>0</v>
      </c>
      <c r="R10" s="66">
        <v>0</v>
      </c>
    </row>
    <row r="11" spans="1:18" x14ac:dyDescent="0.25">
      <c r="A11" s="65" t="s">
        <v>46</v>
      </c>
      <c r="B11" s="66">
        <v>75000</v>
      </c>
      <c r="C11" s="66">
        <v>0</v>
      </c>
      <c r="D11" s="66">
        <v>0</v>
      </c>
      <c r="E11" s="66">
        <v>0</v>
      </c>
      <c r="F11" s="66">
        <v>44330.520600000003</v>
      </c>
      <c r="G11" s="66">
        <v>20236.410899999999</v>
      </c>
      <c r="H11" s="66">
        <v>46666.666700000002</v>
      </c>
      <c r="I11" s="66">
        <v>73344.333299999998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</row>
    <row r="12" spans="1:18" x14ac:dyDescent="0.25">
      <c r="A12" s="65" t="s">
        <v>57</v>
      </c>
      <c r="B12" s="66">
        <v>2000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</row>
    <row r="13" spans="1:18" x14ac:dyDescent="0.25">
      <c r="A13" s="65" t="s">
        <v>48</v>
      </c>
      <c r="B13" s="66">
        <v>378.66160000000002</v>
      </c>
      <c r="C13" s="66">
        <v>0</v>
      </c>
      <c r="D13" s="66">
        <v>378.66160000000002</v>
      </c>
      <c r="E13" s="66">
        <v>0</v>
      </c>
      <c r="F13" s="66">
        <v>549.09960000000001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</row>
    <row r="14" spans="1:18" x14ac:dyDescent="0.25">
      <c r="A14" s="65" t="s">
        <v>97</v>
      </c>
      <c r="B14" s="66">
        <v>990717.14769999997</v>
      </c>
      <c r="C14" s="66">
        <v>0</v>
      </c>
      <c r="D14" s="66">
        <v>0</v>
      </c>
      <c r="E14" s="66">
        <v>1419452.0966</v>
      </c>
      <c r="F14" s="66">
        <v>963851.20550000004</v>
      </c>
      <c r="G14" s="66">
        <v>890533.05810000002</v>
      </c>
      <c r="H14" s="66">
        <v>1013282.4023</v>
      </c>
      <c r="I14" s="66">
        <v>0</v>
      </c>
      <c r="J14" s="66">
        <v>0</v>
      </c>
      <c r="K14" s="66">
        <v>0</v>
      </c>
      <c r="L14" s="66">
        <v>0</v>
      </c>
      <c r="M14" s="66">
        <v>1095201.9251000001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</row>
    <row r="15" spans="1:18" x14ac:dyDescent="0.25">
      <c r="A15" s="65" t="s">
        <v>37</v>
      </c>
      <c r="B15" s="66">
        <v>10.5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</row>
    <row r="16" spans="1:18" x14ac:dyDescent="0.25">
      <c r="A16" s="65" t="s">
        <v>98</v>
      </c>
      <c r="B16" s="66">
        <v>2000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</row>
    <row r="17" spans="1:18" x14ac:dyDescent="0.25">
      <c r="A17" s="65" t="s">
        <v>58</v>
      </c>
      <c r="B17" s="66">
        <v>289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</row>
    <row r="18" spans="1:18" x14ac:dyDescent="0.25">
      <c r="A18" s="65" t="s">
        <v>99</v>
      </c>
      <c r="B18" s="66">
        <v>81322.078699999998</v>
      </c>
      <c r="C18" s="66">
        <v>0</v>
      </c>
      <c r="D18" s="66">
        <v>0</v>
      </c>
      <c r="E18" s="66">
        <v>124122.53660000001</v>
      </c>
      <c r="F18" s="66">
        <v>83406.740300000005</v>
      </c>
      <c r="G18" s="66">
        <v>79237.417000000001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</row>
    <row r="19" spans="1:18" x14ac:dyDescent="0.25">
      <c r="A19" s="65" t="s">
        <v>31</v>
      </c>
      <c r="B19" s="66">
        <v>2.2397999999999998</v>
      </c>
      <c r="C19" s="66">
        <v>0</v>
      </c>
      <c r="D19" s="66">
        <v>0</v>
      </c>
      <c r="E19" s="66">
        <v>1.9081999999999999</v>
      </c>
      <c r="F19" s="66">
        <v>2.0884</v>
      </c>
      <c r="G19" s="66">
        <v>0.72060000000000002</v>
      </c>
      <c r="H19" s="66">
        <v>2.2397999999999998</v>
      </c>
      <c r="I19" s="66">
        <v>1.9461999999999999</v>
      </c>
      <c r="J19" s="66">
        <v>1.2438</v>
      </c>
      <c r="K19" s="66">
        <v>0</v>
      </c>
      <c r="L19" s="66">
        <v>1.5590999999999999</v>
      </c>
      <c r="M19" s="66">
        <v>0</v>
      </c>
      <c r="N19" s="66">
        <v>0.61680000000000001</v>
      </c>
      <c r="O19" s="66">
        <v>1.2927</v>
      </c>
      <c r="P19" s="66">
        <v>0</v>
      </c>
      <c r="Q19" s="66">
        <v>2.0451000000000001</v>
      </c>
      <c r="R19" s="66">
        <v>0</v>
      </c>
    </row>
    <row r="20" spans="1:18" x14ac:dyDescent="0.25">
      <c r="A20" s="65" t="s">
        <v>52</v>
      </c>
      <c r="B20" s="66">
        <v>15000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</row>
    <row r="21" spans="1:18" x14ac:dyDescent="0.25">
      <c r="A21" s="65" t="s">
        <v>100</v>
      </c>
      <c r="B21" s="66">
        <v>0.82269999999999999</v>
      </c>
      <c r="C21" s="66">
        <v>0</v>
      </c>
      <c r="D21" s="66">
        <v>0</v>
      </c>
      <c r="E21" s="66">
        <v>0.72</v>
      </c>
      <c r="F21" s="66">
        <v>0.97599999999999998</v>
      </c>
      <c r="G21" s="66">
        <v>0.78069999999999995</v>
      </c>
      <c r="H21" s="66">
        <v>0.81399999999999995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</row>
    <row r="22" spans="1:18" x14ac:dyDescent="0.25">
      <c r="A22" s="65" t="s">
        <v>50</v>
      </c>
      <c r="B22" s="66">
        <v>3600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</row>
    <row r="23" spans="1:18" x14ac:dyDescent="0.25">
      <c r="A23" s="65" t="s">
        <v>41</v>
      </c>
      <c r="B23" s="66">
        <v>0.83099999999999996</v>
      </c>
      <c r="C23" s="66">
        <v>0</v>
      </c>
      <c r="D23" s="66">
        <v>1.0458000000000001</v>
      </c>
      <c r="E23" s="66">
        <v>0.83099999999999996</v>
      </c>
      <c r="F23" s="66">
        <v>0.7641</v>
      </c>
      <c r="G23" s="66">
        <v>0.44340000000000002</v>
      </c>
      <c r="H23" s="66">
        <v>0.75719999999999998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</row>
    <row r="24" spans="1:18" x14ac:dyDescent="0.25">
      <c r="A24" s="65" t="s">
        <v>51</v>
      </c>
      <c r="B24" s="66">
        <v>30000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</row>
    <row r="25" spans="1:18" x14ac:dyDescent="0.25">
      <c r="A25" s="65" t="s">
        <v>40</v>
      </c>
      <c r="B25" s="66">
        <v>90</v>
      </c>
      <c r="C25" s="66">
        <v>0</v>
      </c>
      <c r="D25" s="66">
        <v>0</v>
      </c>
      <c r="E25" s="66">
        <v>66.889499999999998</v>
      </c>
      <c r="F25" s="66">
        <v>57.403599999999997</v>
      </c>
      <c r="G25" s="66">
        <v>23.3398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</row>
    <row r="26" spans="1:18" x14ac:dyDescent="0.25">
      <c r="A26" s="65" t="s">
        <v>59</v>
      </c>
      <c r="B26" s="66">
        <v>2000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</row>
    <row r="27" spans="1:18" x14ac:dyDescent="0.25">
      <c r="A27" s="65" t="s">
        <v>101</v>
      </c>
      <c r="B27" s="66">
        <v>753.9126</v>
      </c>
      <c r="C27" s="66">
        <v>0</v>
      </c>
      <c r="D27" s="66">
        <v>0</v>
      </c>
      <c r="E27" s="66">
        <v>924.08699999999999</v>
      </c>
      <c r="F27" s="66">
        <v>0</v>
      </c>
      <c r="G27" s="66">
        <v>0</v>
      </c>
      <c r="H27" s="66">
        <v>583.73829999999998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</row>
    <row r="28" spans="1:18" x14ac:dyDescent="0.25">
      <c r="A28" s="65" t="s">
        <v>36</v>
      </c>
      <c r="B28" s="66">
        <v>752.74289999999996</v>
      </c>
      <c r="C28" s="66">
        <v>0</v>
      </c>
      <c r="D28" s="66">
        <v>0</v>
      </c>
      <c r="E28" s="66">
        <v>0</v>
      </c>
      <c r="F28" s="66">
        <v>815.70690000000002</v>
      </c>
      <c r="G28" s="66">
        <v>689.6875</v>
      </c>
      <c r="H28" s="66">
        <v>0</v>
      </c>
      <c r="I28" s="66">
        <v>713.2482</v>
      </c>
      <c r="J28" s="66">
        <v>0</v>
      </c>
      <c r="K28" s="66">
        <v>0</v>
      </c>
      <c r="L28" s="66">
        <v>0</v>
      </c>
      <c r="M28" s="66">
        <v>0</v>
      </c>
      <c r="N28" s="66">
        <v>792.32889999999998</v>
      </c>
      <c r="O28" s="66">
        <v>0</v>
      </c>
      <c r="P28" s="66">
        <v>0</v>
      </c>
      <c r="Q28" s="66">
        <v>0</v>
      </c>
      <c r="R28" s="66">
        <v>0</v>
      </c>
    </row>
    <row r="29" spans="1:18" x14ac:dyDescent="0.25">
      <c r="A29" s="65" t="s">
        <v>39</v>
      </c>
      <c r="B29" s="66">
        <v>1.9397</v>
      </c>
      <c r="C29" s="66">
        <v>0</v>
      </c>
      <c r="D29" s="66">
        <v>0.72550000000000003</v>
      </c>
      <c r="E29" s="66">
        <v>1.4831000000000001</v>
      </c>
      <c r="F29" s="66">
        <v>1.7661</v>
      </c>
      <c r="G29" s="66">
        <v>1.3645</v>
      </c>
      <c r="H29" s="66">
        <v>1.2831999999999999</v>
      </c>
      <c r="I29" s="66">
        <v>1.4144000000000001</v>
      </c>
      <c r="J29" s="66">
        <v>0</v>
      </c>
      <c r="K29" s="66">
        <v>0</v>
      </c>
      <c r="L29" s="66">
        <v>1.9397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</row>
    <row r="30" spans="1:18" x14ac:dyDescent="0.25">
      <c r="A30" s="65" t="s">
        <v>60</v>
      </c>
      <c r="B30" s="66">
        <v>1500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</row>
    <row r="31" spans="1:18" x14ac:dyDescent="0.25">
      <c r="A31" s="65" t="s">
        <v>44</v>
      </c>
      <c r="B31" s="66">
        <v>160000</v>
      </c>
      <c r="C31" s="66">
        <v>0</v>
      </c>
      <c r="D31" s="66">
        <v>0</v>
      </c>
      <c r="E31" s="66">
        <v>0</v>
      </c>
      <c r="F31" s="66">
        <v>144492.5385</v>
      </c>
      <c r="G31" s="66">
        <v>168884.17</v>
      </c>
      <c r="H31" s="66">
        <v>137803.0877</v>
      </c>
      <c r="I31" s="66">
        <v>158330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</row>
    <row r="32" spans="1:18" x14ac:dyDescent="0.25">
      <c r="A32" s="65" t="s">
        <v>45</v>
      </c>
      <c r="B32" s="66">
        <v>205791.79139999999</v>
      </c>
      <c r="C32" s="66">
        <v>0</v>
      </c>
      <c r="D32" s="66">
        <v>0</v>
      </c>
      <c r="E32" s="66">
        <v>0</v>
      </c>
      <c r="F32" s="66">
        <v>176229.44510000001</v>
      </c>
      <c r="G32" s="66">
        <v>205791.79139999999</v>
      </c>
      <c r="H32" s="66">
        <v>180994.28140000001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</row>
    <row r="33" spans="1:18" x14ac:dyDescent="0.25">
      <c r="A33" s="65" t="s">
        <v>61</v>
      </c>
      <c r="B33" s="66">
        <v>1314.9724000000001</v>
      </c>
      <c r="C33" s="66">
        <v>904.79600000000005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1314.9724000000001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</row>
    <row r="34" spans="1:18" x14ac:dyDescent="0.25">
      <c r="A34" s="65" t="s">
        <v>62</v>
      </c>
      <c r="B34" s="66">
        <v>128.95830000000001</v>
      </c>
      <c r="C34" s="66">
        <v>0</v>
      </c>
      <c r="D34" s="66">
        <v>121.15219999999999</v>
      </c>
      <c r="E34" s="66">
        <v>0</v>
      </c>
      <c r="F34" s="66">
        <v>96.144499999999994</v>
      </c>
      <c r="G34" s="66">
        <v>160.24469999999999</v>
      </c>
      <c r="H34" s="66">
        <v>105.4781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</row>
    <row r="35" spans="1:18" x14ac:dyDescent="0.25">
      <c r="A35" s="65" t="s">
        <v>103</v>
      </c>
      <c r="B35" s="66">
        <v>400</v>
      </c>
      <c r="C35" s="66"/>
      <c r="D35" s="66"/>
      <c r="E35" s="66"/>
      <c r="F35" s="66"/>
      <c r="G35" s="66"/>
      <c r="H35" s="66"/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</row>
    <row r="36" spans="1:18" x14ac:dyDescent="0.25">
      <c r="A36" s="65" t="s">
        <v>104</v>
      </c>
      <c r="B36" s="66">
        <v>45.240900000000003</v>
      </c>
      <c r="C36" s="66">
        <v>0</v>
      </c>
      <c r="D36" s="66">
        <v>40.7455</v>
      </c>
      <c r="E36" s="66">
        <v>45.7971</v>
      </c>
      <c r="F36" s="66">
        <v>40.441499999999998</v>
      </c>
      <c r="G36" s="66">
        <v>53.299100000000003</v>
      </c>
      <c r="H36" s="66">
        <v>30.361000000000001</v>
      </c>
      <c r="I36" s="66">
        <v>54.244700000000002</v>
      </c>
      <c r="J36" s="66">
        <v>0</v>
      </c>
      <c r="K36" s="66">
        <v>0</v>
      </c>
      <c r="L36" s="66">
        <v>0</v>
      </c>
      <c r="M36" s="66">
        <v>0</v>
      </c>
      <c r="N36" s="66">
        <v>45.921599999999998</v>
      </c>
      <c r="O36" s="66">
        <v>0</v>
      </c>
      <c r="P36" s="66">
        <v>0</v>
      </c>
      <c r="Q36" s="66">
        <v>0</v>
      </c>
      <c r="R36" s="66">
        <v>0</v>
      </c>
    </row>
    <row r="37" spans="1:18" x14ac:dyDescent="0.25">
      <c r="A37" s="65" t="s">
        <v>35</v>
      </c>
      <c r="B37" s="66">
        <v>69.065600000000003</v>
      </c>
      <c r="C37" s="66">
        <v>0</v>
      </c>
      <c r="D37" s="66">
        <v>68.745599999999996</v>
      </c>
      <c r="E37" s="66">
        <v>70.119100000000003</v>
      </c>
      <c r="F37" s="66">
        <v>65.048199999999994</v>
      </c>
      <c r="G37" s="66">
        <v>73.205200000000005</v>
      </c>
      <c r="H37" s="66">
        <v>40.787700000000001</v>
      </c>
      <c r="I37" s="66">
        <v>91.574700000000007</v>
      </c>
      <c r="J37" s="66">
        <v>0</v>
      </c>
      <c r="K37" s="66">
        <v>0</v>
      </c>
      <c r="L37" s="66">
        <v>0</v>
      </c>
      <c r="M37" s="66">
        <v>0</v>
      </c>
      <c r="N37" s="66">
        <v>68.210099999999997</v>
      </c>
      <c r="O37" s="66">
        <v>0</v>
      </c>
      <c r="P37" s="66">
        <v>0</v>
      </c>
      <c r="Q37" s="66">
        <v>0</v>
      </c>
      <c r="R37" s="66">
        <v>0</v>
      </c>
    </row>
    <row r="38" spans="1:18" x14ac:dyDescent="0.25">
      <c r="A38" s="65" t="s">
        <v>105</v>
      </c>
      <c r="B38" s="66">
        <v>129.3425</v>
      </c>
      <c r="C38" s="66">
        <v>0</v>
      </c>
      <c r="D38" s="66">
        <v>71.642300000000006</v>
      </c>
      <c r="E38" s="66">
        <v>58.1648</v>
      </c>
      <c r="F38" s="66">
        <v>102.5286</v>
      </c>
      <c r="G38" s="66">
        <v>146.42320000000001</v>
      </c>
      <c r="H38" s="66">
        <v>139.07570000000001</v>
      </c>
      <c r="I38" s="66">
        <v>77.543899999999994</v>
      </c>
      <c r="J38" s="66">
        <v>0</v>
      </c>
      <c r="K38" s="66">
        <v>0</v>
      </c>
      <c r="L38" s="66">
        <v>0</v>
      </c>
      <c r="M38" s="66">
        <v>0</v>
      </c>
      <c r="N38" s="66">
        <v>83.298299999999998</v>
      </c>
      <c r="O38" s="66">
        <v>0</v>
      </c>
      <c r="P38" s="66">
        <v>0</v>
      </c>
      <c r="Q38" s="66">
        <v>0</v>
      </c>
      <c r="R38" s="66">
        <v>0</v>
      </c>
    </row>
    <row r="39" spans="1:18" x14ac:dyDescent="0.25">
      <c r="A39" s="65" t="s">
        <v>106</v>
      </c>
      <c r="B39" s="66">
        <v>180.51240000000001</v>
      </c>
      <c r="C39" s="66">
        <v>0</v>
      </c>
      <c r="D39" s="66">
        <v>118.3291</v>
      </c>
      <c r="E39" s="66">
        <v>94.607600000000005</v>
      </c>
      <c r="F39" s="66">
        <v>180.51240000000001</v>
      </c>
      <c r="G39" s="66">
        <v>209.9134</v>
      </c>
      <c r="H39" s="66">
        <v>138.20230000000001</v>
      </c>
      <c r="I39" s="66">
        <v>113.0408</v>
      </c>
      <c r="J39" s="66">
        <v>0</v>
      </c>
      <c r="K39" s="66">
        <v>0</v>
      </c>
      <c r="L39" s="66">
        <v>0</v>
      </c>
      <c r="M39" s="66">
        <v>0</v>
      </c>
      <c r="N39" s="66">
        <v>148.2389</v>
      </c>
      <c r="O39" s="66">
        <v>0</v>
      </c>
      <c r="P39" s="66">
        <v>0</v>
      </c>
      <c r="Q39" s="66">
        <v>0</v>
      </c>
      <c r="R39" s="66">
        <v>0</v>
      </c>
    </row>
    <row r="40" spans="1:18" x14ac:dyDescent="0.25">
      <c r="A40" s="65" t="s">
        <v>32</v>
      </c>
      <c r="B40" s="66">
        <v>65000</v>
      </c>
      <c r="C40" s="66">
        <v>0</v>
      </c>
      <c r="D40" s="66">
        <v>0</v>
      </c>
      <c r="E40" s="66">
        <v>0</v>
      </c>
      <c r="F40" s="66">
        <v>102884.85370000001</v>
      </c>
      <c r="G40" s="66">
        <v>67731.719599999997</v>
      </c>
      <c r="H40" s="66">
        <v>48510.051599999999</v>
      </c>
      <c r="I40" s="66">
        <v>58086.18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</row>
    <row r="41" spans="1:18" x14ac:dyDescent="0.25">
      <c r="A41" s="65" t="s">
        <v>63</v>
      </c>
      <c r="B41" s="66">
        <v>35</v>
      </c>
      <c r="C41" s="66">
        <v>0</v>
      </c>
      <c r="D41" s="66">
        <v>0</v>
      </c>
      <c r="E41" s="66">
        <v>0</v>
      </c>
      <c r="F41" s="66">
        <v>32.962699999999998</v>
      </c>
      <c r="G41" s="66">
        <v>34.479900000000001</v>
      </c>
      <c r="H41" s="66">
        <v>22.3004</v>
      </c>
      <c r="I41" s="66">
        <v>34.720100000000002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</row>
    <row r="42" spans="1:18" x14ac:dyDescent="0.25">
      <c r="A42" s="65" t="s">
        <v>64</v>
      </c>
      <c r="B42" s="66">
        <v>22537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</row>
    <row r="43" spans="1:18" x14ac:dyDescent="0.25">
      <c r="A43" s="65" t="s">
        <v>49</v>
      </c>
      <c r="B43" s="66">
        <v>13000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</row>
    <row r="44" spans="1:18" x14ac:dyDescent="0.25">
      <c r="A44" s="65" t="s">
        <v>65</v>
      </c>
      <c r="B44" s="66">
        <v>1200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</row>
    <row r="45" spans="1:18" x14ac:dyDescent="0.25">
      <c r="A45" s="65" t="s">
        <v>109</v>
      </c>
      <c r="B45" s="66">
        <v>470</v>
      </c>
      <c r="C45" s="66">
        <v>0</v>
      </c>
      <c r="D45" s="66">
        <v>0</v>
      </c>
      <c r="E45" s="66">
        <v>0</v>
      </c>
      <c r="F45" s="66">
        <v>471.73230000000001</v>
      </c>
      <c r="G45" s="66">
        <v>323.34429999999998</v>
      </c>
      <c r="H45" s="66">
        <v>0</v>
      </c>
      <c r="I45" s="66">
        <v>532.49069999999995</v>
      </c>
      <c r="J45" s="66">
        <v>395.09100000000001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</row>
    <row r="46" spans="1:18" x14ac:dyDescent="0.25">
      <c r="A46" s="65" t="s">
        <v>110</v>
      </c>
      <c r="B46" s="66">
        <v>37603.417099999999</v>
      </c>
      <c r="C46" s="66">
        <v>0</v>
      </c>
      <c r="D46" s="66">
        <v>0</v>
      </c>
      <c r="E46" s="66">
        <v>39136.0743</v>
      </c>
      <c r="F46" s="66">
        <v>0</v>
      </c>
      <c r="G46" s="66">
        <v>0</v>
      </c>
      <c r="H46" s="66">
        <v>0</v>
      </c>
      <c r="I46" s="66">
        <v>36070.76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</row>
    <row r="47" spans="1:18" x14ac:dyDescent="0.25">
      <c r="A47" s="65" t="s">
        <v>111</v>
      </c>
      <c r="B47" s="66">
        <v>5.0438000000000001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</row>
    <row r="48" spans="1:18" x14ac:dyDescent="0.25">
      <c r="A48" s="65" t="s">
        <v>112</v>
      </c>
      <c r="B48" s="66">
        <v>8.5052000000000003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</row>
    <row r="49" spans="1:18" x14ac:dyDescent="0.25">
      <c r="A49" s="65" t="s">
        <v>113</v>
      </c>
      <c r="B49" s="66">
        <v>12.8893</v>
      </c>
      <c r="C49" s="66">
        <v>0</v>
      </c>
      <c r="D49" s="66">
        <v>8.5052000000000003</v>
      </c>
      <c r="E49" s="66">
        <v>5.0438000000000001</v>
      </c>
      <c r="F49" s="66">
        <v>7.4629000000000003</v>
      </c>
      <c r="G49" s="66">
        <v>12.8893</v>
      </c>
      <c r="H49" s="66">
        <v>9.2315000000000005</v>
      </c>
      <c r="I49" s="66">
        <v>1.9762999999999999</v>
      </c>
      <c r="J49" s="66">
        <v>9.7203999999999997</v>
      </c>
      <c r="K49" s="66">
        <v>0</v>
      </c>
      <c r="L49" s="66">
        <v>3.3685999999999998</v>
      </c>
      <c r="M49" s="66">
        <v>0</v>
      </c>
      <c r="N49" s="66">
        <v>0</v>
      </c>
      <c r="O49" s="66">
        <v>4.6909000000000001</v>
      </c>
      <c r="P49" s="66">
        <v>0</v>
      </c>
      <c r="Q49" s="66">
        <v>3.8418000000000001</v>
      </c>
      <c r="R49" s="66">
        <v>0</v>
      </c>
    </row>
    <row r="50" spans="1:18" x14ac:dyDescent="0.25">
      <c r="A50" s="65" t="s">
        <v>114</v>
      </c>
      <c r="B50" s="66">
        <v>95418.044599999994</v>
      </c>
      <c r="C50" s="66">
        <v>0</v>
      </c>
      <c r="D50" s="66">
        <v>0</v>
      </c>
      <c r="E50" s="66">
        <v>82515.334099999993</v>
      </c>
      <c r="F50" s="66">
        <v>82944.395300000004</v>
      </c>
      <c r="G50" s="66">
        <v>108115.2788</v>
      </c>
      <c r="H50" s="66">
        <v>108097.1703</v>
      </c>
      <c r="I50" s="66">
        <v>0</v>
      </c>
      <c r="J50" s="66">
        <v>0</v>
      </c>
      <c r="K50" s="66">
        <v>167566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</row>
    <row r="51" spans="1:18" x14ac:dyDescent="0.25">
      <c r="A51" s="65" t="s">
        <v>115</v>
      </c>
      <c r="B51" s="66">
        <v>65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</row>
    <row r="52" spans="1:18" x14ac:dyDescent="0.25">
      <c r="A52" s="65" t="s">
        <v>116</v>
      </c>
      <c r="B52" s="66">
        <v>50</v>
      </c>
      <c r="C52" s="66">
        <v>0</v>
      </c>
      <c r="D52" s="66">
        <v>72.053200000000004</v>
      </c>
      <c r="E52" s="66">
        <v>80.933599999999998</v>
      </c>
      <c r="F52" s="66">
        <v>60.936500000000002</v>
      </c>
      <c r="G52" s="66">
        <v>51.646700000000003</v>
      </c>
      <c r="H52" s="66">
        <v>48.214199999999998</v>
      </c>
      <c r="I52" s="66">
        <v>44.3001</v>
      </c>
      <c r="J52" s="66">
        <v>72.223100000000002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</row>
    <row r="53" spans="1:18" x14ac:dyDescent="0.25">
      <c r="A53" s="65" t="s">
        <v>117</v>
      </c>
      <c r="B53" s="66">
        <v>33.3093</v>
      </c>
      <c r="C53" s="66">
        <v>0</v>
      </c>
      <c r="D53" s="66">
        <v>32.546199999999999</v>
      </c>
      <c r="E53" s="66">
        <v>29.602</v>
      </c>
      <c r="F53" s="66">
        <v>170.46440000000001</v>
      </c>
      <c r="G53" s="66">
        <v>29.653600000000001</v>
      </c>
      <c r="H53" s="66">
        <v>29.7713</v>
      </c>
      <c r="I53" s="66">
        <v>33.3093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</row>
    <row r="54" spans="1:18" x14ac:dyDescent="0.25">
      <c r="A54" s="65" t="s">
        <v>118</v>
      </c>
      <c r="B54" s="66">
        <v>140000</v>
      </c>
      <c r="C54" s="66">
        <v>0</v>
      </c>
      <c r="D54" s="66">
        <v>0</v>
      </c>
      <c r="E54" s="66">
        <v>0</v>
      </c>
      <c r="F54" s="66">
        <v>0</v>
      </c>
      <c r="G54" s="66">
        <v>141520.258</v>
      </c>
      <c r="H54" s="66">
        <v>138888.9982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</row>
    <row r="55" spans="1:18" x14ac:dyDescent="0.25">
      <c r="A55" s="65" t="s">
        <v>119</v>
      </c>
      <c r="B55" s="66">
        <v>200000</v>
      </c>
      <c r="C55" s="66">
        <v>0</v>
      </c>
      <c r="D55" s="66">
        <v>151475.62849999999</v>
      </c>
      <c r="E55" s="66">
        <v>120005.13</v>
      </c>
      <c r="F55" s="66">
        <v>199140.0612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</row>
    <row r="56" spans="1:18" x14ac:dyDescent="0.25">
      <c r="A56" s="65" t="s">
        <v>121</v>
      </c>
      <c r="B56" s="66">
        <v>66</v>
      </c>
      <c r="C56" s="66">
        <v>0</v>
      </c>
      <c r="D56" s="66">
        <v>0</v>
      </c>
      <c r="E56" s="66">
        <v>0</v>
      </c>
      <c r="F56" s="66">
        <v>65.757199999999997</v>
      </c>
      <c r="G56" s="66">
        <v>65.411000000000001</v>
      </c>
      <c r="H56" s="66">
        <v>70.051400000000001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</row>
    <row r="57" spans="1:18" x14ac:dyDescent="0.25">
      <c r="A57" s="65" t="s">
        <v>122</v>
      </c>
      <c r="B57" s="66">
        <v>25000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24974.27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</row>
    <row r="58" spans="1:18" x14ac:dyDescent="0.25">
      <c r="A58" s="65" t="s">
        <v>127</v>
      </c>
      <c r="B58" s="66">
        <v>67.252899999999997</v>
      </c>
      <c r="C58" s="66">
        <v>0</v>
      </c>
      <c r="D58" s="66">
        <v>0</v>
      </c>
      <c r="E58" s="66">
        <v>0</v>
      </c>
      <c r="F58" s="66">
        <v>0</v>
      </c>
      <c r="G58" s="66">
        <v>78.381</v>
      </c>
      <c r="H58" s="66">
        <v>70.358900000000006</v>
      </c>
      <c r="I58" s="66">
        <v>67.252899999999997</v>
      </c>
      <c r="J58" s="66">
        <v>0</v>
      </c>
      <c r="K58" s="66">
        <v>50.519399999999997</v>
      </c>
      <c r="L58" s="66">
        <v>14.769600000000001</v>
      </c>
      <c r="M58" s="66">
        <v>0</v>
      </c>
      <c r="N58" s="66">
        <v>87</v>
      </c>
      <c r="O58" s="66">
        <v>0</v>
      </c>
      <c r="P58" s="66">
        <v>0</v>
      </c>
      <c r="Q58" s="66">
        <v>0</v>
      </c>
      <c r="R58" s="66">
        <v>0</v>
      </c>
    </row>
    <row r="59" spans="1:18" x14ac:dyDescent="0.25">
      <c r="A59" s="65" t="s">
        <v>128</v>
      </c>
      <c r="B59" s="66">
        <v>25000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</row>
    <row r="60" spans="1:18" x14ac:dyDescent="0.25">
      <c r="A60" s="65" t="s">
        <v>129</v>
      </c>
      <c r="B60" s="66">
        <v>50000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</row>
    <row r="61" spans="1:18" x14ac:dyDescent="0.25">
      <c r="A61" s="65" t="s">
        <v>132</v>
      </c>
      <c r="B61" s="66">
        <v>7.9378000000000002</v>
      </c>
      <c r="C61" s="66">
        <v>0</v>
      </c>
      <c r="D61" s="66">
        <v>6.5590000000000002</v>
      </c>
      <c r="E61" s="66">
        <v>9.5173000000000005</v>
      </c>
      <c r="F61" s="66">
        <v>7.5754999999999999</v>
      </c>
      <c r="G61" s="66">
        <v>10.292400000000001</v>
      </c>
      <c r="H61" s="66">
        <v>7.5774999999999997</v>
      </c>
      <c r="I61" s="66">
        <v>7.1356999999999999</v>
      </c>
      <c r="J61" s="66">
        <v>6.907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</row>
    <row r="62" spans="1:18" x14ac:dyDescent="0.25">
      <c r="A62" s="65" t="s">
        <v>133</v>
      </c>
      <c r="B62" s="66">
        <v>2163.0621999999998</v>
      </c>
      <c r="C62" s="66">
        <v>0</v>
      </c>
      <c r="D62" s="66">
        <v>0</v>
      </c>
      <c r="E62" s="66">
        <v>0</v>
      </c>
      <c r="F62" s="66">
        <v>0</v>
      </c>
      <c r="G62" s="66">
        <v>1305.7669000000001</v>
      </c>
      <c r="H62" s="66">
        <v>2202.7878000000001</v>
      </c>
      <c r="I62" s="66">
        <v>0</v>
      </c>
      <c r="J62" s="66">
        <v>0</v>
      </c>
      <c r="K62" s="66">
        <v>0</v>
      </c>
      <c r="L62" s="66">
        <v>0</v>
      </c>
      <c r="M62" s="66">
        <v>2163.0621999999998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</row>
    <row r="63" spans="1:18" x14ac:dyDescent="0.25">
      <c r="A63" s="65" t="s">
        <v>139</v>
      </c>
      <c r="B63" s="66">
        <v>2.5842999999999998</v>
      </c>
      <c r="C63" s="66">
        <v>0</v>
      </c>
      <c r="D63" s="66">
        <v>0</v>
      </c>
      <c r="E63" s="66">
        <v>1.5643</v>
      </c>
      <c r="F63" s="66">
        <v>1.9508000000000001</v>
      </c>
      <c r="G63" s="66">
        <v>1.8602000000000001</v>
      </c>
      <c r="H63" s="66">
        <v>2.6865999999999999</v>
      </c>
      <c r="I63" s="66">
        <v>1.7016</v>
      </c>
      <c r="J63" s="66">
        <v>0</v>
      </c>
      <c r="K63" s="66">
        <v>3.4670999999999998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</row>
    <row r="64" spans="1:18" x14ac:dyDescent="0.25">
      <c r="A64" s="65" t="s">
        <v>140</v>
      </c>
      <c r="B64" s="66">
        <v>215.49809999999999</v>
      </c>
      <c r="C64" s="66">
        <v>0</v>
      </c>
      <c r="D64" s="66">
        <v>0</v>
      </c>
      <c r="E64" s="66">
        <v>0</v>
      </c>
      <c r="F64" s="66">
        <v>0</v>
      </c>
      <c r="G64" s="66">
        <v>198.02019999999999</v>
      </c>
      <c r="H64" s="66">
        <v>174.55019999999999</v>
      </c>
      <c r="I64" s="66">
        <v>213.44290000000001</v>
      </c>
      <c r="J64" s="66">
        <v>0</v>
      </c>
      <c r="K64" s="66">
        <v>0</v>
      </c>
      <c r="L64" s="66">
        <v>0</v>
      </c>
      <c r="M64" s="66">
        <v>0</v>
      </c>
      <c r="N64" s="66">
        <v>217.5532</v>
      </c>
      <c r="O64" s="66">
        <v>0</v>
      </c>
      <c r="P64" s="66">
        <v>0</v>
      </c>
      <c r="Q64" s="66">
        <v>0</v>
      </c>
      <c r="R64" s="66">
        <v>0</v>
      </c>
    </row>
    <row r="65" spans="1:18" x14ac:dyDescent="0.25">
      <c r="A65" s="65" t="s">
        <v>137</v>
      </c>
      <c r="B65" s="66">
        <v>28</v>
      </c>
      <c r="C65" s="66">
        <v>0</v>
      </c>
      <c r="D65" s="66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</row>
    <row r="66" spans="1:18" x14ac:dyDescent="0.25">
      <c r="A66" s="65" t="s">
        <v>141</v>
      </c>
      <c r="B66" s="66">
        <v>1027.4322999999999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1027.4322999999999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</row>
    <row r="67" spans="1:18" x14ac:dyDescent="0.25">
      <c r="A67" s="65" t="s">
        <v>142</v>
      </c>
      <c r="B67" s="66">
        <v>5000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</row>
    <row r="68" spans="1:18" x14ac:dyDescent="0.25">
      <c r="A68" s="65" t="s">
        <v>148</v>
      </c>
      <c r="B68" s="66">
        <v>300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</row>
    <row r="69" spans="1:18" x14ac:dyDescent="0.25">
      <c r="A69" s="65" t="s">
        <v>149</v>
      </c>
      <c r="B69" s="66">
        <v>12000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</row>
    <row r="70" spans="1:18" x14ac:dyDescent="0.25">
      <c r="A70" s="65" t="s">
        <v>150</v>
      </c>
      <c r="B70" s="66">
        <v>24000</v>
      </c>
      <c r="C70" s="66">
        <v>0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</row>
    <row r="71" spans="1:18" x14ac:dyDescent="0.25">
      <c r="A71" s="65" t="s">
        <v>151</v>
      </c>
      <c r="B71" s="66">
        <v>6000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</row>
    <row r="72" spans="1:18" x14ac:dyDescent="0.25">
      <c r="A72" s="65" t="s">
        <v>152</v>
      </c>
      <c r="B72" s="66">
        <v>22559.398099999999</v>
      </c>
      <c r="C72" s="66">
        <v>0</v>
      </c>
      <c r="D72" s="66">
        <v>0</v>
      </c>
      <c r="E72" s="66">
        <v>0</v>
      </c>
      <c r="F72" s="66">
        <v>17884.164199999999</v>
      </c>
      <c r="G72" s="66">
        <v>32884.262499999997</v>
      </c>
      <c r="H72" s="66">
        <v>16909.767800000001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</row>
    <row r="73" spans="1:18" x14ac:dyDescent="0.25">
      <c r="A73" s="65" t="s">
        <v>153</v>
      </c>
      <c r="B73" s="66">
        <v>0.46889999999999998</v>
      </c>
      <c r="C73" s="66">
        <v>0</v>
      </c>
      <c r="D73" s="66">
        <v>0</v>
      </c>
      <c r="E73" s="66">
        <v>0</v>
      </c>
      <c r="F73" s="66">
        <v>0.42059999999999997</v>
      </c>
      <c r="G73" s="66">
        <v>0.56579999999999997</v>
      </c>
      <c r="H73" s="66">
        <v>0.42030000000000001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</row>
    <row r="74" spans="1:18" x14ac:dyDescent="0.25">
      <c r="A74" s="65" t="s">
        <v>154</v>
      </c>
      <c r="B74" s="66">
        <v>1083.0071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1083.0071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</row>
    <row r="75" spans="1:18" x14ac:dyDescent="0.25">
      <c r="A75" s="65" t="s">
        <v>155</v>
      </c>
      <c r="B75" s="66">
        <v>29.432500000000001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</row>
    <row r="76" spans="1:18" x14ac:dyDescent="0.25">
      <c r="A76" s="65" t="s">
        <v>156</v>
      </c>
      <c r="B76" s="66">
        <v>65837.426099999997</v>
      </c>
      <c r="C76" s="66">
        <v>0</v>
      </c>
      <c r="D76" s="66">
        <v>0</v>
      </c>
      <c r="E76" s="66">
        <v>0</v>
      </c>
      <c r="F76" s="66">
        <v>0</v>
      </c>
      <c r="G76" s="66">
        <v>70249.180399999997</v>
      </c>
      <c r="H76" s="66">
        <v>61425.671799999996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</row>
    <row r="77" spans="1:18" x14ac:dyDescent="0.25">
      <c r="A77" s="65" t="s">
        <v>179</v>
      </c>
      <c r="B77" s="66">
        <v>313013.90700000001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</row>
    <row r="78" spans="1:18" x14ac:dyDescent="0.25">
      <c r="A78" s="65" t="s">
        <v>180</v>
      </c>
      <c r="B78" s="66">
        <v>700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</row>
    <row r="79" spans="1:18" x14ac:dyDescent="0.25">
      <c r="A79" s="65" t="s">
        <v>181</v>
      </c>
      <c r="B79" s="66">
        <v>1000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</row>
    <row r="80" spans="1:18" x14ac:dyDescent="0.25">
      <c r="A80" s="65" t="s">
        <v>182</v>
      </c>
      <c r="B80" s="66">
        <v>228000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</row>
    <row r="81" spans="1:18" x14ac:dyDescent="0.25">
      <c r="A81" s="65" t="s">
        <v>183</v>
      </c>
      <c r="B81" s="66">
        <v>200000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</row>
    <row r="82" spans="1:18" x14ac:dyDescent="0.25">
      <c r="A82" s="65" t="s">
        <v>206</v>
      </c>
      <c r="B82" s="66">
        <v>258.74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</row>
    <row r="83" spans="1:18" x14ac:dyDescent="0.25">
      <c r="A83" s="65" t="s">
        <v>207</v>
      </c>
      <c r="B83" s="66">
        <v>120000</v>
      </c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</row>
    <row r="84" spans="1:18" x14ac:dyDescent="0.25">
      <c r="A84" s="65" t="s">
        <v>208</v>
      </c>
      <c r="B84" s="66">
        <v>227.82</v>
      </c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</row>
    <row r="85" spans="1:18" x14ac:dyDescent="0.25">
      <c r="A85" s="65" t="s">
        <v>236</v>
      </c>
      <c r="B85" s="66">
        <v>213.82859999999999</v>
      </c>
      <c r="C85" s="66">
        <v>286.27510000000001</v>
      </c>
      <c r="D85" s="66">
        <v>0</v>
      </c>
      <c r="E85" s="66">
        <v>0</v>
      </c>
      <c r="F85" s="66">
        <v>0</v>
      </c>
      <c r="G85" s="66">
        <v>310.29399999999998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213.82859999999999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</row>
    <row r="86" spans="1:18" x14ac:dyDescent="0.25">
      <c r="A86" s="65" t="s">
        <v>237</v>
      </c>
      <c r="B86" s="66">
        <v>286.27510000000001</v>
      </c>
      <c r="C86" s="66">
        <v>286.27510000000001</v>
      </c>
      <c r="D86" s="66">
        <v>0</v>
      </c>
      <c r="E86" s="66">
        <v>0</v>
      </c>
      <c r="F86" s="66">
        <v>0</v>
      </c>
      <c r="G86" s="66">
        <v>310.29399999999998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213.82859999999999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</row>
    <row r="87" spans="1:18" x14ac:dyDescent="0.25">
      <c r="A87" s="65" t="s">
        <v>238</v>
      </c>
      <c r="B87" s="66">
        <v>650000</v>
      </c>
      <c r="C87" s="66">
        <v>448784.68</v>
      </c>
      <c r="D87" s="66">
        <v>0</v>
      </c>
      <c r="E87" s="66">
        <v>0</v>
      </c>
      <c r="F87" s="66">
        <v>878747.70730000001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422366.17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</row>
    <row r="88" spans="1:18" x14ac:dyDescent="0.25">
      <c r="A88" s="65" t="s">
        <v>239</v>
      </c>
      <c r="B88" s="66">
        <v>450000</v>
      </c>
      <c r="C88" s="66">
        <v>448784.68</v>
      </c>
      <c r="D88" s="66">
        <v>0</v>
      </c>
      <c r="E88" s="66">
        <v>0</v>
      </c>
      <c r="F88" s="66">
        <v>878747.70730000001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422366.17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</row>
    <row r="89" spans="1:18" x14ac:dyDescent="0.25">
      <c r="A89" s="65" t="s">
        <v>240</v>
      </c>
      <c r="B89" s="66">
        <v>63876.498899999999</v>
      </c>
      <c r="C89" s="66">
        <v>0</v>
      </c>
      <c r="D89" s="66">
        <v>0</v>
      </c>
      <c r="E89" s="66">
        <v>0</v>
      </c>
      <c r="F89" s="66">
        <v>0</v>
      </c>
      <c r="G89" s="66">
        <v>0</v>
      </c>
      <c r="H89" s="66">
        <v>63876.498899999999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</row>
    <row r="90" spans="1:18" x14ac:dyDescent="0.25">
      <c r="A90" s="65" t="s">
        <v>241</v>
      </c>
      <c r="B90" s="66">
        <v>80000</v>
      </c>
      <c r="C90" s="66">
        <v>0</v>
      </c>
      <c r="D90" s="66">
        <v>0</v>
      </c>
      <c r="E90" s="66">
        <v>112434.0808</v>
      </c>
      <c r="F90" s="66">
        <v>103449.2993</v>
      </c>
      <c r="G90" s="66">
        <v>63571.734900000003</v>
      </c>
      <c r="H90" s="66">
        <v>57992.594899999996</v>
      </c>
      <c r="I90" s="66">
        <v>84100.800499999998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</row>
    <row r="91" spans="1:18" x14ac:dyDescent="0.25">
      <c r="A91" s="65" t="s">
        <v>242</v>
      </c>
      <c r="B91" s="66">
        <v>2568.1403</v>
      </c>
      <c r="C91" s="66">
        <v>0</v>
      </c>
      <c r="D91" s="66">
        <v>2221.4677000000001</v>
      </c>
      <c r="E91" s="66">
        <v>2014.9455</v>
      </c>
      <c r="F91" s="66">
        <v>4530.9337999999998</v>
      </c>
      <c r="G91" s="66">
        <v>2654.0810999999999</v>
      </c>
      <c r="H91" s="66">
        <v>2482.1995999999999</v>
      </c>
      <c r="I91" s="66">
        <v>1534.1513</v>
      </c>
      <c r="J91" s="66">
        <v>0</v>
      </c>
      <c r="K91" s="66">
        <v>0</v>
      </c>
      <c r="L91" s="66">
        <v>0</v>
      </c>
      <c r="M91" s="66">
        <v>0</v>
      </c>
      <c r="N91" s="66">
        <v>1899.8912</v>
      </c>
      <c r="O91" s="66">
        <v>0</v>
      </c>
      <c r="P91" s="66">
        <v>0</v>
      </c>
      <c r="Q91" s="66">
        <v>0</v>
      </c>
      <c r="R91" s="66">
        <v>0</v>
      </c>
    </row>
    <row r="92" spans="1:18" x14ac:dyDescent="0.25">
      <c r="A92" s="65" t="s">
        <v>243</v>
      </c>
      <c r="B92" s="66">
        <v>1899.8912</v>
      </c>
      <c r="C92" s="66">
        <v>0</v>
      </c>
      <c r="D92" s="66">
        <v>2221.4677000000001</v>
      </c>
      <c r="E92" s="66">
        <v>2014.9455</v>
      </c>
      <c r="F92" s="66">
        <v>4530.9337999999998</v>
      </c>
      <c r="G92" s="66">
        <v>2654.0810999999999</v>
      </c>
      <c r="H92" s="66">
        <v>2482.1995999999999</v>
      </c>
      <c r="I92" s="66">
        <v>1534.1513</v>
      </c>
      <c r="J92" s="66">
        <v>0</v>
      </c>
      <c r="K92" s="66">
        <v>0</v>
      </c>
      <c r="L92" s="66">
        <v>0</v>
      </c>
      <c r="M92" s="66">
        <v>0</v>
      </c>
      <c r="N92" s="66"/>
      <c r="O92" s="66">
        <v>0</v>
      </c>
      <c r="P92" s="66">
        <v>0</v>
      </c>
      <c r="Q92" s="66">
        <v>0</v>
      </c>
      <c r="R92" s="66">
        <v>0</v>
      </c>
    </row>
    <row r="93" spans="1:18" x14ac:dyDescent="0.25">
      <c r="A93" s="65" t="s">
        <v>244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</row>
    <row r="94" spans="1:18" x14ac:dyDescent="0.25">
      <c r="A94" s="65" t="s">
        <v>245</v>
      </c>
      <c r="B94" s="66">
        <v>9500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</row>
    <row r="95" spans="1:18" x14ac:dyDescent="0.25">
      <c r="A95" s="65" t="s">
        <v>246</v>
      </c>
      <c r="B95" s="66">
        <v>500</v>
      </c>
      <c r="C95" s="66">
        <v>0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</row>
    <row r="96" spans="1:18" x14ac:dyDescent="0.25">
      <c r="A96" s="65" t="s">
        <v>247</v>
      </c>
      <c r="B96" s="66">
        <v>199.25550000000001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</row>
    <row r="97" spans="1:18" x14ac:dyDescent="0.25">
      <c r="A97" s="65" t="s">
        <v>248</v>
      </c>
      <c r="B97" s="66">
        <v>582.41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spans="1:18" x14ac:dyDescent="0.25">
      <c r="A98" s="65" t="s">
        <v>249</v>
      </c>
      <c r="B98" s="66">
        <v>25.54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</row>
    <row r="99" spans="1:18" x14ac:dyDescent="0.25">
      <c r="A99" s="65" t="s">
        <v>250</v>
      </c>
      <c r="B99" s="66">
        <v>52.79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spans="1:18" x14ac:dyDescent="0.25">
      <c r="A100" s="65" t="s">
        <v>251</v>
      </c>
      <c r="B100" s="66">
        <v>4714.3634000000002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</row>
    <row r="101" spans="1:18" x14ac:dyDescent="0.25">
      <c r="A101" s="65" t="s">
        <v>252</v>
      </c>
      <c r="B101" s="66">
        <v>7128.72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</row>
    <row r="102" spans="1:18" x14ac:dyDescent="0.25">
      <c r="A102" s="65" t="s">
        <v>253</v>
      </c>
      <c r="B102" s="66">
        <v>7080.74</v>
      </c>
      <c r="C102" s="66">
        <v>0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7080.74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</row>
    <row r="103" spans="1:18" x14ac:dyDescent="0.25">
      <c r="A103" s="65" t="s">
        <v>254</v>
      </c>
      <c r="B103" s="66">
        <v>1589.7150999999999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1589.7150999999999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</row>
    <row r="104" spans="1:18" x14ac:dyDescent="0.25">
      <c r="A104" s="65" t="s">
        <v>255</v>
      </c>
      <c r="B104" s="66">
        <v>90000</v>
      </c>
      <c r="C104" s="66">
        <v>0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88147.896999999997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</row>
    <row r="105" spans="1:18" x14ac:dyDescent="0.25">
      <c r="A105" s="65" t="s">
        <v>256</v>
      </c>
      <c r="B105" s="66">
        <v>35000</v>
      </c>
      <c r="C105" s="66">
        <v>0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35000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</row>
    <row r="106" spans="1:18" x14ac:dyDescent="0.25">
      <c r="A106" s="65" t="s">
        <v>257</v>
      </c>
      <c r="B106" s="66">
        <v>30000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</row>
    <row r="107" spans="1:18" x14ac:dyDescent="0.25">
      <c r="A107" s="65" t="s">
        <v>258</v>
      </c>
      <c r="B107" s="66">
        <v>135.6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1:18" x14ac:dyDescent="0.25">
      <c r="A108" s="65" t="s">
        <v>259</v>
      </c>
      <c r="B108" s="66">
        <v>135.6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</row>
    <row r="109" spans="1:18" x14ac:dyDescent="0.25">
      <c r="A109" s="65" t="s">
        <v>260</v>
      </c>
      <c r="B109" s="66">
        <v>19624.543000000001</v>
      </c>
      <c r="C109" s="66">
        <v>0</v>
      </c>
      <c r="D109" s="66">
        <v>0</v>
      </c>
      <c r="E109" s="66">
        <v>0</v>
      </c>
      <c r="F109" s="66">
        <v>0</v>
      </c>
      <c r="G109" s="66">
        <v>19624.543000000001</v>
      </c>
      <c r="H109" s="66">
        <v>19023.598099999999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</row>
    <row r="110" spans="1:18" x14ac:dyDescent="0.25">
      <c r="A110" s="65" t="s">
        <v>261</v>
      </c>
      <c r="B110" s="66">
        <v>92681.78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</row>
    <row r="111" spans="1:18" x14ac:dyDescent="0.25">
      <c r="A111" s="65" t="s">
        <v>262</v>
      </c>
      <c r="B111" s="66">
        <v>11077.3</v>
      </c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</row>
    <row r="112" spans="1:18" x14ac:dyDescent="0.25">
      <c r="A112" s="65" t="s">
        <v>263</v>
      </c>
      <c r="B112" s="66">
        <v>65729.08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</row>
    <row r="113" spans="1:18" x14ac:dyDescent="0.25">
      <c r="A113" s="65" t="s">
        <v>330</v>
      </c>
      <c r="B113" s="66">
        <v>1200.6575</v>
      </c>
      <c r="C113" s="66">
        <v>0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1200.6575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</row>
    <row r="114" spans="1:18" x14ac:dyDescent="0.25">
      <c r="A114" s="65" t="s">
        <v>331</v>
      </c>
      <c r="B114" s="66">
        <v>929.33330000000001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1:18" x14ac:dyDescent="0.25">
      <c r="A115" s="65" t="s">
        <v>343</v>
      </c>
      <c r="B115" s="66">
        <v>12.8893</v>
      </c>
      <c r="C115" s="66">
        <v>0</v>
      </c>
      <c r="D115" s="66">
        <v>8.5052000000000003</v>
      </c>
      <c r="E115" s="66">
        <v>5.0438000000000001</v>
      </c>
      <c r="F115" s="66">
        <v>7.4629000000000003</v>
      </c>
      <c r="G115" s="66">
        <v>12.8893</v>
      </c>
      <c r="H115" s="66">
        <v>9.2315000000000005</v>
      </c>
      <c r="I115" s="66">
        <v>1.9762999999999999</v>
      </c>
      <c r="J115" s="66">
        <v>9.7203999999999997</v>
      </c>
      <c r="K115" s="66">
        <v>0</v>
      </c>
      <c r="L115" s="66">
        <v>3.3685999999999998</v>
      </c>
      <c r="M115" s="66">
        <v>0</v>
      </c>
      <c r="N115" s="66">
        <v>0</v>
      </c>
      <c r="O115" s="66">
        <v>4.6909000000000001</v>
      </c>
      <c r="P115" s="66">
        <v>0</v>
      </c>
      <c r="Q115" s="66">
        <v>3.8418000000000001</v>
      </c>
      <c r="R115" s="66">
        <v>0</v>
      </c>
    </row>
    <row r="116" spans="1:18" x14ac:dyDescent="0.25">
      <c r="A116" s="65" t="s">
        <v>344</v>
      </c>
      <c r="B116" s="66">
        <v>81</v>
      </c>
      <c r="C116" s="66">
        <v>0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</row>
    <row r="117" spans="1:18" x14ac:dyDescent="0.25">
      <c r="B117"/>
      <c r="C117"/>
      <c r="D117"/>
      <c r="E117"/>
      <c r="F117"/>
      <c r="G117"/>
      <c r="H117"/>
      <c r="I117"/>
      <c r="J117"/>
    </row>
    <row r="118" spans="1:18" x14ac:dyDescent="0.25">
      <c r="B118"/>
      <c r="C118"/>
      <c r="D118"/>
      <c r="E118"/>
      <c r="F118"/>
      <c r="G118"/>
      <c r="H118"/>
      <c r="I118"/>
      <c r="J118"/>
    </row>
    <row r="119" spans="1:18" x14ac:dyDescent="0.25">
      <c r="B119"/>
      <c r="C119"/>
      <c r="D119"/>
      <c r="E119"/>
      <c r="F119"/>
      <c r="G119"/>
      <c r="H119"/>
      <c r="I119"/>
      <c r="J119"/>
    </row>
    <row r="120" spans="1:18" x14ac:dyDescent="0.25">
      <c r="B120"/>
      <c r="C120"/>
      <c r="D120"/>
      <c r="E120"/>
      <c r="F120"/>
      <c r="G120"/>
      <c r="H120"/>
      <c r="I120"/>
      <c r="J120"/>
    </row>
    <row r="121" spans="1:18" x14ac:dyDescent="0.25">
      <c r="B121"/>
      <c r="C121"/>
      <c r="D121"/>
      <c r="E121"/>
      <c r="F121"/>
      <c r="G121"/>
      <c r="H121"/>
      <c r="I121"/>
      <c r="J121"/>
    </row>
    <row r="122" spans="1:18" x14ac:dyDescent="0.25">
      <c r="B122"/>
      <c r="C122"/>
      <c r="D122"/>
      <c r="E122"/>
      <c r="F122"/>
      <c r="G122"/>
      <c r="H122"/>
      <c r="I122"/>
      <c r="J122"/>
    </row>
    <row r="123" spans="1:18" x14ac:dyDescent="0.25">
      <c r="B123"/>
      <c r="C123"/>
      <c r="D123"/>
      <c r="E123"/>
      <c r="F123"/>
      <c r="G123"/>
      <c r="H123"/>
      <c r="I123"/>
      <c r="J123"/>
    </row>
    <row r="141" spans="1:2" x14ac:dyDescent="0.25">
      <c r="A141" s="64" t="s">
        <v>54</v>
      </c>
      <c r="B141" s="66" t="s">
        <v>68</v>
      </c>
    </row>
    <row r="142" spans="1:2" x14ac:dyDescent="0.25">
      <c r="A142" s="65" t="s">
        <v>120</v>
      </c>
      <c r="B142" s="66">
        <v>2</v>
      </c>
    </row>
    <row r="143" spans="1:2" x14ac:dyDescent="0.25">
      <c r="A143" s="65" t="s">
        <v>66</v>
      </c>
      <c r="B143" s="66">
        <v>7</v>
      </c>
    </row>
    <row r="144" spans="1:2" x14ac:dyDescent="0.25">
      <c r="A144" s="65" t="s">
        <v>67</v>
      </c>
      <c r="B144" s="66">
        <v>6</v>
      </c>
    </row>
    <row r="145" spans="1:2" x14ac:dyDescent="0.25">
      <c r="A145" s="65" t="s">
        <v>92</v>
      </c>
      <c r="B145" s="66">
        <v>8</v>
      </c>
    </row>
    <row r="146" spans="1:2" x14ac:dyDescent="0.25">
      <c r="A146" s="65" t="s">
        <v>93</v>
      </c>
      <c r="B146" s="66">
        <v>5</v>
      </c>
    </row>
    <row r="147" spans="1:2" x14ac:dyDescent="0.25">
      <c r="A147" s="65" t="s">
        <v>94</v>
      </c>
      <c r="B147" s="66">
        <v>4</v>
      </c>
    </row>
    <row r="148" spans="1:2" x14ac:dyDescent="0.25">
      <c r="A148" s="65" t="s">
        <v>107</v>
      </c>
      <c r="B148" s="66">
        <v>3</v>
      </c>
    </row>
    <row r="149" spans="1:2" x14ac:dyDescent="0.25">
      <c r="A149" s="65" t="s">
        <v>108</v>
      </c>
      <c r="B149" s="66">
        <v>9</v>
      </c>
    </row>
    <row r="150" spans="1:2" x14ac:dyDescent="0.25">
      <c r="A150" s="65" t="s">
        <v>159</v>
      </c>
      <c r="B150" s="66">
        <v>10</v>
      </c>
    </row>
    <row r="151" spans="1:2" x14ac:dyDescent="0.25">
      <c r="A151" s="65" t="s">
        <v>160</v>
      </c>
      <c r="B151" s="66">
        <v>11</v>
      </c>
    </row>
    <row r="152" spans="1:2" x14ac:dyDescent="0.25">
      <c r="A152" s="65" t="s">
        <v>161</v>
      </c>
      <c r="B152" s="66">
        <v>12</v>
      </c>
    </row>
    <row r="153" spans="1:2" x14ac:dyDescent="0.25">
      <c r="A153" s="65" t="s">
        <v>173</v>
      </c>
      <c r="B153" s="66">
        <v>13</v>
      </c>
    </row>
    <row r="154" spans="1:2" x14ac:dyDescent="0.25">
      <c r="A154" s="65" t="s">
        <v>174</v>
      </c>
      <c r="B154" s="66">
        <v>14</v>
      </c>
    </row>
    <row r="155" spans="1:2" x14ac:dyDescent="0.25">
      <c r="A155" s="65" t="s">
        <v>175</v>
      </c>
      <c r="B155" s="66">
        <v>15</v>
      </c>
    </row>
    <row r="156" spans="1:2" x14ac:dyDescent="0.25">
      <c r="A156" s="65" t="s">
        <v>176</v>
      </c>
      <c r="B156" s="66">
        <v>16</v>
      </c>
    </row>
    <row r="157" spans="1:2" x14ac:dyDescent="0.25">
      <c r="A157" s="65" t="s">
        <v>177</v>
      </c>
      <c r="B157" s="66">
        <v>17</v>
      </c>
    </row>
    <row r="158" spans="1:2" x14ac:dyDescent="0.25">
      <c r="A158" s="65" t="s">
        <v>178</v>
      </c>
      <c r="B158" s="66">
        <v>18</v>
      </c>
    </row>
    <row r="159" spans="1:2" x14ac:dyDescent="0.25">
      <c r="A159" s="65" t="s">
        <v>53</v>
      </c>
      <c r="B159" s="66">
        <v>170</v>
      </c>
    </row>
    <row r="160" spans="1:2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99"/>
  <sheetViews>
    <sheetView showGridLines="0" topLeftCell="A10" zoomScaleNormal="100" workbookViewId="0">
      <selection activeCell="F36" sqref="F36"/>
    </sheetView>
  </sheetViews>
  <sheetFormatPr defaultColWidth="9.140625" defaultRowHeight="11.25" x14ac:dyDescent="0.25"/>
  <cols>
    <col min="1" max="1" width="3.140625" style="2" customWidth="1"/>
    <col min="2" max="2" width="50" style="1" bestFit="1" customWidth="1"/>
    <col min="3" max="3" width="11.7109375" style="45" customWidth="1"/>
    <col min="4" max="4" width="9.140625" style="43"/>
    <col min="5" max="5" width="10.7109375" style="43" customWidth="1"/>
    <col min="6" max="6" width="20.7109375" style="43" bestFit="1" customWidth="1"/>
    <col min="7" max="7" width="8.7109375" style="43" bestFit="1" customWidth="1"/>
    <col min="8" max="8" width="16.85546875" style="43" customWidth="1"/>
    <col min="9" max="9" width="16.5703125" style="43" customWidth="1"/>
    <col min="10" max="10" width="10" style="43" bestFit="1" customWidth="1"/>
    <col min="11" max="11" width="9.140625" style="43"/>
    <col min="12" max="12" width="10" style="43" bestFit="1" customWidth="1"/>
    <col min="13" max="15" width="9.140625" style="43"/>
    <col min="16" max="16384" width="9.140625" style="2"/>
  </cols>
  <sheetData>
    <row r="2" spans="2:8" ht="18" customHeight="1" x14ac:dyDescent="0.25">
      <c r="B2" s="168" t="s">
        <v>337</v>
      </c>
      <c r="C2" s="169"/>
      <c r="F2" s="168" t="s">
        <v>212</v>
      </c>
      <c r="G2" s="169"/>
    </row>
    <row r="3" spans="2:8" x14ac:dyDescent="0.25">
      <c r="B3" s="170" t="str">
        <f>CONCATENATE(C6," LOTES - ",B2)</f>
        <v xml:space="preserve">313 LOTES - CONDOMÍNIO FLORAIS MADRI </v>
      </c>
      <c r="C3" s="170"/>
      <c r="F3" s="170" t="str">
        <f>CONCATENATE(G6," LOTES - ",F2)</f>
        <v xml:space="preserve"> LOTES - COMERCIAL</v>
      </c>
      <c r="G3" s="170"/>
    </row>
    <row r="4" spans="2:8" x14ac:dyDescent="0.25">
      <c r="F4" s="1"/>
      <c r="G4" s="45"/>
    </row>
    <row r="5" spans="2:8" ht="12.75" x14ac:dyDescent="0.25">
      <c r="B5" s="171" t="s">
        <v>5</v>
      </c>
      <c r="C5" s="171"/>
      <c r="F5" s="171" t="s">
        <v>5</v>
      </c>
      <c r="G5" s="171"/>
    </row>
    <row r="6" spans="2:8" x14ac:dyDescent="0.25">
      <c r="B6" s="3" t="s">
        <v>0</v>
      </c>
      <c r="C6" s="112">
        <v>313</v>
      </c>
      <c r="D6" s="43" t="s">
        <v>1</v>
      </c>
      <c r="F6" s="124" t="s">
        <v>0</v>
      </c>
      <c r="G6" s="112"/>
      <c r="H6" s="43" t="s">
        <v>1</v>
      </c>
    </row>
    <row r="7" spans="2:8" x14ac:dyDescent="0.25">
      <c r="B7" s="39" t="s">
        <v>6</v>
      </c>
      <c r="C7" s="44">
        <v>151487.12</v>
      </c>
      <c r="D7" s="43" t="s">
        <v>2</v>
      </c>
      <c r="F7" s="39" t="s">
        <v>6</v>
      </c>
      <c r="G7" s="93">
        <v>0</v>
      </c>
      <c r="H7" s="43" t="s">
        <v>2</v>
      </c>
    </row>
    <row r="8" spans="2:8" x14ac:dyDescent="0.25">
      <c r="B8" s="3" t="s">
        <v>7</v>
      </c>
      <c r="C8" s="44">
        <v>80171.67</v>
      </c>
      <c r="D8" s="43" t="s">
        <v>2</v>
      </c>
      <c r="F8" s="124" t="s">
        <v>7</v>
      </c>
      <c r="G8" s="93">
        <v>0</v>
      </c>
      <c r="H8" s="43" t="s">
        <v>2</v>
      </c>
    </row>
    <row r="9" spans="2:8" x14ac:dyDescent="0.25">
      <c r="B9" s="3" t="s">
        <v>25</v>
      </c>
      <c r="C9" s="44">
        <v>30</v>
      </c>
      <c r="D9" s="43" t="s">
        <v>18</v>
      </c>
      <c r="F9" s="124" t="s">
        <v>25</v>
      </c>
      <c r="G9" s="93">
        <v>12</v>
      </c>
      <c r="H9" s="43" t="s">
        <v>18</v>
      </c>
    </row>
    <row r="10" spans="2:8" x14ac:dyDescent="0.25">
      <c r="B10" s="17" t="s">
        <v>125</v>
      </c>
      <c r="C10" s="44">
        <v>3</v>
      </c>
      <c r="D10" s="43" t="s">
        <v>18</v>
      </c>
      <c r="F10" s="124" t="s">
        <v>125</v>
      </c>
      <c r="G10" s="93">
        <v>3</v>
      </c>
      <c r="H10" s="43" t="s">
        <v>18</v>
      </c>
    </row>
    <row r="12" spans="2:8" x14ac:dyDescent="0.25">
      <c r="B12" s="173" t="s">
        <v>13</v>
      </c>
      <c r="C12" s="44"/>
      <c r="D12" s="43" t="s">
        <v>15</v>
      </c>
    </row>
    <row r="13" spans="2:8" x14ac:dyDescent="0.25">
      <c r="B13" s="173"/>
      <c r="C13" s="44">
        <v>500</v>
      </c>
      <c r="D13" s="43" t="s">
        <v>3</v>
      </c>
    </row>
    <row r="14" spans="2:8" x14ac:dyDescent="0.25">
      <c r="B14" s="173" t="s">
        <v>14</v>
      </c>
      <c r="C14" s="44"/>
      <c r="D14" s="43" t="s">
        <v>15</v>
      </c>
    </row>
    <row r="15" spans="2:8" x14ac:dyDescent="0.25">
      <c r="B15" s="173"/>
      <c r="C15" s="44">
        <v>500</v>
      </c>
      <c r="D15" s="43" t="s">
        <v>3</v>
      </c>
    </row>
    <row r="16" spans="2:8" x14ac:dyDescent="0.25">
      <c r="B16" s="128" t="s">
        <v>264</v>
      </c>
      <c r="C16" s="93">
        <v>0</v>
      </c>
    </row>
    <row r="17" spans="2:12" x14ac:dyDescent="0.25">
      <c r="B17" s="115" t="s">
        <v>199</v>
      </c>
      <c r="C17" s="93">
        <v>0</v>
      </c>
      <c r="D17" s="43" t="s">
        <v>16</v>
      </c>
    </row>
    <row r="18" spans="2:12" x14ac:dyDescent="0.25">
      <c r="B18" s="2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12.75" x14ac:dyDescent="0.25">
      <c r="B19" s="174" t="s">
        <v>143</v>
      </c>
      <c r="C19" s="174"/>
      <c r="D19" s="46"/>
      <c r="E19" s="45"/>
      <c r="F19" s="45"/>
      <c r="G19" s="45"/>
      <c r="H19" s="45"/>
      <c r="I19" s="45"/>
      <c r="J19" s="45"/>
      <c r="K19" s="45"/>
      <c r="L19" s="45"/>
    </row>
    <row r="20" spans="2:12" x14ac:dyDescent="0.25">
      <c r="B20" s="107" t="s">
        <v>123</v>
      </c>
      <c r="C20" s="93"/>
      <c r="D20" s="46" t="s">
        <v>2</v>
      </c>
      <c r="E20" s="47">
        <f>C20/2</f>
        <v>0</v>
      </c>
      <c r="F20" s="47">
        <f>E20*0.2</f>
        <v>0</v>
      </c>
      <c r="G20" s="45"/>
      <c r="H20" s="45">
        <f>C20*0.4</f>
        <v>0</v>
      </c>
      <c r="I20" s="45">
        <f>SUM(H20,F20)*1.25</f>
        <v>0</v>
      </c>
      <c r="J20" s="45">
        <f>I20*1.6*10</f>
        <v>0</v>
      </c>
      <c r="K20" s="45"/>
      <c r="L20" s="45"/>
    </row>
    <row r="21" spans="2:12" x14ac:dyDescent="0.25">
      <c r="B21" s="107" t="s">
        <v>8</v>
      </c>
      <c r="C21" s="93"/>
      <c r="D21" s="46" t="s">
        <v>2</v>
      </c>
      <c r="E21" s="47">
        <f>C21*0.035</f>
        <v>0</v>
      </c>
      <c r="F21" s="47">
        <f>E21*2.45*5</f>
        <v>0</v>
      </c>
      <c r="G21" s="45"/>
      <c r="H21" s="45"/>
      <c r="I21" s="45"/>
      <c r="J21" s="45"/>
      <c r="K21" s="45"/>
      <c r="L21" s="45"/>
    </row>
    <row r="22" spans="2:12" x14ac:dyDescent="0.25">
      <c r="B22" s="107" t="s">
        <v>10</v>
      </c>
      <c r="C22" s="48">
        <f>C23*1.05</f>
        <v>0</v>
      </c>
      <c r="D22" s="46" t="s">
        <v>3</v>
      </c>
      <c r="E22" s="45"/>
      <c r="F22" s="45"/>
      <c r="G22" s="45"/>
      <c r="H22" s="45"/>
      <c r="I22" s="45"/>
      <c r="J22" s="45"/>
      <c r="K22" s="45"/>
      <c r="L22" s="45"/>
    </row>
    <row r="23" spans="2:12" x14ac:dyDescent="0.25">
      <c r="B23" s="107" t="s">
        <v>11</v>
      </c>
      <c r="C23" s="93"/>
      <c r="D23" s="43" t="s">
        <v>3</v>
      </c>
    </row>
    <row r="24" spans="2:12" x14ac:dyDescent="0.25">
      <c r="B24" s="124" t="s">
        <v>17</v>
      </c>
      <c r="C24" s="93"/>
      <c r="D24" s="43" t="s">
        <v>18</v>
      </c>
    </row>
    <row r="25" spans="2:12" x14ac:dyDescent="0.25">
      <c r="B25" s="107" t="s">
        <v>213</v>
      </c>
      <c r="C25" s="50">
        <f>E25*G25</f>
        <v>0</v>
      </c>
      <c r="D25" s="43" t="s">
        <v>2</v>
      </c>
      <c r="E25" s="51"/>
      <c r="F25" s="43" t="s">
        <v>124</v>
      </c>
      <c r="G25" s="52">
        <v>1.5</v>
      </c>
      <c r="H25" s="43" t="s">
        <v>4</v>
      </c>
      <c r="I25" s="43">
        <f>C22*E25</f>
        <v>0</v>
      </c>
    </row>
    <row r="26" spans="2:12" x14ac:dyDescent="0.25">
      <c r="B26" s="107" t="s">
        <v>147</v>
      </c>
      <c r="C26" s="93"/>
      <c r="D26" s="43" t="s">
        <v>3</v>
      </c>
    </row>
    <row r="27" spans="2:12" x14ac:dyDescent="0.25">
      <c r="B27" s="107" t="s">
        <v>145</v>
      </c>
      <c r="C27" s="50">
        <v>0</v>
      </c>
      <c r="D27" s="43" t="s">
        <v>3</v>
      </c>
    </row>
    <row r="28" spans="2:12" x14ac:dyDescent="0.25">
      <c r="B28" s="107" t="s">
        <v>138</v>
      </c>
      <c r="C28" s="93"/>
      <c r="D28" s="43" t="s">
        <v>2</v>
      </c>
      <c r="E28" s="51">
        <v>0</v>
      </c>
      <c r="F28" s="43" t="s">
        <v>146</v>
      </c>
    </row>
    <row r="29" spans="2:12" x14ac:dyDescent="0.25">
      <c r="B29" s="43"/>
      <c r="C29" s="43"/>
    </row>
    <row r="30" spans="2:12" ht="12.75" x14ac:dyDescent="0.25">
      <c r="B30" s="174" t="s">
        <v>144</v>
      </c>
      <c r="C30" s="174"/>
    </row>
    <row r="31" spans="2:12" x14ac:dyDescent="0.25">
      <c r="B31" s="3" t="s">
        <v>123</v>
      </c>
      <c r="C31" s="93">
        <v>28429.85</v>
      </c>
      <c r="D31" s="46" t="s">
        <v>2</v>
      </c>
      <c r="E31" s="47">
        <f>C31/2</f>
        <v>14214.924999999999</v>
      </c>
      <c r="F31" s="47">
        <f>E31*0.2</f>
        <v>2842.9850000000001</v>
      </c>
      <c r="G31" s="45"/>
      <c r="H31" s="45">
        <f>C31*0.4</f>
        <v>11371.94</v>
      </c>
      <c r="I31" s="45">
        <f>SUM(H31,F31)*1.25</f>
        <v>17768.65625</v>
      </c>
      <c r="J31" s="45">
        <f>I31*1.6*20</f>
        <v>568597</v>
      </c>
      <c r="K31" s="45"/>
      <c r="L31" s="45"/>
    </row>
    <row r="32" spans="2:12" x14ac:dyDescent="0.25">
      <c r="B32" s="17" t="s">
        <v>8</v>
      </c>
      <c r="C32" s="93">
        <v>22473.48</v>
      </c>
      <c r="D32" s="46" t="s">
        <v>2</v>
      </c>
      <c r="E32" s="47">
        <f>C32*0.035</f>
        <v>786.57180000000005</v>
      </c>
      <c r="F32" s="47">
        <f>E32*2.45*20</f>
        <v>38542.018200000006</v>
      </c>
      <c r="G32" s="45"/>
      <c r="H32" s="45"/>
      <c r="I32" s="45"/>
      <c r="K32" s="45"/>
      <c r="L32" s="45"/>
    </row>
    <row r="33" spans="2:15" x14ac:dyDescent="0.25">
      <c r="B33" s="3" t="s">
        <v>10</v>
      </c>
      <c r="C33" s="48">
        <f>C34*1.05</f>
        <v>6590.01</v>
      </c>
      <c r="D33" s="46" t="s">
        <v>3</v>
      </c>
      <c r="E33" s="45"/>
      <c r="F33" s="45"/>
      <c r="G33" s="45"/>
      <c r="H33" s="45"/>
      <c r="I33" s="45"/>
      <c r="K33" s="45"/>
      <c r="L33" s="45"/>
    </row>
    <row r="34" spans="2:15" x14ac:dyDescent="0.25">
      <c r="B34" s="3" t="s">
        <v>11</v>
      </c>
      <c r="C34" s="44">
        <v>6276.2</v>
      </c>
      <c r="D34" s="43" t="s">
        <v>3</v>
      </c>
    </row>
    <row r="35" spans="2:15" x14ac:dyDescent="0.25">
      <c r="B35" s="3" t="s">
        <v>17</v>
      </c>
      <c r="C35" s="44">
        <v>12</v>
      </c>
      <c r="D35" s="43" t="s">
        <v>18</v>
      </c>
    </row>
    <row r="36" spans="2:15" s="20" customFormat="1" x14ac:dyDescent="0.25">
      <c r="B36" s="128" t="s">
        <v>265</v>
      </c>
      <c r="C36" s="93"/>
      <c r="D36" s="43" t="s">
        <v>3</v>
      </c>
      <c r="E36" s="43"/>
      <c r="F36" s="43"/>
      <c r="G36" s="49"/>
      <c r="H36" s="49"/>
      <c r="I36" s="49"/>
      <c r="J36" s="49"/>
      <c r="K36" s="49"/>
      <c r="L36" s="49"/>
      <c r="M36" s="49"/>
      <c r="N36" s="49"/>
      <c r="O36" s="49"/>
    </row>
    <row r="37" spans="2:15" s="20" customFormat="1" x14ac:dyDescent="0.25">
      <c r="B37" s="132" t="s">
        <v>329</v>
      </c>
      <c r="C37" s="112">
        <v>85</v>
      </c>
      <c r="D37" s="43" t="s">
        <v>2</v>
      </c>
      <c r="E37" s="43"/>
      <c r="F37" s="43"/>
      <c r="G37" s="49"/>
      <c r="H37" s="49"/>
      <c r="I37" s="49"/>
      <c r="J37" s="49"/>
      <c r="K37" s="49"/>
      <c r="L37" s="49"/>
      <c r="M37" s="49"/>
      <c r="N37" s="49"/>
      <c r="O37" s="49"/>
    </row>
    <row r="38" spans="2:15" x14ac:dyDescent="0.25">
      <c r="B38" s="2"/>
    </row>
    <row r="39" spans="2:15" x14ac:dyDescent="0.25">
      <c r="B39" s="5" t="s">
        <v>230</v>
      </c>
      <c r="C39" s="93">
        <v>1450.07</v>
      </c>
      <c r="D39" s="43" t="s">
        <v>3</v>
      </c>
    </row>
    <row r="40" spans="2:15" x14ac:dyDescent="0.25">
      <c r="B40" s="125" t="s">
        <v>231</v>
      </c>
      <c r="C40" s="93"/>
    </row>
    <row r="41" spans="2:15" x14ac:dyDescent="0.25">
      <c r="B41" s="5" t="s">
        <v>126</v>
      </c>
      <c r="C41" s="50">
        <f>E41*2.7</f>
        <v>702.62100000000009</v>
      </c>
      <c r="D41" s="43" t="s">
        <v>2</v>
      </c>
      <c r="E41" s="93">
        <v>260.23</v>
      </c>
      <c r="F41" s="43" t="s">
        <v>3</v>
      </c>
    </row>
    <row r="42" spans="2:15" s="20" customFormat="1" x14ac:dyDescent="0.25"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2:15" s="20" customFormat="1" x14ac:dyDescent="0.25">
      <c r="B43" s="124" t="s">
        <v>210</v>
      </c>
      <c r="C43" s="93"/>
      <c r="D43" s="43" t="s">
        <v>3</v>
      </c>
      <c r="E43" s="43"/>
      <c r="F43" s="43"/>
      <c r="G43" s="49"/>
      <c r="H43" s="49"/>
      <c r="I43" s="49"/>
      <c r="J43" s="49"/>
      <c r="K43" s="49"/>
      <c r="L43" s="49"/>
      <c r="M43" s="49"/>
      <c r="N43" s="49"/>
      <c r="O43" s="49"/>
    </row>
    <row r="44" spans="2:15" s="20" customFormat="1" x14ac:dyDescent="0.25">
      <c r="B44" s="124" t="s">
        <v>211</v>
      </c>
      <c r="C44" s="93"/>
      <c r="D44" s="43" t="s">
        <v>3</v>
      </c>
      <c r="E44" s="43"/>
      <c r="F44" s="43"/>
      <c r="G44" s="49"/>
      <c r="H44" s="49"/>
      <c r="I44" s="49"/>
      <c r="J44" s="49"/>
      <c r="K44" s="49"/>
      <c r="L44" s="49"/>
      <c r="M44" s="49"/>
      <c r="N44" s="49"/>
      <c r="O44" s="49"/>
    </row>
    <row r="45" spans="2:15" s="20" customFormat="1" x14ac:dyDescent="0.25"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2:15" x14ac:dyDescent="0.25">
      <c r="B46" s="5" t="s">
        <v>9</v>
      </c>
      <c r="C46" s="50">
        <f>E46*G46</f>
        <v>44370.720000000001</v>
      </c>
      <c r="D46" s="43" t="s">
        <v>2</v>
      </c>
      <c r="E46" s="51">
        <v>29580.48</v>
      </c>
      <c r="F46" s="43" t="s">
        <v>124</v>
      </c>
      <c r="G46" s="52">
        <v>1.5</v>
      </c>
      <c r="H46" s="43" t="s">
        <v>4</v>
      </c>
    </row>
    <row r="47" spans="2:15" x14ac:dyDescent="0.25">
      <c r="B47" s="125" t="s">
        <v>28</v>
      </c>
      <c r="C47" s="50">
        <f>C8</f>
        <v>80171.67</v>
      </c>
      <c r="D47" s="43" t="s">
        <v>2</v>
      </c>
    </row>
    <row r="48" spans="2:15" x14ac:dyDescent="0.25">
      <c r="B48" s="63" t="s">
        <v>233</v>
      </c>
      <c r="C48" s="48">
        <f>C7</f>
        <v>151487.12</v>
      </c>
      <c r="D48" s="43" t="s">
        <v>2</v>
      </c>
      <c r="E48" s="51"/>
      <c r="F48" s="43" t="s">
        <v>234</v>
      </c>
    </row>
    <row r="49" spans="2:15" x14ac:dyDescent="0.25">
      <c r="B49" s="2"/>
    </row>
    <row r="50" spans="2:15" ht="12.75" x14ac:dyDescent="0.25">
      <c r="B50" s="171" t="s">
        <v>20</v>
      </c>
      <c r="C50" s="171"/>
    </row>
    <row r="51" spans="2:15" x14ac:dyDescent="0.25">
      <c r="B51" s="3" t="s">
        <v>21</v>
      </c>
      <c r="C51" s="93"/>
      <c r="D51" s="43" t="s">
        <v>16</v>
      </c>
    </row>
    <row r="52" spans="2:15" x14ac:dyDescent="0.25">
      <c r="B52" s="115" t="s">
        <v>184</v>
      </c>
      <c r="C52" s="93"/>
      <c r="D52" s="43" t="s">
        <v>16</v>
      </c>
      <c r="F52" s="2"/>
      <c r="O52" s="2"/>
    </row>
    <row r="53" spans="2:15" x14ac:dyDescent="0.25">
      <c r="B53" s="3" t="s">
        <v>23</v>
      </c>
      <c r="C53" s="93"/>
      <c r="D53" s="43" t="s">
        <v>16</v>
      </c>
      <c r="F53" s="2"/>
      <c r="O53" s="2"/>
    </row>
    <row r="54" spans="2:15" x14ac:dyDescent="0.25">
      <c r="B54" s="115" t="s">
        <v>202</v>
      </c>
      <c r="C54" s="93"/>
      <c r="D54" s="43" t="s">
        <v>16</v>
      </c>
      <c r="O54" s="2"/>
    </row>
    <row r="55" spans="2:15" x14ac:dyDescent="0.25">
      <c r="B55" s="3" t="s">
        <v>22</v>
      </c>
      <c r="C55" s="93"/>
      <c r="D55" s="43" t="s">
        <v>16</v>
      </c>
      <c r="O55" s="2"/>
    </row>
    <row r="56" spans="2:15" x14ac:dyDescent="0.25">
      <c r="B56" s="3" t="s">
        <v>24</v>
      </c>
      <c r="C56" s="48">
        <f>SUM(C51:C55)</f>
        <v>0</v>
      </c>
      <c r="D56" s="43" t="s">
        <v>16</v>
      </c>
      <c r="O56" s="2"/>
    </row>
    <row r="57" spans="2:15" x14ac:dyDescent="0.25">
      <c r="B57" s="4"/>
      <c r="C57" s="53"/>
      <c r="D57" s="53"/>
      <c r="E57" s="53"/>
      <c r="O57" s="2"/>
    </row>
    <row r="58" spans="2:15" ht="12.75" x14ac:dyDescent="0.25">
      <c r="B58" s="171" t="s">
        <v>27</v>
      </c>
      <c r="C58" s="171"/>
      <c r="D58" s="53"/>
      <c r="E58" s="53"/>
      <c r="O58" s="2"/>
    </row>
    <row r="59" spans="2:15" x14ac:dyDescent="0.25">
      <c r="B59" s="63" t="s">
        <v>220</v>
      </c>
      <c r="C59" s="120">
        <v>22.42</v>
      </c>
      <c r="D59" s="43" t="s">
        <v>3</v>
      </c>
      <c r="E59" s="53"/>
      <c r="O59" s="2"/>
    </row>
    <row r="60" spans="2:15" x14ac:dyDescent="0.25">
      <c r="B60" s="63" t="s">
        <v>221</v>
      </c>
      <c r="C60" s="120">
        <v>2</v>
      </c>
      <c r="D60" s="43" t="s">
        <v>16</v>
      </c>
      <c r="E60" s="53"/>
      <c r="O60" s="2"/>
    </row>
    <row r="61" spans="2:15" x14ac:dyDescent="0.25">
      <c r="B61" s="115" t="s">
        <v>214</v>
      </c>
      <c r="C61" s="120"/>
      <c r="D61" s="43" t="s">
        <v>16</v>
      </c>
      <c r="E61" s="53"/>
      <c r="O61" s="2"/>
    </row>
    <row r="62" spans="2:15" x14ac:dyDescent="0.25">
      <c r="B62" s="63" t="s">
        <v>219</v>
      </c>
      <c r="C62" s="120"/>
      <c r="D62" s="43" t="s">
        <v>16</v>
      </c>
      <c r="E62" s="53"/>
      <c r="O62" s="2"/>
    </row>
    <row r="63" spans="2:15" x14ac:dyDescent="0.25">
      <c r="B63" s="63" t="s">
        <v>222</v>
      </c>
      <c r="C63" s="120"/>
      <c r="D63" s="43" t="s">
        <v>16</v>
      </c>
      <c r="E63" s="53"/>
      <c r="O63" s="2"/>
    </row>
    <row r="64" spans="2:15" x14ac:dyDescent="0.25">
      <c r="B64" s="3" t="s">
        <v>223</v>
      </c>
      <c r="C64" s="120"/>
      <c r="D64" s="43" t="s">
        <v>16</v>
      </c>
      <c r="E64" s="53"/>
      <c r="O64" s="2"/>
    </row>
    <row r="65" spans="2:15" x14ac:dyDescent="0.25">
      <c r="B65" s="124" t="s">
        <v>224</v>
      </c>
      <c r="C65" s="120">
        <v>53</v>
      </c>
      <c r="D65" s="43" t="s">
        <v>16</v>
      </c>
      <c r="E65" s="53"/>
      <c r="O65" s="2"/>
    </row>
    <row r="66" spans="2:15" x14ac:dyDescent="0.25">
      <c r="B66" s="111" t="s">
        <v>164</v>
      </c>
      <c r="C66" s="120">
        <v>18</v>
      </c>
      <c r="D66" s="43" t="s">
        <v>16</v>
      </c>
      <c r="E66" s="53"/>
      <c r="O66" s="2"/>
    </row>
    <row r="67" spans="2:15" x14ac:dyDescent="0.25">
      <c r="B67" s="63" t="s">
        <v>218</v>
      </c>
      <c r="C67" s="120">
        <v>1</v>
      </c>
      <c r="D67" s="43" t="s">
        <v>16</v>
      </c>
      <c r="E67" s="53"/>
      <c r="O67" s="2"/>
    </row>
    <row r="68" spans="2:15" x14ac:dyDescent="0.25">
      <c r="B68" s="63" t="s">
        <v>217</v>
      </c>
      <c r="C68" s="120"/>
      <c r="D68" s="43" t="s">
        <v>16</v>
      </c>
      <c r="E68" s="53"/>
      <c r="O68" s="2"/>
    </row>
    <row r="69" spans="2:15" x14ac:dyDescent="0.25">
      <c r="B69" s="63" t="s">
        <v>216</v>
      </c>
      <c r="C69" s="120"/>
      <c r="D69" s="43" t="s">
        <v>16</v>
      </c>
      <c r="E69" s="53"/>
      <c r="O69" s="2"/>
    </row>
    <row r="70" spans="2:15" x14ac:dyDescent="0.25">
      <c r="B70" s="3" t="s">
        <v>26</v>
      </c>
      <c r="C70" s="120">
        <v>256.62</v>
      </c>
      <c r="D70" s="43" t="s">
        <v>2</v>
      </c>
      <c r="E70" s="53"/>
      <c r="O70" s="2"/>
    </row>
    <row r="71" spans="2:15" x14ac:dyDescent="0.25">
      <c r="B71" s="5" t="s">
        <v>84</v>
      </c>
      <c r="C71" s="120">
        <v>3587.62</v>
      </c>
      <c r="D71" s="43" t="s">
        <v>2</v>
      </c>
      <c r="E71" s="126" t="s">
        <v>232</v>
      </c>
      <c r="O71" s="2"/>
    </row>
    <row r="72" spans="2:15" x14ac:dyDescent="0.25">
      <c r="B72" s="125" t="s">
        <v>267</v>
      </c>
      <c r="C72" s="120"/>
      <c r="D72" s="43" t="s">
        <v>2</v>
      </c>
      <c r="E72" s="45"/>
      <c r="O72" s="2"/>
    </row>
    <row r="73" spans="2:15" x14ac:dyDescent="0.25">
      <c r="B73" s="113" t="s">
        <v>266</v>
      </c>
      <c r="C73" s="120">
        <f>341.19+312.17</f>
        <v>653.36</v>
      </c>
      <c r="D73" s="43" t="s">
        <v>2</v>
      </c>
      <c r="E73" s="45"/>
      <c r="O73" s="2"/>
    </row>
    <row r="74" spans="2:15" x14ac:dyDescent="0.25">
      <c r="B74" s="167" t="s">
        <v>345</v>
      </c>
      <c r="C74" s="120">
        <f>1337.53</f>
        <v>1337.53</v>
      </c>
      <c r="D74" s="43" t="s">
        <v>2</v>
      </c>
      <c r="E74" s="45"/>
      <c r="O74" s="2"/>
    </row>
    <row r="75" spans="2:15" x14ac:dyDescent="0.25">
      <c r="B75" s="115" t="s">
        <v>195</v>
      </c>
      <c r="C75" s="120"/>
      <c r="D75" s="43" t="s">
        <v>16</v>
      </c>
      <c r="E75" s="45"/>
      <c r="O75" s="2"/>
    </row>
    <row r="76" spans="2:15" x14ac:dyDescent="0.25">
      <c r="B76" s="17" t="s">
        <v>229</v>
      </c>
      <c r="C76" s="120">
        <v>1</v>
      </c>
      <c r="D76" s="43" t="s">
        <v>16</v>
      </c>
      <c r="E76" s="45"/>
      <c r="O76" s="2"/>
    </row>
    <row r="77" spans="2:15" x14ac:dyDescent="0.25">
      <c r="B77" s="115" t="s">
        <v>225</v>
      </c>
      <c r="C77" s="120">
        <v>1</v>
      </c>
      <c r="D77" s="43" t="s">
        <v>16</v>
      </c>
      <c r="E77" s="45"/>
      <c r="F77" s="2"/>
      <c r="O77" s="2"/>
    </row>
    <row r="78" spans="2:15" x14ac:dyDescent="0.25">
      <c r="B78" s="115" t="s">
        <v>196</v>
      </c>
      <c r="C78" s="120"/>
      <c r="D78" s="43" t="s">
        <v>16</v>
      </c>
      <c r="E78" s="45"/>
      <c r="F78" s="2"/>
      <c r="O78" s="2"/>
    </row>
    <row r="79" spans="2:15" x14ac:dyDescent="0.25">
      <c r="B79" s="124" t="s">
        <v>134</v>
      </c>
      <c r="C79" s="120"/>
      <c r="D79" s="43" t="s">
        <v>16</v>
      </c>
      <c r="E79" s="45"/>
      <c r="F79" s="2"/>
      <c r="O79" s="2"/>
    </row>
    <row r="80" spans="2:15" x14ac:dyDescent="0.25">
      <c r="B80" s="115" t="s">
        <v>226</v>
      </c>
      <c r="C80" s="120">
        <v>1</v>
      </c>
      <c r="D80" s="43" t="s">
        <v>16</v>
      </c>
      <c r="E80" s="45"/>
      <c r="F80" s="2"/>
      <c r="O80" s="2"/>
    </row>
    <row r="81" spans="2:16" x14ac:dyDescent="0.25">
      <c r="B81" s="124" t="s">
        <v>215</v>
      </c>
      <c r="C81" s="120"/>
      <c r="D81" s="43" t="s">
        <v>16</v>
      </c>
      <c r="E81" s="45"/>
      <c r="F81" s="2"/>
      <c r="O81" s="2"/>
    </row>
    <row r="82" spans="2:16" x14ac:dyDescent="0.25">
      <c r="B82" s="115" t="s">
        <v>203</v>
      </c>
      <c r="C82" s="120">
        <v>12</v>
      </c>
      <c r="D82" s="119" t="s">
        <v>3</v>
      </c>
      <c r="E82" s="53"/>
      <c r="F82" s="2"/>
      <c r="O82" s="2"/>
    </row>
    <row r="83" spans="2:16" x14ac:dyDescent="0.25">
      <c r="B83" s="115" t="s">
        <v>204</v>
      </c>
      <c r="C83" s="120">
        <v>4</v>
      </c>
      <c r="D83" s="119" t="s">
        <v>3</v>
      </c>
      <c r="E83" s="53"/>
      <c r="F83" s="2"/>
      <c r="O83" s="2"/>
    </row>
    <row r="84" spans="2:16" x14ac:dyDescent="0.25">
      <c r="B84" s="124" t="s">
        <v>227</v>
      </c>
      <c r="C84" s="120"/>
      <c r="D84" s="119" t="s">
        <v>16</v>
      </c>
      <c r="E84" s="53"/>
      <c r="F84" s="2"/>
      <c r="O84" s="2"/>
    </row>
    <row r="85" spans="2:16" x14ac:dyDescent="0.25">
      <c r="B85" s="124" t="s">
        <v>228</v>
      </c>
      <c r="C85" s="120"/>
      <c r="D85" s="119" t="s">
        <v>16</v>
      </c>
      <c r="E85" s="53"/>
      <c r="F85" s="2"/>
      <c r="O85" s="2"/>
    </row>
    <row r="86" spans="2:16" x14ac:dyDescent="0.25">
      <c r="B86" s="116"/>
      <c r="C86" s="53"/>
      <c r="D86" s="53"/>
      <c r="E86" s="53"/>
      <c r="F86" s="2"/>
      <c r="O86" s="2"/>
    </row>
    <row r="87" spans="2:16" ht="12.75" x14ac:dyDescent="0.25">
      <c r="B87" s="172" t="s">
        <v>12</v>
      </c>
      <c r="C87" s="172"/>
      <c r="D87" s="118" t="s">
        <v>16</v>
      </c>
      <c r="E87" s="114" t="s">
        <v>178</v>
      </c>
      <c r="F87" s="114" t="s">
        <v>197</v>
      </c>
      <c r="G87" s="114" t="s">
        <v>198</v>
      </c>
      <c r="H87" s="114" t="s">
        <v>165</v>
      </c>
      <c r="P87" s="43"/>
    </row>
    <row r="88" spans="2:16" x14ac:dyDescent="0.25">
      <c r="B88" s="115" t="s">
        <v>205</v>
      </c>
      <c r="C88" s="93"/>
      <c r="D88" s="50"/>
      <c r="E88" s="117"/>
      <c r="F88" s="117"/>
      <c r="G88" s="117"/>
      <c r="H88" s="117"/>
      <c r="P88" s="43"/>
    </row>
    <row r="89" spans="2:16" x14ac:dyDescent="0.25">
      <c r="B89" s="115" t="s">
        <v>185</v>
      </c>
      <c r="C89" s="93"/>
      <c r="D89" s="50"/>
      <c r="E89" s="117"/>
      <c r="F89" s="117"/>
      <c r="G89" s="117"/>
      <c r="H89" s="117"/>
      <c r="P89" s="43"/>
    </row>
    <row r="90" spans="2:16" x14ac:dyDescent="0.25">
      <c r="B90" s="115" t="s">
        <v>186</v>
      </c>
      <c r="C90" s="93"/>
      <c r="D90" s="50"/>
      <c r="E90" s="117"/>
      <c r="F90" s="117"/>
      <c r="G90" s="117"/>
      <c r="H90" s="117"/>
      <c r="P90" s="43"/>
    </row>
    <row r="91" spans="2:16" x14ac:dyDescent="0.25">
      <c r="B91" s="115" t="s">
        <v>187</v>
      </c>
      <c r="C91" s="93"/>
      <c r="D91" s="50"/>
      <c r="E91" s="117"/>
      <c r="F91" s="117"/>
      <c r="G91" s="117"/>
      <c r="H91" s="117"/>
      <c r="P91" s="43"/>
    </row>
    <row r="92" spans="2:16" x14ac:dyDescent="0.25">
      <c r="B92" s="115" t="s">
        <v>188</v>
      </c>
      <c r="C92" s="93"/>
      <c r="D92" s="50"/>
      <c r="E92" s="117"/>
      <c r="F92" s="117"/>
      <c r="G92" s="117"/>
      <c r="H92" s="117"/>
      <c r="P92" s="43"/>
    </row>
    <row r="93" spans="2:16" x14ac:dyDescent="0.25">
      <c r="B93" s="115" t="s">
        <v>189</v>
      </c>
      <c r="C93" s="93"/>
      <c r="D93" s="50"/>
      <c r="E93" s="117"/>
      <c r="F93" s="117"/>
      <c r="G93" s="117"/>
      <c r="H93" s="117"/>
      <c r="P93" s="43"/>
    </row>
    <row r="94" spans="2:16" x14ac:dyDescent="0.25">
      <c r="B94" s="115" t="s">
        <v>190</v>
      </c>
      <c r="C94" s="93"/>
      <c r="D94" s="50"/>
      <c r="E94" s="117"/>
      <c r="F94" s="117"/>
      <c r="G94" s="117"/>
      <c r="H94" s="117"/>
      <c r="P94" s="43"/>
    </row>
    <row r="95" spans="2:16" x14ac:dyDescent="0.25">
      <c r="B95" s="115" t="s">
        <v>191</v>
      </c>
      <c r="C95" s="93"/>
      <c r="D95" s="50"/>
      <c r="E95" s="117"/>
      <c r="F95" s="117"/>
      <c r="G95" s="117"/>
      <c r="H95" s="117"/>
      <c r="P95" s="43"/>
    </row>
    <row r="96" spans="2:16" x14ac:dyDescent="0.25">
      <c r="B96" s="115" t="s">
        <v>192</v>
      </c>
      <c r="C96" s="93"/>
      <c r="D96" s="50"/>
      <c r="E96" s="117"/>
      <c r="F96" s="117"/>
      <c r="G96" s="117"/>
      <c r="H96" s="117"/>
      <c r="P96" s="43"/>
    </row>
    <row r="97" spans="2:16" x14ac:dyDescent="0.25">
      <c r="B97" s="115" t="s">
        <v>193</v>
      </c>
      <c r="C97" s="93"/>
      <c r="D97" s="50"/>
      <c r="E97" s="117"/>
      <c r="F97" s="117"/>
      <c r="G97" s="117"/>
      <c r="H97" s="117"/>
      <c r="P97" s="43"/>
    </row>
    <row r="98" spans="2:16" x14ac:dyDescent="0.25">
      <c r="B98" s="115" t="s">
        <v>194</v>
      </c>
      <c r="C98" s="93"/>
      <c r="D98" s="50"/>
      <c r="E98" s="117"/>
      <c r="F98" s="117"/>
      <c r="G98" s="117"/>
      <c r="H98" s="117"/>
      <c r="P98" s="43"/>
    </row>
    <row r="99" spans="2:16" x14ac:dyDescent="0.25">
      <c r="B99" s="124" t="s">
        <v>209</v>
      </c>
      <c r="C99" s="93"/>
      <c r="D99" s="50"/>
      <c r="E99" s="117"/>
      <c r="F99" s="117"/>
      <c r="G99" s="117"/>
      <c r="H99" s="117"/>
      <c r="P99" s="43"/>
    </row>
  </sheetData>
  <mergeCells count="13">
    <mergeCell ref="F2:G2"/>
    <mergeCell ref="F3:G3"/>
    <mergeCell ref="F5:G5"/>
    <mergeCell ref="B87:C87"/>
    <mergeCell ref="B2:C2"/>
    <mergeCell ref="B3:C3"/>
    <mergeCell ref="B5:C5"/>
    <mergeCell ref="B58:C58"/>
    <mergeCell ref="B12:B13"/>
    <mergeCell ref="B14:B15"/>
    <mergeCell ref="B50:C50"/>
    <mergeCell ref="B19:C19"/>
    <mergeCell ref="B30:C30"/>
  </mergeCells>
  <phoneticPr fontId="14" type="noConversion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P29"/>
  <sheetViews>
    <sheetView showGridLines="0" zoomScale="80" zoomScaleNormal="80" workbookViewId="0">
      <selection activeCell="C2" sqref="C2"/>
    </sheetView>
  </sheetViews>
  <sheetFormatPr defaultColWidth="13" defaultRowHeight="12" x14ac:dyDescent="0.25"/>
  <cols>
    <col min="1" max="1" width="13" style="60"/>
    <col min="2" max="2" width="25.140625" style="60" customWidth="1"/>
    <col min="3" max="3" width="86.7109375" style="60" customWidth="1"/>
    <col min="4" max="16384" width="13" style="60"/>
  </cols>
  <sheetData>
    <row r="10" spans="2:16" x14ac:dyDescent="0.25">
      <c r="E10" s="61"/>
      <c r="G10" s="61"/>
    </row>
    <row r="11" spans="2:16" x14ac:dyDescent="0.25">
      <c r="E11" s="61"/>
      <c r="G11" s="61"/>
      <c r="M11" s="61"/>
      <c r="O11" s="61"/>
      <c r="P11" s="108"/>
    </row>
    <row r="12" spans="2:16" x14ac:dyDescent="0.25">
      <c r="E12" s="61"/>
      <c r="G12" s="61"/>
      <c r="O12" s="61"/>
      <c r="P12" s="108"/>
    </row>
    <row r="13" spans="2:16" x14ac:dyDescent="0.25">
      <c r="E13" s="61"/>
      <c r="G13" s="61"/>
      <c r="M13" s="61"/>
      <c r="O13" s="61"/>
      <c r="P13" s="108"/>
    </row>
    <row r="14" spans="2:16" x14ac:dyDescent="0.25">
      <c r="E14" s="61"/>
      <c r="G14" s="61"/>
      <c r="M14" s="61"/>
      <c r="O14" s="61"/>
      <c r="P14" s="108"/>
    </row>
    <row r="15" spans="2:16" x14ac:dyDescent="0.25">
      <c r="B15" s="61"/>
      <c r="M15" s="61"/>
      <c r="O15" s="61"/>
      <c r="P15" s="108"/>
    </row>
    <row r="16" spans="2:16" x14ac:dyDescent="0.25">
      <c r="J16" s="61"/>
      <c r="K16" s="108"/>
    </row>
    <row r="17" spans="1:16" x14ac:dyDescent="0.25">
      <c r="E17" s="61"/>
      <c r="G17" s="61"/>
    </row>
    <row r="18" spans="1:16" x14ac:dyDescent="0.25">
      <c r="E18" s="61"/>
      <c r="G18" s="61"/>
      <c r="M18" s="61"/>
      <c r="O18" s="61"/>
      <c r="P18" s="108"/>
    </row>
    <row r="19" spans="1:16" x14ac:dyDescent="0.25">
      <c r="E19" s="61"/>
      <c r="F19" s="61"/>
      <c r="G19" s="61"/>
      <c r="M19" s="61"/>
      <c r="O19" s="61"/>
      <c r="P19" s="108"/>
    </row>
    <row r="20" spans="1:16" x14ac:dyDescent="0.25">
      <c r="E20" s="61"/>
      <c r="F20" s="61"/>
      <c r="G20" s="61"/>
      <c r="N20" s="61"/>
      <c r="O20" s="61"/>
      <c r="P20" s="108"/>
    </row>
    <row r="21" spans="1:16" x14ac:dyDescent="0.25">
      <c r="A21" s="109"/>
      <c r="B21" s="110"/>
      <c r="C21" s="109"/>
      <c r="D21" s="109"/>
      <c r="E21" s="110"/>
      <c r="F21" s="109"/>
      <c r="G21" s="110"/>
      <c r="M21" s="61"/>
      <c r="O21" s="61"/>
      <c r="P21" s="108"/>
    </row>
    <row r="22" spans="1:16" x14ac:dyDescent="0.25">
      <c r="B22" s="61"/>
      <c r="P22" s="108"/>
    </row>
    <row r="23" spans="1:16" x14ac:dyDescent="0.25">
      <c r="F23" s="61"/>
      <c r="G23" s="61"/>
      <c r="J23" s="61"/>
      <c r="K23" s="108"/>
    </row>
    <row r="24" spans="1:16" x14ac:dyDescent="0.25">
      <c r="F24" s="61"/>
      <c r="G24" s="61"/>
    </row>
    <row r="25" spans="1:16" x14ac:dyDescent="0.25">
      <c r="F25" s="61"/>
      <c r="G25" s="61"/>
      <c r="N25" s="61"/>
      <c r="P25" s="108"/>
    </row>
    <row r="26" spans="1:16" x14ac:dyDescent="0.25">
      <c r="B26" s="61"/>
      <c r="F26" s="61"/>
      <c r="G26" s="61"/>
      <c r="N26" s="61"/>
      <c r="P26" s="108"/>
    </row>
    <row r="27" spans="1:16" x14ac:dyDescent="0.25">
      <c r="B27" s="62"/>
      <c r="N27" s="61"/>
      <c r="P27" s="108"/>
    </row>
    <row r="28" spans="1:16" x14ac:dyDescent="0.25">
      <c r="B28" s="62"/>
      <c r="K28" s="108"/>
    </row>
    <row r="29" spans="1:16" x14ac:dyDescent="0.25">
      <c r="J29" s="61"/>
      <c r="K29" s="10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80" zoomScaleNormal="80" workbookViewId="0">
      <selection activeCell="C35" sqref="C35:C36"/>
    </sheetView>
  </sheetViews>
  <sheetFormatPr defaultColWidth="13" defaultRowHeight="12" x14ac:dyDescent="0.25"/>
  <cols>
    <col min="1" max="1" width="13" style="60"/>
    <col min="2" max="2" width="25.140625" style="60" customWidth="1"/>
    <col min="3" max="3" width="86.7109375" style="60" customWidth="1"/>
    <col min="4" max="16384" width="13" style="60"/>
  </cols>
  <sheetData>
    <row r="1" spans="1:16" x14ac:dyDescent="0.25">
      <c r="A1" s="60" t="s">
        <v>268</v>
      </c>
      <c r="B1" s="60" t="s">
        <v>269</v>
      </c>
    </row>
    <row r="2" spans="1:16" x14ac:dyDescent="0.25">
      <c r="A2" s="60" t="s">
        <v>270</v>
      </c>
    </row>
    <row r="4" spans="1:16" x14ac:dyDescent="0.25">
      <c r="A4" s="60" t="s">
        <v>271</v>
      </c>
    </row>
    <row r="5" spans="1:16" x14ac:dyDescent="0.25">
      <c r="A5" s="60" t="s">
        <v>338</v>
      </c>
    </row>
    <row r="7" spans="1:16" x14ac:dyDescent="0.25">
      <c r="A7" s="60" t="s">
        <v>272</v>
      </c>
      <c r="B7" s="60" t="s">
        <v>339</v>
      </c>
    </row>
    <row r="8" spans="1:16" x14ac:dyDescent="0.25">
      <c r="A8" s="60" t="s">
        <v>273</v>
      </c>
      <c r="B8" s="60" t="s">
        <v>274</v>
      </c>
      <c r="C8" s="60" t="s">
        <v>275</v>
      </c>
      <c r="D8" s="60" t="s">
        <v>276</v>
      </c>
      <c r="E8" s="60" t="s">
        <v>277</v>
      </c>
      <c r="F8" s="60" t="s">
        <v>278</v>
      </c>
      <c r="G8" s="60" t="s">
        <v>279</v>
      </c>
    </row>
    <row r="9" spans="1:16" x14ac:dyDescent="0.25">
      <c r="A9" s="60">
        <v>1</v>
      </c>
      <c r="B9" s="60" t="s">
        <v>273</v>
      </c>
      <c r="C9" s="60" t="s">
        <v>280</v>
      </c>
    </row>
    <row r="10" spans="1:16" x14ac:dyDescent="0.25">
      <c r="A10" s="60" t="s">
        <v>281</v>
      </c>
      <c r="B10" s="60" t="s">
        <v>282</v>
      </c>
      <c r="C10" s="60" t="s">
        <v>283</v>
      </c>
      <c r="D10" s="60" t="s">
        <v>284</v>
      </c>
      <c r="E10" s="61">
        <v>14214.93</v>
      </c>
      <c r="F10" s="60">
        <v>1.5209999999999999</v>
      </c>
      <c r="G10" s="61">
        <v>21620.908500000001</v>
      </c>
    </row>
    <row r="11" spans="1:16" x14ac:dyDescent="0.25">
      <c r="A11" s="60" t="s">
        <v>285</v>
      </c>
      <c r="B11" s="60" t="s">
        <v>286</v>
      </c>
      <c r="C11" s="60" t="s">
        <v>287</v>
      </c>
      <c r="D11" s="60" t="s">
        <v>288</v>
      </c>
      <c r="E11" s="61">
        <v>2842.99</v>
      </c>
      <c r="F11" s="60">
        <v>12.706799999999999</v>
      </c>
      <c r="G11" s="61">
        <v>36125.3053</v>
      </c>
      <c r="M11" s="61"/>
      <c r="O11" s="61"/>
      <c r="P11" s="108"/>
    </row>
    <row r="12" spans="1:16" x14ac:dyDescent="0.25">
      <c r="A12" s="60" t="s">
        <v>289</v>
      </c>
      <c r="B12" s="60" t="s">
        <v>290</v>
      </c>
      <c r="C12" s="60" t="s">
        <v>291</v>
      </c>
      <c r="D12" s="60" t="s">
        <v>288</v>
      </c>
      <c r="E12" s="61">
        <v>11371.94</v>
      </c>
      <c r="F12" s="60">
        <v>12.706799999999999</v>
      </c>
      <c r="G12" s="61">
        <v>144500.96720000001</v>
      </c>
      <c r="O12" s="61"/>
      <c r="P12" s="108"/>
    </row>
    <row r="13" spans="1:16" x14ac:dyDescent="0.25">
      <c r="A13" s="60" t="s">
        <v>292</v>
      </c>
      <c r="B13" s="60" t="s">
        <v>293</v>
      </c>
      <c r="C13" s="60" t="s">
        <v>294</v>
      </c>
      <c r="D13" s="60" t="s">
        <v>288</v>
      </c>
      <c r="E13" s="61">
        <v>17768.66</v>
      </c>
      <c r="F13" s="60">
        <v>10</v>
      </c>
      <c r="G13" s="61">
        <v>177686.6</v>
      </c>
      <c r="M13" s="61"/>
      <c r="O13" s="61"/>
      <c r="P13" s="108"/>
    </row>
    <row r="14" spans="1:16" x14ac:dyDescent="0.25">
      <c r="A14" s="60" t="s">
        <v>295</v>
      </c>
      <c r="B14" s="60" t="s">
        <v>296</v>
      </c>
      <c r="C14" s="60" t="s">
        <v>297</v>
      </c>
      <c r="D14" s="60" t="s">
        <v>298</v>
      </c>
      <c r="E14" s="61">
        <v>568597</v>
      </c>
      <c r="F14" s="60">
        <v>0.98519999999999996</v>
      </c>
      <c r="G14" s="61">
        <v>560181.76439999999</v>
      </c>
      <c r="M14" s="61"/>
      <c r="O14" s="61"/>
      <c r="P14" s="108"/>
    </row>
    <row r="15" spans="1:16" x14ac:dyDescent="0.25">
      <c r="A15" s="60" t="s">
        <v>299</v>
      </c>
      <c r="B15" s="61">
        <v>940115.55</v>
      </c>
      <c r="M15" s="61"/>
      <c r="O15" s="61"/>
      <c r="P15" s="108"/>
    </row>
    <row r="16" spans="1:16" x14ac:dyDescent="0.25">
      <c r="A16" s="60">
        <v>2</v>
      </c>
      <c r="B16" s="60" t="s">
        <v>273</v>
      </c>
      <c r="C16" s="60" t="s">
        <v>300</v>
      </c>
      <c r="J16" s="61"/>
      <c r="K16" s="108"/>
    </row>
    <row r="17" spans="1:16" x14ac:dyDescent="0.25">
      <c r="A17" s="60" t="s">
        <v>301</v>
      </c>
      <c r="B17" s="60" t="s">
        <v>302</v>
      </c>
      <c r="C17" s="60" t="s">
        <v>303</v>
      </c>
      <c r="D17" s="60" t="s">
        <v>284</v>
      </c>
      <c r="E17" s="61">
        <v>28429.85</v>
      </c>
      <c r="F17" s="60">
        <v>7.8753000000000002</v>
      </c>
      <c r="G17" s="61">
        <v>223893.59770000001</v>
      </c>
    </row>
    <row r="18" spans="1:16" x14ac:dyDescent="0.25">
      <c r="A18" s="60" t="s">
        <v>304</v>
      </c>
      <c r="B18" s="60" t="s">
        <v>305</v>
      </c>
      <c r="C18" s="60" t="s">
        <v>306</v>
      </c>
      <c r="D18" s="60" t="s">
        <v>284</v>
      </c>
      <c r="E18" s="61">
        <v>22473.48</v>
      </c>
      <c r="F18" s="60">
        <v>2.1421999999999999</v>
      </c>
      <c r="G18" s="61">
        <v>48142.688900000001</v>
      </c>
      <c r="M18" s="61"/>
      <c r="O18" s="61"/>
      <c r="P18" s="108"/>
    </row>
    <row r="19" spans="1:16" x14ac:dyDescent="0.25">
      <c r="A19" s="60" t="s">
        <v>307</v>
      </c>
      <c r="B19" s="60" t="s">
        <v>308</v>
      </c>
      <c r="C19" s="60" t="s">
        <v>309</v>
      </c>
      <c r="D19" s="60" t="s">
        <v>288</v>
      </c>
      <c r="E19" s="61">
        <v>786.57</v>
      </c>
      <c r="F19" s="61">
        <v>1044.2312999999999</v>
      </c>
      <c r="G19" s="61">
        <v>821361.01359999995</v>
      </c>
      <c r="M19" s="61"/>
      <c r="O19" s="61"/>
      <c r="P19" s="108"/>
    </row>
    <row r="20" spans="1:16" x14ac:dyDescent="0.25">
      <c r="A20" s="60" t="s">
        <v>310</v>
      </c>
      <c r="B20" s="60" t="s">
        <v>296</v>
      </c>
      <c r="C20" s="60" t="s">
        <v>297</v>
      </c>
      <c r="D20" s="60" t="s">
        <v>298</v>
      </c>
      <c r="E20" s="61">
        <v>38542.019999999997</v>
      </c>
      <c r="F20" s="61">
        <v>0.98519999999999996</v>
      </c>
      <c r="G20" s="61">
        <v>37971.598100000003</v>
      </c>
      <c r="N20" s="61"/>
      <c r="O20" s="61"/>
      <c r="P20" s="108"/>
    </row>
    <row r="21" spans="1:16" x14ac:dyDescent="0.25">
      <c r="A21" s="109" t="s">
        <v>311</v>
      </c>
      <c r="B21" s="110">
        <v>1131368.8999999999</v>
      </c>
      <c r="C21" s="109"/>
      <c r="D21" s="109"/>
      <c r="E21" s="110"/>
      <c r="F21" s="109"/>
      <c r="G21" s="110"/>
      <c r="M21" s="61"/>
      <c r="O21" s="61"/>
      <c r="P21" s="108"/>
    </row>
    <row r="22" spans="1:16" x14ac:dyDescent="0.25">
      <c r="A22" s="60">
        <v>4</v>
      </c>
      <c r="B22" s="61" t="s">
        <v>273</v>
      </c>
      <c r="C22" s="60" t="s">
        <v>312</v>
      </c>
      <c r="P22" s="108"/>
    </row>
    <row r="23" spans="1:16" x14ac:dyDescent="0.25">
      <c r="A23" s="60" t="s">
        <v>313</v>
      </c>
      <c r="B23" s="60" t="s">
        <v>314</v>
      </c>
      <c r="C23" s="60" t="s">
        <v>315</v>
      </c>
      <c r="D23" s="60" t="s">
        <v>15</v>
      </c>
      <c r="E23" s="60">
        <v>0.35</v>
      </c>
      <c r="F23" s="61">
        <v>107412.74</v>
      </c>
      <c r="G23" s="61">
        <v>37594.459000000003</v>
      </c>
      <c r="J23" s="61"/>
      <c r="K23" s="108"/>
    </row>
    <row r="24" spans="1:16" x14ac:dyDescent="0.25">
      <c r="A24" s="60" t="s">
        <v>316</v>
      </c>
      <c r="B24" s="60" t="s">
        <v>317</v>
      </c>
      <c r="C24" s="60" t="s">
        <v>318</v>
      </c>
      <c r="D24" s="60" t="s">
        <v>15</v>
      </c>
      <c r="E24" s="60">
        <v>0.15</v>
      </c>
      <c r="F24" s="61">
        <v>1523949.27</v>
      </c>
      <c r="G24" s="61">
        <v>228592.39050000001</v>
      </c>
    </row>
    <row r="25" spans="1:16" x14ac:dyDescent="0.25">
      <c r="A25" s="60" t="s">
        <v>319</v>
      </c>
      <c r="B25" s="60" t="s">
        <v>320</v>
      </c>
      <c r="C25" s="60" t="s">
        <v>321</v>
      </c>
      <c r="D25" s="60" t="s">
        <v>15</v>
      </c>
      <c r="E25" s="60">
        <v>0.35</v>
      </c>
      <c r="F25" s="61">
        <v>440120.42</v>
      </c>
      <c r="G25" s="61">
        <v>154042.147</v>
      </c>
      <c r="N25" s="61"/>
      <c r="P25" s="108"/>
    </row>
    <row r="26" spans="1:16" x14ac:dyDescent="0.25">
      <c r="A26" s="60" t="s">
        <v>322</v>
      </c>
      <c r="B26" s="61">
        <v>420229</v>
      </c>
      <c r="F26" s="61"/>
      <c r="G26" s="61"/>
      <c r="N26" s="61"/>
      <c r="P26" s="108"/>
    </row>
    <row r="27" spans="1:16" x14ac:dyDescent="0.25">
      <c r="A27" s="60" t="s">
        <v>323</v>
      </c>
      <c r="B27" s="62">
        <v>2491713.4402000001</v>
      </c>
      <c r="N27" s="61"/>
      <c r="P27" s="108"/>
    </row>
    <row r="28" spans="1:16" x14ac:dyDescent="0.25">
      <c r="B28" s="62">
        <f>B27*1.08</f>
        <v>2691050.515416</v>
      </c>
      <c r="K28" s="108"/>
    </row>
    <row r="29" spans="1:16" x14ac:dyDescent="0.25">
      <c r="J29" s="61"/>
      <c r="K29" s="108"/>
    </row>
    <row r="82" spans="1:3" x14ac:dyDescent="0.25">
      <c r="A82" s="60" t="s">
        <v>324</v>
      </c>
      <c r="B82" s="60" t="s">
        <v>325</v>
      </c>
      <c r="C82" s="60">
        <v>1</v>
      </c>
    </row>
    <row r="83" spans="1:3" x14ac:dyDescent="0.25">
      <c r="A83" s="60" t="s">
        <v>324</v>
      </c>
      <c r="B83" s="60" t="s">
        <v>325</v>
      </c>
      <c r="C83" s="60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4"/>
  <sheetViews>
    <sheetView showGridLines="0" tabSelected="1" zoomScaleNormal="100" workbookViewId="0">
      <selection activeCell="I16" sqref="I16"/>
    </sheetView>
  </sheetViews>
  <sheetFormatPr defaultColWidth="9.140625" defaultRowHeight="18" customHeight="1" x14ac:dyDescent="0.25"/>
  <cols>
    <col min="1" max="1" width="2.140625" style="9" customWidth="1"/>
    <col min="2" max="2" width="53.140625" style="10" bestFit="1" customWidth="1"/>
    <col min="3" max="3" width="53.85546875" style="6" bestFit="1" customWidth="1"/>
    <col min="4" max="4" width="9.7109375" style="23" customWidth="1"/>
    <col min="5" max="5" width="15" style="11" customWidth="1"/>
    <col min="6" max="6" width="16.85546875" style="99" bestFit="1" customWidth="1"/>
    <col min="7" max="7" width="2.85546875" style="77" customWidth="1"/>
    <col min="8" max="9" width="20.7109375" style="77" customWidth="1"/>
    <col min="10" max="10" width="13.7109375" style="29" hidden="1" customWidth="1"/>
    <col min="11" max="11" width="13.7109375" style="30" hidden="1" customWidth="1"/>
    <col min="12" max="12" width="13.7109375" style="79" customWidth="1"/>
    <col min="13" max="13" width="13.7109375" style="30" customWidth="1"/>
    <col min="14" max="14" width="13.7109375" style="29" customWidth="1"/>
    <col min="15" max="15" width="13.7109375" style="41" customWidth="1"/>
    <col min="16" max="17" width="13.7109375" style="9" customWidth="1"/>
    <col min="18" max="16384" width="9.140625" style="9"/>
  </cols>
  <sheetData>
    <row r="1" spans="1:15" ht="17.25" customHeight="1" x14ac:dyDescent="0.25">
      <c r="B1" s="13"/>
      <c r="C1" s="183"/>
      <c r="D1" s="183"/>
      <c r="E1" s="183"/>
      <c r="F1" s="183"/>
    </row>
    <row r="2" spans="1:15" ht="45.75" customHeight="1" x14ac:dyDescent="0.25">
      <c r="B2" s="185" t="s">
        <v>130</v>
      </c>
      <c r="C2" s="186"/>
      <c r="D2" s="186"/>
      <c r="E2" s="186"/>
      <c r="F2" s="95" t="s">
        <v>342</v>
      </c>
    </row>
    <row r="3" spans="1:15" ht="17.25" customHeight="1" x14ac:dyDescent="0.25">
      <c r="A3" s="29"/>
      <c r="B3" s="187" t="str">
        <f>base_dados_proj!B2</f>
        <v xml:space="preserve">CONDOMÍNIO FLORAIS MADRI </v>
      </c>
      <c r="C3" s="188"/>
      <c r="D3" s="188"/>
      <c r="E3" s="188"/>
      <c r="F3" s="189"/>
      <c r="K3" s="29"/>
    </row>
    <row r="4" spans="1:15" ht="17.25" customHeight="1" x14ac:dyDescent="0.25">
      <c r="A4" s="29"/>
      <c r="B4" s="190" t="s">
        <v>346</v>
      </c>
      <c r="C4" s="191"/>
      <c r="D4" s="191"/>
      <c r="E4" s="191"/>
      <c r="F4" s="192"/>
      <c r="K4" s="29"/>
    </row>
    <row r="5" spans="1:15" ht="17.25" customHeight="1" x14ac:dyDescent="0.25">
      <c r="A5" s="29"/>
      <c r="B5" s="184" t="str">
        <f>base_dados_proj!B3</f>
        <v xml:space="preserve">313 LOTES - CONDOMÍNIO FLORAIS MADRI </v>
      </c>
      <c r="C5" s="184"/>
      <c r="D5" s="36"/>
      <c r="E5" s="36" t="s">
        <v>83</v>
      </c>
      <c r="F5" s="104">
        <f>SUM($F$7,$F$21,$F$29,$F$49,$F$53,$F$69,$F$77,$F$82,F87,$F$94,$F$101,$F$120)</f>
        <v>15895232.654081073</v>
      </c>
      <c r="K5" s="29"/>
    </row>
    <row r="6" spans="1:15" ht="10.5" customHeight="1" x14ac:dyDescent="0.25">
      <c r="A6" s="29"/>
      <c r="B6" s="8"/>
      <c r="C6" s="9"/>
      <c r="D6" s="21"/>
      <c r="E6" s="9"/>
      <c r="F6" s="54"/>
      <c r="J6" s="19"/>
      <c r="K6" s="19"/>
      <c r="L6" s="156"/>
      <c r="M6" s="19"/>
      <c r="N6" s="19"/>
      <c r="O6" s="19"/>
    </row>
    <row r="7" spans="1:15" ht="18" customHeight="1" x14ac:dyDescent="0.25">
      <c r="B7" s="182" t="s">
        <v>72</v>
      </c>
      <c r="C7" s="177" t="s">
        <v>82</v>
      </c>
      <c r="D7" s="178"/>
      <c r="E7" s="179"/>
      <c r="F7" s="96">
        <f>SUM(F9:F20)</f>
        <v>410467</v>
      </c>
      <c r="H7" s="158"/>
    </row>
    <row r="8" spans="1:15" ht="18" customHeight="1" x14ac:dyDescent="0.25">
      <c r="B8" s="181" t="s">
        <v>72</v>
      </c>
      <c r="C8" s="14" t="s">
        <v>81</v>
      </c>
      <c r="D8" s="22" t="s">
        <v>69</v>
      </c>
      <c r="E8" s="15" t="s">
        <v>79</v>
      </c>
      <c r="F8" s="97" t="s">
        <v>80</v>
      </c>
    </row>
    <row r="9" spans="1:15" ht="18" customHeight="1" x14ac:dyDescent="0.25">
      <c r="B9" s="12" t="s">
        <v>57</v>
      </c>
      <c r="C9" s="35" t="str">
        <f t="shared" ref="C9:C20" si="0">CONCATENATE("Custo baseado em ",J9," - ",L9," - ",N9)</f>
        <v xml:space="preserve">Custo baseado em HISTÓRICO DE CUSTO / PADRÃO ATUAL -  - </v>
      </c>
      <c r="D9" s="28">
        <f>base_dados_proj!$C$9</f>
        <v>30</v>
      </c>
      <c r="E9" s="27">
        <f t="shared" ref="E9:E20" si="1">SUM(K9,M9,O9)/COUNTIF(K9:O9,"&gt;0")</f>
        <v>2000</v>
      </c>
      <c r="F9" s="98">
        <f>D9*E9</f>
        <v>60000</v>
      </c>
      <c r="J9" s="29" t="s">
        <v>120</v>
      </c>
      <c r="K9" s="30">
        <f>IFERROR(VLOOKUP($B9,base_índices!$A:$R,VLOOKUP(APRESENTAÇÃO!J9,base_índices!$A$142:$B$158,2,FALSE),FALSE),0)</f>
        <v>2000</v>
      </c>
      <c r="O9" s="30"/>
    </row>
    <row r="10" spans="1:15" s="67" customFormat="1" ht="18" customHeight="1" x14ac:dyDescent="0.25">
      <c r="B10" s="12" t="s">
        <v>98</v>
      </c>
      <c r="C10" s="35" t="str">
        <f t="shared" ref="C10" si="2">CONCATENATE("Custo baseado em ",J10," - ",L10," - ",N10)</f>
        <v xml:space="preserve">Custo baseado em HISTÓRICO DE CUSTO / PADRÃO ATUAL -  - </v>
      </c>
      <c r="D10" s="28">
        <v>1</v>
      </c>
      <c r="E10" s="27">
        <f>SUM(K10,M10,O10)/COUNTIF(K10:O10,"&gt;0")</f>
        <v>2000</v>
      </c>
      <c r="F10" s="98">
        <f>D10*E10</f>
        <v>2000</v>
      </c>
      <c r="G10" s="77"/>
      <c r="H10" s="77"/>
      <c r="I10" s="77"/>
      <c r="J10" s="78" t="s">
        <v>120</v>
      </c>
      <c r="K10" s="79">
        <f>IFERROR(VLOOKUP($B10,base_índices!$A:$R,VLOOKUP(APRESENTAÇÃO!J10,base_índices!$A$142:$B$158,2,FALSE),FALSE),0)</f>
        <v>2000</v>
      </c>
      <c r="L10" s="79"/>
      <c r="M10" s="79"/>
      <c r="N10" s="78"/>
      <c r="O10" s="79"/>
    </row>
    <row r="11" spans="1:15" ht="18" customHeight="1" x14ac:dyDescent="0.25">
      <c r="B11" s="10" t="s">
        <v>58</v>
      </c>
      <c r="C11" s="6" t="str">
        <f t="shared" si="0"/>
        <v xml:space="preserve">Custo baseado em HISTÓRICO DE CUSTO / PADRÃO ATUAL -  - </v>
      </c>
      <c r="D11" s="23">
        <f>base_dados_proj!$C$9</f>
        <v>30</v>
      </c>
      <c r="E11" s="11">
        <f t="shared" si="1"/>
        <v>289</v>
      </c>
      <c r="F11" s="98">
        <f t="shared" ref="F11:F20" si="3">D11*E11</f>
        <v>8670</v>
      </c>
      <c r="J11" s="78" t="s">
        <v>120</v>
      </c>
      <c r="K11" s="79">
        <f>IFERROR(VLOOKUP($B11,base_índices!$A:$R,VLOOKUP(APRESENTAÇÃO!J11,base_índices!$A$142:$B$158,2,FALSE),FALSE),0)</f>
        <v>289</v>
      </c>
      <c r="O11" s="30"/>
    </row>
    <row r="12" spans="1:15" ht="18" customHeight="1" x14ac:dyDescent="0.25">
      <c r="B12" s="10" t="s">
        <v>56</v>
      </c>
      <c r="C12" s="6" t="str">
        <f t="shared" si="0"/>
        <v xml:space="preserve">Custo baseado em HISTÓRICO DE CUSTO / PADRÃO ATUAL -  - </v>
      </c>
      <c r="D12" s="23">
        <f>base_dados_proj!$C$9</f>
        <v>30</v>
      </c>
      <c r="E12" s="11">
        <f t="shared" si="1"/>
        <v>850</v>
      </c>
      <c r="F12" s="98">
        <f t="shared" si="3"/>
        <v>25500</v>
      </c>
      <c r="J12" s="78" t="s">
        <v>120</v>
      </c>
      <c r="K12" s="79">
        <f>IFERROR(VLOOKUP($B12,base_índices!$A:$R,VLOOKUP(APRESENTAÇÃO!J12,base_índices!$A$142:$B$158,2,FALSE),FALSE),0)</f>
        <v>850</v>
      </c>
      <c r="O12" s="30"/>
    </row>
    <row r="13" spans="1:15" s="67" customFormat="1" ht="18" customHeight="1" x14ac:dyDescent="0.25">
      <c r="B13" s="10" t="s">
        <v>142</v>
      </c>
      <c r="C13" s="63" t="str">
        <f t="shared" si="0"/>
        <v xml:space="preserve">Custo baseado em HISTÓRICO DE CUSTO / PADRÃO ATUAL -  - </v>
      </c>
      <c r="D13" s="74">
        <v>1</v>
      </c>
      <c r="E13" s="68">
        <f t="shared" si="1"/>
        <v>5000</v>
      </c>
      <c r="F13" s="98">
        <f t="shared" si="3"/>
        <v>5000</v>
      </c>
      <c r="G13" s="77"/>
      <c r="H13" s="77"/>
      <c r="I13" s="77"/>
      <c r="J13" s="78" t="s">
        <v>120</v>
      </c>
      <c r="K13" s="79">
        <f>IFERROR(VLOOKUP($B13,base_índices!$A:$R,VLOOKUP(APRESENTAÇÃO!J13,base_índices!$A$142:$B$158,2,FALSE),FALSE),0)</f>
        <v>5000</v>
      </c>
      <c r="L13" s="79"/>
      <c r="M13" s="79"/>
      <c r="N13" s="78"/>
      <c r="O13" s="79"/>
    </row>
    <row r="14" spans="1:15" ht="18" customHeight="1" x14ac:dyDescent="0.25">
      <c r="B14" s="10" t="s">
        <v>148</v>
      </c>
      <c r="C14" s="6" t="str">
        <f t="shared" si="0"/>
        <v xml:space="preserve">Custo baseado em HISTÓRICO DE CUSTO / PADRÃO ATUAL -  - </v>
      </c>
      <c r="D14" s="23">
        <f>base_dados_proj!$C$9</f>
        <v>30</v>
      </c>
      <c r="E14" s="11">
        <f t="shared" si="1"/>
        <v>300</v>
      </c>
      <c r="F14" s="98">
        <f t="shared" si="3"/>
        <v>9000</v>
      </c>
      <c r="J14" s="78" t="s">
        <v>120</v>
      </c>
      <c r="K14" s="79">
        <f>IFERROR(VLOOKUP($B14,base_índices!$A:$R,VLOOKUP(APRESENTAÇÃO!J14,base_índices!$A$142:$B$158,2,FALSE),FALSE),0)</f>
        <v>300</v>
      </c>
      <c r="O14" s="30"/>
    </row>
    <row r="15" spans="1:15" s="67" customFormat="1" ht="18" customHeight="1" x14ac:dyDescent="0.25">
      <c r="B15" s="10" t="s">
        <v>59</v>
      </c>
      <c r="C15" s="63" t="str">
        <f t="shared" si="0"/>
        <v xml:space="preserve">Custo baseado em HISTÓRICO DE CUSTO / PADRÃO ATUAL -  - </v>
      </c>
      <c r="D15" s="74">
        <v>1</v>
      </c>
      <c r="E15" s="68">
        <f t="shared" si="1"/>
        <v>2000</v>
      </c>
      <c r="F15" s="98">
        <f t="shared" si="3"/>
        <v>2000</v>
      </c>
      <c r="G15" s="77"/>
      <c r="H15" s="77"/>
      <c r="I15" s="77"/>
      <c r="J15" s="78" t="s">
        <v>120</v>
      </c>
      <c r="K15" s="79">
        <f>IFERROR(VLOOKUP($B15,base_índices!$A:$R,VLOOKUP(APRESENTAÇÃO!J15,base_índices!$A$142:$B$158,2,FALSE),FALSE),0)</f>
        <v>2000</v>
      </c>
      <c r="L15" s="79"/>
      <c r="M15" s="79"/>
      <c r="N15" s="78"/>
      <c r="O15" s="79"/>
    </row>
    <row r="16" spans="1:15" s="73" customFormat="1" ht="18" customHeight="1" x14ac:dyDescent="0.25">
      <c r="B16" s="70" t="s">
        <v>55</v>
      </c>
      <c r="C16" s="71" t="str">
        <f t="shared" si="0"/>
        <v xml:space="preserve">Custo baseado em HISTÓRICO DE CUSTO / PADRÃO ATUAL -  - </v>
      </c>
      <c r="D16" s="75">
        <f>base_dados_proj!$C$9</f>
        <v>30</v>
      </c>
      <c r="E16" s="68">
        <f t="shared" si="1"/>
        <v>792</v>
      </c>
      <c r="F16" s="98">
        <f t="shared" si="3"/>
        <v>23760</v>
      </c>
      <c r="G16" s="85"/>
      <c r="H16" s="85"/>
      <c r="I16" s="85"/>
      <c r="J16" s="78" t="s">
        <v>120</v>
      </c>
      <c r="K16" s="79">
        <f>IFERROR(VLOOKUP($B16,base_índices!$A:$R,VLOOKUP(APRESENTAÇÃO!J16,base_índices!$A$142:$B$158,2,FALSE),FALSE),0)</f>
        <v>792</v>
      </c>
      <c r="L16" s="84"/>
      <c r="M16" s="84"/>
      <c r="N16" s="83"/>
      <c r="O16" s="84"/>
    </row>
    <row r="17" spans="2:15" ht="18" customHeight="1" x14ac:dyDescent="0.25">
      <c r="B17" s="10" t="s">
        <v>65</v>
      </c>
      <c r="C17" s="6" t="str">
        <f t="shared" si="0"/>
        <v xml:space="preserve">Custo baseado em HISTÓRICO DE CUSTO / PADRÃO ATUAL -  - </v>
      </c>
      <c r="D17" s="23">
        <f>base_dados_proj!$C$9</f>
        <v>30</v>
      </c>
      <c r="E17" s="11">
        <f t="shared" si="1"/>
        <v>1200</v>
      </c>
      <c r="F17" s="98">
        <f t="shared" si="3"/>
        <v>36000</v>
      </c>
      <c r="J17" s="78" t="s">
        <v>120</v>
      </c>
      <c r="K17" s="79">
        <f>IFERROR(VLOOKUP($B17,base_índices!$A:$R,VLOOKUP(APRESENTAÇÃO!J17,base_índices!$A$142:$B$158,2,FALSE),FALSE),0)</f>
        <v>1200</v>
      </c>
      <c r="O17" s="30"/>
    </row>
    <row r="18" spans="2:15" s="69" customFormat="1" ht="18" customHeight="1" x14ac:dyDescent="0.25">
      <c r="B18" s="70" t="s">
        <v>149</v>
      </c>
      <c r="C18" s="71" t="str">
        <f t="shared" si="0"/>
        <v xml:space="preserve">Custo baseado em HISTÓRICO DE CUSTO / PADRÃO ATUAL -  - </v>
      </c>
      <c r="D18" s="75">
        <v>12</v>
      </c>
      <c r="E18" s="72">
        <f t="shared" si="1"/>
        <v>12000</v>
      </c>
      <c r="F18" s="98">
        <f t="shared" si="3"/>
        <v>144000</v>
      </c>
      <c r="G18" s="92"/>
      <c r="H18" s="92"/>
      <c r="I18" s="92"/>
      <c r="J18" s="78" t="s">
        <v>120</v>
      </c>
      <c r="K18" s="79">
        <f>IFERROR(VLOOKUP($B18,base_índices!$A:$R,VLOOKUP(APRESENTAÇÃO!J18,base_índices!$A$142:$B$158,2,FALSE),FALSE),0)</f>
        <v>12000</v>
      </c>
      <c r="L18" s="91"/>
      <c r="M18" s="91"/>
      <c r="N18" s="88"/>
      <c r="O18" s="91"/>
    </row>
    <row r="19" spans="2:15" s="73" customFormat="1" ht="18" customHeight="1" x14ac:dyDescent="0.25">
      <c r="B19" s="80" t="s">
        <v>151</v>
      </c>
      <c r="C19" s="81" t="str">
        <f t="shared" si="0"/>
        <v xml:space="preserve">Custo baseado em HISTÓRICO DE CUSTO / PADRÃO ATUAL -  - </v>
      </c>
      <c r="D19" s="82">
        <v>12</v>
      </c>
      <c r="E19" s="76">
        <f t="shared" si="1"/>
        <v>6000</v>
      </c>
      <c r="F19" s="98">
        <f t="shared" si="3"/>
        <v>72000</v>
      </c>
      <c r="G19" s="85"/>
      <c r="H19" s="85"/>
      <c r="I19" s="85"/>
      <c r="J19" s="78" t="s">
        <v>120</v>
      </c>
      <c r="K19" s="79">
        <f>IFERROR(VLOOKUP($B19,base_índices!$A:$R,VLOOKUP(APRESENTAÇÃO!J19,base_índices!$A$142:$B$158,2,FALSE),FALSE),0)</f>
        <v>6000</v>
      </c>
      <c r="L19" s="84"/>
      <c r="M19" s="84"/>
      <c r="N19" s="83"/>
      <c r="O19" s="84"/>
    </row>
    <row r="20" spans="2:15" ht="18" customHeight="1" x14ac:dyDescent="0.25">
      <c r="B20" s="10" t="s">
        <v>64</v>
      </c>
      <c r="C20" s="6" t="str">
        <f t="shared" si="0"/>
        <v xml:space="preserve">Custo baseado em HISTÓRICO DE CUSTO / PADRÃO ATUAL -  - </v>
      </c>
      <c r="D20" s="23">
        <v>1</v>
      </c>
      <c r="E20" s="11">
        <f t="shared" si="1"/>
        <v>22537</v>
      </c>
      <c r="F20" s="98">
        <f t="shared" si="3"/>
        <v>22537</v>
      </c>
      <c r="J20" s="78" t="s">
        <v>120</v>
      </c>
      <c r="K20" s="79">
        <f>IFERROR(VLOOKUP($B20,base_índices!$A:$R,VLOOKUP(APRESENTAÇÃO!J20,base_índices!$A$142:$B$158,2,FALSE),FALSE),0)</f>
        <v>22537</v>
      </c>
      <c r="O20" s="30"/>
    </row>
    <row r="21" spans="2:15" ht="18" customHeight="1" x14ac:dyDescent="0.25">
      <c r="B21" s="182" t="s">
        <v>73</v>
      </c>
      <c r="C21" s="177" t="s">
        <v>82</v>
      </c>
      <c r="D21" s="178"/>
      <c r="E21" s="179"/>
      <c r="F21" s="96">
        <f>SUM(F23:F28)</f>
        <v>1139441.3120883349</v>
      </c>
      <c r="J21" s="78" t="s">
        <v>120</v>
      </c>
      <c r="K21" s="79">
        <f>IFERROR(VLOOKUP($B21,base_índices!$A:$R,VLOOKUP(APRESENTAÇÃO!J21,base_índices!$A$142:$B$158,2,FALSE),FALSE),0)</f>
        <v>0</v>
      </c>
    </row>
    <row r="22" spans="2:15" ht="18" customHeight="1" x14ac:dyDescent="0.25">
      <c r="B22" s="181" t="s">
        <v>72</v>
      </c>
      <c r="C22" s="14" t="s">
        <v>81</v>
      </c>
      <c r="D22" s="22" t="s">
        <v>69</v>
      </c>
      <c r="E22" s="15" t="s">
        <v>79</v>
      </c>
      <c r="F22" s="97" t="s">
        <v>80</v>
      </c>
      <c r="J22" s="78" t="s">
        <v>120</v>
      </c>
      <c r="K22" s="79">
        <f>IFERROR(VLOOKUP($B22,base_índices!$A:$R,VLOOKUP(APRESENTAÇÃO!J22,base_índices!$A$142:$B$158,2,FALSE),FALSE),0)</f>
        <v>0</v>
      </c>
    </row>
    <row r="23" spans="2:15" s="67" customFormat="1" ht="18" customHeight="1" x14ac:dyDescent="0.25">
      <c r="B23" s="10" t="s">
        <v>95</v>
      </c>
      <c r="C23" s="63" t="str">
        <f t="shared" ref="C23:C24" si="4">CONCATENATE("Custo baseado em ",J23," - ",L23," - ",N23)</f>
        <v xml:space="preserve">Custo baseado em HISTÓRICO DE CUSTO / PADRÃO ATUAL -  - </v>
      </c>
      <c r="D23" s="74">
        <f>base_dados_proj!C15</f>
        <v>500</v>
      </c>
      <c r="E23" s="68">
        <f t="shared" ref="E23:E24" si="5">SUM(K23,M23,O23)/COUNTIF(K23:O23,"&gt;0")</f>
        <v>202.45840000000001</v>
      </c>
      <c r="F23" s="99">
        <f t="shared" ref="F23:F24" si="6">D23*E23</f>
        <v>101229.20000000001</v>
      </c>
      <c r="G23" s="77"/>
      <c r="H23" s="77"/>
      <c r="I23" s="77"/>
      <c r="J23" s="78" t="s">
        <v>120</v>
      </c>
      <c r="K23" s="79">
        <f>IFERROR(VLOOKUP($B23,base_índices!$A:$R,VLOOKUP(APRESENTAÇÃO!J23,base_índices!$A$142:$B$158,2,FALSE),FALSE),0)</f>
        <v>202.45840000000001</v>
      </c>
      <c r="L23" s="79"/>
      <c r="M23" s="79"/>
      <c r="N23" s="78"/>
      <c r="O23" s="79"/>
    </row>
    <row r="24" spans="2:15" s="67" customFormat="1" ht="18" customHeight="1" x14ac:dyDescent="0.25">
      <c r="B24" s="10" t="s">
        <v>236</v>
      </c>
      <c r="C24" s="63" t="str">
        <f t="shared" si="4"/>
        <v xml:space="preserve">Custo baseado em HISTÓRICO DE CUSTO / PADRÃO ATUAL -  - </v>
      </c>
      <c r="D24" s="74">
        <f>base_dados_proj!C13</f>
        <v>500</v>
      </c>
      <c r="E24" s="68">
        <f t="shared" si="5"/>
        <v>213.82859999999999</v>
      </c>
      <c r="F24" s="99">
        <f t="shared" si="6"/>
        <v>106914.3</v>
      </c>
      <c r="G24" s="77"/>
      <c r="H24" s="77"/>
      <c r="I24" s="77"/>
      <c r="J24" s="78" t="s">
        <v>120</v>
      </c>
      <c r="K24" s="79">
        <f>IFERROR(VLOOKUP($B24,base_índices!$A:$R,VLOOKUP(APRESENTAÇÃO!J24,base_índices!$A$142:$B$158,2,FALSE),FALSE),0)</f>
        <v>213.82859999999999</v>
      </c>
      <c r="L24" s="79"/>
      <c r="M24" s="79"/>
      <c r="N24" s="78"/>
      <c r="O24" s="79"/>
    </row>
    <row r="25" spans="2:15" s="67" customFormat="1" ht="18" customHeight="1" x14ac:dyDescent="0.25">
      <c r="B25" s="10" t="s">
        <v>239</v>
      </c>
      <c r="C25" s="63" t="str">
        <f>CONCATENATE("Custo baseado em ",J25," - ",L25," - RATEIO EMPREEND. ",N25)</f>
        <v xml:space="preserve">Custo baseado em HISTÓRICO DE CUSTO / PADRÃO ATUAL -  - RATEIO EMPREEND. </v>
      </c>
      <c r="D25" s="74">
        <v>2</v>
      </c>
      <c r="E25" s="68">
        <v>900000</v>
      </c>
      <c r="F25" s="99">
        <f>'RATEIO EEE'!G6</f>
        <v>264610.69168833509</v>
      </c>
      <c r="G25" s="77"/>
      <c r="H25" s="155"/>
      <c r="I25" s="155"/>
      <c r="J25" s="78" t="s">
        <v>120</v>
      </c>
      <c r="K25" s="79">
        <f>IFERROR(VLOOKUP($B25,base_índices!$A:$R,VLOOKUP(APRESENTAÇÃO!J25,base_índices!$A$142:$B$158,2,FALSE),FALSE),0)</f>
        <v>450000</v>
      </c>
      <c r="L25" s="79"/>
      <c r="M25" s="79"/>
      <c r="N25" s="78"/>
      <c r="O25" s="79"/>
    </row>
    <row r="26" spans="2:15" s="67" customFormat="1" ht="18" hidden="1" customHeight="1" x14ac:dyDescent="0.25">
      <c r="B26" s="134" t="s">
        <v>97</v>
      </c>
      <c r="C26" s="135" t="str">
        <f t="shared" ref="C26" si="7">CONCATENATE("Custo baseado em ",J26," - ",L26," - ",N26)</f>
        <v xml:space="preserve">Custo baseado em HISTÓRICO DE CUSTO / PADRÃO ATUAL -  - </v>
      </c>
      <c r="D26" s="136">
        <f>base_dados_proj!C16</f>
        <v>0</v>
      </c>
      <c r="E26" s="137">
        <f t="shared" ref="E26" si="8">SUM(K26,M26,O26)/COUNTIF(K26:O26,"&gt;0")</f>
        <v>990717.14769999997</v>
      </c>
      <c r="F26" s="138"/>
      <c r="G26" s="77"/>
      <c r="H26" s="77"/>
      <c r="I26" s="77"/>
      <c r="J26" s="78" t="s">
        <v>120</v>
      </c>
      <c r="K26" s="79">
        <f>IFERROR(VLOOKUP($B26,base_índices!$A:$R,VLOOKUP(APRESENTAÇÃO!J26,base_índices!$A$142:$B$158,2,FALSE),FALSE),0)</f>
        <v>990717.14769999997</v>
      </c>
      <c r="L26" s="79"/>
      <c r="M26" s="79"/>
      <c r="N26" s="78"/>
      <c r="O26" s="79"/>
    </row>
    <row r="27" spans="2:15" s="67" customFormat="1" ht="18" customHeight="1" x14ac:dyDescent="0.25">
      <c r="B27" s="70" t="s">
        <v>331</v>
      </c>
      <c r="C27" s="71" t="str">
        <f t="shared" ref="C27:C28" si="9">CONCATENATE("Custo baseado em ",J27," - ",L27," - ",N27)</f>
        <v xml:space="preserve">Custo baseado em HISTÓRICO DE CUSTO / PADRÃO ATUAL -  - </v>
      </c>
      <c r="D27" s="75">
        <f>base_dados_proj!C6</f>
        <v>313</v>
      </c>
      <c r="E27" s="72">
        <f t="shared" ref="E27:E28" si="10">SUM(K27,M27,O27)/COUNTIF(K27:O27,"&gt;0")</f>
        <v>929.33330000000001</v>
      </c>
      <c r="F27" s="99">
        <f t="shared" ref="F27:F28" si="11">D27*E27</f>
        <v>290881.32290000003</v>
      </c>
      <c r="G27" s="77"/>
      <c r="H27" s="77"/>
      <c r="I27" s="77"/>
      <c r="J27" s="78" t="s">
        <v>120</v>
      </c>
      <c r="K27" s="79">
        <f>IFERROR(VLOOKUP($B27,base_índices!$A:$R,VLOOKUP(APRESENTAÇÃO!J27,base_índices!$A$142:$B$158,2,FALSE),FALSE),0)</f>
        <v>929.33330000000001</v>
      </c>
      <c r="L27" s="79"/>
      <c r="M27" s="79"/>
      <c r="N27" s="78"/>
      <c r="O27" s="79"/>
    </row>
    <row r="28" spans="2:15" s="67" customFormat="1" ht="18" customHeight="1" x14ac:dyDescent="0.25">
      <c r="B28" s="70" t="s">
        <v>330</v>
      </c>
      <c r="C28" s="71" t="str">
        <f t="shared" si="9"/>
        <v xml:space="preserve">Custo baseado em HISTÓRICO DE CUSTO / PADRÃO ATUAL -  - </v>
      </c>
      <c r="D28" s="75">
        <f>base_dados_proj!C6</f>
        <v>313</v>
      </c>
      <c r="E28" s="72">
        <f t="shared" si="10"/>
        <v>1200.6575</v>
      </c>
      <c r="F28" s="99">
        <f t="shared" si="11"/>
        <v>375805.79749999999</v>
      </c>
      <c r="G28" s="77"/>
      <c r="H28" s="77"/>
      <c r="I28" s="77"/>
      <c r="J28" s="78" t="s">
        <v>120</v>
      </c>
      <c r="K28" s="79">
        <f>IFERROR(VLOOKUP($B28,base_índices!$A:$R,VLOOKUP(APRESENTAÇÃO!J28,base_índices!$A$142:$B$158,2,FALSE),FALSE),0)</f>
        <v>1200.6575</v>
      </c>
      <c r="L28" s="79"/>
      <c r="M28" s="79"/>
      <c r="N28" s="78"/>
      <c r="O28" s="79"/>
    </row>
    <row r="29" spans="2:15" s="16" customFormat="1" ht="18" customHeight="1" x14ac:dyDescent="0.25">
      <c r="B29" s="193" t="s">
        <v>71</v>
      </c>
      <c r="C29" s="195" t="s">
        <v>82</v>
      </c>
      <c r="D29" s="196"/>
      <c r="E29" s="197"/>
      <c r="F29" s="101">
        <f>SUM(F31:F48)</f>
        <v>78349.431199375264</v>
      </c>
      <c r="G29" s="77"/>
      <c r="H29" s="133"/>
      <c r="I29" s="133"/>
      <c r="J29" s="78" t="s">
        <v>120</v>
      </c>
      <c r="K29" s="79">
        <f>IFERROR(VLOOKUP($B29,base_índices!$A:$R,VLOOKUP(APRESENTAÇÃO!J29,base_índices!$A$142:$B$158,2,FALSE),FALSE),0)</f>
        <v>0</v>
      </c>
      <c r="L29" s="79"/>
      <c r="M29" s="30"/>
      <c r="N29" s="29"/>
      <c r="O29" s="41"/>
    </row>
    <row r="30" spans="2:15" s="16" customFormat="1" ht="18" customHeight="1" x14ac:dyDescent="0.25">
      <c r="B30" s="194" t="s">
        <v>72</v>
      </c>
      <c r="C30" s="24" t="s">
        <v>81</v>
      </c>
      <c r="D30" s="25" t="s">
        <v>69</v>
      </c>
      <c r="E30" s="26" t="s">
        <v>79</v>
      </c>
      <c r="F30" s="102" t="s">
        <v>80</v>
      </c>
      <c r="G30" s="77"/>
      <c r="H30" s="77"/>
      <c r="I30" s="77"/>
      <c r="J30" s="78" t="s">
        <v>120</v>
      </c>
      <c r="K30" s="79">
        <f>IFERROR(VLOOKUP($B30,base_índices!$A:$R,VLOOKUP(APRESENTAÇÃO!J30,base_índices!$A$142:$B$158,2,FALSE),FALSE),0)</f>
        <v>0</v>
      </c>
      <c r="L30" s="79"/>
      <c r="M30" s="30"/>
      <c r="N30" s="29"/>
      <c r="O30" s="41"/>
    </row>
    <row r="31" spans="2:15" s="73" customFormat="1" ht="18" hidden="1" customHeight="1" x14ac:dyDescent="0.25">
      <c r="B31" s="134" t="s">
        <v>31</v>
      </c>
      <c r="C31" s="135" t="str">
        <f>CONCATENATE("Custo baseado em ",J31," - ",L31," - ",N31)</f>
        <v xml:space="preserve">Custo baseado em HISTÓRICO DE CUSTO / PADRÃO ATUAL -  - </v>
      </c>
      <c r="D31" s="136">
        <f>SUM(base_dados_proj!C28+base_dados_proj!E25)</f>
        <v>0</v>
      </c>
      <c r="E31" s="137">
        <f>SUM(K31,M31,O31)/COUNTIF(K31:O31,"&gt;0")</f>
        <v>2.2397999999999998</v>
      </c>
      <c r="F31" s="138">
        <f>D31*E31</f>
        <v>0</v>
      </c>
      <c r="G31" s="85"/>
      <c r="H31" s="85"/>
      <c r="I31" s="85"/>
      <c r="J31" s="78" t="s">
        <v>120</v>
      </c>
      <c r="K31" s="79">
        <f>IFERROR(VLOOKUP($B31,base_índices!$A:$R,VLOOKUP(APRESENTAÇÃO!J31,base_índices!$A$142:$B$158,2,FALSE),FALSE),0)</f>
        <v>2.2397999999999998</v>
      </c>
      <c r="L31" s="84"/>
      <c r="M31" s="84"/>
      <c r="N31" s="83"/>
      <c r="O31" s="84"/>
    </row>
    <row r="32" spans="2:15" s="73" customFormat="1" ht="18" hidden="1" customHeight="1" x14ac:dyDescent="0.25">
      <c r="B32" s="134" t="s">
        <v>112</v>
      </c>
      <c r="C32" s="135" t="str">
        <f>CONCATENATE("Custo baseado em ",J32," - ",L32," - ",N32)</f>
        <v xml:space="preserve">Custo baseado em HISTÓRICO DE CUSTO / PADRÃO ATUAL -  - </v>
      </c>
      <c r="D32" s="136">
        <f>D31</f>
        <v>0</v>
      </c>
      <c r="E32" s="137">
        <f>SUM(K32,M32,O32)/COUNTIF(K32:O32,"&gt;0")</f>
        <v>8.5052000000000003</v>
      </c>
      <c r="F32" s="138">
        <f>D32*E32</f>
        <v>0</v>
      </c>
      <c r="G32" s="85"/>
      <c r="H32" s="85"/>
      <c r="I32" s="85"/>
      <c r="J32" s="78" t="s">
        <v>120</v>
      </c>
      <c r="K32" s="79">
        <f>IFERROR(VLOOKUP($B32,base_índices!$A:$R,VLOOKUP(APRESENTAÇÃO!J32,base_índices!$A$142:$B$158,2,FALSE),FALSE),0)</f>
        <v>8.5052000000000003</v>
      </c>
      <c r="L32" s="84"/>
      <c r="M32" s="84"/>
      <c r="N32" s="83"/>
      <c r="O32" s="84"/>
    </row>
    <row r="33" spans="2:15" s="73" customFormat="1" ht="18" hidden="1" customHeight="1" x14ac:dyDescent="0.25">
      <c r="B33" s="134" t="s">
        <v>116</v>
      </c>
      <c r="C33" s="135" t="str">
        <f>CONCATENATE("Custo baseado em ",J33," - ",L33," - ",N33)</f>
        <v xml:space="preserve">Custo baseado em HISTÓRICO DE CUSTO / PADRÃO ATUAL -  - </v>
      </c>
      <c r="D33" s="136">
        <f>base_dados_proj!C20</f>
        <v>0</v>
      </c>
      <c r="E33" s="137">
        <f>SUM(K33,M33,O33)/COUNTIF(K33:O33,"&gt;0")</f>
        <v>50</v>
      </c>
      <c r="F33" s="138">
        <f t="shared" ref="F33:F48" si="12">D33*E33</f>
        <v>0</v>
      </c>
      <c r="G33" s="87"/>
      <c r="H33" s="87"/>
      <c r="I33" s="87"/>
      <c r="J33" s="78" t="s">
        <v>120</v>
      </c>
      <c r="K33" s="79">
        <f>IFERROR(VLOOKUP($B33,base_índices!$A:$R,VLOOKUP(APRESENTAÇÃO!J33,base_índices!$A$142:$B$158,2,FALSE),FALSE),0)</f>
        <v>50</v>
      </c>
      <c r="L33" s="84"/>
      <c r="M33" s="84"/>
      <c r="N33" s="83"/>
      <c r="O33" s="84"/>
    </row>
    <row r="34" spans="2:15" s="73" customFormat="1" ht="18" hidden="1" customHeight="1" x14ac:dyDescent="0.25">
      <c r="B34" s="134" t="s">
        <v>242</v>
      </c>
      <c r="C34" s="135" t="str">
        <f t="shared" ref="C34:C35" si="13">CONCATENATE("Custo baseado em ",J34," - ",L34," - ",N34)</f>
        <v xml:space="preserve">Custo baseado em HISTÓRICO DE CUSTO / PADRÃO ATUAL -  - </v>
      </c>
      <c r="D34" s="136">
        <f>base_dados_proj!C6</f>
        <v>313</v>
      </c>
      <c r="E34" s="137">
        <f>SUM(K34,M34,O34)/COUNTIF(K34:O34,"&gt;0")</f>
        <v>2568.1403</v>
      </c>
      <c r="F34" s="144"/>
      <c r="G34" s="77"/>
      <c r="H34" s="77"/>
      <c r="I34" s="77"/>
      <c r="J34" s="78" t="s">
        <v>120</v>
      </c>
      <c r="K34" s="79">
        <f>IFERROR(VLOOKUP($B34,base_índices!$A:$R,VLOOKUP(APRESENTAÇÃO!J34,base_índices!$A$142:$B$158,2,FALSE),FALSE),0)</f>
        <v>2568.1403</v>
      </c>
      <c r="L34" s="84"/>
      <c r="M34" s="84"/>
      <c r="N34" s="83"/>
      <c r="O34" s="84"/>
    </row>
    <row r="35" spans="2:15" s="73" customFormat="1" ht="18" hidden="1" customHeight="1" x14ac:dyDescent="0.25">
      <c r="B35" s="134" t="s">
        <v>104</v>
      </c>
      <c r="C35" s="135" t="str">
        <f t="shared" si="13"/>
        <v xml:space="preserve">Custo baseado em HISTÓRICO DE CUSTO / PADRÃO ATUAL -  - </v>
      </c>
      <c r="D35" s="136">
        <f>base_dados_proj!C6</f>
        <v>313</v>
      </c>
      <c r="E35" s="137">
        <f t="shared" ref="E35" si="14">SUM(K35,M35,O35)/COUNTIF(K35:O35,"&gt;0")</f>
        <v>45.240900000000003</v>
      </c>
      <c r="F35" s="144"/>
      <c r="G35" s="87"/>
      <c r="H35" s="87"/>
      <c r="I35" s="87"/>
      <c r="J35" s="78" t="s">
        <v>120</v>
      </c>
      <c r="K35" s="79">
        <f>IFERROR(VLOOKUP($B35,base_índices!$A:$R,VLOOKUP(APRESENTAÇÃO!J35,base_índices!$A$142:$B$158,2,FALSE),FALSE),0)</f>
        <v>45.240900000000003</v>
      </c>
      <c r="L35" s="84"/>
      <c r="M35" s="84"/>
      <c r="N35" s="83"/>
      <c r="O35" s="84"/>
    </row>
    <row r="36" spans="2:15" s="67" customFormat="1" ht="18" hidden="1" customHeight="1" x14ac:dyDescent="0.25">
      <c r="B36" s="141" t="s">
        <v>34</v>
      </c>
      <c r="C36" s="142" t="str">
        <f>CONCATENATE("Custo baseado em ",J36," - ",L36," - ",N36)</f>
        <v xml:space="preserve">Custo baseado em HISTÓRICO DE CUSTO / PADRÃO ATUAL -  - </v>
      </c>
      <c r="D36" s="143">
        <f>base_dados_proj!C23</f>
        <v>0</v>
      </c>
      <c r="E36" s="145">
        <f>SUM(K36,M36,O36)/COUNTIF(K36:O36,"&gt;0")</f>
        <v>69.5428</v>
      </c>
      <c r="F36" s="138">
        <f t="shared" si="12"/>
        <v>0</v>
      </c>
      <c r="G36" s="77"/>
      <c r="H36" s="77"/>
      <c r="I36" s="77"/>
      <c r="J36" s="78" t="s">
        <v>120</v>
      </c>
      <c r="K36" s="79">
        <f>IFERROR(VLOOKUP($B36,base_índices!$A:$R,VLOOKUP(APRESENTAÇÃO!J36,base_índices!$A$142:$B$158,2,FALSE),FALSE),0)</f>
        <v>69.5428</v>
      </c>
      <c r="L36" s="79"/>
      <c r="M36" s="79"/>
      <c r="N36" s="78"/>
      <c r="O36" s="79"/>
    </row>
    <row r="37" spans="2:15" s="67" customFormat="1" ht="18" hidden="1" customHeight="1" x14ac:dyDescent="0.25">
      <c r="B37" s="146" t="s">
        <v>127</v>
      </c>
      <c r="C37" s="142" t="str">
        <f>CONCATENATE("Custo baseado em ",J37," - ",L37," - ",N37)</f>
        <v xml:space="preserve">Custo baseado em HISTÓRICO DE CUSTO / PADRÃO ATUAL -  - </v>
      </c>
      <c r="D37" s="143">
        <f>base_dados_proj!C22</f>
        <v>0</v>
      </c>
      <c r="E37" s="145">
        <f>SUM(K37,M37,O37)/COUNTIF(K37:O37,"&gt;0")</f>
        <v>67.252899999999997</v>
      </c>
      <c r="F37" s="138">
        <f t="shared" si="12"/>
        <v>0</v>
      </c>
      <c r="G37" s="87"/>
      <c r="H37" s="87"/>
      <c r="I37" s="87"/>
      <c r="J37" s="78" t="s">
        <v>120</v>
      </c>
      <c r="K37" s="79">
        <f>IFERROR(VLOOKUP($B37,base_índices!$A:$R,VLOOKUP(APRESENTAÇÃO!J37,base_índices!$A$142:$B$158,2,FALSE),FALSE),0)</f>
        <v>67.252899999999997</v>
      </c>
      <c r="L37" s="79"/>
      <c r="M37" s="79"/>
      <c r="N37" s="78"/>
      <c r="O37" s="79"/>
    </row>
    <row r="38" spans="2:15" s="67" customFormat="1" ht="18" hidden="1" customHeight="1" x14ac:dyDescent="0.25">
      <c r="B38" s="134" t="s">
        <v>102</v>
      </c>
      <c r="C38" s="135" t="s">
        <v>70</v>
      </c>
      <c r="D38" s="136">
        <v>1</v>
      </c>
      <c r="E38" s="137">
        <f>'Pavimentação externa'!B28</f>
        <v>0</v>
      </c>
      <c r="F38" s="138">
        <f t="shared" si="12"/>
        <v>0</v>
      </c>
      <c r="G38" s="87"/>
      <c r="H38" s="87"/>
      <c r="I38" s="87"/>
      <c r="J38" s="78" t="s">
        <v>120</v>
      </c>
      <c r="K38" s="79">
        <f>IFERROR(VLOOKUP($B38,base_índices!$A:$R,VLOOKUP(APRESENTAÇÃO!J38,base_índices!$A$142:$B$158,2,FALSE),FALSE),0)</f>
        <v>0</v>
      </c>
      <c r="L38" s="79"/>
      <c r="M38" s="79"/>
      <c r="N38" s="78"/>
      <c r="O38" s="79"/>
    </row>
    <row r="39" spans="2:15" s="73" customFormat="1" ht="18" hidden="1" customHeight="1" x14ac:dyDescent="0.25">
      <c r="B39" s="134" t="s">
        <v>114</v>
      </c>
      <c r="C39" s="135" t="str">
        <f>CONCATENATE("Custo baseado em ",J39," - ",L39," - ",N39)</f>
        <v xml:space="preserve">Custo baseado em HISTÓRICO DE CUSTO / PADRÃO ATUAL -  - </v>
      </c>
      <c r="D39" s="136">
        <v>1</v>
      </c>
      <c r="E39" s="137">
        <f>SUM(K39,M39,O39)/COUNTIF(K39:O39,"&gt;0")</f>
        <v>95418.044599999994</v>
      </c>
      <c r="F39" s="138"/>
      <c r="J39" s="78" t="s">
        <v>120</v>
      </c>
      <c r="K39" s="79">
        <f>IFERROR(VLOOKUP($B39,base_índices!$A:$R,VLOOKUP(APRESENTAÇÃO!J39,base_índices!$A$142:$B$158,2,FALSE),FALSE),0)</f>
        <v>95418.044599999994</v>
      </c>
      <c r="L39" s="84"/>
      <c r="M39" s="84"/>
      <c r="N39" s="83"/>
      <c r="O39" s="84"/>
    </row>
    <row r="40" spans="2:15" s="105" customFormat="1" ht="20.100000000000001" customHeight="1" x14ac:dyDescent="0.25">
      <c r="B40" s="122" t="s">
        <v>162</v>
      </c>
      <c r="C40" s="150" t="s">
        <v>163</v>
      </c>
      <c r="D40" s="82">
        <v>1</v>
      </c>
      <c r="E40" s="76">
        <f>'RATEIO ENERGIA'!F6</f>
        <v>78349.431199375264</v>
      </c>
      <c r="F40" s="100">
        <f t="shared" si="12"/>
        <v>78349.431199375264</v>
      </c>
      <c r="G40" s="106"/>
      <c r="H40" s="106"/>
      <c r="I40" s="106"/>
      <c r="J40" s="78" t="s">
        <v>120</v>
      </c>
      <c r="K40" s="79">
        <f>IFERROR(VLOOKUP($B40,base_índices!$A:$R,VLOOKUP(APRESENTAÇÃO!J40,base_índices!$A$142:$B$158,2,FALSE),FALSE),0)</f>
        <v>0</v>
      </c>
      <c r="L40" s="157"/>
      <c r="M40" s="79"/>
      <c r="N40" s="8"/>
      <c r="O40" s="79"/>
    </row>
    <row r="41" spans="2:15" s="69" customFormat="1" ht="18" hidden="1" customHeight="1" x14ac:dyDescent="0.25">
      <c r="B41" s="134" t="s">
        <v>154</v>
      </c>
      <c r="C41" s="135" t="str">
        <f>CONCATENATE("Custo baseado em ",J41," - ",L41," - ",N41)</f>
        <v xml:space="preserve">Custo baseado em HISTÓRICO DE CUSTO / PADRÃO ATUAL -  - </v>
      </c>
      <c r="D41" s="136">
        <f>base_dados_proj!C27</f>
        <v>0</v>
      </c>
      <c r="E41" s="137">
        <f t="shared" ref="E41:E48" si="15">SUM(K41,M41,O41)/COUNTIF(K41:O41,"&gt;0")</f>
        <v>1083.0071</v>
      </c>
      <c r="F41" s="138">
        <f t="shared" si="12"/>
        <v>0</v>
      </c>
      <c r="G41" s="92"/>
      <c r="H41" s="92"/>
      <c r="I41" s="92"/>
      <c r="J41" s="78" t="s">
        <v>120</v>
      </c>
      <c r="K41" s="79">
        <f>IFERROR(VLOOKUP($B41,base_índices!$A:$R,VLOOKUP(APRESENTAÇÃO!J41,base_índices!$A$142:$B$158,2,FALSE),FALSE),0)</f>
        <v>1083.0071</v>
      </c>
      <c r="L41" s="91"/>
      <c r="M41" s="91"/>
      <c r="N41" s="88"/>
      <c r="O41" s="91"/>
    </row>
    <row r="42" spans="2:15" s="73" customFormat="1" ht="18" hidden="1" customHeight="1" x14ac:dyDescent="0.25">
      <c r="B42" s="134" t="s">
        <v>117</v>
      </c>
      <c r="C42" s="135" t="str">
        <f t="shared" ref="C42:C45" si="16">CONCATENATE("Custo baseado em ",J42," - ",L42," - ",N42)</f>
        <v xml:space="preserve">Custo baseado em HISTÓRICO DE CUSTO / PADRÃO ATUAL -  - </v>
      </c>
      <c r="D42" s="136">
        <f>base_dados_proj!C20</f>
        <v>0</v>
      </c>
      <c r="E42" s="137">
        <f t="shared" si="15"/>
        <v>33.3093</v>
      </c>
      <c r="F42" s="144">
        <f>D42*E42</f>
        <v>0</v>
      </c>
      <c r="G42" s="87"/>
      <c r="H42" s="87"/>
      <c r="I42" s="87"/>
      <c r="J42" s="78" t="s">
        <v>120</v>
      </c>
      <c r="K42" s="79">
        <f>IFERROR(VLOOKUP($B42,base_índices!$A:$R,VLOOKUP(APRESENTAÇÃO!J42,base_índices!$A$142:$B$158,2,FALSE),FALSE),0)</f>
        <v>33.3093</v>
      </c>
      <c r="L42" s="84"/>
      <c r="M42" s="84"/>
      <c r="N42" s="83"/>
      <c r="O42" s="84"/>
    </row>
    <row r="43" spans="2:15" s="73" customFormat="1" ht="18" hidden="1" customHeight="1" x14ac:dyDescent="0.25">
      <c r="B43" s="134" t="s">
        <v>140</v>
      </c>
      <c r="C43" s="135" t="str">
        <f t="shared" si="16"/>
        <v xml:space="preserve">Custo baseado em HISTÓRICO DE CUSTO / PADRÃO ATUAL -  - </v>
      </c>
      <c r="D43" s="136">
        <f>base_dados_proj!C6</f>
        <v>313</v>
      </c>
      <c r="E43" s="137">
        <f t="shared" si="15"/>
        <v>215.49809999999999</v>
      </c>
      <c r="F43" s="144"/>
      <c r="G43" s="87"/>
      <c r="H43" s="87"/>
      <c r="I43" s="87"/>
      <c r="J43" s="78" t="s">
        <v>120</v>
      </c>
      <c r="K43" s="79">
        <f>IFERROR(VLOOKUP($B43,base_índices!$A:$R,VLOOKUP(APRESENTAÇÃO!J43,base_índices!$A$142:$B$158,2,FALSE),FALSE),0)</f>
        <v>215.49809999999999</v>
      </c>
      <c r="L43" s="84"/>
      <c r="M43" s="84"/>
      <c r="N43" s="83"/>
      <c r="O43" s="84"/>
    </row>
    <row r="44" spans="2:15" s="73" customFormat="1" ht="18" hidden="1" customHeight="1" x14ac:dyDescent="0.25">
      <c r="B44" s="134" t="s">
        <v>246</v>
      </c>
      <c r="C44" s="135" t="str">
        <f t="shared" si="16"/>
        <v xml:space="preserve">Custo baseado em HISTÓRICO DE CUSTO / PADRÃO ATUAL -  - </v>
      </c>
      <c r="D44" s="136">
        <f>base_dados_proj!C6</f>
        <v>313</v>
      </c>
      <c r="E44" s="137">
        <f t="shared" si="15"/>
        <v>500</v>
      </c>
      <c r="F44" s="144"/>
      <c r="G44" s="87"/>
      <c r="H44" s="87"/>
      <c r="I44" s="87"/>
      <c r="J44" s="78" t="s">
        <v>120</v>
      </c>
      <c r="K44" s="79">
        <f>IFERROR(VLOOKUP($B44,base_índices!$A:$R,VLOOKUP(APRESENTAÇÃO!J44,base_índices!$A$142:$B$158,2,FALSE),FALSE),0)</f>
        <v>500</v>
      </c>
      <c r="L44" s="84"/>
      <c r="M44" s="84"/>
      <c r="N44" s="83"/>
      <c r="O44" s="84"/>
    </row>
    <row r="45" spans="2:15" s="69" customFormat="1" ht="18" hidden="1" customHeight="1" x14ac:dyDescent="0.25">
      <c r="B45" s="134" t="s">
        <v>206</v>
      </c>
      <c r="C45" s="135" t="str">
        <f t="shared" si="16"/>
        <v xml:space="preserve">Custo baseado em HISTÓRICO DE CUSTO / PADRÃO ATUAL -  - </v>
      </c>
      <c r="D45" s="136">
        <f>base_dados_proj!C26</f>
        <v>0</v>
      </c>
      <c r="E45" s="137">
        <f t="shared" si="15"/>
        <v>258.74</v>
      </c>
      <c r="F45" s="144">
        <f t="shared" ref="F45" si="17">D45*E45</f>
        <v>0</v>
      </c>
      <c r="J45" s="78" t="s">
        <v>120</v>
      </c>
      <c r="K45" s="79">
        <f>IFERROR(VLOOKUP($B45,base_índices!$A:$R,VLOOKUP(APRESENTAÇÃO!J45,base_índices!$A$142:$B$158,2,FALSE),FALSE),0)</f>
        <v>258.74</v>
      </c>
      <c r="L45" s="91"/>
      <c r="M45" s="91"/>
      <c r="N45" s="88"/>
      <c r="O45" s="91"/>
    </row>
    <row r="46" spans="2:15" ht="18" hidden="1" customHeight="1" x14ac:dyDescent="0.25">
      <c r="B46" s="141" t="s">
        <v>121</v>
      </c>
      <c r="C46" s="142" t="str">
        <f>CONCATENATE("Custo baseado em ",J46," - ",L46," - ",N46)</f>
        <v xml:space="preserve">Custo baseado em HISTÓRICO DE CUSTO / PADRÃO ATUAL -  - </v>
      </c>
      <c r="D46" s="143">
        <f>base_dados_proj!C28</f>
        <v>0</v>
      </c>
      <c r="E46" s="145">
        <f t="shared" si="15"/>
        <v>66</v>
      </c>
      <c r="F46" s="138">
        <f t="shared" si="12"/>
        <v>0</v>
      </c>
      <c r="J46" s="78" t="s">
        <v>120</v>
      </c>
      <c r="K46" s="79">
        <f>IFERROR(VLOOKUP($B46,base_índices!$A:$R,VLOOKUP(APRESENTAÇÃO!J46,base_índices!$A$142:$B$158,2,FALSE),FALSE),0)</f>
        <v>66</v>
      </c>
      <c r="O46" s="30"/>
    </row>
    <row r="47" spans="2:15" ht="18" hidden="1" customHeight="1" x14ac:dyDescent="0.25">
      <c r="B47" s="141" t="s">
        <v>37</v>
      </c>
      <c r="C47" s="142" t="str">
        <f>CONCATENATE("Custo baseado em ",J47," - ",L47," - ",N47)</f>
        <v xml:space="preserve">Custo baseado em HISTÓRICO DE CUSTO / PADRÃO ATUAL -  - </v>
      </c>
      <c r="D47" s="143">
        <f>base_dados_proj!C25</f>
        <v>0</v>
      </c>
      <c r="E47" s="145">
        <f t="shared" si="15"/>
        <v>10.5</v>
      </c>
      <c r="F47" s="138">
        <f t="shared" si="12"/>
        <v>0</v>
      </c>
      <c r="J47" s="78" t="s">
        <v>120</v>
      </c>
      <c r="K47" s="79">
        <f>IFERROR(VLOOKUP($B47,base_índices!$A:$R,VLOOKUP(APRESENTAÇÃO!J47,base_índices!$A$142:$B$158,2,FALSE),FALSE),0)</f>
        <v>10.5</v>
      </c>
      <c r="O47" s="30"/>
    </row>
    <row r="48" spans="2:15" s="67" customFormat="1" ht="18" hidden="1" customHeight="1" x14ac:dyDescent="0.25">
      <c r="B48" s="141" t="s">
        <v>155</v>
      </c>
      <c r="C48" s="142" t="str">
        <f>CONCATENATE("Custo baseado em ",J48," - ",L48," - ",N48)</f>
        <v xml:space="preserve">Custo baseado em HISTÓRICO DE CUSTO / PADRÃO ATUAL -  - </v>
      </c>
      <c r="D48" s="143">
        <f>base_dados_proj!C27</f>
        <v>0</v>
      </c>
      <c r="E48" s="145">
        <f t="shared" si="15"/>
        <v>29.432500000000001</v>
      </c>
      <c r="F48" s="138">
        <f t="shared" si="12"/>
        <v>0</v>
      </c>
      <c r="G48" s="77"/>
      <c r="H48" s="77"/>
      <c r="I48" s="77"/>
      <c r="J48" s="78" t="s">
        <v>120</v>
      </c>
      <c r="K48" s="79">
        <f>IFERROR(VLOOKUP($B48,base_índices!$A:$R,VLOOKUP(APRESENTAÇÃO!J48,base_índices!$A$142:$B$158,2,FALSE),FALSE),0)</f>
        <v>29.432500000000001</v>
      </c>
      <c r="L48" s="79"/>
      <c r="M48" s="79"/>
      <c r="N48" s="78"/>
      <c r="O48" s="79"/>
    </row>
    <row r="49" spans="2:15" ht="18" customHeight="1" x14ac:dyDescent="0.25">
      <c r="B49" s="182" t="s">
        <v>74</v>
      </c>
      <c r="C49" s="177" t="s">
        <v>82</v>
      </c>
      <c r="D49" s="178"/>
      <c r="E49" s="179"/>
      <c r="F49" s="96">
        <f>SUM(F51:F52)</f>
        <v>375300.85137599998</v>
      </c>
      <c r="J49" s="78" t="s">
        <v>120</v>
      </c>
      <c r="K49" s="79">
        <f>IFERROR(VLOOKUP($B49,base_índices!$A:$R,VLOOKUP(APRESENTAÇÃO!J49,base_índices!$A$142:$B$158,2,FALSE),FALSE),0)</f>
        <v>0</v>
      </c>
    </row>
    <row r="50" spans="2:15" ht="18" customHeight="1" x14ac:dyDescent="0.25">
      <c r="B50" s="181" t="s">
        <v>72</v>
      </c>
      <c r="C50" s="14" t="s">
        <v>81</v>
      </c>
      <c r="D50" s="22" t="s">
        <v>69</v>
      </c>
      <c r="E50" s="15" t="s">
        <v>79</v>
      </c>
      <c r="F50" s="97" t="s">
        <v>80</v>
      </c>
      <c r="J50" s="78" t="s">
        <v>120</v>
      </c>
      <c r="K50" s="79">
        <f>IFERROR(VLOOKUP($B50,base_índices!$A:$R,VLOOKUP(APRESENTAÇÃO!J50,base_índices!$A$142:$B$158,2,FALSE),FALSE),0)</f>
        <v>0</v>
      </c>
    </row>
    <row r="51" spans="2:15" ht="18" customHeight="1" x14ac:dyDescent="0.25">
      <c r="B51" s="10" t="s">
        <v>31</v>
      </c>
      <c r="C51" s="6" t="str">
        <f>CONCATENATE("Custo baseado em ",J51," - ",L51," - ",N51)</f>
        <v xml:space="preserve">Custo baseado em HISTÓRICO DE CUSTO / PADRÃO ATUAL -  - </v>
      </c>
      <c r="D51" s="23">
        <f>base_dados_proj!C7</f>
        <v>151487.12</v>
      </c>
      <c r="E51" s="11">
        <f>SUM(K51,M51,O51)/COUNTIF(K51:O51,"&gt;0")</f>
        <v>2.2397999999999998</v>
      </c>
      <c r="F51" s="99">
        <f>D51*E51</f>
        <v>339300.85137599998</v>
      </c>
      <c r="J51" s="78" t="s">
        <v>120</v>
      </c>
      <c r="K51" s="79">
        <f>IFERROR(VLOOKUP($B51,base_índices!$A:$R,VLOOKUP(APRESENTAÇÃO!J51,base_índices!$A$142:$B$158,2,FALSE),FALSE),0)</f>
        <v>2.2397999999999998</v>
      </c>
      <c r="O51" s="30"/>
    </row>
    <row r="52" spans="2:15" s="67" customFormat="1" ht="18" customHeight="1" x14ac:dyDescent="0.25">
      <c r="B52" s="80" t="s">
        <v>96</v>
      </c>
      <c r="C52" s="81" t="str">
        <f>CONCATENATE("Custo baseado em ",J52," - ",L52," - ",N52)</f>
        <v xml:space="preserve">Custo baseado em HISTÓRICO DE CUSTO / PADRÃO ATUAL -  - </v>
      </c>
      <c r="D52" s="82">
        <v>0.6</v>
      </c>
      <c r="E52" s="76">
        <f>SUM(K52,M52,O52)/COUNTIF(K52:O52,"&gt;0")</f>
        <v>60000</v>
      </c>
      <c r="F52" s="100">
        <f t="shared" ref="F52" si="18">D52*E52</f>
        <v>36000</v>
      </c>
      <c r="G52" s="77"/>
      <c r="H52" s="77"/>
      <c r="I52" s="77"/>
      <c r="J52" s="78" t="s">
        <v>120</v>
      </c>
      <c r="K52" s="79">
        <f>IFERROR(VLOOKUP($B52,base_índices!$A:$R,VLOOKUP(APRESENTAÇÃO!J52,base_índices!$A$142:$B$158,2,FALSE),FALSE),0)</f>
        <v>60000</v>
      </c>
      <c r="L52" s="79"/>
      <c r="M52" s="79"/>
      <c r="N52" s="78"/>
      <c r="O52" s="79"/>
    </row>
    <row r="53" spans="2:15" ht="18" customHeight="1" x14ac:dyDescent="0.25">
      <c r="B53" s="182" t="s">
        <v>75</v>
      </c>
      <c r="C53" s="177" t="s">
        <v>82</v>
      </c>
      <c r="D53" s="178"/>
      <c r="E53" s="179"/>
      <c r="F53" s="96">
        <f>SUM(F55:F68)</f>
        <v>8520602.4406009987</v>
      </c>
      <c r="J53" s="78" t="s">
        <v>120</v>
      </c>
      <c r="K53" s="79">
        <f>IFERROR(VLOOKUP($B53,base_índices!$A:$R,VLOOKUP(APRESENTAÇÃO!J53,base_índices!$A$142:$B$158,2,FALSE),FALSE),0)</f>
        <v>0</v>
      </c>
    </row>
    <row r="54" spans="2:15" ht="18" customHeight="1" x14ac:dyDescent="0.25">
      <c r="B54" s="181" t="s">
        <v>72</v>
      </c>
      <c r="C54" s="14" t="s">
        <v>81</v>
      </c>
      <c r="D54" s="22" t="s">
        <v>69</v>
      </c>
      <c r="E54" s="15" t="s">
        <v>79</v>
      </c>
      <c r="F54" s="97" t="s">
        <v>80</v>
      </c>
      <c r="J54" s="78" t="s">
        <v>120</v>
      </c>
      <c r="K54" s="79">
        <f>IFERROR(VLOOKUP($B54,base_índices!$A:$R,VLOOKUP(APRESENTAÇÃO!J54,base_índices!$A$142:$B$158,2,FALSE),FALSE),0)</f>
        <v>0</v>
      </c>
    </row>
    <row r="55" spans="2:15" s="18" customFormat="1" ht="18" customHeight="1" x14ac:dyDescent="0.25">
      <c r="B55" s="80" t="s">
        <v>111</v>
      </c>
      <c r="C55" s="81" t="str">
        <f t="shared" ref="C55:C62" si="19">CONCATENATE("Custo baseado em ",J55," - ",L55," - ",N55)</f>
        <v xml:space="preserve">Custo baseado em HISTÓRICO DE CUSTO / PADRÃO ATUAL -  - </v>
      </c>
      <c r="D55" s="82">
        <f>base_dados_proj!C7</f>
        <v>151487.12</v>
      </c>
      <c r="E55" s="76">
        <f t="shared" ref="E55:E62" si="20">SUM(K55,M55,O55)/COUNTIF(K55:O55,"&gt;0")</f>
        <v>5.0438000000000001</v>
      </c>
      <c r="F55" s="99">
        <f>D55*E55</f>
        <v>764070.73585599998</v>
      </c>
      <c r="G55" s="85"/>
      <c r="H55" s="85"/>
      <c r="I55" s="85"/>
      <c r="J55" s="78" t="s">
        <v>120</v>
      </c>
      <c r="K55" s="79">
        <f>IFERROR(VLOOKUP($B55,base_índices!$A:$R,VLOOKUP(APRESENTAÇÃO!J55,base_índices!$A$142:$B$158,2,FALSE),FALSE),0)</f>
        <v>5.0438000000000001</v>
      </c>
      <c r="L55" s="84"/>
      <c r="M55" s="33"/>
      <c r="N55" s="32"/>
      <c r="O55" s="33"/>
    </row>
    <row r="56" spans="2:15" s="18" customFormat="1" ht="18" customHeight="1" x14ac:dyDescent="0.25">
      <c r="B56" s="127" t="s">
        <v>115</v>
      </c>
      <c r="C56" s="81" t="str">
        <f t="shared" si="19"/>
        <v xml:space="preserve">Custo baseado em HISTÓRICO DE CUSTO / PADRÃO ATUAL -  - </v>
      </c>
      <c r="D56" s="82">
        <f>base_dados_proj!C31</f>
        <v>28429.85</v>
      </c>
      <c r="E56" s="76">
        <f t="shared" si="20"/>
        <v>65</v>
      </c>
      <c r="F56" s="99">
        <f t="shared" ref="F56:F62" si="21">D56*E56</f>
        <v>1847940.25</v>
      </c>
      <c r="G56" s="87"/>
      <c r="H56" s="87"/>
      <c r="I56" s="87"/>
      <c r="J56" s="78" t="s">
        <v>120</v>
      </c>
      <c r="K56" s="79">
        <f>IFERROR(VLOOKUP($B56,base_índices!$A:$R,VLOOKUP(APRESENTAÇÃO!J56,base_índices!$A$142:$B$158,2,FALSE),FALSE),0)</f>
        <v>65</v>
      </c>
      <c r="L56" s="84"/>
      <c r="M56" s="33"/>
      <c r="N56" s="32"/>
      <c r="O56" s="33"/>
    </row>
    <row r="57" spans="2:15" s="73" customFormat="1" ht="18" hidden="1" customHeight="1" x14ac:dyDescent="0.25">
      <c r="B57" s="147" t="s">
        <v>245</v>
      </c>
      <c r="C57" s="135" t="str">
        <f t="shared" ref="C57" si="22">CONCATENATE("Custo baseado em ",J57," - ",L57," - ",N57)</f>
        <v xml:space="preserve">Custo baseado em HISTÓRICO DE CUSTO / PADRÃO ATUAL -  - </v>
      </c>
      <c r="D57" s="136"/>
      <c r="E57" s="137">
        <f t="shared" ref="E57" si="23">SUM(K57,M57,O57)/COUNTIF(K57:O57,"&gt;0")</f>
        <v>9500</v>
      </c>
      <c r="F57" s="144">
        <f t="shared" ref="F57" si="24">D57*E57</f>
        <v>0</v>
      </c>
      <c r="G57" s="87"/>
      <c r="H57" s="87"/>
      <c r="I57" s="87"/>
      <c r="J57" s="78" t="s">
        <v>120</v>
      </c>
      <c r="K57" s="79">
        <f>IFERROR(VLOOKUP($B57,base_índices!$A:$R,VLOOKUP(APRESENTAÇÃO!J57,base_índices!$A$142:$B$158,2,FALSE),FALSE),0)</f>
        <v>9500</v>
      </c>
      <c r="L57" s="84"/>
      <c r="M57" s="84"/>
      <c r="N57" s="83"/>
      <c r="O57" s="84"/>
    </row>
    <row r="58" spans="2:15" s="18" customFormat="1" ht="18" customHeight="1" x14ac:dyDescent="0.25">
      <c r="B58" s="80" t="s">
        <v>242</v>
      </c>
      <c r="C58" s="81" t="str">
        <f t="shared" si="19"/>
        <v xml:space="preserve">Custo baseado em HISTÓRICO DE CUSTO / PADRÃO ATUAL -  - </v>
      </c>
      <c r="D58" s="82">
        <f>base_dados_proj!C6</f>
        <v>313</v>
      </c>
      <c r="E58" s="76">
        <f t="shared" si="20"/>
        <v>2568.1403</v>
      </c>
      <c r="F58" s="99">
        <f t="shared" si="21"/>
        <v>803827.91390000004</v>
      </c>
      <c r="G58" s="77"/>
      <c r="H58" s="77"/>
      <c r="I58" s="77"/>
      <c r="J58" s="78" t="s">
        <v>120</v>
      </c>
      <c r="K58" s="79">
        <f>IFERROR(VLOOKUP($B58,base_índices!$A:$R,VLOOKUP(APRESENTAÇÃO!J58,base_índices!$A$142:$B$158,2,FALSE),FALSE),0)</f>
        <v>2568.1403</v>
      </c>
      <c r="L58" s="84"/>
      <c r="M58" s="33"/>
      <c r="N58" s="32"/>
      <c r="O58" s="33"/>
    </row>
    <row r="59" spans="2:15" s="18" customFormat="1" ht="18" customHeight="1" x14ac:dyDescent="0.25">
      <c r="B59" s="80" t="s">
        <v>104</v>
      </c>
      <c r="C59" s="81" t="str">
        <f t="shared" si="19"/>
        <v xml:space="preserve">Custo baseado em HISTÓRICO DE CUSTO / PADRÃO ATUAL -  - </v>
      </c>
      <c r="D59" s="82">
        <f>base_dados_proj!C34</f>
        <v>6276.2</v>
      </c>
      <c r="E59" s="76">
        <f t="shared" si="20"/>
        <v>45.240900000000003</v>
      </c>
      <c r="F59" s="99">
        <f t="shared" si="21"/>
        <v>283940.93658000004</v>
      </c>
      <c r="G59" s="87"/>
      <c r="H59" s="87"/>
      <c r="I59" s="87"/>
      <c r="J59" s="78" t="s">
        <v>120</v>
      </c>
      <c r="K59" s="79">
        <f>IFERROR(VLOOKUP($B59,base_índices!$A:$R,VLOOKUP(APRESENTAÇÃO!J59,base_índices!$A$142:$B$158,2,FALSE),FALSE),0)</f>
        <v>45.240900000000003</v>
      </c>
      <c r="L59" s="84"/>
      <c r="M59" s="33"/>
      <c r="N59" s="32"/>
      <c r="O59" s="33"/>
    </row>
    <row r="60" spans="2:15" ht="18" hidden="1" customHeight="1" x14ac:dyDescent="0.25">
      <c r="B60" s="59" t="s">
        <v>103</v>
      </c>
      <c r="C60" s="89" t="str">
        <f t="shared" si="19"/>
        <v xml:space="preserve">Custo baseado em HISTÓRICO DE CUSTO / PADRÃO ATUAL -  - </v>
      </c>
      <c r="D60" s="90">
        <f>base_dados_proj!C6</f>
        <v>313</v>
      </c>
      <c r="E60" s="86">
        <f t="shared" si="20"/>
        <v>400</v>
      </c>
      <c r="F60" s="165"/>
      <c r="J60" s="78" t="s">
        <v>120</v>
      </c>
      <c r="K60" s="79">
        <f>IFERROR(VLOOKUP($B60,base_índices!$A:$R,VLOOKUP(APRESENTAÇÃO!J60,base_índices!$A$142:$B$158,2,FALSE),FALSE),0)</f>
        <v>400</v>
      </c>
      <c r="O60" s="30"/>
    </row>
    <row r="61" spans="2:15" ht="18" customHeight="1" x14ac:dyDescent="0.25">
      <c r="B61" s="80" t="s">
        <v>34</v>
      </c>
      <c r="C61" s="81" t="str">
        <f t="shared" si="19"/>
        <v xml:space="preserve">Custo baseado em HISTÓRICO DE CUSTO / PADRÃO ATUAL -  - </v>
      </c>
      <c r="D61" s="82">
        <f>base_dados_proj!C34</f>
        <v>6276.2</v>
      </c>
      <c r="E61" s="76">
        <f t="shared" si="20"/>
        <v>69.5428</v>
      </c>
      <c r="F61" s="99">
        <f t="shared" si="21"/>
        <v>436464.52136000001</v>
      </c>
      <c r="J61" s="78" t="s">
        <v>120</v>
      </c>
      <c r="K61" s="79">
        <f>IFERROR(VLOOKUP($B61,base_índices!$A:$R,VLOOKUP(APRESENTAÇÃO!J61,base_índices!$A$142:$B$158,2,FALSE),FALSE),0)</f>
        <v>69.5428</v>
      </c>
      <c r="O61" s="30"/>
    </row>
    <row r="62" spans="2:15" ht="18" customHeight="1" x14ac:dyDescent="0.25">
      <c r="B62" s="55" t="s">
        <v>127</v>
      </c>
      <c r="C62" s="35" t="str">
        <f t="shared" si="19"/>
        <v xml:space="preserve">Custo baseado em HISTÓRICO DE CUSTO / PADRÃO ATUAL -  - </v>
      </c>
      <c r="D62" s="28">
        <f>base_dados_proj!C33</f>
        <v>6590.01</v>
      </c>
      <c r="E62" s="27">
        <f t="shared" si="20"/>
        <v>67.252899999999997</v>
      </c>
      <c r="F62" s="99">
        <f t="shared" si="21"/>
        <v>443197.28352900001</v>
      </c>
      <c r="G62" s="87"/>
      <c r="H62" s="87"/>
      <c r="I62" s="87"/>
      <c r="J62" s="78" t="s">
        <v>120</v>
      </c>
      <c r="K62" s="79">
        <f>IFERROR(VLOOKUP($B62,base_índices!$A:$R,VLOOKUP(APRESENTAÇÃO!J62,base_índices!$A$142:$B$158,2,FALSE),FALSE),0)</f>
        <v>67.252899999999997</v>
      </c>
      <c r="O62" s="30"/>
    </row>
    <row r="63" spans="2:15" s="67" customFormat="1" ht="18" customHeight="1" x14ac:dyDescent="0.25">
      <c r="B63" s="80" t="s">
        <v>102</v>
      </c>
      <c r="C63" s="81" t="s">
        <v>70</v>
      </c>
      <c r="D63" s="82">
        <v>1</v>
      </c>
      <c r="E63" s="76">
        <f>'Pavimentação interna'!B28</f>
        <v>2691050.515416</v>
      </c>
      <c r="F63" s="100">
        <f>(D63*E63)</f>
        <v>2691050.515416</v>
      </c>
      <c r="G63" s="87"/>
      <c r="H63" s="87"/>
      <c r="I63" s="87"/>
      <c r="J63" s="78" t="s">
        <v>120</v>
      </c>
      <c r="K63" s="79">
        <f>IFERROR(VLOOKUP($B63,base_índices!$A:$R,VLOOKUP(APRESENTAÇÃO!J63,base_índices!$A$142:$B$158,2,FALSE),FALSE),0)</f>
        <v>0</v>
      </c>
      <c r="L63" s="79"/>
      <c r="M63" s="79"/>
      <c r="N63" s="78"/>
      <c r="O63" s="79"/>
    </row>
    <row r="64" spans="2:15" s="73" customFormat="1" ht="18" customHeight="1" x14ac:dyDescent="0.25">
      <c r="B64" s="80" t="s">
        <v>139</v>
      </c>
      <c r="C64" s="81" t="str">
        <f>CONCATENATE("Custo baseado em ",J64," - ",L64," - ",N64)</f>
        <v xml:space="preserve">Custo baseado em HISTÓRICO DE CUSTO / PADRÃO ATUAL -  - </v>
      </c>
      <c r="D64" s="82">
        <f>base_dados_proj!C31</f>
        <v>28429.85</v>
      </c>
      <c r="E64" s="76">
        <f>SUM(K64,M64,O64)/COUNTIF(K64:O64,"&gt;0")</f>
        <v>2.5842999999999998</v>
      </c>
      <c r="F64" s="100">
        <f>D64*E64</f>
        <v>73471.261354999995</v>
      </c>
      <c r="J64" s="78" t="s">
        <v>120</v>
      </c>
      <c r="K64" s="79">
        <f>IFERROR(VLOOKUP($B64,base_índices!$A:$R,VLOOKUP(APRESENTAÇÃO!J64,base_índices!$A$142:$B$158,2,FALSE),FALSE),0)</f>
        <v>2.5842999999999998</v>
      </c>
      <c r="L64" s="84"/>
      <c r="M64" s="84"/>
      <c r="N64" s="83"/>
      <c r="O64" s="84"/>
    </row>
    <row r="65" spans="2:15" s="18" customFormat="1" ht="18" customHeight="1" x14ac:dyDescent="0.25">
      <c r="B65" s="80" t="s">
        <v>117</v>
      </c>
      <c r="C65" s="31" t="str">
        <f t="shared" ref="C65:C68" si="25">CONCATENATE("Custo baseado em ",J65," - ",L65," - ",N65)</f>
        <v xml:space="preserve">Custo baseado em HISTÓRICO DE CUSTO / PADRÃO ATUAL -  - </v>
      </c>
      <c r="D65" s="82">
        <f>base_dados_proj!C31</f>
        <v>28429.85</v>
      </c>
      <c r="E65" s="76">
        <f>SUM(K65,M65,O65)/COUNTIF(K65:O65,"&gt;0")</f>
        <v>33.3093</v>
      </c>
      <c r="F65" s="100">
        <f>D65*E65</f>
        <v>946978.40260499995</v>
      </c>
      <c r="G65" s="87"/>
      <c r="H65" s="133"/>
      <c r="I65" s="133"/>
      <c r="J65" s="78" t="s">
        <v>120</v>
      </c>
      <c r="K65" s="79">
        <f>IFERROR(VLOOKUP($B65,base_índices!$A:$R,VLOOKUP(APRESENTAÇÃO!J65,base_índices!$A$142:$B$158,2,FALSE),FALSE),0)</f>
        <v>33.3093</v>
      </c>
      <c r="L65" s="84"/>
      <c r="M65" s="33"/>
      <c r="N65" s="32"/>
      <c r="O65" s="33"/>
    </row>
    <row r="66" spans="2:15" s="73" customFormat="1" ht="18" customHeight="1" x14ac:dyDescent="0.25">
      <c r="B66" s="80" t="s">
        <v>140</v>
      </c>
      <c r="C66" s="81" t="str">
        <f t="shared" si="25"/>
        <v xml:space="preserve">Custo baseado em HISTÓRICO DE CUSTO / PADRÃO ATUAL -  - </v>
      </c>
      <c r="D66" s="82">
        <f>base_dados_proj!C6</f>
        <v>313</v>
      </c>
      <c r="E66" s="76">
        <v>233.74</v>
      </c>
      <c r="F66" s="100">
        <f t="shared" ref="F66:F68" si="26">D66*E66</f>
        <v>73160.62000000001</v>
      </c>
      <c r="G66" s="87"/>
      <c r="H66" s="87"/>
      <c r="I66" s="87"/>
      <c r="J66" s="78" t="s">
        <v>120</v>
      </c>
      <c r="K66" s="79">
        <f>IFERROR(VLOOKUP($B66,base_índices!$A:$R,VLOOKUP(APRESENTAÇÃO!J66,base_índices!$A$142:$B$158,2,FALSE),FALSE),0)</f>
        <v>215.49809999999999</v>
      </c>
      <c r="L66" s="84"/>
      <c r="M66" s="84"/>
      <c r="N66" s="83"/>
      <c r="O66" s="84"/>
    </row>
    <row r="67" spans="2:15" s="73" customFormat="1" ht="18" customHeight="1" x14ac:dyDescent="0.25">
      <c r="B67" s="80" t="s">
        <v>246</v>
      </c>
      <c r="C67" s="81" t="str">
        <f t="shared" si="25"/>
        <v xml:space="preserve">Custo baseado em HISTÓRICO DE CUSTO / PADRÃO ATUAL -  - </v>
      </c>
      <c r="D67" s="82">
        <f>base_dados_proj!C6</f>
        <v>313</v>
      </c>
      <c r="E67" s="76">
        <f>SUM(K67,M67,O67)/COUNTIF(K67:O67,"&gt;0")</f>
        <v>500</v>
      </c>
      <c r="F67" s="100">
        <f t="shared" si="26"/>
        <v>156500</v>
      </c>
      <c r="G67" s="87"/>
      <c r="H67" s="87"/>
      <c r="I67" s="87"/>
      <c r="J67" s="78" t="s">
        <v>120</v>
      </c>
      <c r="K67" s="79">
        <f>IFERROR(VLOOKUP($B67,base_índices!$A:$R,VLOOKUP(APRESENTAÇÃO!J67,base_índices!$A$142:$B$158,2,FALSE),FALSE),0)</f>
        <v>500</v>
      </c>
      <c r="L67" s="84"/>
      <c r="M67" s="84"/>
      <c r="N67" s="83"/>
      <c r="O67" s="84"/>
    </row>
    <row r="68" spans="2:15" s="16" customFormat="1" ht="18" hidden="1" customHeight="1" x14ac:dyDescent="0.25">
      <c r="B68" s="134" t="s">
        <v>206</v>
      </c>
      <c r="C68" s="135" t="str">
        <f t="shared" si="25"/>
        <v xml:space="preserve">Custo baseado em HISTÓRICO DE CUSTO / PADRÃO ATUAL -  - </v>
      </c>
      <c r="D68" s="136">
        <f>base_dados_proj!C36</f>
        <v>0</v>
      </c>
      <c r="E68" s="137">
        <f>SUM(K68,M68,O68)/COUNTIF(K68:O68,"&gt;0")</f>
        <v>258.74</v>
      </c>
      <c r="F68" s="138">
        <f t="shared" si="26"/>
        <v>0</v>
      </c>
      <c r="G68" s="69"/>
      <c r="H68" s="69"/>
      <c r="I68" s="69"/>
      <c r="J68" s="78" t="s">
        <v>120</v>
      </c>
      <c r="K68" s="79">
        <f>IFERROR(VLOOKUP($B68,base_índices!$A:$R,VLOOKUP(APRESENTAÇÃO!J68,base_índices!$A$142:$B$158,2,FALSE),FALSE),0)</f>
        <v>258.74</v>
      </c>
      <c r="L68" s="91"/>
      <c r="M68" s="40"/>
      <c r="N68" s="38"/>
      <c r="O68" s="40"/>
    </row>
    <row r="69" spans="2:15" ht="18" customHeight="1" x14ac:dyDescent="0.25">
      <c r="B69" s="182" t="s">
        <v>76</v>
      </c>
      <c r="C69" s="177" t="s">
        <v>82</v>
      </c>
      <c r="D69" s="178"/>
      <c r="E69" s="179"/>
      <c r="F69" s="96">
        <f>SUM(F71:F76)</f>
        <v>1473614.0257679999</v>
      </c>
      <c r="J69" s="78" t="s">
        <v>120</v>
      </c>
      <c r="K69" s="79">
        <f>IFERROR(VLOOKUP($B69,base_índices!$A:$R,VLOOKUP(APRESENTAÇÃO!J69,base_índices!$A$142:$B$158,2,FALSE),FALSE),0)</f>
        <v>0</v>
      </c>
    </row>
    <row r="70" spans="2:15" ht="18" customHeight="1" x14ac:dyDescent="0.25">
      <c r="B70" s="181" t="s">
        <v>72</v>
      </c>
      <c r="C70" s="14" t="s">
        <v>81</v>
      </c>
      <c r="D70" s="22" t="s">
        <v>69</v>
      </c>
      <c r="E70" s="15" t="s">
        <v>79</v>
      </c>
      <c r="F70" s="97" t="s">
        <v>80</v>
      </c>
      <c r="J70" s="78" t="s">
        <v>120</v>
      </c>
      <c r="K70" s="79">
        <f>IFERROR(VLOOKUP($B70,base_índices!$A:$R,VLOOKUP(APRESENTAÇÃO!J70,base_índices!$A$142:$B$158,2,FALSE),FALSE),0)</f>
        <v>0</v>
      </c>
    </row>
    <row r="71" spans="2:15" s="67" customFormat="1" ht="18" customHeight="1" x14ac:dyDescent="0.25">
      <c r="B71" s="10" t="s">
        <v>36</v>
      </c>
      <c r="C71" s="63" t="str">
        <f>CONCATENATE("Custo baseado em ",J71," - ",L71," - ",N71)</f>
        <v xml:space="preserve">Custo baseado em HISTÓRICO DE CUSTO / PADRÃO ATUAL -  - </v>
      </c>
      <c r="D71" s="74">
        <f>base_dados_proj!C39</f>
        <v>1450.07</v>
      </c>
      <c r="E71" s="76">
        <f>SUM(K71,M71,O71)/COUNTIF(K71:O71,"&gt;0")</f>
        <v>752.74289999999996</v>
      </c>
      <c r="F71" s="99">
        <f>D71*E71</f>
        <v>1091529.8970029999</v>
      </c>
      <c r="G71" s="77"/>
      <c r="H71" s="77"/>
      <c r="I71" s="77"/>
      <c r="J71" s="78" t="s">
        <v>120</v>
      </c>
      <c r="K71" s="79">
        <f>IFERROR(VLOOKUP($B71,base_índices!$A:$R,VLOOKUP(APRESENTAÇÃO!J71,base_índices!$A$142:$B$158,2,FALSE),FALSE),0)</f>
        <v>752.74289999999996</v>
      </c>
      <c r="L71" s="79"/>
      <c r="M71" s="79"/>
      <c r="N71" s="78"/>
      <c r="O71" s="79"/>
    </row>
    <row r="72" spans="2:15" s="67" customFormat="1" ht="18" hidden="1" customHeight="1" x14ac:dyDescent="0.25">
      <c r="B72" s="141" t="s">
        <v>248</v>
      </c>
      <c r="C72" s="142" t="str">
        <f t="shared" ref="C72:C74" si="27">CONCATENATE("Custo baseado em ",J72," - ",L72," - ",N72)</f>
        <v xml:space="preserve">Custo baseado em HISTÓRICO DE CUSTO / PADRÃO ATUAL -  - </v>
      </c>
      <c r="D72" s="143">
        <f>base_dados_proj!C43</f>
        <v>0</v>
      </c>
      <c r="E72" s="137">
        <f t="shared" ref="E72:E74" si="28">SUM(K72,M72,O72)/COUNTIF(K72:O72,"&gt;0")</f>
        <v>582.41</v>
      </c>
      <c r="F72" s="144">
        <f t="shared" ref="F72" si="29">D72*E72</f>
        <v>0</v>
      </c>
      <c r="G72" s="77"/>
      <c r="H72" s="77"/>
      <c r="I72" s="77"/>
      <c r="J72" s="78" t="s">
        <v>120</v>
      </c>
      <c r="K72" s="79">
        <f>IFERROR(VLOOKUP($B72,base_índices!$A:$R,VLOOKUP(APRESENTAÇÃO!J72,base_índices!$A$142:$B$158,2,FALSE),FALSE),0)</f>
        <v>582.41</v>
      </c>
      <c r="L72" s="79"/>
      <c r="M72" s="79"/>
      <c r="N72" s="78"/>
      <c r="O72" s="79"/>
    </row>
    <row r="73" spans="2:15" s="67" customFormat="1" ht="18" hidden="1" customHeight="1" x14ac:dyDescent="0.25">
      <c r="B73" s="141" t="s">
        <v>250</v>
      </c>
      <c r="C73" s="142" t="str">
        <f t="shared" ref="C73" si="30">CONCATENATE("Custo baseado em ",J73," - ",L73," - ",N73)</f>
        <v xml:space="preserve">Custo baseado em HISTÓRICO DE CUSTO / PADRÃO ATUAL -  - </v>
      </c>
      <c r="D73" s="143">
        <f>base_dados_proj!C44</f>
        <v>0</v>
      </c>
      <c r="E73" s="137">
        <f t="shared" ref="E73" si="31">SUM(K73,M73,O73)/COUNTIF(K73:O73,"&gt;0")</f>
        <v>52.79</v>
      </c>
      <c r="F73" s="144">
        <f t="shared" ref="F73" si="32">D73*E73</f>
        <v>0</v>
      </c>
      <c r="G73" s="77"/>
      <c r="H73" s="77"/>
      <c r="I73" s="77"/>
      <c r="J73" s="78" t="s">
        <v>120</v>
      </c>
      <c r="K73" s="79">
        <f>IFERROR(VLOOKUP($B73,base_índices!$A:$R,VLOOKUP(APRESENTAÇÃO!J73,base_índices!$A$142:$B$158,2,FALSE),FALSE),0)</f>
        <v>52.79</v>
      </c>
      <c r="L73" s="79"/>
      <c r="M73" s="79"/>
      <c r="N73" s="78"/>
      <c r="O73" s="79"/>
    </row>
    <row r="74" spans="2:15" s="67" customFormat="1" ht="18" hidden="1" customHeight="1" x14ac:dyDescent="0.25">
      <c r="B74" s="141" t="s">
        <v>249</v>
      </c>
      <c r="C74" s="142" t="str">
        <f t="shared" si="27"/>
        <v xml:space="preserve">Custo baseado em HISTÓRICO DE CUSTO / PADRÃO ATUAL -  - </v>
      </c>
      <c r="D74" s="143">
        <f>base_dados_proj!C44</f>
        <v>0</v>
      </c>
      <c r="E74" s="137">
        <f t="shared" si="28"/>
        <v>25.54</v>
      </c>
      <c r="F74" s="144"/>
      <c r="G74" s="77"/>
      <c r="H74" s="77"/>
      <c r="I74" s="77"/>
      <c r="J74" s="78" t="s">
        <v>120</v>
      </c>
      <c r="K74" s="79">
        <f>IFERROR(VLOOKUP($B74,base_índices!$A:$R,VLOOKUP(APRESENTAÇÃO!J74,base_índices!$A$142:$B$158,2,FALSE),FALSE),0)</f>
        <v>25.54</v>
      </c>
      <c r="L74" s="79"/>
      <c r="M74" s="79"/>
      <c r="N74" s="78"/>
      <c r="O74" s="79"/>
    </row>
    <row r="75" spans="2:15" s="67" customFormat="1" ht="18" customHeight="1" x14ac:dyDescent="0.25">
      <c r="B75" s="10" t="s">
        <v>247</v>
      </c>
      <c r="C75" s="63" t="str">
        <f>CONCATENATE("Custo baseado em ",J75," - ",L75," - ",N75)</f>
        <v xml:space="preserve">Custo baseado em HISTÓRICO DE CUSTO / PADRÃO ATUAL -  - </v>
      </c>
      <c r="D75" s="74">
        <f>base_dados_proj!E41</f>
        <v>260.23</v>
      </c>
      <c r="E75" s="27">
        <f>SUM(K75,M75,O75)/COUNTIF(K75:O75,"&gt;0")</f>
        <v>199.25550000000001</v>
      </c>
      <c r="F75" s="99">
        <f t="shared" ref="F75:F76" si="33">D75*E75</f>
        <v>51852.258765000006</v>
      </c>
      <c r="G75" s="77"/>
      <c r="H75" s="77"/>
      <c r="I75" s="77"/>
      <c r="J75" s="78" t="s">
        <v>120</v>
      </c>
      <c r="K75" s="79">
        <f>IFERROR(VLOOKUP($B75,base_índices!$A:$R,VLOOKUP(APRESENTAÇÃO!J75,base_índices!$A$142:$B$158,2,FALSE),FALSE),0)</f>
        <v>199.25550000000001</v>
      </c>
      <c r="L75" s="79"/>
      <c r="M75" s="79"/>
      <c r="N75" s="78"/>
      <c r="O75" s="79"/>
    </row>
    <row r="76" spans="2:15" ht="18" customHeight="1" x14ac:dyDescent="0.25">
      <c r="B76" s="10" t="s">
        <v>109</v>
      </c>
      <c r="C76" s="6" t="str">
        <f>CONCATENATE("Custo baseado em ",J76," - ",L76," - ",N76)</f>
        <v xml:space="preserve">Custo baseado em HISTÓRICO DE CUSTO / PADRÃO ATUAL -  - </v>
      </c>
      <c r="D76" s="23">
        <f>base_dados_proj!C41</f>
        <v>702.62100000000009</v>
      </c>
      <c r="E76" s="11">
        <f>SUM(K76,M76,O76)/COUNTIF(K76:O76,"&gt;0")</f>
        <v>470</v>
      </c>
      <c r="F76" s="99">
        <f t="shared" si="33"/>
        <v>330231.87000000005</v>
      </c>
      <c r="J76" s="78" t="s">
        <v>120</v>
      </c>
      <c r="K76" s="79">
        <f>IFERROR(VLOOKUP($B76,base_índices!$A:$R,VLOOKUP(APRESENTAÇÃO!J76,base_índices!$A$142:$B$158,2,FALSE),FALSE),0)</f>
        <v>470</v>
      </c>
      <c r="O76" s="30"/>
    </row>
    <row r="77" spans="2:15" ht="18" customHeight="1" x14ac:dyDescent="0.25">
      <c r="B77" s="182" t="s">
        <v>29</v>
      </c>
      <c r="C77" s="177" t="s">
        <v>82</v>
      </c>
      <c r="D77" s="178"/>
      <c r="E77" s="179"/>
      <c r="F77" s="96">
        <f>SUM(F79:F81)</f>
        <v>259860.5</v>
      </c>
      <c r="J77" s="78" t="s">
        <v>120</v>
      </c>
      <c r="K77" s="79">
        <f>IFERROR(VLOOKUP($B77,base_índices!$A:$R,VLOOKUP(APRESENTAÇÃO!J77,base_índices!$A$142:$B$158,2,FALSE),FALSE),0)</f>
        <v>0</v>
      </c>
    </row>
    <row r="78" spans="2:15" ht="18" customHeight="1" x14ac:dyDescent="0.25">
      <c r="B78" s="181" t="s">
        <v>72</v>
      </c>
      <c r="C78" s="14" t="s">
        <v>81</v>
      </c>
      <c r="D78" s="22" t="s">
        <v>69</v>
      </c>
      <c r="E78" s="15" t="s">
        <v>79</v>
      </c>
      <c r="F78" s="97" t="s">
        <v>80</v>
      </c>
      <c r="J78" s="78" t="s">
        <v>120</v>
      </c>
      <c r="K78" s="79">
        <f>IFERROR(VLOOKUP($B78,base_índices!$A:$R,VLOOKUP(APRESENTAÇÃO!J78,base_índices!$A$142:$B$158,2,FALSE),FALSE),0)</f>
        <v>0</v>
      </c>
    </row>
    <row r="79" spans="2:15" s="73" customFormat="1" ht="17.25" hidden="1" customHeight="1" x14ac:dyDescent="0.25">
      <c r="B79" s="134" t="s">
        <v>137</v>
      </c>
      <c r="C79" s="135" t="str">
        <f>CONCATENATE("Custo baseado em ",J79," - ",L79," - ",N79)</f>
        <v xml:space="preserve">Custo baseado em HISTÓRICO DE CUSTO / PADRÃO ATUAL -  - </v>
      </c>
      <c r="D79" s="136">
        <f>SUM(base_dados_proj!$C$39,base_dados_proj!$E$41)</f>
        <v>1710.3</v>
      </c>
      <c r="E79" s="137">
        <f>SUM(K79,M79,O79)/COUNTIF(K79:O79,"&gt;0")</f>
        <v>28</v>
      </c>
      <c r="F79" s="138"/>
      <c r="G79" s="85"/>
      <c r="H79" s="85"/>
      <c r="I79" s="85"/>
      <c r="J79" s="83" t="s">
        <v>120</v>
      </c>
      <c r="K79" s="84">
        <f>IFERROR(VLOOKUP($B79,base_índices!$A:$R,VLOOKUP(APRESENTAÇÃO!J79,base_índices!$A$142:$B$158,2,FALSE),FALSE),0)</f>
        <v>28</v>
      </c>
      <c r="L79" s="84"/>
      <c r="M79" s="84"/>
      <c r="N79" s="83"/>
      <c r="O79" s="84"/>
    </row>
    <row r="80" spans="2:15" s="67" customFormat="1" ht="17.25" customHeight="1" x14ac:dyDescent="0.25">
      <c r="B80" s="80" t="s">
        <v>119</v>
      </c>
      <c r="C80" s="81" t="str">
        <f>CONCATENATE("Custo baseado em ",J80," - ",L80," - ",N80)</f>
        <v xml:space="preserve">Custo baseado em HISTÓRICO DE CUSTO / PADRÃO ATUAL -  - </v>
      </c>
      <c r="D80" s="82">
        <v>1</v>
      </c>
      <c r="E80" s="76">
        <f>SUM(K80,M80,O80)/COUNTIF(K80:O80,"&gt;0")</f>
        <v>200000</v>
      </c>
      <c r="F80" s="100">
        <f t="shared" ref="F80:F81" si="34">D80*E80</f>
        <v>200000</v>
      </c>
      <c r="G80" s="77"/>
      <c r="H80" s="77"/>
      <c r="I80" s="77"/>
      <c r="J80" s="78" t="s">
        <v>120</v>
      </c>
      <c r="K80" s="79">
        <f>IFERROR(VLOOKUP($B80,base_índices!$A:$R,VLOOKUP(APRESENTAÇÃO!J80,base_índices!$A$142:$B$158,2,FALSE),FALSE),0)</f>
        <v>200000</v>
      </c>
      <c r="L80" s="79"/>
      <c r="M80" s="79"/>
      <c r="N80" s="78"/>
      <c r="O80" s="79"/>
    </row>
    <row r="81" spans="1:15" ht="18" customHeight="1" x14ac:dyDescent="0.25">
      <c r="B81" s="80" t="s">
        <v>63</v>
      </c>
      <c r="C81" s="81" t="str">
        <f>CONCATENATE("Custo baseado em ",J81," - ",L81," - ",N81)</f>
        <v xml:space="preserve">Custo baseado em HISTÓRICO DE CUSTO / PADRÃO ATUAL -  - </v>
      </c>
      <c r="D81" s="82">
        <f>SUM(base_dados_proj!$C$39,base_dados_proj!$E$41)</f>
        <v>1710.3</v>
      </c>
      <c r="E81" s="76">
        <f>SUM(K81,M81,O81)/COUNTIF(K81:O81,"&gt;0")</f>
        <v>35</v>
      </c>
      <c r="F81" s="98">
        <f t="shared" si="34"/>
        <v>59860.5</v>
      </c>
      <c r="J81" s="78" t="s">
        <v>120</v>
      </c>
      <c r="K81" s="79">
        <f>IFERROR(VLOOKUP($B81,base_índices!$A:$R,VLOOKUP(APRESENTAÇÃO!J81,base_índices!$A$142:$B$158,2,FALSE),FALSE),0)</f>
        <v>35</v>
      </c>
      <c r="O81" s="30"/>
    </row>
    <row r="82" spans="1:15" ht="18" customHeight="1" x14ac:dyDescent="0.25">
      <c r="B82" s="182" t="s">
        <v>77</v>
      </c>
      <c r="C82" s="177" t="s">
        <v>82</v>
      </c>
      <c r="D82" s="178"/>
      <c r="E82" s="179"/>
      <c r="F82" s="96">
        <f>SUM(F84:F86)</f>
        <v>871643.76081699994</v>
      </c>
      <c r="J82" s="78" t="s">
        <v>120</v>
      </c>
      <c r="K82" s="79">
        <f>IFERROR(VLOOKUP($B82,base_índices!$A:$R,VLOOKUP(APRESENTAÇÃO!J82,base_índices!$A$142:$B$158,2,FALSE),FALSE),0)</f>
        <v>0</v>
      </c>
    </row>
    <row r="83" spans="1:15" ht="18" customHeight="1" x14ac:dyDescent="0.25">
      <c r="B83" s="181" t="s">
        <v>72</v>
      </c>
      <c r="C83" s="14" t="s">
        <v>81</v>
      </c>
      <c r="D83" s="22" t="s">
        <v>69</v>
      </c>
      <c r="E83" s="15" t="s">
        <v>79</v>
      </c>
      <c r="F83" s="97" t="s">
        <v>80</v>
      </c>
      <c r="J83" s="78" t="s">
        <v>120</v>
      </c>
      <c r="K83" s="79">
        <f>IFERROR(VLOOKUP($B83,base_índices!$A:$R,VLOOKUP(APRESENTAÇÃO!J83,base_índices!$A$142:$B$158,2,FALSE),FALSE),0)</f>
        <v>0</v>
      </c>
    </row>
    <row r="84" spans="1:15" ht="18" customHeight="1" x14ac:dyDescent="0.25">
      <c r="B84" s="12" t="s">
        <v>39</v>
      </c>
      <c r="C84" s="35" t="str">
        <f>CONCATENATE("Custo baseado em ",J84," - ",L84," - ","30% da área total")</f>
        <v>Custo baseado em HISTÓRICO DE CUSTO / PADRÃO ATUAL -  - 30% da área total</v>
      </c>
      <c r="D84" s="28">
        <f>base_dados_proj!C7</f>
        <v>151487.12</v>
      </c>
      <c r="E84" s="76">
        <f>SUM(K84,M84,O84)/COUNTIF(K84:O84,"&gt;0")</f>
        <v>1.9397</v>
      </c>
      <c r="F84" s="98">
        <f>D84*E84</f>
        <v>293839.56666399998</v>
      </c>
      <c r="J84" s="78" t="s">
        <v>120</v>
      </c>
      <c r="K84" s="79">
        <f>IFERROR(VLOOKUP($B84,base_índices!$A:$R,VLOOKUP(APRESENTAÇÃO!J84,base_índices!$A$142:$B$158,2,FALSE),FALSE),0)</f>
        <v>1.9397</v>
      </c>
      <c r="O84" s="30"/>
    </row>
    <row r="85" spans="1:15" ht="18" customHeight="1" x14ac:dyDescent="0.25">
      <c r="B85" s="12" t="s">
        <v>37</v>
      </c>
      <c r="C85" s="35" t="str">
        <f>CONCATENATE("Custo baseado em ",J85," - ",L85," - ",N85)</f>
        <v xml:space="preserve">Custo baseado em HISTÓRICO DE CUSTO / PADRÃO ATUAL -  - </v>
      </c>
      <c r="D85" s="28">
        <f>base_dados_proj!C46</f>
        <v>44370.720000000001</v>
      </c>
      <c r="E85" s="76">
        <f>SUM(K85,M85,O85)/COUNTIF(K85:O85,"&gt;0")</f>
        <v>10.5</v>
      </c>
      <c r="F85" s="98">
        <f t="shared" ref="F85:F86" si="35">D85*E85</f>
        <v>465892.56</v>
      </c>
      <c r="J85" s="78" t="s">
        <v>120</v>
      </c>
      <c r="K85" s="79">
        <f>IFERROR(VLOOKUP($B85,base_índices!$A:$R,VLOOKUP(APRESENTAÇÃO!J85,base_índices!$A$142:$B$158,2,FALSE),FALSE),0)</f>
        <v>10.5</v>
      </c>
      <c r="O85" s="30"/>
    </row>
    <row r="86" spans="1:15" ht="18" customHeight="1" x14ac:dyDescent="0.25">
      <c r="B86" s="12" t="s">
        <v>38</v>
      </c>
      <c r="C86" s="35" t="str">
        <f>CONCATENATE("Custo baseado em ",J86," - ",L86," - ",N86)</f>
        <v xml:space="preserve">Custo baseado em HISTÓRICO DE CUSTO / PADRÃO ATUAL -  - </v>
      </c>
      <c r="D86" s="28">
        <f>base_dados_proj!C47</f>
        <v>80171.67</v>
      </c>
      <c r="E86" s="27">
        <f>SUM(K86,M86,O86)/COUNTIF(K86:O86,"&gt;0")</f>
        <v>1.3958999999999999</v>
      </c>
      <c r="F86" s="98">
        <f t="shared" si="35"/>
        <v>111911.63415299999</v>
      </c>
      <c r="J86" s="78" t="s">
        <v>120</v>
      </c>
      <c r="K86" s="79">
        <f>IFERROR(VLOOKUP($B86,base_índices!$A:$R,VLOOKUP(APRESENTAÇÃO!J86,base_índices!$A$142:$B$158,2,FALSE),FALSE),0)</f>
        <v>1.3958999999999999</v>
      </c>
      <c r="O86" s="30"/>
    </row>
    <row r="87" spans="1:15" ht="18" customHeight="1" x14ac:dyDescent="0.25">
      <c r="B87" s="180" t="s">
        <v>12</v>
      </c>
      <c r="C87" s="177" t="s">
        <v>82</v>
      </c>
      <c r="D87" s="178"/>
      <c r="E87" s="179"/>
      <c r="F87" s="96">
        <f>SUM(F89:F93)</f>
        <v>1530968.2545473645</v>
      </c>
      <c r="J87" s="78" t="s">
        <v>120</v>
      </c>
      <c r="K87" s="79">
        <f>IFERROR(VLOOKUP($B87,base_índices!$A:$R,VLOOKUP(APRESENTAÇÃO!J87,base_índices!$A$142:$B$158,2,FALSE),FALSE),0)</f>
        <v>0</v>
      </c>
    </row>
    <row r="88" spans="1:15" s="18" customFormat="1" ht="18" customHeight="1" x14ac:dyDescent="0.25">
      <c r="B88" s="181"/>
      <c r="C88" s="56" t="s">
        <v>81</v>
      </c>
      <c r="D88" s="57" t="s">
        <v>69</v>
      </c>
      <c r="E88" s="58" t="s">
        <v>79</v>
      </c>
      <c r="F88" s="103" t="s">
        <v>80</v>
      </c>
      <c r="G88" s="87"/>
      <c r="H88" s="87"/>
      <c r="I88" s="87"/>
      <c r="J88" s="78" t="s">
        <v>120</v>
      </c>
      <c r="K88" s="79">
        <f>IFERROR(VLOOKUP($B88,base_índices!$A:$R,VLOOKUP(APRESENTAÇÃO!J88,base_índices!$A$142:$B$158,2,FALSE),FALSE),0)</f>
        <v>0</v>
      </c>
      <c r="L88" s="84"/>
      <c r="M88" s="33"/>
      <c r="N88" s="32"/>
      <c r="O88" s="42"/>
    </row>
    <row r="89" spans="1:15" s="69" customFormat="1" ht="18" customHeight="1" x14ac:dyDescent="0.25">
      <c r="B89" s="80" t="s">
        <v>326</v>
      </c>
      <c r="C89" s="81" t="s">
        <v>131</v>
      </c>
      <c r="D89" s="82">
        <v>1</v>
      </c>
      <c r="E89" s="76">
        <v>335156.13</v>
      </c>
      <c r="F89" s="148">
        <f>E89*D89</f>
        <v>335156.13</v>
      </c>
      <c r="J89" s="78" t="s">
        <v>120</v>
      </c>
      <c r="K89" s="79">
        <f>IFERROR(VLOOKUP($B89,base_índices!$A:$R,VLOOKUP(APRESENTAÇÃO!J89,base_índices!$A$142:$B$158,2,FALSE),FALSE),0)</f>
        <v>0</v>
      </c>
      <c r="L89" s="91"/>
      <c r="M89" s="91"/>
      <c r="N89" s="88"/>
      <c r="O89" s="91"/>
    </row>
    <row r="90" spans="1:15" s="69" customFormat="1" ht="18" customHeight="1" x14ac:dyDescent="0.25">
      <c r="B90" s="149" t="s">
        <v>327</v>
      </c>
      <c r="C90" s="81" t="s">
        <v>328</v>
      </c>
      <c r="D90" s="82">
        <v>224.65</v>
      </c>
      <c r="E90" s="76">
        <v>4029.1926309697951</v>
      </c>
      <c r="F90" s="148">
        <f>E90*D90</f>
        <v>905158.12454736454</v>
      </c>
      <c r="J90" s="78"/>
      <c r="K90" s="79"/>
      <c r="L90" s="91"/>
      <c r="M90" s="91"/>
      <c r="N90" s="88"/>
      <c r="O90" s="91"/>
    </row>
    <row r="91" spans="1:15" s="69" customFormat="1" ht="18" customHeight="1" x14ac:dyDescent="0.25">
      <c r="B91" s="130" t="s">
        <v>135</v>
      </c>
      <c r="C91" s="71" t="s">
        <v>136</v>
      </c>
      <c r="D91" s="75">
        <v>0.4</v>
      </c>
      <c r="E91" s="72">
        <f>250000*1</f>
        <v>250000</v>
      </c>
      <c r="F91" s="129">
        <f>E91*D91</f>
        <v>100000</v>
      </c>
      <c r="J91" s="78"/>
      <c r="K91" s="79"/>
      <c r="L91" s="91"/>
      <c r="M91" s="91"/>
      <c r="N91" s="88"/>
      <c r="O91" s="91"/>
    </row>
    <row r="92" spans="1:15" s="69" customFormat="1" ht="18" customHeight="1" x14ac:dyDescent="0.25">
      <c r="B92" s="131" t="s">
        <v>42</v>
      </c>
      <c r="C92" s="71" t="s">
        <v>131</v>
      </c>
      <c r="D92" s="75">
        <v>69.88</v>
      </c>
      <c r="E92" s="72">
        <f>F92/D92</f>
        <v>2563.3657698912425</v>
      </c>
      <c r="F92" s="129">
        <v>179128</v>
      </c>
      <c r="G92" s="94"/>
      <c r="H92" s="94"/>
      <c r="I92" s="94"/>
      <c r="J92" s="78"/>
      <c r="K92" s="79"/>
      <c r="L92" s="91"/>
      <c r="M92" s="91"/>
      <c r="N92" s="88"/>
      <c r="O92" s="91"/>
    </row>
    <row r="93" spans="1:15" s="73" customFormat="1" ht="18" customHeight="1" x14ac:dyDescent="0.25">
      <c r="A93" s="123" t="s">
        <v>200</v>
      </c>
      <c r="B93" s="80" t="s">
        <v>259</v>
      </c>
      <c r="C93" s="81" t="str">
        <f>CONCATENATE("Custo baseado em ",J93," - ",L93," - PRAÇA ",N93)</f>
        <v xml:space="preserve">Custo baseado em HISTÓRICO DE CUSTO / PADRÃO ATUAL -  - PRAÇA </v>
      </c>
      <c r="D93" s="82">
        <f>base_dados_proj!C37</f>
        <v>85</v>
      </c>
      <c r="E93" s="76">
        <f>SUM(K93,M93,O93)/COUNTIF(K93:O93,"&gt;0")</f>
        <v>135.6</v>
      </c>
      <c r="F93" s="100">
        <f t="shared" ref="F93" si="36">D93*E93</f>
        <v>11526</v>
      </c>
      <c r="G93" s="34"/>
      <c r="H93" s="34"/>
      <c r="I93" s="34"/>
      <c r="J93" s="83" t="s">
        <v>120</v>
      </c>
      <c r="K93" s="84">
        <f>IFERROR(VLOOKUP($B93,base_índices!$A:$R,VLOOKUP(APRESENTAÇÃO!J93,base_índices!$A$142:$B$158,2,FALSE),FALSE),0)</f>
        <v>135.6</v>
      </c>
      <c r="L93" s="84"/>
      <c r="M93" s="84"/>
      <c r="N93" s="83"/>
      <c r="O93" s="84"/>
    </row>
    <row r="94" spans="1:15" ht="18" customHeight="1" x14ac:dyDescent="0.25">
      <c r="B94" s="182" t="s">
        <v>78</v>
      </c>
      <c r="C94" s="177" t="s">
        <v>82</v>
      </c>
      <c r="D94" s="178"/>
      <c r="E94" s="179"/>
      <c r="F94" s="96">
        <f>SUM(F96:F100)</f>
        <v>0</v>
      </c>
      <c r="G94" s="34"/>
      <c r="H94" s="34"/>
      <c r="I94" s="34"/>
      <c r="J94" s="78" t="s">
        <v>120</v>
      </c>
      <c r="K94" s="79">
        <f>IFERROR(VLOOKUP($B94,base_índices!$A:$R,VLOOKUP(APRESENTAÇÃO!J94,base_índices!$A$142:$B$158,2,FALSE),FALSE),0)</f>
        <v>0</v>
      </c>
    </row>
    <row r="95" spans="1:15" s="18" customFormat="1" ht="18" customHeight="1" x14ac:dyDescent="0.25">
      <c r="B95" s="181"/>
      <c r="C95" s="24" t="s">
        <v>81</v>
      </c>
      <c r="D95" s="25" t="s">
        <v>69</v>
      </c>
      <c r="E95" s="26" t="s">
        <v>79</v>
      </c>
      <c r="F95" s="102" t="s">
        <v>80</v>
      </c>
      <c r="G95" s="85"/>
      <c r="H95" s="85"/>
      <c r="I95" s="85"/>
      <c r="J95" s="78" t="s">
        <v>120</v>
      </c>
      <c r="K95" s="79">
        <f>IFERROR(VLOOKUP($B95,base_índices!$A:$R,VLOOKUP(APRESENTAÇÃO!J95,base_índices!$A$142:$B$158,2,FALSE),FALSE),0)</f>
        <v>0</v>
      </c>
      <c r="L95" s="84"/>
      <c r="M95" s="33"/>
      <c r="N95" s="32"/>
      <c r="O95" s="42"/>
    </row>
    <row r="96" spans="1:15" s="73" customFormat="1" ht="18" hidden="1" customHeight="1" x14ac:dyDescent="0.25">
      <c r="B96" s="134" t="s">
        <v>43</v>
      </c>
      <c r="C96" s="135" t="str">
        <f>CONCATENATE("Custo baseado em ",J96," - ",L96," - ",N96)</f>
        <v xml:space="preserve">Custo baseado em HISTÓRICO DE CUSTO / PADRÃO ATUAL -  - </v>
      </c>
      <c r="D96" s="136">
        <f>base_dados_proj!C51</f>
        <v>0</v>
      </c>
      <c r="E96" s="137">
        <f>SUM(K96,M96,O96)/COUNTIF(K96:O96,"&gt;0")</f>
        <v>264380.63</v>
      </c>
      <c r="F96" s="138">
        <f t="shared" ref="F96:F100" si="37">E96*D96</f>
        <v>0</v>
      </c>
      <c r="G96" s="85"/>
      <c r="H96" s="85"/>
      <c r="I96" s="85"/>
      <c r="J96" s="83" t="s">
        <v>120</v>
      </c>
      <c r="K96" s="84">
        <f>IFERROR(VLOOKUP($B96,base_índices!$A:$R,VLOOKUP(APRESENTAÇÃO!J96,base_índices!$A$142:$B$158,2,FALSE),FALSE),0)</f>
        <v>264380.63</v>
      </c>
      <c r="L96" s="84"/>
      <c r="M96" s="84"/>
      <c r="N96" s="83"/>
      <c r="O96" s="84"/>
    </row>
    <row r="97" spans="1:15" s="73" customFormat="1" ht="18" hidden="1" customHeight="1" x14ac:dyDescent="0.25">
      <c r="B97" s="134" t="s">
        <v>183</v>
      </c>
      <c r="C97" s="135" t="str">
        <f>CONCATENATE("Custo baseado em ",J97," - ",L97," - ",N97)</f>
        <v xml:space="preserve">Custo baseado em HISTÓRICO DE CUSTO / PADRÃO ATUAL -  - </v>
      </c>
      <c r="D97" s="136">
        <f>base_dados_proj!C52</f>
        <v>0</v>
      </c>
      <c r="E97" s="137">
        <f>SUM(K97,M97,O97)/COUNTIF(K97:O97,"&gt;0")</f>
        <v>200000</v>
      </c>
      <c r="F97" s="138">
        <f t="shared" ref="F97" si="38">E97*D97</f>
        <v>0</v>
      </c>
      <c r="G97" s="85"/>
      <c r="H97" s="85"/>
      <c r="I97" s="85"/>
      <c r="J97" s="83" t="s">
        <v>120</v>
      </c>
      <c r="K97" s="84">
        <f>IFERROR(VLOOKUP($B97,base_índices!$A:$R,VLOOKUP(APRESENTAÇÃO!J97,base_índices!$A$142:$B$158,2,FALSE),FALSE),0)</f>
        <v>200000</v>
      </c>
      <c r="L97" s="84"/>
      <c r="M97" s="84"/>
      <c r="N97" s="83"/>
      <c r="O97" s="84"/>
    </row>
    <row r="98" spans="1:15" s="73" customFormat="1" ht="18" hidden="1" customHeight="1" x14ac:dyDescent="0.25">
      <c r="B98" s="134" t="s">
        <v>45</v>
      </c>
      <c r="C98" s="135" t="str">
        <f>CONCATENATE("Custo baseado em ",J98," - ",L98," - ",N98)</f>
        <v xml:space="preserve">Custo baseado em HISTÓRICO DE CUSTO / PADRÃO ATUAL -  - </v>
      </c>
      <c r="D98" s="136">
        <f>base_dados_proj!C53</f>
        <v>0</v>
      </c>
      <c r="E98" s="137">
        <f>SUM(K98,M98,O98)/COUNTIF(K98:O98,"&gt;0")</f>
        <v>205791.79139999999</v>
      </c>
      <c r="F98" s="138">
        <f t="shared" si="37"/>
        <v>0</v>
      </c>
      <c r="G98" s="85"/>
      <c r="H98" s="85"/>
      <c r="I98" s="85"/>
      <c r="J98" s="83" t="s">
        <v>120</v>
      </c>
      <c r="K98" s="84">
        <f>IFERROR(VLOOKUP($B98,base_índices!$A:$R,VLOOKUP(APRESENTAÇÃO!J98,base_índices!$A$142:$B$158,2,FALSE),FALSE),0)</f>
        <v>205791.79139999999</v>
      </c>
      <c r="L98" s="84"/>
      <c r="M98" s="84"/>
      <c r="N98" s="83"/>
      <c r="O98" s="84"/>
    </row>
    <row r="99" spans="1:15" s="73" customFormat="1" ht="18" hidden="1" customHeight="1" x14ac:dyDescent="0.25">
      <c r="B99" s="134" t="s">
        <v>44</v>
      </c>
      <c r="C99" s="135" t="str">
        <f>CONCATENATE("Custo baseado em ",J99," - ",L99," - ",N99)</f>
        <v xml:space="preserve">Custo baseado em HISTÓRICO DE CUSTO / PADRÃO ATUAL -  - </v>
      </c>
      <c r="D99" s="136">
        <f>base_dados_proj!C55</f>
        <v>0</v>
      </c>
      <c r="E99" s="137">
        <f>SUM(K99,M99,O99)/COUNTIF(K99:O99,"&gt;0")</f>
        <v>160000</v>
      </c>
      <c r="F99" s="138">
        <f t="shared" si="37"/>
        <v>0</v>
      </c>
      <c r="J99" s="83" t="s">
        <v>120</v>
      </c>
      <c r="K99" s="84">
        <f>IFERROR(VLOOKUP($B99,base_índices!$A:$R,VLOOKUP(APRESENTAÇÃO!J99,base_índices!$A$142:$B$158,2,FALSE),FALSE),0)</f>
        <v>160000</v>
      </c>
      <c r="L99" s="84"/>
      <c r="M99" s="84"/>
      <c r="N99" s="83"/>
      <c r="O99" s="84"/>
    </row>
    <row r="100" spans="1:15" s="73" customFormat="1" ht="18" hidden="1" customHeight="1" x14ac:dyDescent="0.25">
      <c r="B100" s="134" t="s">
        <v>46</v>
      </c>
      <c r="C100" s="135" t="str">
        <f>CONCATENATE("Custo baseado em ",J100," - ",L100," - ",N100)</f>
        <v xml:space="preserve">Custo baseado em HISTÓRICO DE CUSTO / PADRÃO ATUAL -  - </v>
      </c>
      <c r="D100" s="136">
        <f>base_dados_proj!C56</f>
        <v>0</v>
      </c>
      <c r="E100" s="137">
        <f>SUM(K100,M100,O100)/COUNTIF(K100:O100,"&gt;0")</f>
        <v>75000</v>
      </c>
      <c r="F100" s="138">
        <f t="shared" si="37"/>
        <v>0</v>
      </c>
      <c r="G100" s="85"/>
      <c r="H100" s="85"/>
      <c r="I100" s="85"/>
      <c r="J100" s="83" t="s">
        <v>120</v>
      </c>
      <c r="K100" s="84">
        <f>IFERROR(VLOOKUP($B100,base_índices!$A:$R,VLOOKUP(APRESENTAÇÃO!J100,base_índices!$A$142:$B$158,2,FALSE),FALSE),0)</f>
        <v>75000</v>
      </c>
      <c r="L100" s="84"/>
      <c r="M100" s="84"/>
      <c r="N100" s="83"/>
      <c r="O100" s="84"/>
    </row>
    <row r="101" spans="1:15" ht="18" customHeight="1" x14ac:dyDescent="0.25">
      <c r="B101" s="182" t="s">
        <v>27</v>
      </c>
      <c r="C101" s="177" t="s">
        <v>82</v>
      </c>
      <c r="D101" s="178"/>
      <c r="E101" s="179"/>
      <c r="F101" s="96">
        <f>SUM(F103:F119)</f>
        <v>1139324.0383339999</v>
      </c>
      <c r="J101" s="78" t="s">
        <v>120</v>
      </c>
      <c r="K101" s="79">
        <f>IFERROR(VLOOKUP($B101,base_índices!$A:$R,VLOOKUP(APRESENTAÇÃO!J101,base_índices!$A$142:$B$158,2,FALSE),FALSE),0)</f>
        <v>0</v>
      </c>
    </row>
    <row r="102" spans="1:15" ht="18" customHeight="1" x14ac:dyDescent="0.25">
      <c r="B102" s="181"/>
      <c r="C102" s="14" t="s">
        <v>81</v>
      </c>
      <c r="D102" s="22" t="s">
        <v>69</v>
      </c>
      <c r="E102" s="15" t="s">
        <v>79</v>
      </c>
      <c r="F102" s="97" t="s">
        <v>80</v>
      </c>
      <c r="J102" s="78" t="s">
        <v>120</v>
      </c>
      <c r="K102" s="79">
        <f>IFERROR(VLOOKUP($B102,base_índices!$A:$R,VLOOKUP(APRESENTAÇÃO!J102,base_índices!$A$142:$B$158,2,FALSE),FALSE),0)</f>
        <v>0</v>
      </c>
    </row>
    <row r="103" spans="1:15" s="73" customFormat="1" ht="18" customHeight="1" x14ac:dyDescent="0.25">
      <c r="B103" s="80" t="s">
        <v>254</v>
      </c>
      <c r="C103" s="81" t="str">
        <f t="shared" ref="C103:C116" si="39">CONCATENATE("Custo baseado em ",J103," - ",L103," - ",N103)</f>
        <v xml:space="preserve">Custo baseado em HISTÓRICO DE CUSTO / PADRÃO ATUAL -  - </v>
      </c>
      <c r="D103" s="82">
        <f>base_dados_proj!C59</f>
        <v>22.42</v>
      </c>
      <c r="E103" s="76">
        <f>SUM(K103,M103,O103)/COUNTIF(K103:O103,"&gt;0")</f>
        <v>1589.7150999999999</v>
      </c>
      <c r="F103" s="100">
        <f>D103*E103</f>
        <v>35641.412541999998</v>
      </c>
      <c r="G103" s="121"/>
      <c r="H103" s="121"/>
      <c r="I103" s="121"/>
      <c r="J103" s="83" t="s">
        <v>120</v>
      </c>
      <c r="K103" s="84">
        <f>IFERROR(VLOOKUP($B103,base_índices!$A:$R,VLOOKUP(APRESENTAÇÃO!J103,base_índices!$A$142:$B$158,2,FALSE),FALSE),0)</f>
        <v>1589.7150999999999</v>
      </c>
      <c r="L103" s="84"/>
      <c r="M103" s="84"/>
      <c r="N103" s="83"/>
      <c r="O103" s="84"/>
    </row>
    <row r="104" spans="1:15" s="73" customFormat="1" ht="18" hidden="1" customHeight="1" x14ac:dyDescent="0.25">
      <c r="B104" s="134" t="s">
        <v>253</v>
      </c>
      <c r="C104" s="135" t="str">
        <f t="shared" ref="C104" si="40">CONCATENATE("Custo baseado em ",J104," - ",L104," - ",N104)</f>
        <v xml:space="preserve">Custo baseado em HISTÓRICO DE CUSTO / PADRÃO ATUAL -  - </v>
      </c>
      <c r="D104" s="136">
        <f>base_dados_proj!C60</f>
        <v>2</v>
      </c>
      <c r="E104" s="137">
        <f t="shared" ref="E104" si="41">SUM(K104,M104,O104)/COUNTIF(K104:O104,"&gt;0")</f>
        <v>7080.74</v>
      </c>
      <c r="F104" s="138">
        <f t="shared" ref="F104" si="42">D104*E104</f>
        <v>14161.48</v>
      </c>
      <c r="G104" s="121"/>
      <c r="H104" s="121"/>
      <c r="I104" s="121"/>
      <c r="J104" s="83" t="s">
        <v>120</v>
      </c>
      <c r="K104" s="84">
        <f>IFERROR(VLOOKUP($B104,base_índices!$A:$R,VLOOKUP(APRESENTAÇÃO!J104,base_índices!$A$142:$B$158,2,FALSE),FALSE),0)</f>
        <v>7080.74</v>
      </c>
      <c r="L104" s="84"/>
      <c r="M104" s="84"/>
      <c r="N104" s="83"/>
      <c r="O104" s="84"/>
    </row>
    <row r="105" spans="1:15" s="73" customFormat="1" ht="18" customHeight="1" x14ac:dyDescent="0.25">
      <c r="B105" s="122" t="s">
        <v>260</v>
      </c>
      <c r="C105" s="81" t="str">
        <f t="shared" ref="C105" si="43">CONCATENATE("Custo baseado em ",J105," - ",L105," - ",N105)</f>
        <v xml:space="preserve">Custo baseado em HISTÓRICO DE CUSTO / PADRÃO ATUAL -  - </v>
      </c>
      <c r="D105" s="82">
        <f>base_dados_proj!C67</f>
        <v>1</v>
      </c>
      <c r="E105" s="76">
        <f t="shared" ref="E105" si="44">SUM(K105,M105,O105)/COUNTIF(K105:O105,"&gt;0")</f>
        <v>19624.543000000001</v>
      </c>
      <c r="F105" s="100">
        <f>D105*E105</f>
        <v>19624.543000000001</v>
      </c>
      <c r="G105" s="85"/>
      <c r="H105" s="85"/>
      <c r="I105" s="85"/>
      <c r="J105" s="83" t="s">
        <v>120</v>
      </c>
      <c r="K105" s="84">
        <f>IFERROR(VLOOKUP($B105,base_índices!$A:$R,VLOOKUP(APRESENTAÇÃO!J105,base_índices!$A$142:$B$158,2,FALSE),FALSE),0)</f>
        <v>19624.543000000001</v>
      </c>
      <c r="L105" s="84"/>
      <c r="M105" s="84"/>
      <c r="N105" s="83"/>
      <c r="O105" s="84"/>
    </row>
    <row r="106" spans="1:15" s="73" customFormat="1" ht="18" hidden="1" customHeight="1" x14ac:dyDescent="0.25">
      <c r="B106" s="140" t="s">
        <v>110</v>
      </c>
      <c r="C106" s="135" t="str">
        <f t="shared" ref="C106" si="45">CONCATENATE("Custo baseado em ",J106," - ",L106," - ",N106)</f>
        <v xml:space="preserve">Custo baseado em HISTÓRICO DE CUSTO / PADRÃO ATUAL -  - </v>
      </c>
      <c r="D106" s="136">
        <f>base_dados_proj!C69</f>
        <v>0</v>
      </c>
      <c r="E106" s="137">
        <f>SUM(K106,M106,O106)/COUNTIF(K106:O106,"&gt;0")</f>
        <v>37603.417099999999</v>
      </c>
      <c r="F106" s="138">
        <f>D106*E106</f>
        <v>0</v>
      </c>
      <c r="G106" s="85"/>
      <c r="H106" s="85"/>
      <c r="I106" s="85"/>
      <c r="J106" s="83" t="s">
        <v>120</v>
      </c>
      <c r="K106" s="84">
        <f>IFERROR(VLOOKUP($B106,base_índices!$A:$R,VLOOKUP(APRESENTAÇÃO!J106,base_índices!$A$142:$B$158,2,FALSE),FALSE),0)</f>
        <v>37603.417099999999</v>
      </c>
      <c r="L106" s="84"/>
      <c r="M106" s="84"/>
      <c r="N106" s="83"/>
      <c r="O106" s="84"/>
    </row>
    <row r="107" spans="1:15" s="73" customFormat="1" ht="18" customHeight="1" x14ac:dyDescent="0.25">
      <c r="B107" s="80" t="s">
        <v>48</v>
      </c>
      <c r="C107" s="81" t="str">
        <f>CONCATENATE("Custo baseado em ",J107," - ",L107," - ",N107)</f>
        <v xml:space="preserve">Custo baseado em HISTÓRICO DE CUSTO / PADRÃO ATUAL -  - </v>
      </c>
      <c r="D107" s="82">
        <f>base_dados_proj!C70</f>
        <v>256.62</v>
      </c>
      <c r="E107" s="76">
        <f t="shared" ref="E107:E108" si="46">SUM(K107,M107,O107)/COUNTIF(K107:O107,"&gt;0")</f>
        <v>378.66160000000002</v>
      </c>
      <c r="F107" s="100">
        <f t="shared" ref="F107:F108" si="47">D107*E107</f>
        <v>97172.139792000002</v>
      </c>
      <c r="G107" s="85"/>
      <c r="H107" s="85"/>
      <c r="I107" s="85"/>
      <c r="J107" s="83" t="s">
        <v>120</v>
      </c>
      <c r="K107" s="84">
        <f>IFERROR(VLOOKUP($B107,base_índices!$A:$R,VLOOKUP(APRESENTAÇÃO!J107,base_índices!$A$142:$B$158,2,FALSE),FALSE),0)</f>
        <v>378.66160000000002</v>
      </c>
      <c r="L107" s="84"/>
      <c r="M107" s="84"/>
      <c r="N107" s="83"/>
      <c r="O107" s="84"/>
    </row>
    <row r="108" spans="1:15" s="73" customFormat="1" ht="18" customHeight="1" x14ac:dyDescent="0.25">
      <c r="B108" s="80" t="s">
        <v>121</v>
      </c>
      <c r="C108" s="81" t="str">
        <f>CONCATENATE("Custo baseado em ",J108," - Colorida",L108," - ",N108)</f>
        <v xml:space="preserve">Custo baseado em HISTÓRICO DE CUSTO / PADRÃO ATUAL - Colorida - </v>
      </c>
      <c r="D108" s="82">
        <f>base_dados_proj!C71</f>
        <v>3587.62</v>
      </c>
      <c r="E108" s="76">
        <f t="shared" si="46"/>
        <v>66</v>
      </c>
      <c r="F108" s="100">
        <f t="shared" si="47"/>
        <v>236782.91999999998</v>
      </c>
      <c r="G108" s="34"/>
      <c r="H108" s="34"/>
      <c r="I108" s="34"/>
      <c r="J108" s="83" t="s">
        <v>120</v>
      </c>
      <c r="K108" s="84">
        <f>IFERROR(VLOOKUP($B108,base_índices!$A:$R,VLOOKUP(APRESENTAÇÃO!J108,base_índices!$A$142:$B$158,2,FALSE),FALSE),0)</f>
        <v>66</v>
      </c>
      <c r="L108" s="84"/>
      <c r="M108" s="84"/>
      <c r="N108" s="83"/>
      <c r="O108" s="84"/>
    </row>
    <row r="109" spans="1:15" s="73" customFormat="1" ht="18" customHeight="1" x14ac:dyDescent="0.25">
      <c r="A109" s="123" t="s">
        <v>200</v>
      </c>
      <c r="B109" s="80" t="s">
        <v>258</v>
      </c>
      <c r="C109" s="81" t="str">
        <f>CONCATENATE("Custo baseado em ",J109," - ",L109," - PRAÇA ",N109)</f>
        <v xml:space="preserve">Custo baseado em HISTÓRICO DE CUSTO / PADRÃO ATUAL -  - PRAÇA </v>
      </c>
      <c r="D109" s="82">
        <f>base_dados_proj!C73</f>
        <v>653.36</v>
      </c>
      <c r="E109" s="76">
        <f>SUM(K109,M109,O109)/COUNTIF(K109:O109,"&gt;0")</f>
        <v>135.6</v>
      </c>
      <c r="F109" s="100">
        <f>D109*E109</f>
        <v>88595.615999999995</v>
      </c>
      <c r="G109" s="34"/>
      <c r="H109" s="34"/>
      <c r="I109" s="34"/>
      <c r="J109" s="83" t="s">
        <v>120</v>
      </c>
      <c r="K109" s="84">
        <f>IFERROR(VLOOKUP($B109,base_índices!$A:$R,VLOOKUP(APRESENTAÇÃO!J109,base_índices!$A$142:$B$158,2,FALSE),FALSE),0)</f>
        <v>135.6</v>
      </c>
      <c r="L109" s="84"/>
      <c r="M109" s="84"/>
      <c r="N109" s="83"/>
      <c r="O109" s="84"/>
    </row>
    <row r="110" spans="1:15" s="73" customFormat="1" ht="18" customHeight="1" x14ac:dyDescent="0.25">
      <c r="A110" s="123" t="s">
        <v>200</v>
      </c>
      <c r="B110" s="80" t="s">
        <v>344</v>
      </c>
      <c r="C110" s="81" t="str">
        <f>CONCATENATE("Custo baseado em ",J110," - ",L110," - PRAÇA ",N110)</f>
        <v xml:space="preserve">Custo baseado em HISTÓRICO DE CUSTO / PADRÃO ATUAL -  - PRAÇA </v>
      </c>
      <c r="D110" s="82">
        <f>base_dados_proj!C74</f>
        <v>1337.53</v>
      </c>
      <c r="E110" s="76">
        <f>SUM(K110,M110,O110)/COUNTIF(K110:O110,"&gt;0")</f>
        <v>81</v>
      </c>
      <c r="F110" s="100">
        <f>D110*E110</f>
        <v>108339.93</v>
      </c>
      <c r="G110" s="34"/>
      <c r="H110" s="34"/>
      <c r="I110" s="34"/>
      <c r="J110" s="83" t="s">
        <v>120</v>
      </c>
      <c r="K110" s="84">
        <f>IFERROR(VLOOKUP($B110,base_índices!$A:$R,VLOOKUP(APRESENTAÇÃO!J110,base_índices!$A$142:$B$158,2,FALSE),FALSE),0)</f>
        <v>81</v>
      </c>
      <c r="L110" s="84"/>
      <c r="M110" s="84"/>
      <c r="N110" s="83"/>
      <c r="O110" s="84"/>
    </row>
    <row r="111" spans="1:15" s="73" customFormat="1" ht="18" hidden="1" customHeight="1" x14ac:dyDescent="0.25">
      <c r="A111" s="123" t="s">
        <v>200</v>
      </c>
      <c r="B111" s="134" t="s">
        <v>208</v>
      </c>
      <c r="C111" s="135" t="str">
        <f>CONCATENATE("Custo baseado em ",J111," - ",L111," - PRAÇA ",N111)</f>
        <v xml:space="preserve">Custo baseado em HISTÓRICO DE CUSTO / PADRÃO ATUAL -  - PRAÇA </v>
      </c>
      <c r="D111" s="136">
        <f>base_dados_proj!C72</f>
        <v>0</v>
      </c>
      <c r="E111" s="137">
        <f>SUM(K111,M111,O111)/COUNTIF(K111:O111,"&gt;0")</f>
        <v>227.82</v>
      </c>
      <c r="F111" s="138">
        <f t="shared" ref="F111" si="48">D111*E111</f>
        <v>0</v>
      </c>
      <c r="G111" s="34"/>
      <c r="H111" s="34"/>
      <c r="I111" s="34"/>
      <c r="J111" s="83" t="s">
        <v>120</v>
      </c>
      <c r="K111" s="84">
        <f>IFERROR(VLOOKUP($B111,base_índices!$A:$R,VLOOKUP(APRESENTAÇÃO!J111,base_índices!$A$142:$B$158,2,FALSE),FALSE),0)</f>
        <v>227.82</v>
      </c>
      <c r="L111" s="84"/>
      <c r="M111" s="84"/>
      <c r="N111" s="83"/>
      <c r="O111" s="84"/>
    </row>
    <row r="112" spans="1:15" s="73" customFormat="1" ht="18" hidden="1" customHeight="1" x14ac:dyDescent="0.25">
      <c r="B112" s="134" t="s">
        <v>156</v>
      </c>
      <c r="C112" s="135" t="str">
        <f>CONCATENATE("Custo baseado em ",J112," - Colorida",L112," - ",N112)</f>
        <v xml:space="preserve">Custo baseado em HISTÓRICO DE CUSTO / PADRÃO ATUAL - Colorida - </v>
      </c>
      <c r="D112" s="136">
        <f>base_dados_proj!C75</f>
        <v>0</v>
      </c>
      <c r="E112" s="137">
        <f t="shared" ref="E112:E114" si="49">SUM(K112,M112,O112)/COUNTIF(K112:O112,"&gt;0")</f>
        <v>65837.426099999997</v>
      </c>
      <c r="F112" s="138">
        <f t="shared" ref="F112:F114" si="50">D112*E112</f>
        <v>0</v>
      </c>
      <c r="G112" s="34"/>
      <c r="H112" s="34"/>
      <c r="I112" s="34"/>
      <c r="J112" s="83" t="s">
        <v>120</v>
      </c>
      <c r="K112" s="84">
        <f>IFERROR(VLOOKUP($B112,base_índices!$A:$R,VLOOKUP(APRESENTAÇÃO!J112,base_índices!$A$142:$B$158,2,FALSE),FALSE),0)</f>
        <v>65837.426099999997</v>
      </c>
      <c r="L112" s="84"/>
      <c r="M112" s="84"/>
      <c r="N112" s="83"/>
      <c r="O112" s="84"/>
    </row>
    <row r="113" spans="2:15" s="73" customFormat="1" ht="18" customHeight="1" x14ac:dyDescent="0.25">
      <c r="B113" s="80" t="s">
        <v>179</v>
      </c>
      <c r="C113" s="81" t="str">
        <f t="shared" ref="C113:C114" si="51">CONCATENATE("Custo baseado em ",J113," - ",L113," - ",N113)</f>
        <v xml:space="preserve">Custo baseado em HISTÓRICO DE CUSTO / PADRÃO ATUAL -  - </v>
      </c>
      <c r="D113" s="82">
        <f>base_dados_proj!C76</f>
        <v>1</v>
      </c>
      <c r="E113" s="76">
        <f>SUM(K113,M113,O113)/COUNTIF(K113:O113,"&gt;0")+70992.09</f>
        <v>384005.99699999997</v>
      </c>
      <c r="F113" s="100">
        <f t="shared" si="50"/>
        <v>384005.99699999997</v>
      </c>
      <c r="G113" s="121"/>
      <c r="H113" s="121"/>
      <c r="I113" s="121"/>
      <c r="J113" s="83" t="s">
        <v>120</v>
      </c>
      <c r="K113" s="84">
        <f>IFERROR(VLOOKUP($B113,base_índices!$A:$R,VLOOKUP(APRESENTAÇÃO!J113,base_índices!$A$142:$B$158,2,FALSE),FALSE),0)</f>
        <v>313013.90700000001</v>
      </c>
      <c r="L113" s="84"/>
      <c r="M113" s="84"/>
      <c r="N113" s="83"/>
      <c r="O113" s="84"/>
    </row>
    <row r="114" spans="2:15" s="73" customFormat="1" ht="18" customHeight="1" x14ac:dyDescent="0.25">
      <c r="B114" s="80" t="s">
        <v>256</v>
      </c>
      <c r="C114" s="81" t="str">
        <f t="shared" si="51"/>
        <v xml:space="preserve">Custo baseado em HISTÓRICO DE CUSTO / PADRÃO ATUAL -  - </v>
      </c>
      <c r="D114" s="82">
        <f>base_dados_proj!C77</f>
        <v>1</v>
      </c>
      <c r="E114" s="76">
        <f t="shared" si="49"/>
        <v>35000</v>
      </c>
      <c r="F114" s="100">
        <f t="shared" si="50"/>
        <v>35000</v>
      </c>
      <c r="G114" s="85"/>
      <c r="H114" s="85"/>
      <c r="I114" s="85"/>
      <c r="J114" s="83" t="s">
        <v>120</v>
      </c>
      <c r="K114" s="84">
        <f>IFERROR(VLOOKUP($B114,base_índices!$A:$R,VLOOKUP(APRESENTAÇÃO!J114,base_índices!$A$142:$B$158,2,FALSE),FALSE),0)</f>
        <v>35000</v>
      </c>
      <c r="L114" s="84"/>
      <c r="M114" s="84"/>
      <c r="N114" s="83"/>
      <c r="O114" s="84"/>
    </row>
    <row r="115" spans="2:15" s="73" customFormat="1" ht="18" customHeight="1" x14ac:dyDescent="0.25">
      <c r="B115" s="80" t="s">
        <v>257</v>
      </c>
      <c r="C115" s="81" t="str">
        <f t="shared" ref="C115" si="52">CONCATENATE("Custo baseado em ",J115," - ",L115," - ",N115)</f>
        <v xml:space="preserve">Custo baseado em HISTÓRICO DE CUSTO / PADRÃO ATUAL -  - </v>
      </c>
      <c r="D115" s="82">
        <f>base_dados_proj!C77</f>
        <v>1</v>
      </c>
      <c r="E115" s="76">
        <f t="shared" ref="E115" si="53">SUM(K115,M115,O115)/COUNTIF(K115:O115,"&gt;0")</f>
        <v>30000</v>
      </c>
      <c r="F115" s="100">
        <f t="shared" ref="F115" si="54">D115*E115</f>
        <v>30000</v>
      </c>
      <c r="G115" s="85"/>
      <c r="H115" s="85"/>
      <c r="I115" s="85"/>
      <c r="J115" s="83" t="s">
        <v>120</v>
      </c>
      <c r="K115" s="84">
        <f>IFERROR(VLOOKUP($B115,base_índices!$A:$R,VLOOKUP(APRESENTAÇÃO!J115,base_índices!$A$142:$B$158,2,FALSE),FALSE),0)</f>
        <v>30000</v>
      </c>
      <c r="L115" s="84"/>
      <c r="M115" s="84"/>
      <c r="N115" s="83"/>
      <c r="O115" s="84"/>
    </row>
    <row r="116" spans="2:15" s="73" customFormat="1" ht="18" customHeight="1" x14ac:dyDescent="0.25">
      <c r="B116" s="80" t="s">
        <v>255</v>
      </c>
      <c r="C116" s="81" t="str">
        <f t="shared" si="39"/>
        <v xml:space="preserve">Custo baseado em HISTÓRICO DE CUSTO / PADRÃO ATUAL -  - </v>
      </c>
      <c r="D116" s="82">
        <f>base_dados_proj!C80</f>
        <v>1</v>
      </c>
      <c r="E116" s="76">
        <f>SUM(K116,M116,O116)/COUNTIF(K116:O116,"&gt;0")</f>
        <v>90000</v>
      </c>
      <c r="F116" s="100">
        <f t="shared" ref="F116" si="55">D116*E116</f>
        <v>90000</v>
      </c>
      <c r="G116" s="85"/>
      <c r="H116" s="85"/>
      <c r="I116" s="85"/>
      <c r="J116" s="83" t="s">
        <v>120</v>
      </c>
      <c r="K116" s="84">
        <f>IFERROR(VLOOKUP($B116,base_índices!$A:$R,VLOOKUP(APRESENTAÇÃO!J116,base_índices!$A$142:$B$158,2,FALSE),FALSE),0)</f>
        <v>90000</v>
      </c>
      <c r="L116" s="84"/>
      <c r="M116" s="84"/>
      <c r="N116" s="83"/>
      <c r="O116" s="84"/>
    </row>
    <row r="117" spans="2:15" s="73" customFormat="1" ht="18" hidden="1" customHeight="1" x14ac:dyDescent="0.25">
      <c r="B117" s="134" t="s">
        <v>207</v>
      </c>
      <c r="C117" s="135" t="str">
        <f t="shared" ref="C117" si="56">CONCATENATE("Custo baseado em ",J117," - ",L117," - ",N117)</f>
        <v xml:space="preserve">Custo baseado em HISTÓRICO DE CUSTO / PADRÃO ATUAL -  - </v>
      </c>
      <c r="D117" s="136">
        <f>base_dados_proj!C81</f>
        <v>0</v>
      </c>
      <c r="E117" s="137">
        <f>SUM(K117,M117,O117)/COUNTIF(K117:O117,"&gt;0")</f>
        <v>120000</v>
      </c>
      <c r="F117" s="138">
        <f t="shared" ref="F117" si="57">D117*E117</f>
        <v>0</v>
      </c>
      <c r="G117" s="85"/>
      <c r="H117" s="85"/>
      <c r="I117" s="85"/>
      <c r="J117" s="83" t="s">
        <v>120</v>
      </c>
      <c r="K117" s="84">
        <f>IFERROR(VLOOKUP($B117,base_índices!$A:$R,VLOOKUP(APRESENTAÇÃO!J117,base_índices!$A$142:$B$158,2,FALSE),FALSE),0)</f>
        <v>120000</v>
      </c>
      <c r="L117" s="84"/>
      <c r="M117" s="84"/>
      <c r="N117" s="83"/>
      <c r="O117" s="84"/>
    </row>
    <row r="118" spans="2:15" s="73" customFormat="1" ht="18" hidden="1" customHeight="1" x14ac:dyDescent="0.25">
      <c r="B118" s="175" t="s">
        <v>201</v>
      </c>
      <c r="C118" s="135" t="s">
        <v>70</v>
      </c>
      <c r="D118" s="136">
        <f>base_dados_proj!C78</f>
        <v>0</v>
      </c>
      <c r="E118" s="137"/>
      <c r="F118" s="139"/>
      <c r="G118" s="85"/>
      <c r="H118" s="85"/>
      <c r="I118" s="85"/>
      <c r="J118" s="83"/>
      <c r="K118" s="84"/>
      <c r="L118" s="84"/>
      <c r="M118" s="84"/>
      <c r="N118" s="83"/>
      <c r="O118" s="84"/>
    </row>
    <row r="119" spans="2:15" s="73" customFormat="1" ht="18" hidden="1" customHeight="1" x14ac:dyDescent="0.25">
      <c r="B119" s="176"/>
      <c r="C119" s="135" t="s">
        <v>235</v>
      </c>
      <c r="D119" s="136">
        <v>1</v>
      </c>
      <c r="E119" s="137"/>
      <c r="F119" s="139"/>
      <c r="G119" s="85"/>
      <c r="H119" s="85"/>
      <c r="I119" s="85"/>
      <c r="J119" s="83"/>
      <c r="K119" s="84"/>
      <c r="L119" s="84"/>
      <c r="M119" s="84"/>
      <c r="N119" s="83"/>
      <c r="O119" s="84"/>
    </row>
    <row r="120" spans="2:15" ht="18" customHeight="1" x14ac:dyDescent="0.25">
      <c r="B120" s="182" t="s">
        <v>19</v>
      </c>
      <c r="C120" s="177" t="s">
        <v>82</v>
      </c>
      <c r="D120" s="178"/>
      <c r="E120" s="179"/>
      <c r="F120" s="96">
        <f>SUM(F122:F124)</f>
        <v>95661.039350000006</v>
      </c>
      <c r="J120" s="78" t="s">
        <v>120</v>
      </c>
      <c r="K120" s="79">
        <f>IFERROR(VLOOKUP($B120,base_índices!$A:$R,VLOOKUP(APRESENTAÇÃO!J120,base_índices!$A$142:$B$158,2,FALSE),FALSE),0)</f>
        <v>0</v>
      </c>
    </row>
    <row r="121" spans="2:15" ht="18" customHeight="1" x14ac:dyDescent="0.25">
      <c r="B121" s="181"/>
      <c r="C121" s="14" t="s">
        <v>81</v>
      </c>
      <c r="D121" s="22" t="s">
        <v>69</v>
      </c>
      <c r="E121" s="15" t="s">
        <v>79</v>
      </c>
      <c r="F121" s="97" t="s">
        <v>80</v>
      </c>
      <c r="J121" s="78" t="s">
        <v>120</v>
      </c>
      <c r="K121" s="79">
        <f>IFERROR(VLOOKUP($B121,base_índices!$A:$R,VLOOKUP(APRESENTAÇÃO!J121,base_índices!$A$142:$B$158,2,FALSE),FALSE),0)</f>
        <v>0</v>
      </c>
    </row>
    <row r="122" spans="2:15" ht="18" customHeight="1" x14ac:dyDescent="0.25">
      <c r="B122" s="10" t="s">
        <v>128</v>
      </c>
      <c r="C122" s="6" t="str">
        <f>CONCATENATE("Custo baseado em ",J122," - ",L122," - ",N122)</f>
        <v xml:space="preserve">Custo baseado em HISTÓRICO DE CUSTO / PADRÃO ATUAL -  - </v>
      </c>
      <c r="D122" s="23">
        <v>1</v>
      </c>
      <c r="E122" s="11">
        <f>SUM(K122,M122,O122)/COUNTIF(K122:O122,"&gt;0")</f>
        <v>25000</v>
      </c>
      <c r="F122" s="99">
        <f t="shared" ref="F122:F124" si="58">D122*E122</f>
        <v>25000</v>
      </c>
      <c r="J122" s="78" t="s">
        <v>120</v>
      </c>
      <c r="K122" s="79">
        <f>IFERROR(VLOOKUP($B122,base_índices!$A:$R,VLOOKUP(APRESENTAÇÃO!J122,base_índices!$A$142:$B$158,2,FALSE),FALSE),0)</f>
        <v>25000</v>
      </c>
      <c r="O122" s="30"/>
    </row>
    <row r="123" spans="2:15" ht="18" customHeight="1" x14ac:dyDescent="0.25">
      <c r="B123" s="10" t="s">
        <v>96</v>
      </c>
      <c r="C123" s="6" t="str">
        <f>CONCATENATE("Custo baseado em ",J123," - ",L123," - ",N123)</f>
        <v xml:space="preserve">Custo baseado em HISTÓRICO DE CUSTO / PADRÃO ATUAL -  - </v>
      </c>
      <c r="D123" s="23">
        <v>0.5</v>
      </c>
      <c r="E123" s="11">
        <f>SUM(K123,M123,O123)/COUNTIF(K123:O123,"&gt;0")</f>
        <v>60000</v>
      </c>
      <c r="F123" s="99">
        <f t="shared" si="58"/>
        <v>30000</v>
      </c>
      <c r="J123" s="78" t="s">
        <v>120</v>
      </c>
      <c r="K123" s="79">
        <f>IFERROR(VLOOKUP($B123,base_índices!$A:$R,VLOOKUP(APRESENTAÇÃO!J123,base_índices!$A$142:$B$158,2,FALSE),FALSE),0)</f>
        <v>60000</v>
      </c>
      <c r="O123" s="30"/>
    </row>
    <row r="124" spans="2:15" ht="18" customHeight="1" x14ac:dyDescent="0.25">
      <c r="B124" s="70" t="s">
        <v>99</v>
      </c>
      <c r="C124" s="71" t="str">
        <f>CONCATENATE("Custo baseado em ",J124," - ",L124," - ",N124)</f>
        <v xml:space="preserve">Custo baseado em HISTÓRICO DE CUSTO / PADRÃO ATUAL -  - </v>
      </c>
      <c r="D124" s="75">
        <v>0.5</v>
      </c>
      <c r="E124" s="68">
        <f>SUM(K124,M124,O124)/COUNTIF(K124:O124,"&gt;0")</f>
        <v>81322.078699999998</v>
      </c>
      <c r="F124" s="99">
        <f t="shared" si="58"/>
        <v>40661.039349999999</v>
      </c>
      <c r="J124" s="78" t="s">
        <v>120</v>
      </c>
      <c r="K124" s="79">
        <f>IFERROR(VLOOKUP($B124,base_índices!$A:$R,VLOOKUP(APRESENTAÇÃO!J124,base_índices!$A$142:$B$158,2,FALSE),FALSE),0)</f>
        <v>81322.078699999998</v>
      </c>
      <c r="O124" s="30"/>
    </row>
    <row r="125" spans="2:15" ht="18" customHeight="1" x14ac:dyDescent="0.25">
      <c r="B125" s="9"/>
      <c r="C125" s="9"/>
      <c r="D125" s="21"/>
      <c r="E125" s="9"/>
      <c r="F125" s="37"/>
      <c r="J125" s="19"/>
      <c r="K125" s="19"/>
      <c r="L125" s="156"/>
      <c r="M125" s="19"/>
      <c r="N125" s="19"/>
      <c r="O125" s="19"/>
    </row>
    <row r="126" spans="2:15" ht="18" customHeight="1" x14ac:dyDescent="0.25">
      <c r="B126" s="9"/>
      <c r="C126" s="9"/>
      <c r="D126" s="21"/>
      <c r="E126" s="9"/>
      <c r="F126" s="37"/>
      <c r="J126" s="19"/>
      <c r="K126" s="19"/>
      <c r="L126" s="156"/>
      <c r="M126" s="19"/>
      <c r="N126" s="19"/>
      <c r="O126" s="19"/>
    </row>
    <row r="127" spans="2:15" ht="18" customHeight="1" x14ac:dyDescent="0.25">
      <c r="B127" s="9"/>
      <c r="C127" s="9"/>
      <c r="D127" s="21"/>
      <c r="E127" s="9"/>
      <c r="F127" s="37"/>
      <c r="J127" s="19"/>
      <c r="K127" s="19"/>
      <c r="L127" s="156"/>
      <c r="M127" s="19"/>
      <c r="N127" s="19"/>
      <c r="O127" s="19"/>
    </row>
    <row r="128" spans="2:15" ht="18" customHeight="1" x14ac:dyDescent="0.25">
      <c r="B128" s="9"/>
      <c r="C128" s="9"/>
      <c r="D128" s="21"/>
      <c r="E128" s="9"/>
      <c r="F128" s="37"/>
      <c r="J128" s="19"/>
      <c r="K128" s="19"/>
      <c r="L128" s="156"/>
      <c r="M128" s="19"/>
      <c r="N128" s="19"/>
      <c r="O128" s="19"/>
    </row>
    <row r="129" spans="2:15" ht="18" customHeight="1" x14ac:dyDescent="0.25">
      <c r="B129" s="9"/>
      <c r="C129" s="9"/>
      <c r="D129" s="21"/>
      <c r="E129" s="9"/>
      <c r="F129" s="37"/>
      <c r="J129" s="19"/>
      <c r="K129" s="19"/>
      <c r="L129" s="156"/>
      <c r="M129" s="19"/>
      <c r="N129" s="19"/>
      <c r="O129" s="19"/>
    </row>
    <row r="130" spans="2:15" ht="18" customHeight="1" x14ac:dyDescent="0.25">
      <c r="B130" s="9"/>
      <c r="C130" s="9"/>
      <c r="D130" s="21"/>
      <c r="E130" s="9"/>
      <c r="F130" s="37"/>
      <c r="J130" s="19"/>
      <c r="K130" s="19"/>
      <c r="L130" s="156"/>
      <c r="M130" s="19"/>
      <c r="N130" s="19"/>
      <c r="O130" s="19"/>
    </row>
    <row r="131" spans="2:15" ht="18" customHeight="1" x14ac:dyDescent="0.25">
      <c r="B131" s="9"/>
      <c r="C131" s="9"/>
      <c r="D131" s="21"/>
      <c r="E131" s="9"/>
      <c r="F131" s="37"/>
      <c r="J131" s="19"/>
      <c r="K131" s="19"/>
      <c r="L131" s="156"/>
      <c r="M131" s="19"/>
      <c r="N131" s="19"/>
      <c r="O131" s="19"/>
    </row>
    <row r="132" spans="2:15" ht="18" customHeight="1" x14ac:dyDescent="0.25">
      <c r="B132" s="9"/>
      <c r="C132" s="9"/>
      <c r="D132" s="21"/>
      <c r="E132" s="9"/>
      <c r="F132" s="37"/>
      <c r="J132" s="19"/>
      <c r="K132" s="19"/>
      <c r="L132" s="156"/>
      <c r="M132" s="19"/>
      <c r="N132" s="19"/>
      <c r="O132" s="19"/>
    </row>
    <row r="133" spans="2:15" ht="18" customHeight="1" x14ac:dyDescent="0.25">
      <c r="B133" s="9"/>
      <c r="C133" s="9"/>
      <c r="D133" s="21"/>
      <c r="E133" s="9"/>
      <c r="F133" s="37"/>
      <c r="J133" s="19"/>
      <c r="K133" s="19"/>
      <c r="L133" s="156"/>
      <c r="M133" s="19"/>
      <c r="N133" s="19"/>
      <c r="O133" s="19"/>
    </row>
    <row r="134" spans="2:15" ht="18" customHeight="1" x14ac:dyDescent="0.25">
      <c r="B134" s="9"/>
      <c r="C134" s="9"/>
      <c r="D134" s="21"/>
      <c r="E134" s="9"/>
      <c r="F134" s="37"/>
      <c r="J134" s="19"/>
      <c r="K134" s="19"/>
      <c r="L134" s="156"/>
      <c r="M134" s="19"/>
      <c r="N134" s="19"/>
      <c r="O134" s="19"/>
    </row>
    <row r="135" spans="2:15" ht="18" customHeight="1" x14ac:dyDescent="0.25">
      <c r="B135" s="9"/>
      <c r="C135" s="9"/>
      <c r="D135" s="21"/>
      <c r="E135" s="9"/>
      <c r="F135" s="37"/>
      <c r="J135" s="19"/>
      <c r="K135" s="19"/>
      <c r="L135" s="156"/>
      <c r="M135" s="19"/>
      <c r="N135" s="19"/>
      <c r="O135" s="19"/>
    </row>
    <row r="136" spans="2:15" ht="18" customHeight="1" x14ac:dyDescent="0.25">
      <c r="B136" s="9"/>
      <c r="C136" s="9"/>
      <c r="D136" s="21"/>
      <c r="E136" s="9"/>
      <c r="F136" s="37"/>
      <c r="J136" s="19"/>
      <c r="K136" s="19"/>
      <c r="L136" s="156"/>
      <c r="M136" s="19"/>
      <c r="N136" s="19"/>
      <c r="O136" s="19"/>
    </row>
    <row r="137" spans="2:15" ht="18" customHeight="1" x14ac:dyDescent="0.25">
      <c r="B137" s="9"/>
      <c r="C137" s="9"/>
      <c r="D137" s="21"/>
      <c r="E137" s="9"/>
      <c r="F137" s="37"/>
      <c r="J137" s="19"/>
      <c r="K137" s="19"/>
      <c r="L137" s="156"/>
      <c r="M137" s="19"/>
      <c r="N137" s="19"/>
      <c r="O137" s="19"/>
    </row>
    <row r="138" spans="2:15" ht="18" customHeight="1" x14ac:dyDescent="0.25">
      <c r="B138" s="9"/>
      <c r="C138" s="9"/>
      <c r="D138" s="21"/>
      <c r="E138" s="9"/>
      <c r="F138" s="37"/>
      <c r="J138" s="19"/>
      <c r="K138" s="19"/>
      <c r="L138" s="156"/>
      <c r="M138" s="19"/>
      <c r="N138" s="19"/>
      <c r="O138" s="19"/>
    </row>
    <row r="139" spans="2:15" ht="18" customHeight="1" x14ac:dyDescent="0.25">
      <c r="B139" s="9"/>
      <c r="C139" s="9"/>
      <c r="D139" s="21"/>
      <c r="E139" s="9"/>
      <c r="F139" s="37"/>
      <c r="J139" s="19"/>
      <c r="K139" s="19"/>
      <c r="L139" s="156"/>
      <c r="M139" s="19"/>
      <c r="N139" s="19"/>
      <c r="O139" s="19"/>
    </row>
    <row r="140" spans="2:15" ht="18" customHeight="1" x14ac:dyDescent="0.25">
      <c r="B140" s="9"/>
      <c r="C140" s="9"/>
      <c r="D140" s="21"/>
      <c r="E140" s="9"/>
      <c r="F140" s="37"/>
      <c r="J140" s="19"/>
      <c r="K140" s="19"/>
      <c r="L140" s="156"/>
      <c r="M140" s="19"/>
      <c r="N140" s="19"/>
      <c r="O140" s="19"/>
    </row>
    <row r="141" spans="2:15" ht="18" customHeight="1" x14ac:dyDescent="0.25">
      <c r="B141" s="9"/>
      <c r="C141" s="9"/>
      <c r="D141" s="21"/>
      <c r="E141" s="9"/>
      <c r="F141" s="37"/>
      <c r="J141" s="19"/>
      <c r="K141" s="19"/>
      <c r="L141" s="156"/>
      <c r="M141" s="19"/>
      <c r="N141" s="19"/>
      <c r="O141" s="19"/>
    </row>
    <row r="142" spans="2:15" ht="18" customHeight="1" x14ac:dyDescent="0.25">
      <c r="B142" s="9"/>
      <c r="C142" s="9"/>
      <c r="D142" s="21"/>
      <c r="E142" s="9"/>
      <c r="F142" s="37"/>
      <c r="J142" s="19"/>
      <c r="K142" s="19"/>
      <c r="L142" s="156"/>
      <c r="M142" s="19"/>
      <c r="N142" s="19"/>
      <c r="O142" s="19"/>
    </row>
    <row r="143" spans="2:15" ht="18" customHeight="1" x14ac:dyDescent="0.25">
      <c r="B143" s="9"/>
      <c r="C143" s="9"/>
      <c r="D143" s="21"/>
      <c r="E143" s="9"/>
      <c r="F143" s="37"/>
      <c r="J143" s="19"/>
      <c r="K143" s="19"/>
      <c r="L143" s="156"/>
      <c r="M143" s="19"/>
      <c r="N143" s="19"/>
      <c r="O143" s="19"/>
    </row>
    <row r="144" spans="2:15" ht="18" customHeight="1" x14ac:dyDescent="0.25">
      <c r="B144" s="9"/>
      <c r="C144" s="9"/>
      <c r="D144" s="21"/>
      <c r="E144" s="9"/>
      <c r="F144" s="37"/>
      <c r="J144" s="19"/>
      <c r="K144" s="19"/>
      <c r="L144" s="156"/>
      <c r="M144" s="19"/>
      <c r="N144" s="19"/>
      <c r="O144" s="19"/>
    </row>
    <row r="145" spans="2:15" ht="18" customHeight="1" x14ac:dyDescent="0.25">
      <c r="B145" s="9"/>
      <c r="C145" s="9"/>
      <c r="D145" s="21"/>
      <c r="E145" s="9"/>
      <c r="F145" s="37"/>
      <c r="J145" s="19"/>
      <c r="K145" s="19"/>
      <c r="L145" s="156"/>
      <c r="M145" s="19"/>
      <c r="N145" s="19"/>
      <c r="O145" s="19"/>
    </row>
    <row r="146" spans="2:15" ht="18" customHeight="1" x14ac:dyDescent="0.25">
      <c r="B146" s="9"/>
      <c r="C146" s="9"/>
      <c r="D146" s="21"/>
      <c r="E146" s="9"/>
      <c r="F146" s="37"/>
      <c r="J146" s="19"/>
      <c r="K146" s="19"/>
      <c r="L146" s="156"/>
      <c r="M146" s="19"/>
      <c r="N146" s="19"/>
      <c r="O146" s="19"/>
    </row>
    <row r="147" spans="2:15" ht="18" customHeight="1" x14ac:dyDescent="0.25">
      <c r="B147" s="9"/>
      <c r="C147" s="9"/>
      <c r="D147" s="21"/>
      <c r="E147" s="9"/>
      <c r="F147" s="37"/>
      <c r="J147" s="19"/>
      <c r="K147" s="19"/>
      <c r="L147" s="156"/>
      <c r="M147" s="19"/>
      <c r="N147" s="19"/>
      <c r="O147" s="19"/>
    </row>
    <row r="148" spans="2:15" ht="18" customHeight="1" x14ac:dyDescent="0.25">
      <c r="B148" s="9"/>
      <c r="C148" s="9"/>
      <c r="D148" s="21"/>
      <c r="E148" s="9"/>
      <c r="F148" s="37"/>
      <c r="J148" s="19"/>
      <c r="K148" s="19"/>
      <c r="L148" s="156"/>
      <c r="M148" s="19"/>
      <c r="N148" s="19"/>
      <c r="O148" s="19"/>
    </row>
    <row r="149" spans="2:15" ht="18" customHeight="1" x14ac:dyDescent="0.25">
      <c r="B149" s="9"/>
      <c r="C149" s="9"/>
      <c r="D149" s="21"/>
      <c r="E149" s="9"/>
      <c r="F149" s="37"/>
      <c r="J149" s="19"/>
      <c r="K149" s="19"/>
      <c r="L149" s="156"/>
      <c r="M149" s="19"/>
      <c r="N149" s="19"/>
      <c r="O149" s="19"/>
    </row>
    <row r="150" spans="2:15" ht="18" customHeight="1" x14ac:dyDescent="0.25">
      <c r="B150" s="9"/>
      <c r="C150" s="9"/>
      <c r="D150" s="21"/>
      <c r="E150" s="9"/>
      <c r="F150" s="37"/>
      <c r="J150" s="19"/>
      <c r="K150" s="19"/>
      <c r="L150" s="156"/>
      <c r="M150" s="19"/>
      <c r="N150" s="19"/>
      <c r="O150" s="19"/>
    </row>
    <row r="151" spans="2:15" ht="18" customHeight="1" x14ac:dyDescent="0.25">
      <c r="B151" s="9"/>
      <c r="C151" s="9"/>
      <c r="D151" s="21"/>
      <c r="E151" s="9"/>
      <c r="F151" s="37"/>
      <c r="J151" s="19"/>
      <c r="K151" s="19"/>
      <c r="L151" s="156"/>
      <c r="M151" s="19"/>
      <c r="N151" s="19"/>
      <c r="O151" s="19"/>
    </row>
    <row r="152" spans="2:15" ht="18" customHeight="1" x14ac:dyDescent="0.25">
      <c r="B152" s="9"/>
      <c r="C152" s="9"/>
      <c r="D152" s="21"/>
      <c r="E152" s="9"/>
      <c r="F152" s="37"/>
      <c r="J152" s="19"/>
      <c r="K152" s="19"/>
      <c r="L152" s="156"/>
      <c r="M152" s="19"/>
      <c r="N152" s="19"/>
      <c r="O152" s="19"/>
    </row>
    <row r="153" spans="2:15" ht="18" customHeight="1" x14ac:dyDescent="0.25">
      <c r="B153" s="9"/>
      <c r="C153" s="9"/>
      <c r="D153" s="21"/>
      <c r="E153" s="9"/>
      <c r="F153" s="37"/>
      <c r="J153" s="19"/>
      <c r="K153" s="19"/>
      <c r="L153" s="156"/>
      <c r="M153" s="19"/>
      <c r="N153" s="19"/>
      <c r="O153" s="19"/>
    </row>
    <row r="154" spans="2:15" ht="18" customHeight="1" x14ac:dyDescent="0.25">
      <c r="B154" s="9"/>
      <c r="C154" s="9"/>
      <c r="D154" s="21"/>
      <c r="E154" s="9"/>
      <c r="F154" s="37"/>
      <c r="J154" s="19"/>
      <c r="K154" s="19"/>
      <c r="L154" s="156"/>
      <c r="M154" s="19"/>
      <c r="N154" s="19"/>
      <c r="O154" s="19"/>
    </row>
    <row r="155" spans="2:15" ht="18" customHeight="1" x14ac:dyDescent="0.25">
      <c r="B155" s="9"/>
      <c r="C155" s="9"/>
      <c r="D155" s="21"/>
      <c r="E155" s="9"/>
      <c r="F155" s="37"/>
      <c r="J155" s="19"/>
      <c r="K155" s="19"/>
      <c r="L155" s="156"/>
      <c r="M155" s="19"/>
      <c r="N155" s="19"/>
      <c r="O155" s="19"/>
    </row>
    <row r="156" spans="2:15" ht="18" customHeight="1" x14ac:dyDescent="0.25">
      <c r="B156" s="9"/>
      <c r="C156" s="9"/>
      <c r="D156" s="21"/>
      <c r="E156" s="9"/>
      <c r="F156" s="37"/>
      <c r="J156" s="19"/>
      <c r="K156" s="19"/>
      <c r="L156" s="156"/>
      <c r="M156" s="19"/>
      <c r="N156" s="19"/>
      <c r="O156" s="19"/>
    </row>
    <row r="157" spans="2:15" ht="18" customHeight="1" x14ac:dyDescent="0.25">
      <c r="B157" s="9"/>
      <c r="C157" s="9"/>
      <c r="D157" s="21"/>
      <c r="E157" s="9"/>
      <c r="F157" s="37"/>
      <c r="J157" s="19"/>
      <c r="K157" s="19"/>
      <c r="L157" s="156"/>
      <c r="M157" s="19"/>
      <c r="N157" s="19"/>
      <c r="O157" s="19"/>
    </row>
    <row r="158" spans="2:15" ht="18" customHeight="1" x14ac:dyDescent="0.25">
      <c r="B158" s="9"/>
      <c r="C158" s="9"/>
      <c r="D158" s="21"/>
      <c r="E158" s="9"/>
      <c r="F158" s="37"/>
      <c r="J158" s="19"/>
      <c r="K158" s="19"/>
      <c r="L158" s="156"/>
      <c r="M158" s="19"/>
      <c r="N158" s="19"/>
      <c r="O158" s="19"/>
    </row>
    <row r="159" spans="2:15" ht="18" customHeight="1" x14ac:dyDescent="0.25">
      <c r="B159" s="9"/>
      <c r="C159" s="9"/>
      <c r="D159" s="21"/>
      <c r="E159" s="9"/>
      <c r="F159" s="37"/>
      <c r="J159" s="19"/>
      <c r="K159" s="19"/>
      <c r="L159" s="156"/>
      <c r="M159" s="19"/>
      <c r="N159" s="19"/>
      <c r="O159" s="19"/>
    </row>
    <row r="160" spans="2:15" ht="18" customHeight="1" x14ac:dyDescent="0.25">
      <c r="B160" s="9"/>
      <c r="C160" s="9"/>
      <c r="D160" s="21"/>
      <c r="E160" s="9"/>
      <c r="F160" s="37"/>
      <c r="J160" s="19"/>
      <c r="K160" s="19"/>
      <c r="L160" s="156"/>
      <c r="M160" s="19"/>
      <c r="N160" s="19"/>
      <c r="O160" s="19"/>
    </row>
    <row r="161" spans="2:15" ht="18" customHeight="1" x14ac:dyDescent="0.25">
      <c r="B161" s="9"/>
      <c r="C161" s="9"/>
      <c r="D161" s="21"/>
      <c r="E161" s="9"/>
      <c r="F161" s="37"/>
      <c r="J161" s="19"/>
      <c r="K161" s="19"/>
      <c r="L161" s="156"/>
      <c r="M161" s="19"/>
      <c r="N161" s="19"/>
      <c r="O161" s="19"/>
    </row>
    <row r="162" spans="2:15" ht="18" customHeight="1" x14ac:dyDescent="0.25">
      <c r="B162" s="9"/>
      <c r="C162" s="9"/>
      <c r="D162" s="21"/>
      <c r="E162" s="9"/>
      <c r="F162" s="37"/>
      <c r="J162" s="19"/>
      <c r="K162" s="19"/>
      <c r="L162" s="156"/>
      <c r="M162" s="19"/>
      <c r="N162" s="19"/>
      <c r="O162" s="19"/>
    </row>
    <row r="163" spans="2:15" ht="18" customHeight="1" x14ac:dyDescent="0.25">
      <c r="B163" s="9"/>
      <c r="C163" s="9"/>
      <c r="D163" s="21"/>
      <c r="E163" s="9"/>
      <c r="F163" s="37"/>
      <c r="J163" s="19"/>
      <c r="K163" s="19"/>
      <c r="L163" s="156"/>
      <c r="M163" s="19"/>
      <c r="N163" s="19"/>
      <c r="O163" s="19"/>
    </row>
    <row r="164" spans="2:15" ht="18" customHeight="1" x14ac:dyDescent="0.25">
      <c r="B164" s="9"/>
      <c r="C164" s="9"/>
      <c r="D164" s="21"/>
      <c r="E164" s="9"/>
      <c r="F164" s="37"/>
      <c r="J164" s="19"/>
      <c r="K164" s="19"/>
      <c r="L164" s="156"/>
      <c r="M164" s="19"/>
      <c r="N164" s="19"/>
      <c r="O164" s="19"/>
    </row>
    <row r="165" spans="2:15" ht="18" customHeight="1" x14ac:dyDescent="0.25">
      <c r="B165" s="9"/>
      <c r="C165" s="9"/>
      <c r="D165" s="21"/>
      <c r="E165" s="9"/>
      <c r="F165" s="37"/>
      <c r="J165" s="19"/>
      <c r="K165" s="19"/>
      <c r="L165" s="156"/>
      <c r="M165" s="19"/>
      <c r="N165" s="19"/>
      <c r="O165" s="19"/>
    </row>
    <row r="166" spans="2:15" ht="18" customHeight="1" x14ac:dyDescent="0.25">
      <c r="B166" s="9"/>
      <c r="C166" s="9"/>
      <c r="D166" s="21"/>
      <c r="E166" s="9"/>
      <c r="F166" s="37"/>
      <c r="J166" s="19"/>
      <c r="K166" s="19"/>
      <c r="L166" s="156"/>
      <c r="M166" s="19"/>
      <c r="N166" s="19"/>
      <c r="O166" s="19"/>
    </row>
    <row r="167" spans="2:15" ht="18" customHeight="1" x14ac:dyDescent="0.25">
      <c r="B167" s="9"/>
      <c r="C167" s="9"/>
      <c r="D167" s="21"/>
      <c r="E167" s="9"/>
      <c r="F167" s="37"/>
      <c r="J167" s="19"/>
      <c r="K167" s="19"/>
      <c r="L167" s="156"/>
      <c r="M167" s="19"/>
      <c r="N167" s="19"/>
      <c r="O167" s="19"/>
    </row>
    <row r="168" spans="2:15" ht="18" customHeight="1" x14ac:dyDescent="0.25">
      <c r="B168" s="9"/>
      <c r="C168" s="9"/>
      <c r="D168" s="21"/>
      <c r="E168" s="9"/>
      <c r="F168" s="37"/>
      <c r="J168" s="19"/>
      <c r="K168" s="19"/>
      <c r="L168" s="156"/>
      <c r="M168" s="19"/>
      <c r="N168" s="19"/>
      <c r="O168" s="19"/>
    </row>
    <row r="169" spans="2:15" ht="18" customHeight="1" x14ac:dyDescent="0.25">
      <c r="B169" s="9"/>
      <c r="C169" s="9"/>
      <c r="D169" s="21"/>
      <c r="E169" s="9"/>
      <c r="F169" s="37"/>
      <c r="J169" s="19"/>
      <c r="K169" s="19"/>
      <c r="L169" s="156"/>
      <c r="M169" s="19"/>
      <c r="N169" s="19"/>
      <c r="O169" s="19"/>
    </row>
    <row r="170" spans="2:15" ht="18" customHeight="1" x14ac:dyDescent="0.25">
      <c r="B170" s="9"/>
      <c r="C170" s="9"/>
      <c r="D170" s="21"/>
      <c r="E170" s="9"/>
      <c r="F170" s="37"/>
      <c r="J170" s="19"/>
      <c r="K170" s="19"/>
      <c r="L170" s="156"/>
      <c r="M170" s="19"/>
      <c r="N170" s="19"/>
      <c r="O170" s="19"/>
    </row>
    <row r="171" spans="2:15" ht="18" customHeight="1" x14ac:dyDescent="0.25">
      <c r="B171" s="9"/>
      <c r="C171" s="9"/>
      <c r="D171" s="21"/>
      <c r="E171" s="9"/>
      <c r="F171" s="37"/>
      <c r="J171" s="19"/>
      <c r="K171" s="19"/>
      <c r="L171" s="156"/>
      <c r="M171" s="19"/>
      <c r="N171" s="19"/>
      <c r="O171" s="19"/>
    </row>
    <row r="172" spans="2:15" ht="18" customHeight="1" x14ac:dyDescent="0.25">
      <c r="B172" s="9"/>
      <c r="C172" s="9"/>
      <c r="D172" s="21"/>
      <c r="E172" s="9"/>
      <c r="F172" s="37"/>
      <c r="J172" s="19"/>
      <c r="K172" s="19"/>
      <c r="L172" s="156"/>
      <c r="M172" s="19"/>
      <c r="N172" s="19"/>
      <c r="O172" s="19"/>
    </row>
    <row r="173" spans="2:15" ht="18" customHeight="1" x14ac:dyDescent="0.25">
      <c r="B173" s="9"/>
      <c r="C173" s="9"/>
      <c r="D173" s="21"/>
      <c r="E173" s="9"/>
      <c r="F173" s="37"/>
      <c r="J173" s="19"/>
      <c r="K173" s="19"/>
      <c r="L173" s="156"/>
      <c r="M173" s="19"/>
      <c r="N173" s="19"/>
      <c r="O173" s="19"/>
    </row>
    <row r="174" spans="2:15" ht="18" customHeight="1" x14ac:dyDescent="0.25">
      <c r="B174" s="9"/>
      <c r="C174" s="9"/>
      <c r="D174" s="21"/>
      <c r="E174" s="9"/>
      <c r="F174" s="37"/>
      <c r="J174" s="19"/>
      <c r="K174" s="19"/>
      <c r="L174" s="156"/>
      <c r="M174" s="19"/>
      <c r="N174" s="19"/>
      <c r="O174" s="19"/>
    </row>
    <row r="175" spans="2:15" ht="18" customHeight="1" x14ac:dyDescent="0.25">
      <c r="B175" s="9"/>
      <c r="C175" s="9"/>
      <c r="D175" s="21"/>
      <c r="E175" s="9"/>
      <c r="F175" s="37"/>
      <c r="J175" s="19"/>
      <c r="K175" s="19"/>
      <c r="L175" s="156"/>
      <c r="M175" s="19"/>
      <c r="N175" s="19"/>
      <c r="O175" s="19"/>
    </row>
    <row r="176" spans="2:15" ht="18" customHeight="1" x14ac:dyDescent="0.25">
      <c r="B176" s="9"/>
      <c r="C176" s="9"/>
      <c r="D176" s="21"/>
      <c r="E176" s="9"/>
      <c r="F176" s="37"/>
      <c r="J176" s="19"/>
      <c r="K176" s="19"/>
      <c r="L176" s="156"/>
      <c r="M176" s="19"/>
      <c r="N176" s="19"/>
      <c r="O176" s="19"/>
    </row>
    <row r="177" spans="2:15" ht="18" customHeight="1" x14ac:dyDescent="0.25">
      <c r="B177" s="9"/>
      <c r="C177" s="9"/>
      <c r="D177" s="21"/>
      <c r="E177" s="9"/>
      <c r="F177" s="37"/>
      <c r="J177" s="19"/>
      <c r="K177" s="19"/>
      <c r="L177" s="156"/>
      <c r="M177" s="19"/>
      <c r="N177" s="19"/>
      <c r="O177" s="19"/>
    </row>
    <row r="178" spans="2:15" ht="18" customHeight="1" x14ac:dyDescent="0.25">
      <c r="B178" s="9"/>
      <c r="C178" s="9"/>
      <c r="D178" s="21"/>
      <c r="E178" s="9"/>
      <c r="F178" s="37"/>
      <c r="J178" s="19"/>
      <c r="K178" s="19"/>
      <c r="L178" s="156"/>
      <c r="M178" s="19"/>
      <c r="N178" s="19"/>
      <c r="O178" s="19"/>
    </row>
    <row r="179" spans="2:15" ht="18" customHeight="1" x14ac:dyDescent="0.25">
      <c r="B179" s="9"/>
      <c r="C179" s="9"/>
      <c r="D179" s="21"/>
      <c r="E179" s="9"/>
      <c r="F179" s="37"/>
      <c r="J179" s="19"/>
      <c r="K179" s="19"/>
      <c r="L179" s="156"/>
      <c r="M179" s="19"/>
      <c r="N179" s="19"/>
      <c r="O179" s="19"/>
    </row>
    <row r="180" spans="2:15" ht="18" customHeight="1" x14ac:dyDescent="0.25">
      <c r="B180" s="9"/>
      <c r="C180" s="9"/>
      <c r="D180" s="21"/>
      <c r="E180" s="9"/>
      <c r="F180" s="37"/>
      <c r="J180" s="19"/>
      <c r="K180" s="19"/>
      <c r="L180" s="156"/>
      <c r="M180" s="19"/>
      <c r="N180" s="19"/>
      <c r="O180" s="19"/>
    </row>
    <row r="181" spans="2:15" ht="18" customHeight="1" x14ac:dyDescent="0.25">
      <c r="B181" s="9"/>
      <c r="C181" s="9"/>
      <c r="D181" s="21"/>
      <c r="E181" s="9"/>
      <c r="F181" s="37"/>
      <c r="J181" s="19"/>
      <c r="K181" s="19"/>
      <c r="L181" s="156"/>
      <c r="M181" s="19"/>
      <c r="N181" s="19"/>
      <c r="O181" s="19"/>
    </row>
    <row r="182" spans="2:15" ht="18" customHeight="1" x14ac:dyDescent="0.25">
      <c r="B182" s="9"/>
      <c r="C182" s="9"/>
      <c r="D182" s="21"/>
      <c r="E182" s="9"/>
      <c r="F182" s="37"/>
      <c r="J182" s="19"/>
      <c r="K182" s="19"/>
      <c r="L182" s="156"/>
      <c r="M182" s="19"/>
      <c r="N182" s="19"/>
      <c r="O182" s="19"/>
    </row>
    <row r="183" spans="2:15" ht="18" customHeight="1" x14ac:dyDescent="0.25">
      <c r="B183" s="9"/>
      <c r="C183" s="9"/>
      <c r="D183" s="21"/>
      <c r="E183" s="9"/>
      <c r="F183" s="37"/>
      <c r="J183" s="19"/>
      <c r="K183" s="19"/>
      <c r="L183" s="156"/>
      <c r="M183" s="19"/>
      <c r="N183" s="19"/>
      <c r="O183" s="19"/>
    </row>
    <row r="184" spans="2:15" ht="18" customHeight="1" x14ac:dyDescent="0.25">
      <c r="B184" s="9"/>
      <c r="C184" s="9"/>
      <c r="D184" s="21"/>
      <c r="E184" s="9"/>
      <c r="F184" s="37"/>
      <c r="J184" s="19"/>
      <c r="K184" s="19"/>
      <c r="L184" s="156"/>
      <c r="M184" s="19"/>
      <c r="N184" s="19"/>
      <c r="O184" s="19"/>
    </row>
    <row r="185" spans="2:15" ht="18" customHeight="1" x14ac:dyDescent="0.25">
      <c r="B185" s="9"/>
      <c r="C185" s="9"/>
      <c r="D185" s="21"/>
      <c r="E185" s="9"/>
      <c r="F185" s="37"/>
      <c r="J185" s="19"/>
      <c r="K185" s="19"/>
      <c r="L185" s="156"/>
      <c r="M185" s="19"/>
      <c r="N185" s="19"/>
      <c r="O185" s="19"/>
    </row>
    <row r="186" spans="2:15" ht="18" customHeight="1" x14ac:dyDescent="0.25">
      <c r="B186" s="9"/>
      <c r="C186" s="9"/>
      <c r="D186" s="21"/>
      <c r="E186" s="9"/>
      <c r="F186" s="37"/>
      <c r="J186" s="19"/>
      <c r="K186" s="19"/>
      <c r="L186" s="156"/>
      <c r="M186" s="19"/>
      <c r="N186" s="19"/>
      <c r="O186" s="19"/>
    </row>
    <row r="187" spans="2:15" ht="18" customHeight="1" x14ac:dyDescent="0.25">
      <c r="B187" s="9"/>
      <c r="C187" s="9"/>
      <c r="D187" s="21"/>
      <c r="E187" s="9"/>
      <c r="F187" s="37"/>
      <c r="J187" s="19"/>
      <c r="K187" s="19"/>
      <c r="L187" s="156"/>
      <c r="M187" s="19"/>
      <c r="N187" s="19"/>
      <c r="O187" s="19"/>
    </row>
    <row r="188" spans="2:15" ht="18" customHeight="1" x14ac:dyDescent="0.25">
      <c r="B188" s="9"/>
      <c r="C188" s="9"/>
      <c r="D188" s="21"/>
      <c r="E188" s="9"/>
      <c r="F188" s="37"/>
      <c r="J188" s="19"/>
      <c r="K188" s="19"/>
      <c r="L188" s="156"/>
      <c r="M188" s="19"/>
      <c r="N188" s="19"/>
      <c r="O188" s="19"/>
    </row>
    <row r="189" spans="2:15" ht="18" customHeight="1" x14ac:dyDescent="0.25">
      <c r="B189" s="9"/>
      <c r="C189" s="9"/>
      <c r="D189" s="21"/>
      <c r="E189" s="9"/>
      <c r="F189" s="37"/>
      <c r="J189" s="19"/>
      <c r="K189" s="19"/>
      <c r="L189" s="156"/>
      <c r="M189" s="19"/>
      <c r="N189" s="19"/>
      <c r="O189" s="19"/>
    </row>
    <row r="190" spans="2:15" ht="18" customHeight="1" x14ac:dyDescent="0.25">
      <c r="B190" s="9"/>
      <c r="C190" s="9"/>
      <c r="D190" s="21"/>
      <c r="E190" s="9"/>
      <c r="F190" s="37"/>
      <c r="J190" s="19"/>
      <c r="K190" s="19"/>
      <c r="L190" s="156"/>
      <c r="M190" s="19"/>
      <c r="N190" s="19"/>
      <c r="O190" s="19"/>
    </row>
    <row r="191" spans="2:15" ht="18" customHeight="1" x14ac:dyDescent="0.25">
      <c r="B191" s="9"/>
      <c r="C191" s="9"/>
      <c r="D191" s="21"/>
      <c r="E191" s="9"/>
      <c r="F191" s="37"/>
      <c r="J191" s="19"/>
      <c r="K191" s="19"/>
      <c r="L191" s="156"/>
      <c r="M191" s="19"/>
      <c r="N191" s="19"/>
      <c r="O191" s="19"/>
    </row>
    <row r="192" spans="2:15" ht="18" customHeight="1" x14ac:dyDescent="0.25">
      <c r="B192" s="9"/>
      <c r="C192" s="9"/>
      <c r="D192" s="21"/>
      <c r="E192" s="9"/>
      <c r="F192" s="37"/>
      <c r="J192" s="19"/>
      <c r="K192" s="19"/>
      <c r="L192" s="156"/>
      <c r="M192" s="19"/>
      <c r="N192" s="19"/>
      <c r="O192" s="19"/>
    </row>
    <row r="193" spans="2:15" ht="18" customHeight="1" x14ac:dyDescent="0.25">
      <c r="B193" s="9"/>
      <c r="C193" s="9"/>
      <c r="D193" s="21"/>
      <c r="E193" s="9"/>
      <c r="F193" s="37"/>
      <c r="J193" s="19"/>
      <c r="K193" s="19"/>
      <c r="L193" s="156"/>
      <c r="M193" s="19"/>
      <c r="N193" s="19"/>
      <c r="O193" s="19"/>
    </row>
    <row r="194" spans="2:15" ht="18" customHeight="1" x14ac:dyDescent="0.25">
      <c r="B194" s="9"/>
      <c r="C194" s="9"/>
      <c r="D194" s="21"/>
      <c r="E194" s="9"/>
      <c r="F194" s="37"/>
      <c r="J194" s="19"/>
      <c r="K194" s="19"/>
      <c r="L194" s="156"/>
      <c r="M194" s="19"/>
      <c r="N194" s="19"/>
      <c r="O194" s="19"/>
    </row>
    <row r="195" spans="2:15" ht="18" customHeight="1" x14ac:dyDescent="0.25">
      <c r="B195" s="9"/>
      <c r="C195" s="9"/>
      <c r="D195" s="21"/>
      <c r="E195" s="9"/>
      <c r="F195" s="37"/>
      <c r="J195" s="19"/>
      <c r="K195" s="19"/>
      <c r="L195" s="156"/>
      <c r="M195" s="19"/>
      <c r="N195" s="19"/>
      <c r="O195" s="19"/>
    </row>
    <row r="196" spans="2:15" ht="18" customHeight="1" x14ac:dyDescent="0.25">
      <c r="B196" s="9"/>
      <c r="C196" s="9"/>
      <c r="D196" s="21"/>
      <c r="E196" s="9"/>
      <c r="F196" s="37"/>
      <c r="J196" s="19"/>
      <c r="K196" s="19"/>
      <c r="L196" s="156"/>
      <c r="M196" s="19"/>
      <c r="N196" s="19"/>
      <c r="O196" s="19"/>
    </row>
    <row r="197" spans="2:15" ht="18" customHeight="1" x14ac:dyDescent="0.25">
      <c r="B197" s="9"/>
      <c r="C197" s="9"/>
      <c r="D197" s="21"/>
      <c r="E197" s="9"/>
      <c r="F197" s="37"/>
      <c r="J197" s="19"/>
      <c r="K197" s="19"/>
      <c r="L197" s="156"/>
      <c r="M197" s="19"/>
      <c r="N197" s="19"/>
      <c r="O197" s="19"/>
    </row>
    <row r="198" spans="2:15" ht="18" customHeight="1" x14ac:dyDescent="0.25">
      <c r="B198" s="9"/>
      <c r="C198" s="9"/>
      <c r="D198" s="21"/>
      <c r="E198" s="9"/>
      <c r="F198" s="37"/>
      <c r="J198" s="19"/>
      <c r="K198" s="19"/>
      <c r="L198" s="156"/>
      <c r="M198" s="19"/>
      <c r="N198" s="19"/>
      <c r="O198" s="19"/>
    </row>
    <row r="199" spans="2:15" ht="18" customHeight="1" x14ac:dyDescent="0.25">
      <c r="B199" s="9"/>
      <c r="C199" s="9"/>
      <c r="D199" s="21"/>
      <c r="E199" s="9"/>
      <c r="F199" s="37"/>
      <c r="J199" s="19"/>
      <c r="K199" s="19"/>
      <c r="L199" s="156"/>
      <c r="M199" s="19"/>
      <c r="N199" s="19"/>
      <c r="O199" s="19"/>
    </row>
    <row r="200" spans="2:15" ht="18" customHeight="1" x14ac:dyDescent="0.25">
      <c r="B200" s="9"/>
      <c r="C200" s="9"/>
      <c r="D200" s="21"/>
      <c r="E200" s="9"/>
      <c r="F200" s="37"/>
      <c r="J200" s="19"/>
      <c r="K200" s="19"/>
      <c r="L200" s="156"/>
      <c r="M200" s="19"/>
      <c r="N200" s="19"/>
      <c r="O200" s="19"/>
    </row>
    <row r="201" spans="2:15" ht="18" customHeight="1" x14ac:dyDescent="0.25">
      <c r="B201" s="9"/>
      <c r="C201" s="9"/>
      <c r="D201" s="21"/>
      <c r="E201" s="9"/>
      <c r="F201" s="37"/>
      <c r="J201" s="19"/>
      <c r="K201" s="19"/>
      <c r="L201" s="156"/>
      <c r="M201" s="19"/>
      <c r="N201" s="19"/>
      <c r="O201" s="19"/>
    </row>
    <row r="202" spans="2:15" ht="18" customHeight="1" x14ac:dyDescent="0.25">
      <c r="B202" s="9"/>
      <c r="C202" s="9"/>
      <c r="D202" s="21"/>
      <c r="E202" s="9"/>
      <c r="F202" s="37"/>
      <c r="J202" s="19"/>
      <c r="K202" s="19"/>
      <c r="L202" s="156"/>
      <c r="M202" s="19"/>
      <c r="N202" s="19"/>
      <c r="O202" s="19"/>
    </row>
    <row r="203" spans="2:15" ht="18" customHeight="1" x14ac:dyDescent="0.25">
      <c r="B203" s="9"/>
      <c r="C203" s="9"/>
      <c r="D203" s="21"/>
      <c r="E203" s="9"/>
      <c r="F203" s="37"/>
      <c r="J203" s="19"/>
      <c r="K203" s="19"/>
      <c r="L203" s="156"/>
      <c r="M203" s="19"/>
      <c r="N203" s="19"/>
      <c r="O203" s="19"/>
    </row>
    <row r="204" spans="2:15" ht="18" customHeight="1" x14ac:dyDescent="0.25">
      <c r="B204" s="9"/>
      <c r="C204" s="9"/>
      <c r="D204" s="21"/>
      <c r="E204" s="9"/>
      <c r="F204" s="37"/>
      <c r="J204" s="19"/>
      <c r="K204" s="19"/>
      <c r="L204" s="156"/>
      <c r="M204" s="19"/>
      <c r="N204" s="19"/>
      <c r="O204" s="19"/>
    </row>
    <row r="205" spans="2:15" ht="18" customHeight="1" x14ac:dyDescent="0.25">
      <c r="B205" s="9"/>
      <c r="C205" s="9"/>
      <c r="D205" s="21"/>
      <c r="E205" s="9"/>
      <c r="F205" s="37"/>
      <c r="J205" s="19"/>
      <c r="K205" s="19"/>
      <c r="L205" s="156"/>
      <c r="M205" s="19"/>
      <c r="N205" s="19"/>
      <c r="O205" s="19"/>
    </row>
    <row r="206" spans="2:15" ht="18" customHeight="1" x14ac:dyDescent="0.25">
      <c r="B206" s="9"/>
      <c r="C206" s="9"/>
      <c r="D206" s="21"/>
      <c r="E206" s="9"/>
      <c r="F206" s="37"/>
      <c r="J206" s="19"/>
      <c r="K206" s="19"/>
      <c r="L206" s="156"/>
      <c r="M206" s="19"/>
      <c r="N206" s="19"/>
      <c r="O206" s="19"/>
    </row>
    <row r="207" spans="2:15" ht="18" customHeight="1" x14ac:dyDescent="0.25">
      <c r="B207" s="9"/>
      <c r="C207" s="9"/>
      <c r="D207" s="21"/>
      <c r="E207" s="9"/>
      <c r="F207" s="37"/>
      <c r="J207" s="19"/>
      <c r="K207" s="19"/>
      <c r="L207" s="156"/>
      <c r="M207" s="19"/>
      <c r="N207" s="19"/>
      <c r="O207" s="19"/>
    </row>
    <row r="208" spans="2:15" ht="18" customHeight="1" x14ac:dyDescent="0.25">
      <c r="B208" s="9"/>
      <c r="C208" s="9"/>
      <c r="D208" s="21"/>
      <c r="E208" s="9"/>
      <c r="F208" s="37"/>
      <c r="J208" s="19"/>
      <c r="K208" s="19"/>
      <c r="L208" s="156"/>
      <c r="M208" s="19"/>
      <c r="N208" s="19"/>
      <c r="O208" s="19"/>
    </row>
    <row r="209" spans="2:15" ht="18" customHeight="1" x14ac:dyDescent="0.25">
      <c r="B209" s="9"/>
      <c r="C209" s="9"/>
      <c r="D209" s="21"/>
      <c r="E209" s="9"/>
      <c r="F209" s="37"/>
      <c r="J209" s="19"/>
      <c r="K209" s="19"/>
      <c r="L209" s="156"/>
      <c r="M209" s="19"/>
      <c r="N209" s="19"/>
      <c r="O209" s="19"/>
    </row>
    <row r="210" spans="2:15" ht="18" customHeight="1" x14ac:dyDescent="0.25">
      <c r="B210" s="9"/>
      <c r="C210" s="9"/>
      <c r="D210" s="21"/>
      <c r="E210" s="9"/>
      <c r="F210" s="37"/>
      <c r="J210" s="19"/>
      <c r="K210" s="19"/>
      <c r="L210" s="156"/>
      <c r="M210" s="19"/>
      <c r="N210" s="19"/>
      <c r="O210" s="19"/>
    </row>
    <row r="211" spans="2:15" ht="18" customHeight="1" x14ac:dyDescent="0.25">
      <c r="B211" s="9"/>
      <c r="C211" s="9"/>
      <c r="D211" s="21"/>
      <c r="E211" s="9"/>
      <c r="F211" s="37"/>
      <c r="J211" s="19"/>
      <c r="K211" s="19"/>
      <c r="L211" s="156"/>
      <c r="M211" s="19"/>
      <c r="N211" s="19"/>
      <c r="O211" s="19"/>
    </row>
    <row r="212" spans="2:15" ht="18" customHeight="1" x14ac:dyDescent="0.25">
      <c r="B212" s="9"/>
      <c r="C212" s="9"/>
      <c r="D212" s="21"/>
      <c r="E212" s="9"/>
      <c r="F212" s="37"/>
      <c r="J212" s="19"/>
      <c r="K212" s="19"/>
      <c r="L212" s="156"/>
      <c r="M212" s="19"/>
      <c r="N212" s="19"/>
      <c r="O212" s="19"/>
    </row>
    <row r="213" spans="2:15" ht="18" customHeight="1" x14ac:dyDescent="0.25">
      <c r="B213" s="9"/>
      <c r="C213" s="9"/>
      <c r="D213" s="21"/>
      <c r="E213" s="9"/>
      <c r="F213" s="37"/>
      <c r="J213" s="19"/>
      <c r="K213" s="19"/>
      <c r="L213" s="156"/>
      <c r="M213" s="19"/>
      <c r="N213" s="19"/>
      <c r="O213" s="19"/>
    </row>
    <row r="214" spans="2:15" ht="18" customHeight="1" x14ac:dyDescent="0.25">
      <c r="B214" s="9"/>
      <c r="C214" s="9"/>
      <c r="D214" s="21"/>
      <c r="E214" s="9"/>
      <c r="F214" s="37"/>
      <c r="J214" s="19"/>
      <c r="K214" s="19"/>
      <c r="L214" s="156"/>
      <c r="M214" s="19"/>
      <c r="N214" s="19"/>
      <c r="O214" s="19"/>
    </row>
    <row r="215" spans="2:15" ht="18" customHeight="1" x14ac:dyDescent="0.25">
      <c r="B215" s="9"/>
      <c r="C215" s="9"/>
      <c r="D215" s="21"/>
      <c r="E215" s="9"/>
      <c r="F215" s="37"/>
      <c r="J215" s="19"/>
      <c r="K215" s="19"/>
      <c r="L215" s="156"/>
      <c r="M215" s="19"/>
      <c r="N215" s="19"/>
      <c r="O215" s="19"/>
    </row>
    <row r="216" spans="2:15" ht="18" customHeight="1" x14ac:dyDescent="0.25">
      <c r="B216" s="9"/>
      <c r="C216" s="9"/>
      <c r="D216" s="21"/>
      <c r="E216" s="9"/>
      <c r="F216" s="37"/>
      <c r="J216" s="19"/>
      <c r="K216" s="19"/>
      <c r="L216" s="156"/>
      <c r="M216" s="19"/>
      <c r="N216" s="19"/>
      <c r="O216" s="19"/>
    </row>
    <row r="217" spans="2:15" ht="18" customHeight="1" x14ac:dyDescent="0.25">
      <c r="B217" s="9"/>
      <c r="C217" s="9"/>
      <c r="D217" s="21"/>
      <c r="E217" s="9"/>
      <c r="F217" s="37"/>
      <c r="J217" s="19"/>
      <c r="K217" s="19"/>
      <c r="L217" s="156"/>
      <c r="M217" s="19"/>
      <c r="N217" s="19"/>
      <c r="O217" s="19"/>
    </row>
    <row r="218" spans="2:15" ht="18" customHeight="1" x14ac:dyDescent="0.25">
      <c r="B218" s="9"/>
      <c r="C218" s="9"/>
      <c r="D218" s="21"/>
      <c r="E218" s="9"/>
      <c r="F218" s="37"/>
      <c r="J218" s="19"/>
      <c r="K218" s="19"/>
      <c r="L218" s="156"/>
      <c r="M218" s="19"/>
      <c r="N218" s="19"/>
      <c r="O218" s="19"/>
    </row>
    <row r="219" spans="2:15" ht="18" customHeight="1" x14ac:dyDescent="0.25">
      <c r="B219" s="9"/>
      <c r="C219" s="9"/>
      <c r="D219" s="21"/>
      <c r="E219" s="9"/>
      <c r="F219" s="37"/>
      <c r="J219" s="19"/>
      <c r="K219" s="19"/>
      <c r="L219" s="156"/>
      <c r="M219" s="19"/>
      <c r="N219" s="19"/>
      <c r="O219" s="19"/>
    </row>
    <row r="220" spans="2:15" ht="18" customHeight="1" x14ac:dyDescent="0.25">
      <c r="B220" s="9"/>
      <c r="C220" s="9"/>
      <c r="D220" s="21"/>
      <c r="E220" s="9"/>
      <c r="F220" s="37"/>
      <c r="J220" s="19"/>
      <c r="K220" s="19"/>
      <c r="L220" s="156"/>
      <c r="M220" s="19"/>
      <c r="N220" s="19"/>
      <c r="O220" s="19"/>
    </row>
    <row r="221" spans="2:15" ht="18" customHeight="1" x14ac:dyDescent="0.25">
      <c r="B221" s="9"/>
      <c r="C221" s="9"/>
      <c r="D221" s="21"/>
      <c r="E221" s="9"/>
      <c r="F221" s="37"/>
      <c r="J221" s="19"/>
      <c r="K221" s="19"/>
      <c r="L221" s="156"/>
      <c r="M221" s="19"/>
      <c r="N221" s="19"/>
      <c r="O221" s="19"/>
    </row>
    <row r="222" spans="2:15" ht="18" customHeight="1" x14ac:dyDescent="0.25">
      <c r="B222" s="9"/>
      <c r="C222" s="9"/>
      <c r="D222" s="21"/>
      <c r="E222" s="9"/>
      <c r="F222" s="37"/>
      <c r="J222" s="19"/>
      <c r="K222" s="19"/>
      <c r="L222" s="156"/>
      <c r="M222" s="19"/>
      <c r="N222" s="19"/>
      <c r="O222" s="19"/>
    </row>
    <row r="223" spans="2:15" ht="18" customHeight="1" x14ac:dyDescent="0.25">
      <c r="B223" s="9"/>
      <c r="C223" s="9"/>
      <c r="D223" s="21"/>
      <c r="E223" s="9"/>
      <c r="F223" s="37"/>
      <c r="J223" s="19"/>
      <c r="K223" s="19"/>
      <c r="L223" s="156"/>
      <c r="M223" s="19"/>
      <c r="N223" s="19"/>
      <c r="O223" s="19"/>
    </row>
    <row r="224" spans="2:15" ht="18" customHeight="1" x14ac:dyDescent="0.25">
      <c r="B224" s="9"/>
      <c r="C224" s="9"/>
      <c r="D224" s="21"/>
      <c r="E224" s="9"/>
      <c r="F224" s="37"/>
      <c r="J224" s="19"/>
      <c r="K224" s="19"/>
      <c r="L224" s="156"/>
      <c r="M224" s="19"/>
      <c r="N224" s="19"/>
      <c r="O224" s="19"/>
    </row>
    <row r="225" spans="2:15" ht="18" customHeight="1" x14ac:dyDescent="0.25">
      <c r="B225" s="9"/>
      <c r="C225" s="9"/>
      <c r="D225" s="21"/>
      <c r="E225" s="9"/>
      <c r="F225" s="37"/>
      <c r="J225" s="19"/>
      <c r="K225" s="19"/>
      <c r="L225" s="156"/>
      <c r="M225" s="19"/>
      <c r="N225" s="19"/>
      <c r="O225" s="19"/>
    </row>
    <row r="226" spans="2:15" ht="18" customHeight="1" x14ac:dyDescent="0.25">
      <c r="B226" s="9"/>
      <c r="C226" s="9"/>
      <c r="D226" s="21"/>
      <c r="E226" s="9"/>
      <c r="F226" s="37"/>
      <c r="J226" s="19"/>
      <c r="K226" s="19"/>
      <c r="L226" s="156"/>
      <c r="M226" s="19"/>
      <c r="N226" s="19"/>
      <c r="O226" s="19"/>
    </row>
    <row r="227" spans="2:15" ht="18" customHeight="1" x14ac:dyDescent="0.25">
      <c r="B227" s="9"/>
      <c r="C227" s="9"/>
      <c r="D227" s="21"/>
      <c r="E227" s="9"/>
      <c r="F227" s="37"/>
      <c r="J227" s="19"/>
      <c r="K227" s="19"/>
      <c r="L227" s="156"/>
      <c r="M227" s="19"/>
      <c r="N227" s="19"/>
      <c r="O227" s="19"/>
    </row>
    <row r="228" spans="2:15" ht="18" customHeight="1" x14ac:dyDescent="0.25">
      <c r="B228" s="9"/>
      <c r="C228" s="9"/>
      <c r="D228" s="21"/>
      <c r="E228" s="9"/>
      <c r="F228" s="37"/>
      <c r="J228" s="19"/>
      <c r="K228" s="19"/>
      <c r="L228" s="156"/>
      <c r="M228" s="19"/>
      <c r="N228" s="19"/>
      <c r="O228" s="19"/>
    </row>
    <row r="229" spans="2:15" ht="18" customHeight="1" x14ac:dyDescent="0.25">
      <c r="B229" s="9"/>
      <c r="C229" s="9"/>
      <c r="D229" s="21"/>
      <c r="E229" s="9"/>
      <c r="F229" s="37"/>
      <c r="J229" s="19"/>
      <c r="K229" s="19"/>
      <c r="L229" s="156"/>
      <c r="M229" s="19"/>
      <c r="N229" s="19"/>
      <c r="O229" s="19"/>
    </row>
    <row r="230" spans="2:15" ht="18" customHeight="1" x14ac:dyDescent="0.25">
      <c r="B230" s="9"/>
      <c r="C230" s="9"/>
      <c r="D230" s="21"/>
      <c r="E230" s="9"/>
      <c r="F230" s="37"/>
      <c r="J230" s="19"/>
      <c r="K230" s="19"/>
      <c r="L230" s="156"/>
      <c r="M230" s="19"/>
      <c r="N230" s="19"/>
      <c r="O230" s="19"/>
    </row>
    <row r="231" spans="2:15" ht="18" customHeight="1" x14ac:dyDescent="0.25">
      <c r="B231" s="9"/>
      <c r="C231" s="9"/>
      <c r="D231" s="21"/>
      <c r="E231" s="9"/>
      <c r="F231" s="37"/>
      <c r="J231" s="19"/>
      <c r="K231" s="19"/>
      <c r="L231" s="156"/>
      <c r="M231" s="19"/>
      <c r="N231" s="19"/>
      <c r="O231" s="19"/>
    </row>
    <row r="232" spans="2:15" ht="18" customHeight="1" x14ac:dyDescent="0.25">
      <c r="B232" s="9"/>
      <c r="C232" s="9"/>
      <c r="D232" s="21"/>
      <c r="E232" s="9"/>
      <c r="F232" s="37"/>
      <c r="J232" s="19"/>
      <c r="K232" s="19"/>
      <c r="L232" s="156"/>
      <c r="M232" s="19"/>
      <c r="N232" s="19"/>
      <c r="O232" s="19"/>
    </row>
    <row r="233" spans="2:15" ht="18" customHeight="1" x14ac:dyDescent="0.25">
      <c r="B233" s="9"/>
      <c r="C233" s="9"/>
      <c r="D233" s="21"/>
      <c r="E233" s="9"/>
      <c r="F233" s="37"/>
      <c r="J233" s="19"/>
      <c r="K233" s="19"/>
      <c r="L233" s="156"/>
      <c r="M233" s="19"/>
      <c r="N233" s="19"/>
      <c r="O233" s="19"/>
    </row>
    <row r="234" spans="2:15" ht="18" customHeight="1" x14ac:dyDescent="0.25">
      <c r="B234" s="9"/>
      <c r="C234" s="9"/>
      <c r="D234" s="21"/>
      <c r="E234" s="9"/>
      <c r="F234" s="37"/>
      <c r="J234" s="19"/>
      <c r="K234" s="19"/>
      <c r="L234" s="156"/>
      <c r="M234" s="19"/>
      <c r="N234" s="19"/>
      <c r="O234" s="19"/>
    </row>
    <row r="235" spans="2:15" ht="18" customHeight="1" x14ac:dyDescent="0.25">
      <c r="B235" s="9"/>
      <c r="C235" s="9"/>
      <c r="D235" s="21"/>
      <c r="E235" s="9"/>
      <c r="F235" s="37"/>
      <c r="J235" s="19"/>
      <c r="K235" s="19"/>
      <c r="L235" s="156"/>
      <c r="M235" s="19"/>
      <c r="N235" s="19"/>
      <c r="O235" s="19"/>
    </row>
    <row r="236" spans="2:15" ht="18" customHeight="1" x14ac:dyDescent="0.25">
      <c r="B236" s="9"/>
      <c r="C236" s="9"/>
      <c r="D236" s="21"/>
      <c r="E236" s="9"/>
      <c r="F236" s="37"/>
      <c r="J236" s="19"/>
      <c r="K236" s="19"/>
      <c r="L236" s="156"/>
      <c r="M236" s="19"/>
      <c r="N236" s="19"/>
      <c r="O236" s="19"/>
    </row>
    <row r="237" spans="2:15" ht="18" customHeight="1" x14ac:dyDescent="0.25">
      <c r="B237" s="9"/>
      <c r="C237" s="9"/>
      <c r="D237" s="21"/>
      <c r="E237" s="9"/>
      <c r="F237" s="37"/>
      <c r="J237" s="19"/>
      <c r="K237" s="19"/>
      <c r="L237" s="156"/>
      <c r="M237" s="19"/>
      <c r="N237" s="19"/>
      <c r="O237" s="19"/>
    </row>
    <row r="238" spans="2:15" ht="18" customHeight="1" x14ac:dyDescent="0.25">
      <c r="B238" s="9"/>
      <c r="C238" s="9"/>
      <c r="D238" s="21"/>
      <c r="E238" s="9"/>
      <c r="F238" s="37"/>
      <c r="J238" s="19"/>
      <c r="K238" s="19"/>
      <c r="L238" s="156"/>
      <c r="M238" s="19"/>
      <c r="N238" s="19"/>
      <c r="O238" s="19"/>
    </row>
    <row r="239" spans="2:15" ht="18" customHeight="1" x14ac:dyDescent="0.25">
      <c r="B239" s="9"/>
      <c r="C239" s="9"/>
      <c r="D239" s="21"/>
      <c r="E239" s="9"/>
      <c r="F239" s="37"/>
      <c r="J239" s="19"/>
      <c r="K239" s="19"/>
      <c r="L239" s="156"/>
      <c r="M239" s="19"/>
      <c r="N239" s="19"/>
      <c r="O239" s="19"/>
    </row>
    <row r="240" spans="2:15" ht="18" customHeight="1" x14ac:dyDescent="0.25">
      <c r="B240" s="9"/>
      <c r="C240" s="9"/>
      <c r="D240" s="21"/>
      <c r="E240" s="9"/>
      <c r="F240" s="37"/>
      <c r="J240" s="19"/>
      <c r="K240" s="19"/>
      <c r="L240" s="156"/>
      <c r="M240" s="19"/>
      <c r="N240" s="19"/>
      <c r="O240" s="19"/>
    </row>
    <row r="241" spans="2:15" ht="18" customHeight="1" x14ac:dyDescent="0.25">
      <c r="B241" s="9"/>
      <c r="C241" s="9"/>
      <c r="D241" s="21"/>
      <c r="E241" s="9"/>
      <c r="F241" s="37"/>
      <c r="J241" s="19"/>
      <c r="K241" s="19"/>
      <c r="L241" s="156"/>
      <c r="M241" s="19"/>
      <c r="N241" s="19"/>
      <c r="O241" s="19"/>
    </row>
    <row r="242" spans="2:15" ht="18" customHeight="1" x14ac:dyDescent="0.25">
      <c r="B242" s="9"/>
      <c r="C242" s="9"/>
      <c r="D242" s="21"/>
      <c r="E242" s="9"/>
      <c r="F242" s="37"/>
      <c r="J242" s="19"/>
      <c r="K242" s="19"/>
      <c r="L242" s="156"/>
      <c r="M242" s="19"/>
      <c r="N242" s="19"/>
      <c r="O242" s="19"/>
    </row>
    <row r="243" spans="2:15" ht="18" customHeight="1" x14ac:dyDescent="0.25">
      <c r="B243" s="9"/>
      <c r="C243" s="9"/>
      <c r="D243" s="21"/>
      <c r="E243" s="9"/>
      <c r="F243" s="37"/>
      <c r="J243" s="19"/>
      <c r="K243" s="19"/>
      <c r="L243" s="156"/>
      <c r="M243" s="19"/>
      <c r="N243" s="19"/>
      <c r="O243" s="19"/>
    </row>
    <row r="244" spans="2:15" ht="18" customHeight="1" x14ac:dyDescent="0.25">
      <c r="B244" s="9"/>
      <c r="C244" s="9"/>
      <c r="D244" s="21"/>
      <c r="E244" s="9"/>
      <c r="F244" s="37"/>
      <c r="J244" s="19"/>
      <c r="K244" s="19"/>
      <c r="L244" s="156"/>
      <c r="M244" s="19"/>
      <c r="N244" s="19"/>
      <c r="O244" s="19"/>
    </row>
    <row r="245" spans="2:15" ht="18" customHeight="1" x14ac:dyDescent="0.25">
      <c r="B245" s="9"/>
      <c r="C245" s="9"/>
      <c r="D245" s="21"/>
      <c r="E245" s="9"/>
      <c r="F245" s="37"/>
      <c r="J245" s="19"/>
      <c r="K245" s="19"/>
      <c r="L245" s="156"/>
      <c r="M245" s="19"/>
      <c r="N245" s="19"/>
      <c r="O245" s="19"/>
    </row>
    <row r="246" spans="2:15" ht="18" customHeight="1" x14ac:dyDescent="0.25">
      <c r="B246" s="9"/>
      <c r="C246" s="9"/>
      <c r="D246" s="21"/>
      <c r="E246" s="9"/>
      <c r="F246" s="37"/>
      <c r="J246" s="19"/>
      <c r="K246" s="19"/>
      <c r="L246" s="156"/>
      <c r="M246" s="19"/>
      <c r="N246" s="19"/>
      <c r="O246" s="19"/>
    </row>
    <row r="247" spans="2:15" ht="18" customHeight="1" x14ac:dyDescent="0.25">
      <c r="B247" s="9"/>
      <c r="C247" s="9"/>
      <c r="D247" s="21"/>
      <c r="E247" s="9"/>
      <c r="F247" s="37"/>
      <c r="J247" s="19"/>
      <c r="K247" s="19"/>
      <c r="L247" s="156"/>
      <c r="M247" s="19"/>
      <c r="N247" s="19"/>
      <c r="O247" s="19"/>
    </row>
    <row r="248" spans="2:15" ht="18" customHeight="1" x14ac:dyDescent="0.25">
      <c r="B248" s="9"/>
      <c r="C248" s="9"/>
      <c r="D248" s="21"/>
      <c r="E248" s="9"/>
      <c r="F248" s="37"/>
      <c r="J248" s="19"/>
      <c r="K248" s="19"/>
      <c r="L248" s="156"/>
      <c r="M248" s="19"/>
      <c r="N248" s="19"/>
      <c r="O248" s="19"/>
    </row>
    <row r="249" spans="2:15" ht="18" customHeight="1" x14ac:dyDescent="0.25">
      <c r="B249" s="9"/>
      <c r="C249" s="9"/>
      <c r="D249" s="21"/>
      <c r="E249" s="9"/>
      <c r="F249" s="37"/>
      <c r="J249" s="19"/>
      <c r="K249" s="19"/>
      <c r="L249" s="156"/>
      <c r="M249" s="19"/>
      <c r="N249" s="19"/>
      <c r="O249" s="19"/>
    </row>
    <row r="250" spans="2:15" ht="18" customHeight="1" x14ac:dyDescent="0.25">
      <c r="B250" s="9"/>
      <c r="C250" s="9"/>
      <c r="D250" s="21"/>
      <c r="E250" s="9"/>
      <c r="F250" s="37"/>
      <c r="J250" s="19"/>
      <c r="K250" s="19"/>
      <c r="L250" s="156"/>
      <c r="M250" s="19"/>
      <c r="N250" s="19"/>
      <c r="O250" s="19"/>
    </row>
    <row r="251" spans="2:15" ht="18" customHeight="1" x14ac:dyDescent="0.25">
      <c r="B251" s="9"/>
      <c r="C251" s="9"/>
      <c r="D251" s="21"/>
      <c r="E251" s="9"/>
      <c r="F251" s="37"/>
      <c r="J251" s="19"/>
      <c r="K251" s="19"/>
      <c r="L251" s="156"/>
      <c r="M251" s="19"/>
      <c r="N251" s="19"/>
      <c r="O251" s="19"/>
    </row>
    <row r="252" spans="2:15" ht="18" customHeight="1" x14ac:dyDescent="0.25">
      <c r="B252" s="9"/>
      <c r="C252" s="9"/>
      <c r="D252" s="21"/>
      <c r="E252" s="9"/>
      <c r="F252" s="37"/>
      <c r="J252" s="19"/>
      <c r="K252" s="19"/>
      <c r="L252" s="156"/>
      <c r="M252" s="19"/>
      <c r="N252" s="19"/>
      <c r="O252" s="19"/>
    </row>
    <row r="253" spans="2:15" ht="18" customHeight="1" x14ac:dyDescent="0.25">
      <c r="B253" s="9"/>
      <c r="C253" s="9"/>
      <c r="D253" s="21"/>
      <c r="E253" s="9"/>
      <c r="F253" s="37"/>
      <c r="J253" s="19"/>
      <c r="K253" s="19"/>
      <c r="L253" s="156"/>
      <c r="M253" s="19"/>
      <c r="N253" s="19"/>
      <c r="O253" s="19"/>
    </row>
    <row r="254" spans="2:15" ht="18" customHeight="1" x14ac:dyDescent="0.25">
      <c r="B254" s="9"/>
      <c r="C254" s="9"/>
      <c r="D254" s="21"/>
      <c r="E254" s="9"/>
      <c r="F254" s="37"/>
      <c r="J254" s="19"/>
      <c r="K254" s="19"/>
      <c r="L254" s="156"/>
      <c r="M254" s="19"/>
      <c r="N254" s="19"/>
      <c r="O254" s="19"/>
    </row>
    <row r="255" spans="2:15" ht="18" customHeight="1" x14ac:dyDescent="0.25">
      <c r="B255" s="9"/>
      <c r="C255" s="9"/>
      <c r="D255" s="21"/>
      <c r="E255" s="9"/>
      <c r="F255" s="37"/>
      <c r="J255" s="19"/>
      <c r="K255" s="19"/>
      <c r="L255" s="156"/>
      <c r="M255" s="19"/>
      <c r="N255" s="19"/>
      <c r="O255" s="19"/>
    </row>
    <row r="256" spans="2:15" ht="18" customHeight="1" x14ac:dyDescent="0.25">
      <c r="B256" s="9"/>
      <c r="C256" s="9"/>
      <c r="D256" s="21"/>
      <c r="E256" s="9"/>
      <c r="F256" s="37"/>
      <c r="J256" s="19"/>
      <c r="K256" s="19"/>
      <c r="L256" s="156"/>
      <c r="M256" s="19"/>
      <c r="N256" s="19"/>
      <c r="O256" s="19"/>
    </row>
    <row r="257" spans="2:15" ht="18" customHeight="1" x14ac:dyDescent="0.25">
      <c r="B257" s="9"/>
      <c r="C257" s="9"/>
      <c r="D257" s="21"/>
      <c r="E257" s="9"/>
      <c r="F257" s="37"/>
      <c r="J257" s="19"/>
      <c r="K257" s="19"/>
      <c r="L257" s="156"/>
      <c r="M257" s="19"/>
      <c r="N257" s="19"/>
      <c r="O257" s="19"/>
    </row>
    <row r="258" spans="2:15" ht="18" customHeight="1" x14ac:dyDescent="0.25">
      <c r="B258" s="9"/>
      <c r="C258" s="9"/>
      <c r="D258" s="21"/>
      <c r="E258" s="9"/>
      <c r="F258" s="37"/>
      <c r="J258" s="19"/>
      <c r="K258" s="19"/>
      <c r="L258" s="156"/>
      <c r="M258" s="19"/>
      <c r="N258" s="19"/>
      <c r="O258" s="19"/>
    </row>
    <row r="259" spans="2:15" ht="18" customHeight="1" x14ac:dyDescent="0.25">
      <c r="B259" s="9"/>
      <c r="C259" s="9"/>
      <c r="D259" s="21"/>
      <c r="E259" s="9"/>
      <c r="F259" s="37"/>
      <c r="J259" s="19"/>
      <c r="K259" s="19"/>
      <c r="L259" s="156"/>
      <c r="M259" s="19"/>
      <c r="N259" s="19"/>
      <c r="O259" s="19"/>
    </row>
    <row r="260" spans="2:15" ht="18" customHeight="1" x14ac:dyDescent="0.25">
      <c r="B260" s="9"/>
      <c r="C260" s="9"/>
      <c r="D260" s="21"/>
      <c r="E260" s="9"/>
      <c r="F260" s="37"/>
      <c r="J260" s="19"/>
      <c r="K260" s="19"/>
      <c r="L260" s="156"/>
      <c r="M260" s="19"/>
      <c r="N260" s="19"/>
      <c r="O260" s="19"/>
    </row>
    <row r="261" spans="2:15" ht="18" customHeight="1" x14ac:dyDescent="0.25">
      <c r="B261" s="9"/>
      <c r="C261" s="9"/>
      <c r="D261" s="21"/>
      <c r="E261" s="9"/>
      <c r="F261" s="37"/>
      <c r="J261" s="19"/>
      <c r="K261" s="19"/>
      <c r="L261" s="156"/>
      <c r="M261" s="19"/>
      <c r="N261" s="19"/>
      <c r="O261" s="19"/>
    </row>
    <row r="262" spans="2:15" ht="18" customHeight="1" x14ac:dyDescent="0.25">
      <c r="B262" s="9"/>
      <c r="C262" s="9"/>
      <c r="D262" s="21"/>
      <c r="E262" s="9"/>
      <c r="F262" s="37"/>
      <c r="J262" s="19"/>
      <c r="K262" s="19"/>
      <c r="L262" s="156"/>
      <c r="M262" s="19"/>
      <c r="N262" s="19"/>
      <c r="O262" s="19"/>
    </row>
    <row r="263" spans="2:15" ht="18" customHeight="1" x14ac:dyDescent="0.25">
      <c r="B263" s="9"/>
      <c r="C263" s="9"/>
      <c r="D263" s="21"/>
      <c r="E263" s="9"/>
      <c r="F263" s="37"/>
      <c r="J263" s="19"/>
      <c r="K263" s="19"/>
      <c r="L263" s="156"/>
      <c r="M263" s="19"/>
      <c r="N263" s="19"/>
      <c r="O263" s="19"/>
    </row>
    <row r="264" spans="2:15" ht="18" customHeight="1" x14ac:dyDescent="0.25">
      <c r="B264" s="9"/>
      <c r="C264" s="9"/>
      <c r="D264" s="21"/>
      <c r="E264" s="9"/>
      <c r="F264" s="37"/>
      <c r="J264" s="19"/>
      <c r="K264" s="19"/>
      <c r="L264" s="156"/>
      <c r="M264" s="19"/>
      <c r="N264" s="19"/>
      <c r="O264" s="19"/>
    </row>
    <row r="265" spans="2:15" ht="18" customHeight="1" x14ac:dyDescent="0.25">
      <c r="B265" s="9"/>
      <c r="C265" s="9"/>
      <c r="D265" s="21"/>
      <c r="E265" s="9"/>
      <c r="F265" s="37"/>
      <c r="J265" s="19"/>
      <c r="K265" s="19"/>
      <c r="L265" s="156"/>
      <c r="M265" s="19"/>
      <c r="N265" s="19"/>
      <c r="O265" s="19"/>
    </row>
    <row r="266" spans="2:15" ht="18" customHeight="1" x14ac:dyDescent="0.25">
      <c r="B266" s="9"/>
      <c r="C266" s="9"/>
      <c r="D266" s="21"/>
      <c r="E266" s="9"/>
      <c r="F266" s="37"/>
      <c r="J266" s="19"/>
      <c r="K266" s="19"/>
      <c r="L266" s="156"/>
      <c r="M266" s="19"/>
      <c r="N266" s="19"/>
      <c r="O266" s="19"/>
    </row>
    <row r="267" spans="2:15" ht="18" customHeight="1" x14ac:dyDescent="0.25">
      <c r="B267" s="9"/>
      <c r="C267" s="9"/>
      <c r="D267" s="21"/>
      <c r="E267" s="9"/>
      <c r="F267" s="37"/>
      <c r="J267" s="19"/>
      <c r="K267" s="19"/>
      <c r="L267" s="156"/>
      <c r="M267" s="19"/>
      <c r="N267" s="19"/>
      <c r="O267" s="19"/>
    </row>
    <row r="268" spans="2:15" ht="18" customHeight="1" x14ac:dyDescent="0.25">
      <c r="B268" s="9"/>
      <c r="C268" s="9"/>
      <c r="D268" s="21"/>
      <c r="E268" s="9"/>
      <c r="F268" s="37"/>
      <c r="J268" s="19"/>
      <c r="K268" s="19"/>
      <c r="L268" s="156"/>
      <c r="M268" s="19"/>
      <c r="N268" s="19"/>
      <c r="O268" s="19"/>
    </row>
    <row r="269" spans="2:15" ht="18" customHeight="1" x14ac:dyDescent="0.25">
      <c r="B269" s="9"/>
      <c r="C269" s="9"/>
      <c r="D269" s="21"/>
      <c r="E269" s="9"/>
      <c r="F269" s="37"/>
      <c r="J269" s="19"/>
      <c r="K269" s="19"/>
      <c r="L269" s="156"/>
      <c r="M269" s="19"/>
      <c r="N269" s="19"/>
      <c r="O269" s="19"/>
    </row>
    <row r="270" spans="2:15" ht="18" customHeight="1" x14ac:dyDescent="0.25">
      <c r="B270" s="9"/>
      <c r="C270" s="9"/>
      <c r="D270" s="21"/>
      <c r="E270" s="9"/>
      <c r="F270" s="37"/>
      <c r="J270" s="19"/>
      <c r="K270" s="19"/>
      <c r="L270" s="156"/>
      <c r="M270" s="19"/>
      <c r="N270" s="19"/>
      <c r="O270" s="19"/>
    </row>
    <row r="271" spans="2:15" ht="18" customHeight="1" x14ac:dyDescent="0.25">
      <c r="B271" s="9"/>
      <c r="C271" s="9"/>
      <c r="D271" s="21"/>
      <c r="E271" s="9"/>
      <c r="F271" s="37"/>
      <c r="J271" s="19"/>
      <c r="K271" s="19"/>
      <c r="L271" s="156"/>
      <c r="M271" s="19"/>
      <c r="N271" s="19"/>
      <c r="O271" s="19"/>
    </row>
    <row r="272" spans="2:15" ht="18" customHeight="1" x14ac:dyDescent="0.25">
      <c r="B272" s="9"/>
      <c r="C272" s="9"/>
      <c r="D272" s="21"/>
      <c r="E272" s="9"/>
      <c r="F272" s="37"/>
      <c r="J272" s="19"/>
      <c r="K272" s="19"/>
      <c r="L272" s="156"/>
      <c r="M272" s="19"/>
      <c r="N272" s="19"/>
      <c r="O272" s="19"/>
    </row>
    <row r="273" spans="2:15" ht="18" customHeight="1" x14ac:dyDescent="0.25">
      <c r="B273" s="9"/>
      <c r="C273" s="9"/>
      <c r="D273" s="21"/>
      <c r="E273" s="9"/>
      <c r="F273" s="37"/>
      <c r="J273" s="19"/>
      <c r="K273" s="19"/>
      <c r="L273" s="156"/>
      <c r="M273" s="19"/>
      <c r="N273" s="19"/>
      <c r="O273" s="19"/>
    </row>
    <row r="274" spans="2:15" ht="18" customHeight="1" x14ac:dyDescent="0.25">
      <c r="B274" s="9"/>
      <c r="C274" s="9"/>
      <c r="D274" s="21"/>
      <c r="E274" s="9"/>
      <c r="F274" s="37"/>
      <c r="J274" s="19"/>
      <c r="K274" s="19"/>
      <c r="L274" s="156"/>
      <c r="M274" s="19"/>
      <c r="N274" s="19"/>
      <c r="O274" s="19"/>
    </row>
    <row r="275" spans="2:15" ht="18" customHeight="1" x14ac:dyDescent="0.25">
      <c r="B275" s="9"/>
      <c r="C275" s="9"/>
      <c r="D275" s="21"/>
      <c r="E275" s="9"/>
      <c r="F275" s="37"/>
      <c r="J275" s="19"/>
      <c r="K275" s="19"/>
      <c r="L275" s="156"/>
      <c r="M275" s="19"/>
      <c r="N275" s="19"/>
      <c r="O275" s="19"/>
    </row>
    <row r="276" spans="2:15" ht="18" customHeight="1" x14ac:dyDescent="0.25">
      <c r="B276" s="9"/>
      <c r="C276" s="9"/>
      <c r="D276" s="21"/>
      <c r="E276" s="9"/>
      <c r="F276" s="37"/>
      <c r="J276" s="19"/>
      <c r="K276" s="19"/>
      <c r="L276" s="156"/>
      <c r="M276" s="19"/>
      <c r="N276" s="19"/>
      <c r="O276" s="19"/>
    </row>
    <row r="277" spans="2:15" ht="18" customHeight="1" x14ac:dyDescent="0.25">
      <c r="B277" s="9"/>
      <c r="C277" s="9"/>
      <c r="D277" s="21"/>
      <c r="E277" s="9"/>
      <c r="F277" s="37"/>
      <c r="J277" s="19"/>
      <c r="K277" s="19"/>
      <c r="L277" s="156"/>
      <c r="M277" s="19"/>
      <c r="N277" s="19"/>
      <c r="O277" s="19"/>
    </row>
    <row r="278" spans="2:15" ht="18" customHeight="1" x14ac:dyDescent="0.25">
      <c r="B278" s="9"/>
      <c r="C278" s="9"/>
      <c r="D278" s="21"/>
      <c r="E278" s="9"/>
      <c r="F278" s="37"/>
      <c r="J278" s="19"/>
      <c r="K278" s="19"/>
      <c r="L278" s="156"/>
      <c r="M278" s="19"/>
      <c r="N278" s="19"/>
      <c r="O278" s="19"/>
    </row>
    <row r="279" spans="2:15" ht="18" customHeight="1" x14ac:dyDescent="0.25">
      <c r="B279" s="9"/>
      <c r="C279" s="9"/>
      <c r="D279" s="21"/>
      <c r="E279" s="9"/>
      <c r="F279" s="37"/>
      <c r="J279" s="19"/>
      <c r="K279" s="19"/>
      <c r="L279" s="156"/>
      <c r="M279" s="19"/>
      <c r="N279" s="19"/>
      <c r="O279" s="19"/>
    </row>
    <row r="280" spans="2:15" ht="18" customHeight="1" x14ac:dyDescent="0.25">
      <c r="B280" s="9"/>
      <c r="C280" s="9"/>
      <c r="D280" s="21"/>
      <c r="E280" s="9"/>
      <c r="F280" s="37"/>
      <c r="J280" s="19"/>
      <c r="K280" s="19"/>
      <c r="L280" s="156"/>
      <c r="M280" s="19"/>
      <c r="N280" s="19"/>
      <c r="O280" s="19"/>
    </row>
    <row r="281" spans="2:15" ht="18" customHeight="1" x14ac:dyDescent="0.25">
      <c r="B281" s="9"/>
      <c r="C281" s="9"/>
      <c r="D281" s="21"/>
      <c r="E281" s="9"/>
      <c r="F281" s="37"/>
      <c r="J281" s="19"/>
      <c r="K281" s="19"/>
      <c r="L281" s="156"/>
      <c r="M281" s="19"/>
      <c r="N281" s="19"/>
      <c r="O281" s="19"/>
    </row>
    <row r="282" spans="2:15" ht="18" customHeight="1" x14ac:dyDescent="0.25">
      <c r="B282" s="9"/>
      <c r="C282" s="9"/>
      <c r="D282" s="21"/>
      <c r="E282" s="9"/>
      <c r="F282" s="37"/>
      <c r="J282" s="19"/>
      <c r="K282" s="19"/>
      <c r="L282" s="156"/>
      <c r="M282" s="19"/>
      <c r="N282" s="19"/>
      <c r="O282" s="19"/>
    </row>
    <row r="283" spans="2:15" ht="18" customHeight="1" x14ac:dyDescent="0.25">
      <c r="B283" s="9"/>
      <c r="C283" s="9"/>
      <c r="D283" s="21"/>
      <c r="E283" s="9"/>
      <c r="F283" s="37"/>
      <c r="J283" s="19"/>
      <c r="K283" s="19"/>
      <c r="L283" s="156"/>
      <c r="M283" s="19"/>
      <c r="N283" s="19"/>
      <c r="O283" s="19"/>
    </row>
    <row r="284" spans="2:15" ht="18" customHeight="1" x14ac:dyDescent="0.25">
      <c r="B284" s="9"/>
      <c r="C284" s="9"/>
      <c r="D284" s="21"/>
      <c r="E284" s="9"/>
      <c r="F284" s="37"/>
      <c r="J284" s="19"/>
      <c r="K284" s="19"/>
      <c r="L284" s="156"/>
      <c r="M284" s="19"/>
      <c r="N284" s="19"/>
      <c r="O284" s="19"/>
    </row>
    <row r="285" spans="2:15" ht="18" customHeight="1" x14ac:dyDescent="0.25">
      <c r="B285" s="9"/>
      <c r="C285" s="9"/>
      <c r="D285" s="21"/>
      <c r="E285" s="9"/>
      <c r="F285" s="37"/>
      <c r="J285" s="19"/>
      <c r="K285" s="19"/>
      <c r="L285" s="156"/>
      <c r="M285" s="19"/>
      <c r="N285" s="19"/>
      <c r="O285" s="19"/>
    </row>
    <row r="286" spans="2:15" ht="18" customHeight="1" x14ac:dyDescent="0.25">
      <c r="B286" s="9"/>
      <c r="C286" s="9"/>
      <c r="D286" s="21"/>
      <c r="E286" s="9"/>
      <c r="F286" s="37"/>
      <c r="J286" s="19"/>
      <c r="K286" s="19"/>
      <c r="L286" s="156"/>
      <c r="M286" s="19"/>
      <c r="N286" s="19"/>
      <c r="O286" s="19"/>
    </row>
    <row r="287" spans="2:15" ht="18" customHeight="1" x14ac:dyDescent="0.25">
      <c r="B287" s="9"/>
      <c r="C287" s="9"/>
      <c r="D287" s="21"/>
      <c r="E287" s="9"/>
      <c r="F287" s="37"/>
      <c r="J287" s="19"/>
      <c r="K287" s="19"/>
      <c r="L287" s="156"/>
      <c r="M287" s="19"/>
      <c r="N287" s="19"/>
      <c r="O287" s="19"/>
    </row>
    <row r="288" spans="2:15" ht="18" customHeight="1" x14ac:dyDescent="0.25">
      <c r="B288" s="9"/>
      <c r="C288" s="9"/>
      <c r="D288" s="21"/>
      <c r="E288" s="9"/>
      <c r="F288" s="37"/>
      <c r="J288" s="19"/>
      <c r="K288" s="19"/>
      <c r="L288" s="156"/>
      <c r="M288" s="19"/>
      <c r="N288" s="19"/>
      <c r="O288" s="19"/>
    </row>
    <row r="289" spans="2:15" ht="18" customHeight="1" x14ac:dyDescent="0.25">
      <c r="B289" s="9"/>
      <c r="C289" s="9"/>
      <c r="D289" s="21"/>
      <c r="E289" s="9"/>
      <c r="F289" s="37"/>
      <c r="J289" s="19"/>
      <c r="K289" s="19"/>
      <c r="L289" s="156"/>
      <c r="M289" s="19"/>
      <c r="N289" s="19"/>
      <c r="O289" s="19"/>
    </row>
    <row r="290" spans="2:15" ht="18" customHeight="1" x14ac:dyDescent="0.25">
      <c r="B290" s="9"/>
      <c r="C290" s="9"/>
      <c r="D290" s="21"/>
      <c r="E290" s="9"/>
      <c r="F290" s="37"/>
      <c r="J290" s="19"/>
      <c r="K290" s="19"/>
      <c r="L290" s="156"/>
      <c r="M290" s="19"/>
      <c r="N290" s="19"/>
      <c r="O290" s="19"/>
    </row>
    <row r="291" spans="2:15" ht="18" customHeight="1" x14ac:dyDescent="0.25">
      <c r="B291" s="9"/>
      <c r="C291" s="9"/>
      <c r="D291" s="21"/>
      <c r="E291" s="9"/>
      <c r="F291" s="37"/>
      <c r="J291" s="19"/>
      <c r="K291" s="19"/>
      <c r="L291" s="156"/>
      <c r="M291" s="19"/>
      <c r="N291" s="19"/>
      <c r="O291" s="19"/>
    </row>
    <row r="292" spans="2:15" ht="18" customHeight="1" x14ac:dyDescent="0.25">
      <c r="B292" s="9"/>
      <c r="C292" s="9"/>
      <c r="D292" s="21"/>
      <c r="E292" s="9"/>
      <c r="F292" s="37"/>
      <c r="J292" s="19"/>
      <c r="K292" s="19"/>
      <c r="L292" s="156"/>
      <c r="M292" s="19"/>
      <c r="N292" s="19"/>
      <c r="O292" s="19"/>
    </row>
    <row r="293" spans="2:15" ht="18" customHeight="1" x14ac:dyDescent="0.25">
      <c r="B293" s="9"/>
      <c r="C293" s="9"/>
      <c r="D293" s="21"/>
      <c r="E293" s="9"/>
      <c r="F293" s="37"/>
      <c r="J293" s="19"/>
      <c r="K293" s="19"/>
      <c r="L293" s="156"/>
      <c r="M293" s="19"/>
      <c r="N293" s="19"/>
      <c r="O293" s="19"/>
    </row>
    <row r="294" spans="2:15" ht="18" customHeight="1" x14ac:dyDescent="0.25">
      <c r="B294" s="9"/>
      <c r="C294" s="9"/>
      <c r="D294" s="21"/>
      <c r="E294" s="9"/>
      <c r="F294" s="37"/>
      <c r="J294" s="19"/>
      <c r="K294" s="19"/>
      <c r="L294" s="156"/>
      <c r="M294" s="19"/>
      <c r="N294" s="19"/>
      <c r="O294" s="19"/>
    </row>
    <row r="295" spans="2:15" ht="18" customHeight="1" x14ac:dyDescent="0.25">
      <c r="B295" s="9"/>
      <c r="C295" s="9"/>
      <c r="D295" s="21"/>
      <c r="E295" s="9"/>
      <c r="F295" s="37"/>
      <c r="J295" s="19"/>
      <c r="K295" s="19"/>
      <c r="L295" s="156"/>
      <c r="M295" s="19"/>
      <c r="N295" s="19"/>
      <c r="O295" s="19"/>
    </row>
    <row r="296" spans="2:15" ht="18" customHeight="1" x14ac:dyDescent="0.25">
      <c r="B296" s="9"/>
      <c r="C296" s="9"/>
      <c r="D296" s="21"/>
      <c r="E296" s="9"/>
      <c r="F296" s="37"/>
      <c r="J296" s="19"/>
      <c r="K296" s="19"/>
      <c r="L296" s="156"/>
      <c r="M296" s="19"/>
      <c r="N296" s="19"/>
      <c r="O296" s="19"/>
    </row>
    <row r="297" spans="2:15" ht="18" customHeight="1" x14ac:dyDescent="0.25">
      <c r="B297" s="9"/>
      <c r="C297" s="9"/>
      <c r="D297" s="21"/>
      <c r="E297" s="9"/>
      <c r="F297" s="37"/>
      <c r="J297" s="19"/>
      <c r="K297" s="19"/>
      <c r="L297" s="156"/>
      <c r="M297" s="19"/>
      <c r="N297" s="19"/>
      <c r="O297" s="19"/>
    </row>
    <row r="298" spans="2:15" ht="18" customHeight="1" x14ac:dyDescent="0.25">
      <c r="B298" s="9"/>
      <c r="C298" s="9"/>
      <c r="D298" s="21"/>
      <c r="E298" s="9"/>
      <c r="F298" s="37"/>
      <c r="J298" s="19"/>
      <c r="K298" s="19"/>
      <c r="L298" s="156"/>
      <c r="M298" s="19"/>
      <c r="N298" s="19"/>
      <c r="O298" s="19"/>
    </row>
    <row r="299" spans="2:15" ht="18" customHeight="1" x14ac:dyDescent="0.25">
      <c r="B299" s="9"/>
      <c r="C299" s="9"/>
      <c r="D299" s="21"/>
      <c r="E299" s="9"/>
      <c r="F299" s="37"/>
      <c r="J299" s="19"/>
      <c r="K299" s="19"/>
      <c r="L299" s="156"/>
      <c r="M299" s="19"/>
      <c r="N299" s="19"/>
      <c r="O299" s="19"/>
    </row>
    <row r="300" spans="2:15" ht="18" customHeight="1" x14ac:dyDescent="0.25">
      <c r="B300" s="9"/>
      <c r="C300" s="9"/>
      <c r="D300" s="21"/>
      <c r="E300" s="9"/>
      <c r="F300" s="37"/>
      <c r="J300" s="19"/>
      <c r="K300" s="19"/>
      <c r="L300" s="156"/>
      <c r="M300" s="19"/>
      <c r="N300" s="19"/>
      <c r="O300" s="19"/>
    </row>
    <row r="301" spans="2:15" ht="18" customHeight="1" x14ac:dyDescent="0.25">
      <c r="B301" s="9"/>
      <c r="C301" s="9"/>
      <c r="D301" s="21"/>
      <c r="E301" s="9"/>
      <c r="F301" s="37"/>
      <c r="J301" s="19"/>
      <c r="K301" s="19"/>
      <c r="L301" s="156"/>
      <c r="M301" s="19"/>
      <c r="N301" s="19"/>
      <c r="O301" s="19"/>
    </row>
    <row r="302" spans="2:15" ht="18" customHeight="1" x14ac:dyDescent="0.25">
      <c r="B302" s="9"/>
      <c r="C302" s="9"/>
      <c r="D302" s="21"/>
      <c r="E302" s="9"/>
      <c r="F302" s="37"/>
      <c r="J302" s="19"/>
      <c r="K302" s="19"/>
      <c r="L302" s="156"/>
      <c r="M302" s="19"/>
      <c r="N302" s="19"/>
      <c r="O302" s="19"/>
    </row>
    <row r="303" spans="2:15" ht="18" customHeight="1" x14ac:dyDescent="0.25">
      <c r="B303" s="9"/>
      <c r="C303" s="9"/>
      <c r="D303" s="21"/>
      <c r="E303" s="9"/>
      <c r="F303" s="37"/>
      <c r="J303" s="19"/>
      <c r="K303" s="19"/>
      <c r="L303" s="156"/>
      <c r="M303" s="19"/>
      <c r="N303" s="19"/>
      <c r="O303" s="19"/>
    </row>
    <row r="304" spans="2:15" ht="18" customHeight="1" x14ac:dyDescent="0.25">
      <c r="B304" s="9"/>
      <c r="C304" s="9"/>
      <c r="D304" s="21"/>
      <c r="E304" s="9"/>
      <c r="F304" s="37"/>
      <c r="J304" s="19"/>
      <c r="K304" s="19"/>
      <c r="L304" s="156"/>
      <c r="M304" s="19"/>
      <c r="N304" s="19"/>
      <c r="O304" s="19"/>
    </row>
    <row r="305" spans="2:15" ht="18" customHeight="1" x14ac:dyDescent="0.25">
      <c r="B305" s="9"/>
      <c r="C305" s="9"/>
      <c r="D305" s="21"/>
      <c r="E305" s="9"/>
      <c r="F305" s="37"/>
      <c r="J305" s="19"/>
      <c r="K305" s="19"/>
      <c r="L305" s="156"/>
      <c r="M305" s="19"/>
      <c r="N305" s="19"/>
      <c r="O305" s="19"/>
    </row>
    <row r="306" spans="2:15" ht="18" customHeight="1" x14ac:dyDescent="0.25">
      <c r="B306" s="9"/>
      <c r="C306" s="9"/>
      <c r="D306" s="21"/>
      <c r="E306" s="9"/>
      <c r="F306" s="37"/>
      <c r="J306" s="19"/>
      <c r="K306" s="19"/>
      <c r="L306" s="156"/>
      <c r="M306" s="19"/>
      <c r="N306" s="19"/>
      <c r="O306" s="19"/>
    </row>
    <row r="307" spans="2:15" ht="18" customHeight="1" x14ac:dyDescent="0.25">
      <c r="B307" s="9"/>
      <c r="C307" s="9"/>
      <c r="D307" s="21"/>
      <c r="E307" s="9"/>
      <c r="F307" s="37"/>
      <c r="J307" s="19"/>
      <c r="K307" s="19"/>
      <c r="L307" s="156"/>
      <c r="M307" s="19"/>
      <c r="N307" s="19"/>
      <c r="O307" s="19"/>
    </row>
    <row r="308" spans="2:15" ht="18" customHeight="1" x14ac:dyDescent="0.25">
      <c r="B308" s="9"/>
      <c r="C308" s="9"/>
      <c r="D308" s="21"/>
      <c r="E308" s="9"/>
      <c r="F308" s="37"/>
      <c r="J308" s="19"/>
      <c r="K308" s="19"/>
      <c r="L308" s="156"/>
      <c r="M308" s="19"/>
      <c r="N308" s="19"/>
      <c r="O308" s="19"/>
    </row>
    <row r="309" spans="2:15" ht="18" customHeight="1" x14ac:dyDescent="0.25">
      <c r="B309" s="9"/>
      <c r="C309" s="9"/>
      <c r="D309" s="21"/>
      <c r="E309" s="9"/>
      <c r="F309" s="37"/>
      <c r="J309" s="19"/>
      <c r="K309" s="19"/>
      <c r="L309" s="156"/>
      <c r="M309" s="19"/>
      <c r="N309" s="19"/>
      <c r="O309" s="19"/>
    </row>
    <row r="310" spans="2:15" ht="18" customHeight="1" x14ac:dyDescent="0.25">
      <c r="B310" s="9"/>
      <c r="C310" s="9"/>
      <c r="D310" s="21"/>
      <c r="E310" s="9"/>
      <c r="F310" s="37"/>
      <c r="J310" s="19"/>
      <c r="K310" s="19"/>
      <c r="L310" s="156"/>
      <c r="M310" s="19"/>
      <c r="N310" s="19"/>
      <c r="O310" s="19"/>
    </row>
    <row r="311" spans="2:15" ht="18" customHeight="1" x14ac:dyDescent="0.25">
      <c r="B311" s="9"/>
      <c r="C311" s="9"/>
      <c r="D311" s="21"/>
      <c r="E311" s="9"/>
      <c r="F311" s="37"/>
      <c r="J311" s="19"/>
      <c r="K311" s="19"/>
      <c r="L311" s="156"/>
      <c r="M311" s="19"/>
      <c r="N311" s="19"/>
      <c r="O311" s="19"/>
    </row>
    <row r="312" spans="2:15" ht="18" customHeight="1" x14ac:dyDescent="0.25">
      <c r="B312" s="9"/>
      <c r="C312" s="9"/>
      <c r="D312" s="21"/>
      <c r="E312" s="9"/>
      <c r="F312" s="37"/>
      <c r="J312" s="19"/>
      <c r="K312" s="19"/>
      <c r="L312" s="156"/>
      <c r="M312" s="19"/>
      <c r="N312" s="19"/>
      <c r="O312" s="19"/>
    </row>
    <row r="313" spans="2:15" ht="18" customHeight="1" x14ac:dyDescent="0.25">
      <c r="B313" s="9"/>
      <c r="C313" s="9"/>
      <c r="D313" s="21"/>
      <c r="E313" s="9"/>
      <c r="F313" s="37"/>
      <c r="J313" s="19"/>
      <c r="K313" s="19"/>
      <c r="L313" s="156"/>
      <c r="M313" s="19"/>
      <c r="N313" s="19"/>
      <c r="O313" s="19"/>
    </row>
    <row r="314" spans="2:15" ht="18" customHeight="1" x14ac:dyDescent="0.25">
      <c r="B314" s="9"/>
      <c r="C314" s="9"/>
      <c r="D314" s="21"/>
      <c r="E314" s="9"/>
      <c r="F314" s="37"/>
      <c r="J314" s="19"/>
      <c r="K314" s="19"/>
      <c r="L314" s="156"/>
      <c r="M314" s="19"/>
      <c r="N314" s="19"/>
      <c r="O314" s="19"/>
    </row>
    <row r="315" spans="2:15" ht="18" customHeight="1" x14ac:dyDescent="0.25">
      <c r="B315" s="9"/>
      <c r="C315" s="9"/>
      <c r="D315" s="21"/>
      <c r="E315" s="9"/>
      <c r="F315" s="37"/>
      <c r="J315" s="19"/>
      <c r="K315" s="19"/>
      <c r="L315" s="156"/>
      <c r="M315" s="19"/>
      <c r="N315" s="19"/>
      <c r="O315" s="19"/>
    </row>
    <row r="316" spans="2:15" ht="18" customHeight="1" x14ac:dyDescent="0.25">
      <c r="B316" s="9"/>
      <c r="C316" s="9"/>
      <c r="D316" s="21"/>
      <c r="E316" s="9"/>
      <c r="F316" s="37"/>
      <c r="J316" s="19"/>
      <c r="K316" s="19"/>
      <c r="L316" s="156"/>
      <c r="M316" s="19"/>
      <c r="N316" s="19"/>
      <c r="O316" s="19"/>
    </row>
    <row r="317" spans="2:15" ht="18" customHeight="1" x14ac:dyDescent="0.25">
      <c r="B317" s="9"/>
      <c r="C317" s="9"/>
      <c r="D317" s="21"/>
      <c r="E317" s="9"/>
      <c r="F317" s="37"/>
      <c r="J317" s="19"/>
      <c r="K317" s="19"/>
      <c r="L317" s="156"/>
      <c r="M317" s="19"/>
      <c r="N317" s="19"/>
      <c r="O317" s="19"/>
    </row>
    <row r="318" spans="2:15" ht="18" customHeight="1" x14ac:dyDescent="0.25">
      <c r="B318" s="9"/>
      <c r="C318" s="9"/>
      <c r="D318" s="21"/>
      <c r="E318" s="9"/>
      <c r="F318" s="37"/>
      <c r="J318" s="19"/>
      <c r="K318" s="19"/>
      <c r="L318" s="156"/>
      <c r="M318" s="19"/>
      <c r="N318" s="19"/>
      <c r="O318" s="19"/>
    </row>
    <row r="319" spans="2:15" ht="18" customHeight="1" x14ac:dyDescent="0.25">
      <c r="B319" s="9"/>
      <c r="C319" s="9"/>
      <c r="D319" s="21"/>
      <c r="E319" s="9"/>
      <c r="F319" s="37"/>
      <c r="J319" s="19"/>
      <c r="K319" s="19"/>
      <c r="L319" s="156"/>
      <c r="M319" s="19"/>
      <c r="N319" s="19"/>
      <c r="O319" s="19"/>
    </row>
    <row r="320" spans="2:15" ht="18" customHeight="1" x14ac:dyDescent="0.25">
      <c r="B320" s="9"/>
      <c r="C320" s="9"/>
      <c r="D320" s="21"/>
      <c r="E320" s="9"/>
      <c r="F320" s="37"/>
      <c r="J320" s="19"/>
      <c r="K320" s="19"/>
      <c r="L320" s="156"/>
      <c r="M320" s="19"/>
      <c r="N320" s="19"/>
      <c r="O320" s="19"/>
    </row>
    <row r="321" spans="2:15" ht="18" customHeight="1" x14ac:dyDescent="0.25">
      <c r="B321" s="9"/>
      <c r="C321" s="9"/>
      <c r="D321" s="21"/>
      <c r="E321" s="9"/>
      <c r="F321" s="37"/>
      <c r="J321" s="19"/>
      <c r="K321" s="19"/>
      <c r="L321" s="156"/>
      <c r="M321" s="19"/>
      <c r="N321" s="19"/>
      <c r="O321" s="19"/>
    </row>
    <row r="322" spans="2:15" ht="18" customHeight="1" x14ac:dyDescent="0.25">
      <c r="B322" s="9"/>
      <c r="C322" s="9"/>
      <c r="D322" s="21"/>
      <c r="E322" s="9"/>
      <c r="F322" s="37"/>
      <c r="J322" s="19"/>
      <c r="K322" s="19"/>
      <c r="L322" s="156"/>
      <c r="M322" s="19"/>
      <c r="N322" s="19"/>
      <c r="O322" s="19"/>
    </row>
    <row r="323" spans="2:15" ht="18" customHeight="1" x14ac:dyDescent="0.25">
      <c r="B323" s="9"/>
      <c r="C323" s="9"/>
      <c r="D323" s="21"/>
      <c r="E323" s="9"/>
      <c r="F323" s="37"/>
      <c r="J323" s="19"/>
      <c r="K323" s="19"/>
      <c r="L323" s="156"/>
      <c r="M323" s="19"/>
      <c r="N323" s="19"/>
      <c r="O323" s="19"/>
    </row>
    <row r="324" spans="2:15" ht="18" customHeight="1" x14ac:dyDescent="0.25">
      <c r="B324" s="9"/>
      <c r="C324" s="9"/>
      <c r="D324" s="21"/>
      <c r="E324" s="9"/>
      <c r="F324" s="37"/>
      <c r="J324" s="19"/>
      <c r="K324" s="19"/>
      <c r="L324" s="156"/>
      <c r="M324" s="19"/>
      <c r="N324" s="19"/>
      <c r="O324" s="19"/>
    </row>
    <row r="325" spans="2:15" ht="18" customHeight="1" x14ac:dyDescent="0.25">
      <c r="B325" s="9"/>
      <c r="C325" s="9"/>
      <c r="D325" s="21"/>
      <c r="E325" s="9"/>
      <c r="F325" s="37"/>
      <c r="J325" s="19"/>
      <c r="K325" s="19"/>
      <c r="L325" s="156"/>
      <c r="M325" s="19"/>
      <c r="N325" s="19"/>
      <c r="O325" s="19"/>
    </row>
    <row r="326" spans="2:15" ht="18" customHeight="1" x14ac:dyDescent="0.25">
      <c r="B326" s="9"/>
      <c r="C326" s="9"/>
      <c r="D326" s="21"/>
      <c r="E326" s="9"/>
      <c r="F326" s="37"/>
      <c r="J326" s="19"/>
      <c r="K326" s="19"/>
      <c r="L326" s="156"/>
      <c r="M326" s="19"/>
      <c r="N326" s="19"/>
      <c r="O326" s="19"/>
    </row>
    <row r="327" spans="2:15" ht="18" customHeight="1" x14ac:dyDescent="0.25">
      <c r="B327" s="9"/>
      <c r="C327" s="9"/>
      <c r="D327" s="21"/>
      <c r="E327" s="9"/>
      <c r="F327" s="37"/>
      <c r="J327" s="19"/>
      <c r="K327" s="19"/>
      <c r="L327" s="156"/>
      <c r="M327" s="19"/>
      <c r="N327" s="19"/>
      <c r="O327" s="19"/>
    </row>
    <row r="328" spans="2:15" ht="18" customHeight="1" x14ac:dyDescent="0.25">
      <c r="B328" s="9"/>
      <c r="C328" s="9"/>
      <c r="D328" s="21"/>
      <c r="E328" s="9"/>
      <c r="F328" s="37"/>
      <c r="J328" s="19"/>
      <c r="K328" s="19"/>
      <c r="L328" s="156"/>
      <c r="M328" s="19"/>
      <c r="N328" s="19"/>
      <c r="O328" s="19"/>
    </row>
    <row r="329" spans="2:15" ht="18" customHeight="1" x14ac:dyDescent="0.25">
      <c r="B329" s="9"/>
      <c r="C329" s="9"/>
      <c r="D329" s="21"/>
      <c r="E329" s="9"/>
      <c r="F329" s="37"/>
      <c r="J329" s="19"/>
      <c r="K329" s="19"/>
      <c r="L329" s="156"/>
      <c r="M329" s="19"/>
      <c r="N329" s="19"/>
      <c r="O329" s="19"/>
    </row>
    <row r="330" spans="2:15" ht="18" customHeight="1" x14ac:dyDescent="0.25">
      <c r="B330" s="9"/>
      <c r="C330" s="9"/>
      <c r="D330" s="21"/>
      <c r="E330" s="9"/>
      <c r="F330" s="37"/>
      <c r="J330" s="19"/>
      <c r="K330" s="19"/>
      <c r="L330" s="156"/>
      <c r="M330" s="19"/>
      <c r="N330" s="19"/>
      <c r="O330" s="19"/>
    </row>
    <row r="331" spans="2:15" ht="18" customHeight="1" x14ac:dyDescent="0.25">
      <c r="B331" s="9"/>
      <c r="C331" s="9"/>
      <c r="D331" s="21"/>
      <c r="E331" s="9"/>
      <c r="F331" s="37"/>
      <c r="J331" s="19"/>
      <c r="K331" s="19"/>
      <c r="L331" s="156"/>
      <c r="M331" s="19"/>
      <c r="N331" s="19"/>
      <c r="O331" s="19"/>
    </row>
    <row r="332" spans="2:15" ht="18" customHeight="1" x14ac:dyDescent="0.25">
      <c r="B332" s="9"/>
      <c r="C332" s="9"/>
      <c r="D332" s="21"/>
      <c r="E332" s="9"/>
      <c r="F332" s="37"/>
      <c r="J332" s="19"/>
      <c r="K332" s="19"/>
      <c r="L332" s="156"/>
      <c r="M332" s="19"/>
      <c r="N332" s="19"/>
      <c r="O332" s="19"/>
    </row>
    <row r="333" spans="2:15" ht="18" customHeight="1" x14ac:dyDescent="0.25">
      <c r="B333" s="9"/>
      <c r="C333" s="9"/>
      <c r="D333" s="21"/>
      <c r="E333" s="9"/>
      <c r="F333" s="37"/>
      <c r="J333" s="19"/>
      <c r="K333" s="19"/>
      <c r="L333" s="156"/>
      <c r="M333" s="19"/>
      <c r="N333" s="19"/>
      <c r="O333" s="19"/>
    </row>
    <row r="334" spans="2:15" ht="18" customHeight="1" x14ac:dyDescent="0.25">
      <c r="B334" s="9"/>
      <c r="C334" s="9"/>
      <c r="D334" s="21"/>
      <c r="E334" s="9"/>
      <c r="F334" s="37"/>
      <c r="J334" s="19"/>
      <c r="K334" s="19"/>
      <c r="L334" s="156"/>
      <c r="M334" s="19"/>
      <c r="N334" s="19"/>
      <c r="O334" s="19"/>
    </row>
  </sheetData>
  <mergeCells count="30">
    <mergeCell ref="B120:B121"/>
    <mergeCell ref="C120:E120"/>
    <mergeCell ref="B29:B30"/>
    <mergeCell ref="C29:E29"/>
    <mergeCell ref="B53:B54"/>
    <mergeCell ref="C53:E53"/>
    <mergeCell ref="B94:B95"/>
    <mergeCell ref="B49:B50"/>
    <mergeCell ref="C49:E49"/>
    <mergeCell ref="B101:B102"/>
    <mergeCell ref="C101:E101"/>
    <mergeCell ref="B77:B78"/>
    <mergeCell ref="C1:F1"/>
    <mergeCell ref="B7:B8"/>
    <mergeCell ref="C7:E7"/>
    <mergeCell ref="B5:C5"/>
    <mergeCell ref="B2:E2"/>
    <mergeCell ref="B3:F3"/>
    <mergeCell ref="B4:F4"/>
    <mergeCell ref="B21:B22"/>
    <mergeCell ref="C21:E21"/>
    <mergeCell ref="C77:E77"/>
    <mergeCell ref="B69:B70"/>
    <mergeCell ref="C69:E69"/>
    <mergeCell ref="B118:B119"/>
    <mergeCell ref="C94:E94"/>
    <mergeCell ref="B87:B88"/>
    <mergeCell ref="C87:E87"/>
    <mergeCell ref="B82:B83"/>
    <mergeCell ref="C82:E82"/>
  </mergeCells>
  <phoneticPr fontId="14" type="noConversion"/>
  <pageMargins left="0.511811024" right="0.511811024" top="0.78740157499999996" bottom="0.78740157499999996" header="0.31496062000000002" footer="0.31496062000000002"/>
  <pageSetup paperSize="9" scale="6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base_índices!$A$142:$A$150</xm:f>
          </x14:formula1>
          <xm:sqref>L93:L104 N93:N104 L9:L39 N9:N39 N41:N88 L41:L88 L107:L124 N107:N124</xm:sqref>
        </x14:dataValidation>
        <x14:dataValidation type="list" allowBlank="1" showInputMessage="1" showErrorMessage="1">
          <x14:formula1>
            <xm:f>base_índices!$A:$A</xm:f>
          </x14:formula1>
          <xm:sqref>B84:B86 B122:B124 B335:B1048576 B71:B76 B96:B100 B51:B52 B31:B39 B23:B28 B79:B81 B41:B48 B93 B55:B68 B9:B20 B103:B117</xm:sqref>
        </x14:dataValidation>
        <x14:dataValidation type="list" showInputMessage="1" showErrorMessage="1">
          <x14:formula1>
            <xm:f>base_índices!#REF!</xm:f>
          </x14:formula1>
          <xm:sqref>L89:L92 N89:N92</xm:sqref>
        </x14:dataValidation>
        <x14:dataValidation type="list" showInputMessage="1" showErrorMessage="1">
          <x14:formula1>
            <xm:f>base_índices!$A$142:$A$158</xm:f>
          </x14:formula1>
          <xm:sqref>J9:J124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showGridLines="0" workbookViewId="0">
      <selection activeCell="G6" sqref="G6"/>
    </sheetView>
  </sheetViews>
  <sheetFormatPr defaultRowHeight="15" x14ac:dyDescent="0.25"/>
  <cols>
    <col min="3" max="3" width="26.7109375" customWidth="1"/>
    <col min="4" max="4" width="1.28515625" customWidth="1"/>
    <col min="5" max="5" width="31.7109375" customWidth="1"/>
    <col min="6" max="6" width="1.85546875" customWidth="1"/>
    <col min="7" max="7" width="17.85546875" customWidth="1"/>
  </cols>
  <sheetData>
    <row r="2" spans="3:7" ht="17.25" x14ac:dyDescent="0.25">
      <c r="C2" s="154" t="s">
        <v>336</v>
      </c>
      <c r="E2" s="153">
        <f>450000*2</f>
        <v>900000</v>
      </c>
    </row>
    <row r="5" spans="3:7" ht="17.25" x14ac:dyDescent="0.3">
      <c r="C5" s="151" t="s">
        <v>332</v>
      </c>
      <c r="D5" s="152"/>
      <c r="E5" s="153">
        <v>100000.76</v>
      </c>
      <c r="G5" s="153">
        <f>$E$2/$E$9*E5</f>
        <v>323107.89811867906</v>
      </c>
    </row>
    <row r="6" spans="3:7" ht="17.25" x14ac:dyDescent="0.3">
      <c r="C6" s="151" t="s">
        <v>333</v>
      </c>
      <c r="D6" s="152"/>
      <c r="E6" s="153">
        <v>81896.08</v>
      </c>
      <c r="G6" s="153">
        <f t="shared" ref="G6:G7" si="0">$E$2/$E$9*E6</f>
        <v>264610.69168833509</v>
      </c>
    </row>
    <row r="7" spans="3:7" ht="17.25" x14ac:dyDescent="0.3">
      <c r="C7" s="151" t="s">
        <v>334</v>
      </c>
      <c r="D7" s="152"/>
      <c r="E7" s="153">
        <v>96650</v>
      </c>
      <c r="G7" s="153">
        <f t="shared" si="0"/>
        <v>312281.4101929859</v>
      </c>
    </row>
    <row r="9" spans="3:7" ht="17.25" x14ac:dyDescent="0.25">
      <c r="C9" s="154" t="s">
        <v>335</v>
      </c>
      <c r="E9" s="153">
        <f>SUM(E5:E7)</f>
        <v>278546.83999999997</v>
      </c>
      <c r="G9" s="153">
        <f>SUM(G5:G7)</f>
        <v>900000.00000000012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8"/>
  <sheetViews>
    <sheetView workbookViewId="0">
      <selection activeCell="G16" sqref="G16"/>
    </sheetView>
  </sheetViews>
  <sheetFormatPr defaultRowHeight="15" x14ac:dyDescent="0.25"/>
  <cols>
    <col min="3" max="3" width="39.28515625" bestFit="1" customWidth="1"/>
    <col min="4" max="4" width="15.28515625" bestFit="1" customWidth="1"/>
    <col min="5" max="5" width="14.28515625" bestFit="1" customWidth="1"/>
    <col min="6" max="6" width="13.85546875" bestFit="1" customWidth="1"/>
  </cols>
  <sheetData>
    <row r="3" spans="3:6" x14ac:dyDescent="0.25">
      <c r="C3" s="159" t="s">
        <v>340</v>
      </c>
      <c r="D3" s="159"/>
      <c r="E3" s="159"/>
    </row>
    <row r="4" spans="3:6" x14ac:dyDescent="0.25">
      <c r="C4" s="159"/>
      <c r="D4" s="159" t="s">
        <v>341</v>
      </c>
      <c r="F4" s="160">
        <v>259666.38</v>
      </c>
    </row>
    <row r="5" spans="3:6" x14ac:dyDescent="0.25">
      <c r="C5" s="159" t="s">
        <v>332</v>
      </c>
      <c r="D5" s="161">
        <v>101491.74</v>
      </c>
      <c r="E5" s="162"/>
      <c r="F5" s="166">
        <f>$F$4/($D$5+$D$6+$D$7)*D5</f>
        <v>99184.912830615649</v>
      </c>
    </row>
    <row r="6" spans="3:6" x14ac:dyDescent="0.25">
      <c r="C6" s="159" t="s">
        <v>333</v>
      </c>
      <c r="D6" s="161">
        <v>80171.67</v>
      </c>
      <c r="E6" s="162"/>
      <c r="F6" s="166">
        <f>$F$4/($D$5+$D$6+$D$7)*D6</f>
        <v>78349.431199375264</v>
      </c>
    </row>
    <row r="7" spans="3:6" x14ac:dyDescent="0.25">
      <c r="C7" s="159" t="s">
        <v>334</v>
      </c>
      <c r="D7" s="161">
        <v>84042.25</v>
      </c>
      <c r="E7" s="162"/>
      <c r="F7" s="166">
        <f>$F$4/($D$5+$D$6+$D$7)*D7</f>
        <v>82132.035970009063</v>
      </c>
    </row>
    <row r="8" spans="3:6" x14ac:dyDescent="0.25">
      <c r="C8" s="159"/>
      <c r="D8" s="163" t="s">
        <v>335</v>
      </c>
      <c r="E8" s="164">
        <f>SUM(E5:E7)</f>
        <v>0</v>
      </c>
      <c r="F8" s="164">
        <f>SUM(F5:F7)</f>
        <v>259666.37999999995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base_índices</vt:lpstr>
      <vt:lpstr>base_dados_proj</vt:lpstr>
      <vt:lpstr>Pavimentação externa</vt:lpstr>
      <vt:lpstr>Pavimentação interna</vt:lpstr>
      <vt:lpstr>APRESENTAÇÃO</vt:lpstr>
      <vt:lpstr>RATEIO EEE</vt:lpstr>
      <vt:lpstr>RATEIO ENERGIA</vt:lpstr>
      <vt:lpstr>APRESENTAÇÃO!Area_de_impressao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Martins</dc:creator>
  <cp:lastModifiedBy>Juliana Elias</cp:lastModifiedBy>
  <cp:lastPrinted>2021-03-08T11:56:10Z</cp:lastPrinted>
  <dcterms:created xsi:type="dcterms:W3CDTF">2018-07-31T14:41:29Z</dcterms:created>
  <dcterms:modified xsi:type="dcterms:W3CDTF">2021-11-17T18:46:41Z</dcterms:modified>
</cp:coreProperties>
</file>