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uliana.elias\Downloads\"/>
    </mc:Choice>
  </mc:AlternateContent>
  <bookViews>
    <workbookView xWindow="0" yWindow="0" windowWidth="23040" windowHeight="10350" tabRatio="783" activeTab="1"/>
  </bookViews>
  <sheets>
    <sheet name="base_índices" sheetId="9" r:id="rId1"/>
    <sheet name="base_dados_proj" sheetId="1" r:id="rId2"/>
    <sheet name="Sistemas Locais (2)" sheetId="13" state="hidden" r:id="rId3"/>
    <sheet name="Pavimentação Interna" sheetId="4" r:id="rId4"/>
    <sheet name="Concreto Estampado" sheetId="14" state="hidden" r:id="rId5"/>
    <sheet name="Transposição de Córrego" sheetId="12" state="hidden" r:id="rId6"/>
    <sheet name="INFRA" sheetId="16" state="hidden" r:id="rId7"/>
    <sheet name="APRESENTAÇÃO" sheetId="5" r:id="rId8"/>
    <sheet name="comp piscina" sheetId="19" state="hidden" r:id="rId9"/>
  </sheets>
  <externalReferences>
    <externalReference r:id="rId10"/>
  </externalReferences>
  <definedNames>
    <definedName name="_xlnm.Print_Area" localSheetId="7">APRESENTAÇÃO!$B$1:$F$112</definedName>
    <definedName name="_xlnm.Print_Area" localSheetId="6">INFRA!$B$1:$F$121</definedName>
  </definedNames>
  <calcPr calcId="152511"/>
  <pivotCaches>
    <pivotCache cacheId="20" r:id="rId11"/>
    <pivotCache cacheId="21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L123" i="5" l="1"/>
  <c r="L122" i="5"/>
  <c r="L121" i="5"/>
  <c r="C121" i="5" s="1"/>
  <c r="L120" i="5"/>
  <c r="C120" i="5" s="1"/>
  <c r="L119" i="5"/>
  <c r="L118" i="5"/>
  <c r="C118" i="5" s="1"/>
  <c r="L117" i="5"/>
  <c r="C117" i="5" s="1"/>
  <c r="L116" i="5"/>
  <c r="C116" i="5" s="1"/>
  <c r="L115" i="5"/>
  <c r="L114" i="5"/>
  <c r="L113" i="5"/>
  <c r="E121" i="5"/>
  <c r="E105" i="5"/>
  <c r="F114" i="5" l="1"/>
  <c r="D105" i="5"/>
  <c r="Q90" i="5" l="1"/>
  <c r="E85" i="5"/>
  <c r="N85" i="5"/>
  <c r="C7" i="1"/>
  <c r="E87" i="5" l="1"/>
  <c r="B28" i="4" l="1"/>
  <c r="D95" i="5"/>
  <c r="D60" i="5"/>
  <c r="D61" i="5"/>
  <c r="L61" i="5"/>
  <c r="E61" i="5" s="1"/>
  <c r="C61" i="5"/>
  <c r="C58" i="1"/>
  <c r="C40" i="1"/>
  <c r="F61" i="5" l="1"/>
  <c r="G61" i="5" s="1"/>
  <c r="H28" i="5" l="1"/>
  <c r="H29" i="5"/>
  <c r="H30" i="5"/>
  <c r="H31" i="5"/>
  <c r="H32" i="5"/>
  <c r="H34" i="5"/>
  <c r="H69" i="5"/>
  <c r="H101" i="5"/>
  <c r="H102" i="5"/>
  <c r="H103" i="5"/>
  <c r="G19" i="5"/>
  <c r="H19" i="5" s="1"/>
  <c r="C53" i="5"/>
  <c r="D23" i="5" l="1"/>
  <c r="D22" i="5"/>
  <c r="L22" i="5"/>
  <c r="E22" i="5" s="1"/>
  <c r="C22" i="5"/>
  <c r="L23" i="5"/>
  <c r="E23" i="5" s="1"/>
  <c r="F23" i="5" s="1"/>
  <c r="H23" i="5" s="1"/>
  <c r="C23" i="5"/>
  <c r="F22" i="5" l="1"/>
  <c r="D81" i="5"/>
  <c r="F81" i="5" s="1"/>
  <c r="E80" i="5"/>
  <c r="G81" i="5" l="1"/>
  <c r="H81" i="5" s="1"/>
  <c r="F20" i="5"/>
  <c r="H22" i="5"/>
  <c r="C62" i="5"/>
  <c r="C57" i="5"/>
  <c r="C33" i="5"/>
  <c r="C95" i="5"/>
  <c r="D94" i="5"/>
  <c r="C94" i="5"/>
  <c r="C92" i="5"/>
  <c r="E74" i="5" l="1"/>
  <c r="F74" i="5" s="1"/>
  <c r="H74" i="5" s="1"/>
  <c r="L73" i="5"/>
  <c r="D72" i="5"/>
  <c r="D73" i="5" s="1"/>
  <c r="F73" i="5" s="1"/>
  <c r="L62" i="5"/>
  <c r="F62" i="5"/>
  <c r="G73" i="5" l="1"/>
  <c r="H73" i="5" s="1"/>
  <c r="G62" i="5"/>
  <c r="H62" i="5" s="1"/>
  <c r="L46" i="5"/>
  <c r="E46" i="5" s="1"/>
  <c r="F46" i="5" s="1"/>
  <c r="L21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E41" i="5" s="1"/>
  <c r="L42" i="5"/>
  <c r="L43" i="5"/>
  <c r="L44" i="5"/>
  <c r="L45" i="5"/>
  <c r="L47" i="5"/>
  <c r="E47" i="5" s="1"/>
  <c r="F47" i="5" s="1"/>
  <c r="L48" i="5"/>
  <c r="L49" i="5"/>
  <c r="L50" i="5"/>
  <c r="L51" i="5"/>
  <c r="L52" i="5"/>
  <c r="L53" i="5"/>
  <c r="L54" i="5"/>
  <c r="E54" i="5" s="1"/>
  <c r="L55" i="5"/>
  <c r="E55" i="5" s="1"/>
  <c r="L56" i="5"/>
  <c r="E56" i="5" s="1"/>
  <c r="L57" i="5"/>
  <c r="L58" i="5"/>
  <c r="L59" i="5"/>
  <c r="L60" i="5"/>
  <c r="L63" i="5"/>
  <c r="L64" i="5"/>
  <c r="L65" i="5"/>
  <c r="L66" i="5"/>
  <c r="L67" i="5"/>
  <c r="E67" i="5" s="1"/>
  <c r="L68" i="5"/>
  <c r="L69" i="5"/>
  <c r="L70" i="5"/>
  <c r="L71" i="5"/>
  <c r="L72" i="5"/>
  <c r="L74" i="5"/>
  <c r="L75" i="5"/>
  <c r="L76" i="5"/>
  <c r="L77" i="5"/>
  <c r="L78" i="5"/>
  <c r="L79" i="5"/>
  <c r="L80" i="5"/>
  <c r="L82" i="5"/>
  <c r="L83" i="5"/>
  <c r="L84" i="5"/>
  <c r="L85" i="5"/>
  <c r="L86" i="5"/>
  <c r="L87" i="5"/>
  <c r="L88" i="5"/>
  <c r="L89" i="5"/>
  <c r="L90" i="5"/>
  <c r="L91" i="5"/>
  <c r="E91" i="5" s="1"/>
  <c r="L92" i="5"/>
  <c r="E92" i="5" s="1"/>
  <c r="L93" i="5"/>
  <c r="E93" i="5" s="1"/>
  <c r="L94" i="5"/>
  <c r="E94" i="5" s="1"/>
  <c r="L95" i="5"/>
  <c r="E95" i="5" s="1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E112" i="5" s="1"/>
  <c r="L20" i="5"/>
  <c r="J87" i="5"/>
  <c r="G87" i="5" l="1"/>
  <c r="H87" i="5" s="1"/>
  <c r="F72" i="5"/>
  <c r="G72" i="5" l="1"/>
  <c r="H72" i="5" s="1"/>
  <c r="F76" i="5"/>
  <c r="H76" i="5" s="1"/>
  <c r="F77" i="5"/>
  <c r="H77" i="5" s="1"/>
  <c r="F78" i="5"/>
  <c r="H78" i="5" s="1"/>
  <c r="F79" i="5"/>
  <c r="H79" i="5" s="1"/>
  <c r="F75" i="5"/>
  <c r="G75" i="5" l="1"/>
  <c r="H75" i="5" s="1"/>
  <c r="F86" i="5" l="1"/>
  <c r="G86" i="5" l="1"/>
  <c r="H86" i="5" s="1"/>
  <c r="D80" i="5"/>
  <c r="F80" i="5" s="1"/>
  <c r="G80" i="5" l="1"/>
  <c r="H80" i="5" s="1"/>
  <c r="C6" i="19" l="1"/>
  <c r="C5" i="19"/>
  <c r="D84" i="5"/>
  <c r="F84" i="5" s="1"/>
  <c r="C7" i="19" l="1"/>
  <c r="G84" i="5"/>
  <c r="H84" i="5" s="1"/>
  <c r="D83" i="5"/>
  <c r="F83" i="5" s="1"/>
  <c r="G83" i="5" l="1"/>
  <c r="H83" i="5" s="1"/>
  <c r="D104" i="5"/>
  <c r="C91" i="5"/>
  <c r="F82" i="5" l="1"/>
  <c r="C48" i="1"/>
  <c r="F95" i="5"/>
  <c r="H95" i="5" s="1"/>
  <c r="F106" i="5"/>
  <c r="F105" i="5"/>
  <c r="H105" i="5" s="1"/>
  <c r="C105" i="5"/>
  <c r="D107" i="5"/>
  <c r="C67" i="5"/>
  <c r="G82" i="5" l="1"/>
  <c r="H82" i="5" s="1"/>
  <c r="G106" i="5"/>
  <c r="H106" i="5" s="1"/>
  <c r="D40" i="5"/>
  <c r="E79" i="5" l="1"/>
  <c r="F85" i="5" l="1"/>
  <c r="E78" i="5"/>
  <c r="E77" i="5"/>
  <c r="E76" i="5"/>
  <c r="E75" i="5"/>
  <c r="G85" i="5" l="1"/>
  <c r="H85" i="5" s="1"/>
  <c r="C47" i="5"/>
  <c r="C46" i="5"/>
  <c r="D44" i="5" l="1"/>
  <c r="D26" i="5"/>
  <c r="D27" i="5" s="1"/>
  <c r="G46" i="5" l="1"/>
  <c r="H46" i="5" s="1"/>
  <c r="G47" i="5"/>
  <c r="H47" i="5" s="1"/>
  <c r="L120" i="16"/>
  <c r="E120" i="16" s="1"/>
  <c r="F120" i="16" s="1"/>
  <c r="C120" i="16"/>
  <c r="L119" i="16"/>
  <c r="E119" i="16" s="1"/>
  <c r="D119" i="16"/>
  <c r="C119" i="16"/>
  <c r="L118" i="16"/>
  <c r="E118" i="16" s="1"/>
  <c r="D118" i="16"/>
  <c r="C118" i="16"/>
  <c r="L117" i="16"/>
  <c r="E117" i="16" s="1"/>
  <c r="D117" i="16"/>
  <c r="C117" i="16"/>
  <c r="L116" i="16"/>
  <c r="L115" i="16"/>
  <c r="L114" i="16"/>
  <c r="E114" i="16" s="1"/>
  <c r="D114" i="16"/>
  <c r="C114" i="16"/>
  <c r="L113" i="16"/>
  <c r="F113" i="16"/>
  <c r="C113" i="16"/>
  <c r="L112" i="16"/>
  <c r="E112" i="16" s="1"/>
  <c r="F112" i="16" s="1"/>
  <c r="C112" i="16"/>
  <c r="L111" i="16"/>
  <c r="E111" i="16" s="1"/>
  <c r="F111" i="16" s="1"/>
  <c r="C111" i="16"/>
  <c r="L110" i="16"/>
  <c r="L109" i="16"/>
  <c r="L108" i="16"/>
  <c r="E108" i="16" s="1"/>
  <c r="I108" i="16"/>
  <c r="C108" i="16"/>
  <c r="L107" i="16"/>
  <c r="E107" i="16" s="1"/>
  <c r="C107" i="16"/>
  <c r="L106" i="16"/>
  <c r="L105" i="16"/>
  <c r="E105" i="16" s="1"/>
  <c r="D105" i="16"/>
  <c r="C105" i="16"/>
  <c r="L104" i="16"/>
  <c r="E104" i="16" s="1"/>
  <c r="D104" i="16"/>
  <c r="C104" i="16"/>
  <c r="L103" i="16"/>
  <c r="E103" i="16" s="1"/>
  <c r="L102" i="16"/>
  <c r="E102" i="16" s="1"/>
  <c r="L101" i="16"/>
  <c r="E101" i="16" s="1"/>
  <c r="L100" i="16"/>
  <c r="E100" i="16"/>
  <c r="D100" i="16"/>
  <c r="L99" i="16"/>
  <c r="C99" i="16"/>
  <c r="L98" i="16"/>
  <c r="E98" i="16" s="1"/>
  <c r="C98" i="16"/>
  <c r="L97" i="16"/>
  <c r="E97" i="16" s="1"/>
  <c r="D97" i="16"/>
  <c r="C97" i="16"/>
  <c r="L96" i="16"/>
  <c r="L95" i="16"/>
  <c r="L94" i="16"/>
  <c r="E94" i="16" s="1"/>
  <c r="C94" i="16"/>
  <c r="L93" i="16"/>
  <c r="E93" i="16" s="1"/>
  <c r="D93" i="16"/>
  <c r="C93" i="16"/>
  <c r="L92" i="16"/>
  <c r="E92" i="16" s="1"/>
  <c r="D92" i="16"/>
  <c r="C92" i="16"/>
  <c r="L91" i="16"/>
  <c r="D91" i="16"/>
  <c r="F91" i="16" s="1"/>
  <c r="L90" i="16"/>
  <c r="L89" i="16"/>
  <c r="L88" i="16"/>
  <c r="F88" i="16"/>
  <c r="L87" i="16"/>
  <c r="F87" i="16"/>
  <c r="L86" i="16"/>
  <c r="D86" i="16"/>
  <c r="F86" i="16" s="1"/>
  <c r="L85" i="16"/>
  <c r="F85" i="16"/>
  <c r="L84" i="16"/>
  <c r="F84" i="16"/>
  <c r="L83" i="16"/>
  <c r="L82" i="16"/>
  <c r="L81" i="16"/>
  <c r="E81" i="16" s="1"/>
  <c r="D81" i="16"/>
  <c r="C81" i="16"/>
  <c r="L80" i="16"/>
  <c r="E80" i="16" s="1"/>
  <c r="C80" i="16"/>
  <c r="L79" i="16"/>
  <c r="E79" i="16" s="1"/>
  <c r="C79" i="16"/>
  <c r="L78" i="16"/>
  <c r="E78" i="16" s="1"/>
  <c r="D78" i="16"/>
  <c r="C78" i="16"/>
  <c r="L77" i="16"/>
  <c r="L76" i="16"/>
  <c r="L75" i="16"/>
  <c r="E75" i="16" s="1"/>
  <c r="D75" i="16"/>
  <c r="C75" i="16"/>
  <c r="L74" i="16"/>
  <c r="E74" i="16" s="1"/>
  <c r="D74" i="16"/>
  <c r="C74" i="16"/>
  <c r="L73" i="16"/>
  <c r="L72" i="16"/>
  <c r="L71" i="16"/>
  <c r="E71" i="16" s="1"/>
  <c r="C71" i="16"/>
  <c r="L70" i="16"/>
  <c r="E70" i="16" s="1"/>
  <c r="D70" i="16"/>
  <c r="C70" i="16"/>
  <c r="L69" i="16"/>
  <c r="E69" i="16" s="1"/>
  <c r="D69" i="16"/>
  <c r="C69" i="16"/>
  <c r="L68" i="16"/>
  <c r="L67" i="16"/>
  <c r="L66" i="16"/>
  <c r="E66" i="16" s="1"/>
  <c r="C66" i="16"/>
  <c r="L65" i="16"/>
  <c r="E65" i="16" s="1"/>
  <c r="D65" i="16"/>
  <c r="C65" i="16"/>
  <c r="L64" i="16"/>
  <c r="E64" i="16" s="1"/>
  <c r="D64" i="16"/>
  <c r="C64" i="16"/>
  <c r="L63" i="16"/>
  <c r="E63" i="16" s="1"/>
  <c r="F63" i="16" s="1"/>
  <c r="C63" i="16"/>
  <c r="L62" i="16"/>
  <c r="E62" i="16" s="1"/>
  <c r="D62" i="16"/>
  <c r="C62" i="16"/>
  <c r="L61" i="16"/>
  <c r="E61" i="16" s="1"/>
  <c r="F61" i="16" s="1"/>
  <c r="C61" i="16"/>
  <c r="L60" i="16"/>
  <c r="L59" i="16"/>
  <c r="E59" i="16" s="1"/>
  <c r="F59" i="16" s="1"/>
  <c r="C59" i="16"/>
  <c r="L58" i="16"/>
  <c r="E58" i="16" s="1"/>
  <c r="D58" i="16"/>
  <c r="C58" i="16"/>
  <c r="L57" i="16"/>
  <c r="E57" i="16"/>
  <c r="F57" i="16" s="1"/>
  <c r="L56" i="16"/>
  <c r="E56" i="16" s="1"/>
  <c r="C56" i="16"/>
  <c r="L55" i="16"/>
  <c r="E55" i="16" s="1"/>
  <c r="D55" i="16"/>
  <c r="C55" i="16"/>
  <c r="L54" i="16"/>
  <c r="E54" i="16" s="1"/>
  <c r="D54" i="16"/>
  <c r="C54" i="16"/>
  <c r="L53" i="16"/>
  <c r="E53" i="16" s="1"/>
  <c r="D53" i="16"/>
  <c r="C53" i="16"/>
  <c r="L52" i="16"/>
  <c r="E52" i="16" s="1"/>
  <c r="D52" i="16"/>
  <c r="C52" i="16"/>
  <c r="L51" i="16"/>
  <c r="E51" i="16" s="1"/>
  <c r="D51" i="16"/>
  <c r="C51" i="16"/>
  <c r="L50" i="16"/>
  <c r="E50" i="16" s="1"/>
  <c r="D50" i="16"/>
  <c r="C50" i="16"/>
  <c r="L49" i="16"/>
  <c r="E49" i="16" s="1"/>
  <c r="F49" i="16" s="1"/>
  <c r="C49" i="16"/>
  <c r="L48" i="16"/>
  <c r="E48" i="16" s="1"/>
  <c r="F48" i="16" s="1"/>
  <c r="C48" i="16"/>
  <c r="L47" i="16"/>
  <c r="L46" i="16"/>
  <c r="L45" i="16"/>
  <c r="E45" i="16" s="1"/>
  <c r="F45" i="16" s="1"/>
  <c r="C45" i="16"/>
  <c r="L44" i="16"/>
  <c r="D44" i="16"/>
  <c r="C44" i="16"/>
  <c r="L43" i="16"/>
  <c r="E43" i="16" s="1"/>
  <c r="E44" i="16" s="1"/>
  <c r="D43" i="16"/>
  <c r="C43" i="16"/>
  <c r="L42" i="16"/>
  <c r="E42" i="16" s="1"/>
  <c r="D42" i="16"/>
  <c r="C42" i="16"/>
  <c r="L41" i="16"/>
  <c r="L40" i="16"/>
  <c r="L39" i="16"/>
  <c r="E39" i="16" s="1"/>
  <c r="C39" i="16"/>
  <c r="L38" i="16"/>
  <c r="E38" i="16" s="1"/>
  <c r="C38" i="16"/>
  <c r="L37" i="16"/>
  <c r="E37" i="16" s="1"/>
  <c r="C37" i="16"/>
  <c r="L36" i="16"/>
  <c r="E36" i="16" s="1"/>
  <c r="C36" i="16"/>
  <c r="L35" i="16"/>
  <c r="E35" i="16"/>
  <c r="F35" i="16" s="1"/>
  <c r="L34" i="16"/>
  <c r="E34" i="16" s="1"/>
  <c r="D34" i="16"/>
  <c r="C34" i="16"/>
  <c r="L33" i="16"/>
  <c r="E33" i="16"/>
  <c r="L32" i="16"/>
  <c r="E32" i="16" s="1"/>
  <c r="C32" i="16"/>
  <c r="L31" i="16"/>
  <c r="E31" i="16" s="1"/>
  <c r="D31" i="16"/>
  <c r="C31" i="16"/>
  <c r="L30" i="16"/>
  <c r="E30" i="16" s="1"/>
  <c r="D30" i="16"/>
  <c r="C30" i="16"/>
  <c r="L29" i="16"/>
  <c r="E29" i="16" s="1"/>
  <c r="C29" i="16"/>
  <c r="L28" i="16"/>
  <c r="E28" i="16" s="1"/>
  <c r="C28" i="16"/>
  <c r="L27" i="16"/>
  <c r="L26" i="16"/>
  <c r="L25" i="16"/>
  <c r="E25" i="16"/>
  <c r="D25" i="16"/>
  <c r="L24" i="16"/>
  <c r="L23" i="16"/>
  <c r="L22" i="16"/>
  <c r="E22" i="16" s="1"/>
  <c r="F22" i="16" s="1"/>
  <c r="C22" i="16"/>
  <c r="L21" i="16"/>
  <c r="E21" i="16" s="1"/>
  <c r="F21" i="16" s="1"/>
  <c r="C21" i="16"/>
  <c r="L20" i="16"/>
  <c r="E20" i="16" s="1"/>
  <c r="F20" i="16" s="1"/>
  <c r="C20" i="16"/>
  <c r="L19" i="16"/>
  <c r="E19" i="16" s="1"/>
  <c r="F19" i="16" s="1"/>
  <c r="C19" i="16"/>
  <c r="L18" i="16"/>
  <c r="E18" i="16" s="1"/>
  <c r="D18" i="16"/>
  <c r="C18" i="16"/>
  <c r="L17" i="16"/>
  <c r="E17" i="16" s="1"/>
  <c r="D17" i="16"/>
  <c r="C17" i="16"/>
  <c r="L16" i="16"/>
  <c r="E16" i="16" s="1"/>
  <c r="F16" i="16" s="1"/>
  <c r="C16" i="16"/>
  <c r="L15" i="16"/>
  <c r="E15" i="16" s="1"/>
  <c r="D15" i="16"/>
  <c r="C15" i="16"/>
  <c r="L14" i="16"/>
  <c r="E14" i="16" s="1"/>
  <c r="F14" i="16" s="1"/>
  <c r="C14" i="16"/>
  <c r="L13" i="16"/>
  <c r="E13" i="16" s="1"/>
  <c r="D13" i="16"/>
  <c r="C13" i="16"/>
  <c r="L12" i="16"/>
  <c r="E12" i="16" s="1"/>
  <c r="D12" i="16"/>
  <c r="C12" i="16"/>
  <c r="L11" i="16"/>
  <c r="E11" i="16" s="1"/>
  <c r="D11" i="16"/>
  <c r="C11" i="16"/>
  <c r="B5" i="16"/>
  <c r="F4" i="16"/>
  <c r="F3" i="16"/>
  <c r="B3" i="16"/>
  <c r="F104" i="16" l="1"/>
  <c r="F93" i="16"/>
  <c r="F92" i="16"/>
  <c r="F18" i="16"/>
  <c r="F52" i="16"/>
  <c r="E60" i="16"/>
  <c r="F60" i="16" s="1"/>
  <c r="F69" i="16"/>
  <c r="F70" i="16"/>
  <c r="F78" i="16"/>
  <c r="F117" i="16"/>
  <c r="F118" i="16"/>
  <c r="F12" i="16"/>
  <c r="F55" i="16"/>
  <c r="F62" i="16"/>
  <c r="F75" i="16"/>
  <c r="F114" i="16"/>
  <c r="F109" i="16" s="1"/>
  <c r="F42" i="16"/>
  <c r="F11" i="16"/>
  <c r="F44" i="16"/>
  <c r="F15" i="16"/>
  <c r="F51" i="16"/>
  <c r="F17" i="16"/>
  <c r="F74" i="16"/>
  <c r="F25" i="16"/>
  <c r="F23" i="16" s="1"/>
  <c r="F65" i="16"/>
  <c r="F81" i="16"/>
  <c r="F50" i="16"/>
  <c r="F54" i="16"/>
  <c r="F82" i="16"/>
  <c r="F13" i="16"/>
  <c r="F43" i="16"/>
  <c r="F58" i="16"/>
  <c r="F64" i="16"/>
  <c r="F53" i="16"/>
  <c r="F98" i="16"/>
  <c r="E99" i="16"/>
  <c r="F99" i="16" s="1"/>
  <c r="F115" i="16" l="1"/>
  <c r="F95" i="16"/>
  <c r="F72" i="16"/>
  <c r="F40" i="16"/>
  <c r="F9" i="16"/>
  <c r="F33" i="5" l="1"/>
  <c r="E50" i="5"/>
  <c r="F50" i="5" s="1"/>
  <c r="G33" i="5" l="1"/>
  <c r="H33" i="5" s="1"/>
  <c r="D37" i="16"/>
  <c r="F37" i="16" s="1"/>
  <c r="D28" i="16"/>
  <c r="D29" i="16" l="1"/>
  <c r="F29" i="16" s="1"/>
  <c r="F28" i="16"/>
  <c r="D98" i="5"/>
  <c r="E103" i="5" l="1"/>
  <c r="C100" i="5"/>
  <c r="E99" i="5"/>
  <c r="F99" i="5" s="1"/>
  <c r="C99" i="5"/>
  <c r="C98" i="5"/>
  <c r="E98" i="5"/>
  <c r="H98" i="5" s="1"/>
  <c r="G99" i="5" l="1"/>
  <c r="H99" i="5" s="1"/>
  <c r="E100" i="5"/>
  <c r="F100" i="5" s="1"/>
  <c r="C56" i="5"/>
  <c r="C55" i="5"/>
  <c r="E52" i="5"/>
  <c r="C52" i="5"/>
  <c r="C41" i="5"/>
  <c r="E37" i="5"/>
  <c r="C37" i="5"/>
  <c r="L18" i="5"/>
  <c r="F18" i="5" s="1"/>
  <c r="C18" i="5"/>
  <c r="G100" i="5" l="1"/>
  <c r="H100" i="5" s="1"/>
  <c r="G18" i="5"/>
  <c r="H18" i="5" s="1"/>
  <c r="F52" i="5"/>
  <c r="F41" i="5"/>
  <c r="H41" i="5" s="1"/>
  <c r="L12" i="5"/>
  <c r="E12" i="5" s="1"/>
  <c r="F12" i="5" s="1"/>
  <c r="G12" i="5" s="1"/>
  <c r="H12" i="5" s="1"/>
  <c r="C12" i="5"/>
  <c r="L10" i="5"/>
  <c r="L11" i="5"/>
  <c r="L13" i="5"/>
  <c r="L14" i="5"/>
  <c r="E14" i="5" s="1"/>
  <c r="F14" i="5" s="1"/>
  <c r="L15" i="5"/>
  <c r="E15" i="5" s="1"/>
  <c r="F15" i="5" s="1"/>
  <c r="L16" i="5"/>
  <c r="L17" i="5"/>
  <c r="L19" i="5"/>
  <c r="E19" i="5" s="1"/>
  <c r="E34" i="5"/>
  <c r="E51" i="5"/>
  <c r="F51" i="5" s="1"/>
  <c r="E53" i="5"/>
  <c r="E68" i="5"/>
  <c r="E69" i="5"/>
  <c r="L9" i="5"/>
  <c r="E9" i="5" s="1"/>
  <c r="C34" i="5"/>
  <c r="C14" i="5"/>
  <c r="G14" i="5" l="1"/>
  <c r="H14" i="5" s="1"/>
  <c r="G15" i="5"/>
  <c r="H15" i="5" s="1"/>
  <c r="G52" i="5"/>
  <c r="H52" i="5" s="1"/>
  <c r="F92" i="5"/>
  <c r="H92" i="5" s="1"/>
  <c r="D63" i="5"/>
  <c r="E63" i="5"/>
  <c r="C63" i="5"/>
  <c r="C60" i="5"/>
  <c r="F60" i="5" l="1"/>
  <c r="G60" i="5" l="1"/>
  <c r="H60" i="5" s="1"/>
  <c r="G63" i="5"/>
  <c r="H63" i="5" s="1"/>
  <c r="E31" i="5"/>
  <c r="D29" i="5" l="1"/>
  <c r="E32" i="5"/>
  <c r="C32" i="5"/>
  <c r="E30" i="5"/>
  <c r="C30" i="5"/>
  <c r="E29" i="5"/>
  <c r="C29" i="5"/>
  <c r="E28" i="5"/>
  <c r="C28" i="5"/>
  <c r="E27" i="5"/>
  <c r="C27" i="5"/>
  <c r="E26" i="5"/>
  <c r="C26" i="5"/>
  <c r="C22" i="1"/>
  <c r="C20" i="1"/>
  <c r="E19" i="1"/>
  <c r="F19" i="1" s="1"/>
  <c r="D32" i="16" l="1"/>
  <c r="D36" i="5"/>
  <c r="D38" i="16"/>
  <c r="F38" i="16" s="1"/>
  <c r="D30" i="5"/>
  <c r="I22" i="1"/>
  <c r="H18" i="1"/>
  <c r="D28" i="5"/>
  <c r="E18" i="1"/>
  <c r="F18" i="1" s="1"/>
  <c r="D32" i="5"/>
  <c r="I18" i="1" l="1"/>
  <c r="J18" i="1" s="1"/>
  <c r="D56" i="5"/>
  <c r="H56" i="5" s="1"/>
  <c r="E101" i="5" l="1"/>
  <c r="E102" i="5"/>
  <c r="F57" i="5" l="1"/>
  <c r="G57" i="5" l="1"/>
  <c r="H57" i="5" s="1"/>
  <c r="D55" i="5" l="1"/>
  <c r="F55" i="5" s="1"/>
  <c r="H55" i="5" s="1"/>
  <c r="D5" i="13" l="1"/>
  <c r="N27" i="13" l="1"/>
  <c r="N26" i="13"/>
  <c r="N25" i="13"/>
  <c r="N18" i="13"/>
  <c r="N17" i="13"/>
  <c r="N9" i="13"/>
  <c r="N8" i="13"/>
  <c r="N7" i="13"/>
  <c r="O8" i="13" s="1"/>
  <c r="F7" i="13"/>
  <c r="N19" i="13"/>
  <c r="B7" i="13"/>
  <c r="E7" i="13" s="1"/>
  <c r="F6" i="13"/>
  <c r="F5" i="13"/>
  <c r="E5" i="13" l="1"/>
  <c r="O9" i="13"/>
  <c r="O26" i="13"/>
  <c r="O27" i="13"/>
  <c r="O25" i="13"/>
  <c r="O7" i="13"/>
  <c r="O19" i="13"/>
  <c r="O17" i="13"/>
  <c r="O18" i="13"/>
  <c r="E6" i="13"/>
  <c r="B19" i="12" l="1"/>
  <c r="E28" i="1" l="1"/>
  <c r="F28" i="1" s="1"/>
  <c r="C15" i="14" l="1"/>
  <c r="C38" i="14" l="1"/>
  <c r="C40" i="14" s="1"/>
  <c r="C30" i="14"/>
  <c r="C31" i="14" s="1"/>
  <c r="C34" i="14"/>
  <c r="C35" i="14" s="1"/>
  <c r="C27" i="14"/>
  <c r="C14" i="14"/>
  <c r="C16" i="14" s="1"/>
  <c r="C41" i="14" s="1"/>
  <c r="C39" i="14" l="1"/>
  <c r="C6" i="14"/>
  <c r="J7" i="14"/>
  <c r="O4" i="14"/>
  <c r="O6" i="14"/>
  <c r="O7" i="14"/>
  <c r="J8" i="14"/>
  <c r="P7" i="14" l="1"/>
  <c r="P6" i="14"/>
  <c r="J6" i="14" l="1"/>
  <c r="J9" i="14" s="1"/>
  <c r="O8" i="14" s="1"/>
  <c r="P8" i="14" s="1"/>
  <c r="F10" i="14" l="1"/>
  <c r="F6" i="14"/>
  <c r="F7" i="14" s="1"/>
  <c r="C7" i="14"/>
  <c r="J15" i="12" l="1"/>
  <c r="I15" i="12"/>
  <c r="I10" i="12" l="1"/>
  <c r="F88" i="5" l="1"/>
  <c r="F70" i="5" l="1"/>
  <c r="H88" i="5"/>
  <c r="K6" i="12"/>
  <c r="K5" i="12"/>
  <c r="K4" i="12"/>
  <c r="I12" i="12" l="1"/>
  <c r="C37" i="1" l="1"/>
  <c r="D71" i="16" l="1"/>
  <c r="F71" i="16" s="1"/>
  <c r="F67" i="16" s="1"/>
  <c r="E29" i="1"/>
  <c r="F29" i="1" s="1"/>
  <c r="H28" i="1"/>
  <c r="I28" i="1" l="1"/>
  <c r="J28" i="1" s="1"/>
  <c r="D54" i="5" l="1"/>
  <c r="D45" i="5"/>
  <c r="D53" i="5" s="1"/>
  <c r="F53" i="5" l="1"/>
  <c r="C48" i="5"/>
  <c r="C49" i="5"/>
  <c r="G53" i="5" l="1"/>
  <c r="H53" i="5" s="1"/>
  <c r="D48" i="5"/>
  <c r="B3" i="5" l="1"/>
  <c r="C39" i="1" l="1"/>
  <c r="D79" i="16" l="1"/>
  <c r="F79" i="16" s="1"/>
  <c r="B5" i="5" l="1"/>
  <c r="G50" i="5" l="1"/>
  <c r="H50" i="5" s="1"/>
  <c r="E35" i="5"/>
  <c r="C35" i="5"/>
  <c r="E36" i="5"/>
  <c r="C36" i="5"/>
  <c r="F36" i="5" l="1"/>
  <c r="H36" i="5" s="1"/>
  <c r="D101" i="5"/>
  <c r="D112" i="5"/>
  <c r="D93" i="5"/>
  <c r="D91" i="5"/>
  <c r="D67" i="5"/>
  <c r="F67" i="5" s="1"/>
  <c r="D64" i="5"/>
  <c r="D68" i="5"/>
  <c r="C30" i="1"/>
  <c r="G51" i="5" l="1"/>
  <c r="H51" i="5" s="1"/>
  <c r="D49" i="5"/>
  <c r="D56" i="16"/>
  <c r="F56" i="16" s="1"/>
  <c r="F46" i="16" s="1"/>
  <c r="D28" i="14"/>
  <c r="D33" i="14"/>
  <c r="D38" i="14"/>
  <c r="D29" i="14"/>
  <c r="D34" i="14"/>
  <c r="D26" i="14"/>
  <c r="D30" i="14"/>
  <c r="D36" i="14"/>
  <c r="D32" i="14"/>
  <c r="D37" i="14"/>
  <c r="D41" i="14"/>
  <c r="D31" i="14"/>
  <c r="D35" i="14"/>
  <c r="D39" i="14"/>
  <c r="D27" i="14"/>
  <c r="D40" i="14"/>
  <c r="F54" i="5" l="1"/>
  <c r="C54" i="5"/>
  <c r="E49" i="5"/>
  <c r="F49" i="5" s="1"/>
  <c r="E48" i="5"/>
  <c r="F48" i="5" s="1"/>
  <c r="C51" i="5"/>
  <c r="E110" i="5"/>
  <c r="G54" i="5" l="1"/>
  <c r="H54" i="5" s="1"/>
  <c r="G49" i="5" l="1"/>
  <c r="H49" i="5" s="1"/>
  <c r="C64" i="5"/>
  <c r="C45" i="5"/>
  <c r="C111" i="5"/>
  <c r="C110" i="5"/>
  <c r="C104" i="5"/>
  <c r="C93" i="5"/>
  <c r="C112" i="5"/>
  <c r="C69" i="5"/>
  <c r="C68" i="5"/>
  <c r="C44" i="5"/>
  <c r="C40" i="5"/>
  <c r="F94" i="5" l="1"/>
  <c r="H94" i="5" s="1"/>
  <c r="E45" i="5"/>
  <c r="E64" i="5"/>
  <c r="F64" i="5" s="1"/>
  <c r="E44" i="5"/>
  <c r="F44" i="5" s="1"/>
  <c r="F68" i="5"/>
  <c r="F93" i="5"/>
  <c r="H93" i="5" s="1"/>
  <c r="E104" i="5"/>
  <c r="E111" i="5"/>
  <c r="E40" i="5"/>
  <c r="F40" i="5" s="1"/>
  <c r="F91" i="5"/>
  <c r="H91" i="5" s="1"/>
  <c r="F110" i="5"/>
  <c r="G110" i="5" l="1"/>
  <c r="H110" i="5" s="1"/>
  <c r="F58" i="5"/>
  <c r="G64" i="5"/>
  <c r="H64" i="5" s="1"/>
  <c r="G68" i="5"/>
  <c r="H68" i="5" s="1"/>
  <c r="G44" i="5"/>
  <c r="H44" i="5" s="1"/>
  <c r="G40" i="5"/>
  <c r="H40" i="5" s="1"/>
  <c r="F107" i="5"/>
  <c r="F104" i="5"/>
  <c r="H104" i="5" s="1"/>
  <c r="E10" i="5"/>
  <c r="F10" i="5" s="1"/>
  <c r="E17" i="5"/>
  <c r="F17" i="5" s="1"/>
  <c r="E11" i="5"/>
  <c r="E13" i="5"/>
  <c r="F13" i="5" s="1"/>
  <c r="F9" i="5"/>
  <c r="E16" i="5"/>
  <c r="F16" i="5" s="1"/>
  <c r="F11" i="5" l="1"/>
  <c r="G11" i="5" s="1"/>
  <c r="H11" i="5" s="1"/>
  <c r="G17" i="5"/>
  <c r="H17" i="5" s="1"/>
  <c r="G9" i="5"/>
  <c r="H9" i="5" s="1"/>
  <c r="G16" i="5"/>
  <c r="H16" i="5" s="1"/>
  <c r="G10" i="5"/>
  <c r="H10" i="5" s="1"/>
  <c r="G13" i="5"/>
  <c r="H13" i="5" s="1"/>
  <c r="G107" i="5"/>
  <c r="H107" i="5" s="1"/>
  <c r="F96" i="5"/>
  <c r="C19" i="5"/>
  <c r="C17" i="5"/>
  <c r="C16" i="5"/>
  <c r="C15" i="5"/>
  <c r="C13" i="5"/>
  <c r="C11" i="5"/>
  <c r="C10" i="5"/>
  <c r="F7" i="5" l="1"/>
  <c r="C9" i="5"/>
  <c r="F111" i="5" l="1"/>
  <c r="G111" i="5" l="1"/>
  <c r="H111" i="5"/>
  <c r="G67" i="5"/>
  <c r="H67" i="5" s="1"/>
  <c r="F112" i="5"/>
  <c r="H112" i="5" s="1"/>
  <c r="F45" i="5"/>
  <c r="G45" i="5" l="1"/>
  <c r="H45" i="5" s="1"/>
  <c r="F38" i="5"/>
  <c r="D94" i="16"/>
  <c r="F94" i="16" s="1"/>
  <c r="F89" i="16" s="1"/>
  <c r="D80" i="16"/>
  <c r="F80" i="16" s="1"/>
  <c r="F76" i="16" s="1"/>
  <c r="D69" i="5"/>
  <c r="F65" i="5" s="1"/>
  <c r="F42" i="5" l="1"/>
  <c r="G48" i="5"/>
  <c r="F108" i="5"/>
  <c r="G5" i="5" l="1"/>
  <c r="F89" i="5"/>
  <c r="H48" i="5"/>
  <c r="D35" i="5"/>
  <c r="F35" i="5" s="1"/>
  <c r="H35" i="5" s="1"/>
  <c r="C24" i="1"/>
  <c r="F27" i="5"/>
  <c r="H27" i="5" s="1"/>
  <c r="D37" i="5" l="1"/>
  <c r="F37" i="5" s="1"/>
  <c r="H37" i="5" s="1"/>
  <c r="D36" i="16"/>
  <c r="D39" i="16"/>
  <c r="F39" i="16" s="1"/>
  <c r="F26" i="16" s="1"/>
  <c r="F5" i="16" s="1"/>
  <c r="F6" i="16" s="1"/>
  <c r="D34" i="5"/>
  <c r="F26" i="5"/>
  <c r="H26" i="5" s="1"/>
  <c r="H5" i="5" s="1"/>
  <c r="F24" i="5" l="1"/>
  <c r="F5" i="5" s="1"/>
  <c r="F7" i="16"/>
  <c r="G9" i="16"/>
</calcChain>
</file>

<file path=xl/comments1.xml><?xml version="1.0" encoding="utf-8"?>
<comments xmlns="http://schemas.openxmlformats.org/spreadsheetml/2006/main">
  <authors>
    <author>Lorena Martins</author>
  </authors>
  <commentList>
    <comment ref="C22" authorId="0" shapeId="0">
      <text>
        <r>
          <rPr>
            <sz val="9"/>
            <color indexed="81"/>
            <rFont val="Segoe UI"/>
            <family val="2"/>
          </rPr>
          <t>Recomendada a majoração da área de plantio de grama devido à erros de cálculo (taludes) e perdas materiais em obra.
Sugerido: 1,5.</t>
        </r>
      </text>
    </comment>
    <comment ref="C39" authorId="0" shapeId="0">
      <text>
        <r>
          <rPr>
            <sz val="9"/>
            <color indexed="81"/>
            <rFont val="Segoe UI"/>
            <family val="2"/>
          </rPr>
          <t>Recomendada a majoração da área de plantio de grama devido à erros de cálculo (taludes) e perdas materiais em obra.
Sugerido: 1,5.</t>
        </r>
      </text>
    </comment>
  </commentList>
</comments>
</file>

<file path=xl/connections.xml><?xml version="1.0" encoding="utf-8"?>
<connections xmlns="http://schemas.openxmlformats.org/spreadsheetml/2006/main">
  <connection id="1" sourceFile="Y:\Engenharia\PLANEJAMENTO DE OBRAS GINCO\ORÇAMENTO DE OBRAS\00 - Banco de Dados _ Serviços.xlsx" keepAlive="1" name="00 - Banco de Dados _ Serviços" type="5" refreshedVersion="5">
    <dbPr connection="Provider=Microsoft.ACE.OLEDB.12.0;User ID=Admin;Data Source=Y:\Engenharia\PLANEJAMENTO DE OBRAS GINCO\ORÇAMENTO DE OBRAS\00 - Banco de Dados _ Serviço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2$" commandType="3"/>
  </connection>
  <connection id="2" sourceFile="Y:\Engenharia\PLANEJAMENTO DE OBRAS GINCO\ORÇAMENTO DE OBRAS\00 - Banco de Dados _ Serviços.xlsx" odcFile="C:\Users\lorena.martins\Documents\Minhas fontes de dados\00 - Banco de Dados _ Serviços Plan2$.odc" keepAlive="1" name="00 - Banco de Dados _ Serviços Plan2$" type="5" refreshedVersion="5">
    <dbPr connection="Provider=Microsoft.ACE.OLEDB.12.0;User ID=Admin;Data Source=Y:\Engenharia\PLANEJAMENTO DE OBRAS GINCO\ORÇAMENTO DE OBRAS\00 - Banco de Dados _ Serviço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2$" commandType="3"/>
  </connection>
  <connection id="3" sourceFile="Y:\Engenharia\PLANEJAMENTO DE OBRAS GINCO\ORÇAMENTO DE OBRAS\Banco de Dados_Índices.xlsx" keepAlive="1" name="Banco de Dados_Índices" type="5" refreshedVersion="5">
    <dbPr connection="Provider=Microsoft.ACE.OLEDB.12.0;User ID=Admin;Data Source=Y:\Engenharia\PLANEJAMENTO DE OBRAS GINCO\ORÇAMENTO DE OBRAS\Banco de Dados_Índic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SUPREMO ITALIA$'" commandType="3"/>
  </connection>
  <connection id="4" sourceFile="I:\Engenharia\PLANEJAMENTO DE OBRAS GINCO\01-ORÇAMENTO DE OBRAS\00 - Arquivos padrão\00. Viabilidades\Atualização 2021\Banco de Dados_Índices 2021.xlsx" keepAlive="1" name="Banco de Dados_Índices 2021" type="5" refreshedVersion="5">
    <dbPr connection="Provider=Microsoft.ACE.OLEDB.12.0;User ID=Admin;Data Source=I:\Engenharia\PLANEJAMENTO DE OBRAS GINCO\01-ORÇAMENTO DE OBRAS\00 - Arquivos padrão\00. Viabilidades\Atualização 2021\Banco de Dados_Índices 2021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5" sourceFile="F:\05 - ENGENHARIA\PLANEJAMENTO DE OBRAS GINCO\01-ORÇAMENTO DE OBRAS\00 - Arquivos padrão\00. Viabilidades\Estudo Atualização 2021\Banco de Dados_Índices 2021 - CUSTOS REAIS.xlsx" keepAlive="1" name="Banco de Dados_Índices 2021 - CUSTOS REAIS" type="5" refreshedVersion="7" background="1">
    <dbPr connection="Provider=Microsoft.ACE.OLEDB.12.0;User ID=Admin;Data Source=F:\05 - ENGENHARIA\PLANEJAMENTO DE OBRAS GINCO\01-ORÇAMENTO DE OBRAS\00 - Arquivos padrão\00. Viabilidades\Estudo Atualização 2021\Banco de Dados_Índices 2021 - CUSTOS REAI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6" sourceFile="F:\05 - ENGENHARIA\PLANEJAMENTO DE OBRAS GINCO\01-ORÇAMENTO DE OBRAS\00 - Arquivos padrão\00. Viabilidades\Estudo Atualização 2021\Banco de Dados_Índices 2021 - CUSTOS REAIS.xlsx" keepAlive="1" name="Banco de Dados_Índices 2021 - CUSTOS REAIS1" type="5" refreshedVersion="7" background="1">
    <dbPr connection="Provider=Microsoft.ACE.OLEDB.12.0;User ID=Admin;Data Source=F:\05 - ENGENHARIA\PLANEJAMENTO DE OBRAS GINCO\01-ORÇAMENTO DE OBRAS\00 - Arquivos padrão\00. Viabilidades\Estudo Atualização 2021\Banco de Dados_Índices 2021 - CUSTOS REAI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7" sourceFile="I:\Engenharia\PLANEJAMENTO DE OBRAS GINCO\01-ORÇAMENTO DE OBRAS\00 - Arquivos padrão\00. Viabilidades\Atualização 2021\Banco de Dados_Índices 2021.xlsx" keepAlive="1" name="Banco de Dados_Índices 20211" type="5" refreshedVersion="5">
    <dbPr connection="Provider=Microsoft.ACE.OLEDB.12.0;User ID=Admin;Data Source=I:\Engenharia\PLANEJAMENTO DE OBRAS GINCO\01-ORÇAMENTO DE OBRAS\00 - Arquivos padrão\00. Viabilidades\Atualização 2021\Banco de Dados_Índices 2021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COLUNAS BUSCA$'" commandType="3"/>
  </connection>
  <connection id="8" sourceFile="I:\Engenharia\PLANEJAMENTO DE OBRAS GINCO\01-ORÇAMENTO DE OBRAS\00 - Arquivos padrão\00. Viabilidades\Atualização 2021\Banco de Dados_Índices 2021.xlsx" keepAlive="1" name="Banco de Dados_Índices 20212" type="5" refreshedVersion="5">
    <dbPr connection="Provider=Microsoft.ACE.OLEDB.12.0;User ID=Admin;Data Source=I:\Engenharia\PLANEJAMENTO DE OBRAS GINCO\01-ORÇAMENTO DE OBRAS\00 - Arquivos padrão\00. Viabilidades\Atualização 2021\Banco de Dados_Índices 2021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9" sourceFile="Y:\Engenharia\PLANEJAMENTO DE OBRAS GINCO\ORÇAMENTO DE OBRAS\Banco de Dados_Índices.xlsx" odcFile="C:\Users\lorena.martins\Documents\Minhas fontes de dados\Banco de Dados_Índices 'SUPREMO ITALIA$'.odc" keepAlive="1" name="Banco de Dados_Índices 'SUPREMO ITALIA$'" type="5" refreshedVersion="5">
    <dbPr connection="Provider=Microsoft.ACE.OLEDB.12.0;User ID=Admin;Data Source=Y:\Engenharia\PLANEJAMENTO DE OBRAS GINCO\ORÇAMENTO DE OBRAS\Banco de Dados_Índic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SUPREMO ITALIA$'" commandType="3"/>
  </connection>
  <connection id="10" sourceFile="Y:\Engenharia\PLANEJAMENTO DE OBRAS GINCO\ORÇAMENTO DE OBRAS\Banco de Dados_Índices.xlsx" keepAlive="1" name="Banco de Dados_Índices1" type="5" refreshedVersion="5">
    <dbPr connection="Provider=Microsoft.ACE.OLEDB.12.0;User ID=Admin;Data Source=Y:\Engenharia\PLANEJAMENTO DE OBRAS GINCO\ORÇAMENTO DE OBRA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SUPREMO ITALIA$'" commandType="3"/>
  </connection>
  <connection id="11" sourceFile="Y:\Engenharia\PLANEJAMENTO DE OBRAS GINCO\ORÇAMENTO DE OBRAS\00 - Arquivos padrão\Banco de Dados_Índices.xlsx" keepAlive="1" name="Banco de Dados_Índices10" type="5" refreshedVersion="5">
    <dbPr connection="Provider=Microsoft.ACE.OLEDB.12.0;User ID=Admin;Data Source=Y:\Engenharia\PLANEJAMENTO DE OBRAS GINCO\ORÇAMENTO DE OBRAS\00 - Arquivos padrão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2" sourceFile="Y:\Engenharia\PLANEJAMENTO DE OBRAS GINCO\ORÇAMENTO DE OBRAS\00 - Arquivos padrão\Banco de Dados_Índices.xlsx" keepAlive="1" name="Banco de Dados_Índices11" type="5" refreshedVersion="5">
    <dbPr connection="Provider=Microsoft.ACE.OLEDB.12.0;User ID=Admin;Data Source=Y:\Engenharia\PLANEJAMENTO DE OBRAS GINCO\ORÇAMENTO DE OBRAS\00 - Arquivos padrão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3" sourceFile="Y:\Engenharia\PLANEJAMENTO DE OBRAS GINCO\ORÇAMENTO DE OBRAS\00 - Arquivos padrão\Viabilidades\Banco de Dados_Índices.xlsx" keepAlive="1" name="Banco de Dados_Índices12" type="5" refreshedVersion="5">
    <dbPr connection="Provider=Microsoft.ACE.OLEDB.12.0;User ID=Admin;Data Source=Y:\Engenharia\PLANEJAMENTO DE OBRAS GINCO\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4" sourceFile="Y:\Engenharia\PLANEJAMENTO DE OBRAS GINCO\01-ORÇAMENTO DE OBRAS\00 - Arquivos padrão\Viabilidades\Banco de Dados_Índices.xlsx" keepAlive="1" name="Banco de Dados_Índices13" type="5" refreshedVersion="5">
    <dbPr connection="Provider=Microsoft.ACE.OLEDB.12.0;User ID=Admin;Data Source=Y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5" sourceFile="Y:\Engenharia\PLANEJAMENTO DE OBRAS GINCO\01-ORÇAMENTO DE OBRAS\00 - Arquivos padrão\Viabilidades\Banco de Dados_Índices.xlsx" keepAlive="1" name="Banco de Dados_Índices14" type="5" refreshedVersion="5">
    <dbPr connection="Provider=Microsoft.ACE.OLEDB.12.0;User ID=Admin;Data Source=Y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6" sourceFile="F:\Engenharia\PLANEJAMENTO DE OBRAS GINCO\01-ORÇAMENTO DE OBRAS\00 - Arquivos padrão\Viabilidades\Banco de Dados_Índices.xlsx" keepAlive="1" name="Banco de Dados_Índices15" type="5" refreshedVersion="6">
    <dbPr connection="Provider=Microsoft.ACE.OLEDB.12.0;User ID=Admin;Data Source=F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7" sourceFile="F:\Engenharia\PLANEJAMENTO DE OBRAS GINCO\01-ORÇAMENTO DE OBRAS\00 - Arquivos padrão\Viabilidades\Banco de Dados_Índices.xlsx" keepAlive="1" name="Banco de Dados_Índices16" type="5" refreshedVersion="6">
    <dbPr connection="Provider=Microsoft.ACE.OLEDB.12.0;User ID=Admin;Data Source=F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8" sourceFile="F:\Engenharia\PLANEJAMENTO DE OBRAS GINCO\01-ORÇAMENTO DE OBRAS\00 - Arquivos padrão\Viabilidades\Banco de Dados_Índices.xlsx" keepAlive="1" name="Banco de Dados_Índices17" type="5" refreshedVersion="6">
    <dbPr connection="Provider=Microsoft.ACE.OLEDB.12.0;User ID=Admin;Data Source=F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19" sourceFile="J:\Engenharia\PLANEJAMENTO DE OBRAS GINCO\01-ORÇAMENTO DE OBRAS\00 - Arquivos padrão\Viabilidades\Banco de Dados_Índices.xlsx" keepAlive="1" name="Banco de Dados_Índices18" type="5" refreshedVersion="6" background="1">
    <dbPr connection="Provider=Microsoft.ACE.OLEDB.12.0;User ID=Admin;Data Source=J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0" sourceFile="J:\Engenharia\PLANEJAMENTO DE OBRAS GINCO\01-ORÇAMENTO DE OBRAS\00 - Arquivos padrão\Viabilidades\Banco de Dados_Índices.xlsx" keepAlive="1" name="Banco de Dados_Índices19" type="5" refreshedVersion="6" background="1">
    <dbPr connection="Provider=Microsoft.ACE.OLEDB.12.0;User ID=Admin;Data Source=J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1" sourceFile="Y:\Engenharia\PLANEJAMENTO DE OBRAS GINCO\ORÇAMENTO DE OBRAS\Banco de Dados_Índices.xlsx" keepAlive="1" name="Banco de Dados_Índices2" type="5" refreshedVersion="5">
    <dbPr connection="Provider=Microsoft.ACE.OLEDB.12.0;User ID=Admin;Data Source=Y:\Engenharia\PLANEJAMENTO DE OBRAS GINCO\ORÇAMENTO DE OBRA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2" sourceFile="J:\Engenharia\PLANEJAMENTO DE OBRAS GINCO\01-ORÇAMENTO DE OBRAS\00 - Arquivos padrão\Viabilidades\Banco de Dados_Índices.xlsx" keepAlive="1" name="Banco de Dados_Índices20" type="5" refreshedVersion="6" background="1">
    <dbPr connection="Provider=Microsoft.ACE.OLEDB.12.0;User ID=Admin;Data Source=J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3" sourceFile="F:\Engenharia\PLANEJAMENTO DE OBRAS GINCO\01-ORÇAMENTO DE OBRAS\00 - Arquivos padrão\Viabilidades\Banco de Dados_Índices.xlsx" keepAlive="1" name="Banco de Dados_Índices21" type="5" refreshedVersion="5">
    <dbPr connection="Provider=Microsoft.ACE.OLEDB.12.0;User ID=Admin;Data Source=F:\Engenharia\PLANEJAMENTO DE OBRAS GINCO\01-ORÇAMENTO DE OBRAS\00 - Arquivos padrão\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4" sourceFile="J:\Engenharia\PLANEJAMENTO DE OBRAS GINCO\01-ORÇAMENTO DE OBRAS\00 - Arquivos padrão\00_Viabilidades\Banco de Dados_Índices.xlsx" keepAlive="1" name="Banco de Dados_Índices22" type="5" refreshedVersion="6" background="1">
    <dbPr connection="Provider=Microsoft.ACE.OLEDB.12.0;User ID=Admin;Data Source=J:\Engenharia\PLANEJAMENTO DE OBRAS GINCO\01-ORÇAMENTO DE OBRAS\00 - Arquivos padrão\00_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5" sourceFile="J:\Engenharia\PLANEJAMENTO DE OBRAS GINCO\01-ORÇAMENTO DE OBRAS\00 - Arquivos padrão\00_Viabilidades\Banco de Dados_Índices.xlsx" keepAlive="1" name="Banco de Dados_Índices23" type="5" refreshedVersion="6" background="1">
    <dbPr connection="Provider=Microsoft.ACE.OLEDB.12.0;User ID=Admin;Data Source=J:\Engenharia\PLANEJAMENTO DE OBRAS GINCO\01-ORÇAMENTO DE OBRAS\00 - Arquivos padrão\00_Viabilidades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COLUNAS BUSCA$'" commandType="3"/>
  </connection>
  <connection id="26" sourceFile="C:\Users\lorena.martins\Desktop\03.08.2018\Banco de Dados_Índices.xlsx" keepAlive="1" name="Banco de Dados_Índices3" type="5" refreshedVersion="5" background="1">
    <dbPr connection="Provider=Microsoft.ACE.OLEDB.12.0;User ID=Admin;Data Source=C:\Users\lorena.martins\Desktop\03.08.2018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7" sourceFile="C:\Users\lorena.martins\Desktop\03.08.2018\Banco de Dados_Índices.xlsx" keepAlive="1" name="Banco de Dados_Índices4" type="5" refreshedVersion="5">
    <dbPr connection="Provider=Microsoft.ACE.OLEDB.12.0;User ID=Admin;Data Source=C:\Users\lorena.martins\Desktop\03.08.2018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8" sourceFile="C:\Users\lorena.martins\Desktop\03.08.2018\Banco de Dados_Índices.xlsx" keepAlive="1" name="Banco de Dados_Índices5" type="5" refreshedVersion="5">
    <dbPr connection="Provider=Microsoft.ACE.OLEDB.12.0;User ID=Admin;Data Source=C:\Users\lorena.martins\Desktop\03.08.2018\Banco de Dados_Índic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29" sourceFile="C:\Users\lorena.martins\Desktop\03.08.2018\Banco de Dados_Índices.xlsx" keepAlive="1" name="Banco de Dados_Índices6" type="5" refreshedVersion="5">
    <dbPr connection="Provider=Microsoft.ACE.OLEDB.12.0;User ID=Admin;Data Source=C:\Users\lorena.martins\Desktop\03.08.2018\Banco de Dados_Índic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30" sourceFile="C:\Users\lorena.martins\Desktop\03.08.2018\Banco de Dados_Índices.xlsx" keepAlive="1" name="Banco de Dados_Índices7" type="5" refreshedVersion="5">
    <dbPr connection="Provider=Microsoft.ACE.OLEDB.12.0;User ID=Admin;Data Source=C:\Users\lorena.martins\Desktop\03.08.2018\Banco de Dados_Índic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  <connection id="31" sourceFile="C:\Users\lorena.martins\Desktop\03.08.2018\Banco de Dados_Índices.xlsx" keepAlive="1" name="Banco de Dados_Índices8" type="5" refreshedVersion="5">
    <dbPr connection="Provider=Microsoft.ACE.OLEDB.12.0;User ID=Admin;Data Source=Y:\Engenharia\PLANEJAMENTO DE OBRAS GINCO\ORÇAMENTO DE OBRAS\00 - Arquivos padrão\Banco de Dados_Índice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COLUNAS BUSCA$'" commandType="3"/>
  </connection>
  <connection id="32" sourceFile="Y:\Engenharia\PLANEJAMENTO DE OBRAS GINCO\ORÇAMENTO DE OBRAS\00 - Arquivos padrão\Banco de Dados_Índices.xlsx" keepAlive="1" name="Banco de Dados_Índices9" type="5" refreshedVersion="5">
    <dbPr connection="Provider=Microsoft.ACE.OLEDB.12.0;User ID=Admin;Data Source=Y:\Engenharia\PLANEJAMENTO DE OBRAS GINCO\ORÇAMENTO DE OBRAS\00 - Arquivos padrão\Banco de Dados_Índic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INDICES$" commandType="3"/>
  </connection>
</connections>
</file>

<file path=xl/sharedStrings.xml><?xml version="1.0" encoding="utf-8"?>
<sst xmlns="http://schemas.openxmlformats.org/spreadsheetml/2006/main" count="1080" uniqueCount="432">
  <si>
    <t>Nº LOTES</t>
  </si>
  <si>
    <t>LOTES</t>
  </si>
  <si>
    <t>M2</t>
  </si>
  <si>
    <t>M</t>
  </si>
  <si>
    <t>FATOR</t>
  </si>
  <si>
    <t>DADOS GERAIS</t>
  </si>
  <si>
    <t>ÁREA TOTAL EMPRENDIMENTO</t>
  </si>
  <si>
    <t>ÁREA RENDÁVEL - VENDA</t>
  </si>
  <si>
    <t>ÁREA PAVIMENTO - CBUQ</t>
  </si>
  <si>
    <t>ÁREA GRAMA ESMERALDA</t>
  </si>
  <si>
    <t>PERÍMETRO MEIO FIO</t>
  </si>
  <si>
    <t>PERÍMETRO DRENO DE PAVIMENTO</t>
  </si>
  <si>
    <t>EDIFICAÇÕES</t>
  </si>
  <si>
    <t>EMISSÁRIO DE ESGOTO</t>
  </si>
  <si>
    <t>ADUTORA DE ÁGUA</t>
  </si>
  <si>
    <t>VB</t>
  </si>
  <si>
    <t>UND</t>
  </si>
  <si>
    <t>DURAÇÃO PAVIMENTAÇÃO - CONTROLE TECN.</t>
  </si>
  <si>
    <t>MÊS</t>
  </si>
  <si>
    <t>SERVIÇOS COMPLEMENTARES</t>
  </si>
  <si>
    <t>ÁREAS ESPORTIVAS</t>
  </si>
  <si>
    <t>QUADRA DE TENIS</t>
  </si>
  <si>
    <t>QUADRA POLIESPORTIVA</t>
  </si>
  <si>
    <t>ELETRICA E SPDA CAMPOS E QUADRAS</t>
  </si>
  <si>
    <t>PERÍODO DE OBRA</t>
  </si>
  <si>
    <t>BANCO DE CONCRETO</t>
  </si>
  <si>
    <t>ESTAÇÃO DE GINÁSTICA</t>
  </si>
  <si>
    <t>ESPELHO D'ÁGUA</t>
  </si>
  <si>
    <t>ÁREAS RECREATIVAS</t>
  </si>
  <si>
    <t>CAPIM - PLANTIO</t>
  </si>
  <si>
    <t>ENTREGA DE OBRA</t>
  </si>
  <si>
    <t>SEGURANÇA</t>
  </si>
  <si>
    <t>CAMADAS ESTRUTURAIS</t>
  </si>
  <si>
    <t>Soma de PADRÃO (ATUAL)</t>
  </si>
  <si>
    <t>LIMPEZA INICIAL DA ÁREA - M2</t>
  </si>
  <si>
    <t>RESERVATÓRIO - UND</t>
  </si>
  <si>
    <t>POÇO ARTESIANO - UND</t>
  </si>
  <si>
    <t>CONTROLE TECNOLOGICO - MÊS</t>
  </si>
  <si>
    <t>DRENO DE PAVIMENTO - M</t>
  </si>
  <si>
    <t>REDE DE ÁGUA - M (REDE)</t>
  </si>
  <si>
    <t>REDE DE ESGOTO - LOTES</t>
  </si>
  <si>
    <t>MURO DE FECHAMENTO - M (PLACAS)</t>
  </si>
  <si>
    <t>GRAMA ESMERALDA - M2</t>
  </si>
  <si>
    <t>CAPIM - M2</t>
  </si>
  <si>
    <t>PAISAGISMO - GERAL - M2</t>
  </si>
  <si>
    <t>MARCO DOS LOTES - LOTES</t>
  </si>
  <si>
    <t>MANUTENÇÃO DAS ÁREAS VERDES - M2</t>
  </si>
  <si>
    <t>DEPÓSITO DE LIXO - M2</t>
  </si>
  <si>
    <t>CAMPO SOCIETY - UND</t>
  </si>
  <si>
    <t>QUADRA DE TENIS - UND</t>
  </si>
  <si>
    <t>QUADRA POLIESPORTIVA - UND</t>
  </si>
  <si>
    <t>ELETRICA E SPDA CAMPOS E QUADRAS - UND</t>
  </si>
  <si>
    <t>BANCO DE CONCRETO - UND</t>
  </si>
  <si>
    <t>ESPELHO D'ÁGUA - M2</t>
  </si>
  <si>
    <t>SEGURANÇA -PÓS OBRA - MÊS</t>
  </si>
  <si>
    <t>MANUTENÇÃO CAMPOS E QUADRAS - MÊS</t>
  </si>
  <si>
    <t>MANUTENÇÃO PAISAGISMO - MÊS</t>
  </si>
  <si>
    <t>LIMPEZA PARA ENTREGA DEFINITIVA - RETOQUES - VB</t>
  </si>
  <si>
    <t>Total Geral</t>
  </si>
  <si>
    <t>Rótulos de Linha</t>
  </si>
  <si>
    <t>ALIMENTAÇÃO - MÊS</t>
  </si>
  <si>
    <t>CONTÊINER ESCRITÓRIO - MÊS</t>
  </si>
  <si>
    <t>ENERGIA ELÉTRICA - MÊS</t>
  </si>
  <si>
    <t>INTERNET - MÊS</t>
  </si>
  <si>
    <t>MATERIAL DE ESCRITÓRIO - VB</t>
  </si>
  <si>
    <t>PLOTAGENS E CÓPIAS - VB</t>
  </si>
  <si>
    <t>RATEIO SISTEMA DE ABASTECIMENTO - LOTES</t>
  </si>
  <si>
    <t>REDE + CERCA - M</t>
  </si>
  <si>
    <t>SEGURANÇA - INFRAESTRUTURA - M</t>
  </si>
  <si>
    <t>SEGURANÇA DO TRABALHO - VB</t>
  </si>
  <si>
    <t>VEÍCULOS (COMBUSTÍVEL + MANUTENÇÃO) - MÊS</t>
  </si>
  <si>
    <t>PRIMOR DAS TORRES</t>
  </si>
  <si>
    <t>SUPREMO ITÁLIA</t>
  </si>
  <si>
    <t>Soma de COLUNA</t>
  </si>
  <si>
    <t>Qtde</t>
  </si>
  <si>
    <t>ORÇAMENTO PRELIMINAR</t>
  </si>
  <si>
    <t>EXTERNO - INFRAESTRUTURA</t>
  </si>
  <si>
    <t>PLAYGROUND</t>
  </si>
  <si>
    <t>INSTALAÇÕES E ADMINISTRAÇÃO DE OBRA</t>
  </si>
  <si>
    <t>SISTEMAS LOCAIS</t>
  </si>
  <si>
    <t>INTERNO - SERVIÇOS INICIAIS</t>
  </si>
  <si>
    <t>INTERNO - INFRAESTRUTURA</t>
  </si>
  <si>
    <t>FECHAMENTO PERIMETRAL</t>
  </si>
  <si>
    <t>PAISAGISMO</t>
  </si>
  <si>
    <t>CAMPOS E QUADRAS</t>
  </si>
  <si>
    <t>Custo unitário</t>
  </si>
  <si>
    <t>Custo total</t>
  </si>
  <si>
    <t>Base de dados</t>
  </si>
  <si>
    <t>Total item</t>
  </si>
  <si>
    <t>CUSTO TOTAL DA OBRA</t>
  </si>
  <si>
    <t>ÁREA RENDÁVEL (M2)</t>
  </si>
  <si>
    <t>ÁREA TOTAL (M2)</t>
  </si>
  <si>
    <t xml:space="preserve">PISTA DE COOPER </t>
  </si>
  <si>
    <t>Soma de xPRIMOR</t>
  </si>
  <si>
    <t>Soma de xSUPREMO ITALIA</t>
  </si>
  <si>
    <t>Soma de xVILLA JARDIM</t>
  </si>
  <si>
    <t>Soma de xFL ITALIA</t>
  </si>
  <si>
    <t>Soma de xFL PARQUE</t>
  </si>
  <si>
    <t>Soma de xFL DA MATA</t>
  </si>
  <si>
    <t>Soma de xBELVEDERE II</t>
  </si>
  <si>
    <t xml:space="preserve">BELVEDERE II </t>
  </si>
  <si>
    <t>FLORAIS ITÁLIA</t>
  </si>
  <si>
    <t>FLORAIS DA MATA</t>
  </si>
  <si>
    <t>ADUTORA DE ÁGUA - M</t>
  </si>
  <si>
    <t>DRENAGEM COMPLEMENTAR - GERAL - VB</t>
  </si>
  <si>
    <t>ETE - VB</t>
  </si>
  <si>
    <t>INSTALAÇÕES PROVISÓRIAS - VB</t>
  </si>
  <si>
    <t>LIMPEZA GERAL PARA ENTREGA DE OBRA  - VB</t>
  </si>
  <si>
    <t>LIMPEZA PERIÓDICA DAS RUAS (PIPA + SERVENTE) - M2 (PAVIMENTO)</t>
  </si>
  <si>
    <t>MURO DE FECHAMENTO - M (BLOCOS)</t>
  </si>
  <si>
    <t>PAVIMENTAÇÃO - M2</t>
  </si>
  <si>
    <t>REDE DE ÁGUA - LIG. DOM.</t>
  </si>
  <si>
    <t>REDE DE ÁGUA - M (MEIO FIO)</t>
  </si>
  <si>
    <t>REDE DE ESGOTO - M (MEIO FIO)</t>
  </si>
  <si>
    <t>REDE DE ESGOTO - M (REDE)</t>
  </si>
  <si>
    <t xml:space="preserve">VILLA JD </t>
  </si>
  <si>
    <t>FLORAIS DO PARQUE</t>
  </si>
  <si>
    <t>GRADIL  - M2</t>
  </si>
  <si>
    <t>PLAYGROUND - VB</t>
  </si>
  <si>
    <t>ATI - UND</t>
  </si>
  <si>
    <t>TERRAPLENAGEM GERAL - NÍVEL I - M2</t>
  </si>
  <si>
    <t>TERRAPLENAGEM GERAL - NÍVEL II - M2</t>
  </si>
  <si>
    <t>TERRAPLENAGEM GERAL - NÍVEL III - M2</t>
  </si>
  <si>
    <t>SINALIZAÇÃO HORIZONTAL E VERTICAL - EXTERNO - M2</t>
  </si>
  <si>
    <t>SINALIZAÇÃO HORIZONTAL E VERTICAL - INTERNO - VB</t>
  </si>
  <si>
    <t>GALERIA DE ÁGUAS PLUVIAIS - NÍVEL II  - M2 (PAVIMENTO)</t>
  </si>
  <si>
    <t>GALERIA DE ÁGUAS PLUVIAIS - NÍVEL I - M2 (PAVIMENTO)</t>
  </si>
  <si>
    <t>REDE ELÉTRICA - M2 (PAVIMENTO)</t>
  </si>
  <si>
    <t>REDE ELÉTRICA - ILUMINAÇÃO APPS - VB</t>
  </si>
  <si>
    <t>CONTROLE DE ACESSO SIMPLES - VB</t>
  </si>
  <si>
    <t>CONTROLE DE ACESSO DUPLO - VB</t>
  </si>
  <si>
    <t>HISTÓRICO DE CUSTO / PADRÃO ATUAL</t>
  </si>
  <si>
    <t>CALÇADAS / PISTA DE COOPER - M2</t>
  </si>
  <si>
    <t>ARQUIBANCADA - UND</t>
  </si>
  <si>
    <t>DURAÇÃO VALAS - CONTROLE TECN.</t>
  </si>
  <si>
    <t>ÁREA PAVIMENTO - CAMADAS ESTRUTURAIS / IMPRIMAÇÃO</t>
  </si>
  <si>
    <t>QTDE PROJ</t>
  </si>
  <si>
    <t xml:space="preserve">PERÍODO PÓS OBRA </t>
  </si>
  <si>
    <t>ÁREA GRADIL DE FECHAMENTO</t>
  </si>
  <si>
    <t>ESTAR PERGOLADO</t>
  </si>
  <si>
    <t>ATI</t>
  </si>
  <si>
    <t>MEIO FIO (+ 5%) - M</t>
  </si>
  <si>
    <t>DRENAGEM COMPLEMENTAR - MURO NÍVEL I - VB</t>
  </si>
  <si>
    <t>DRENAGEM COMPLEMENTAR - MURO NÍVEL II - VB</t>
  </si>
  <si>
    <t>GINCO SAFIRA INCORPORAÇÕES LTDA</t>
  </si>
  <si>
    <t>Usuário: LORENAM</t>
  </si>
  <si>
    <t>Planilha Orçamentária</t>
  </si>
  <si>
    <t>Obra: 00083 - GINCO SAFIRA - AV. JUAREZ/TAMURA (GLEBA DESP)</t>
  </si>
  <si>
    <t xml:space="preserve">Orçamento: </t>
  </si>
  <si>
    <t>Item</t>
  </si>
  <si>
    <t>Código</t>
  </si>
  <si>
    <t>Descrição</t>
  </si>
  <si>
    <t xml:space="preserve">Unid </t>
  </si>
  <si>
    <t>Quantidade</t>
  </si>
  <si>
    <t>Custo Unit.</t>
  </si>
  <si>
    <t>Custo Total</t>
  </si>
  <si>
    <t>01.01</t>
  </si>
  <si>
    <t>ENG0024</t>
  </si>
  <si>
    <t xml:space="preserve">REGULARIZAÇÃO E COMPACTAÇÃO DE SUBLEITO ATÉ 20 CM DE ESPESSURA </t>
  </si>
  <si>
    <t>M²</t>
  </si>
  <si>
    <t>ENG0163</t>
  </si>
  <si>
    <t xml:space="preserve">EXECUÇÃO DE SUB BASE/BASE ESTABILIZADA GRANULOMETRICAMENTE COM MATERIAL DE JAZIDA </t>
  </si>
  <si>
    <t>M³</t>
  </si>
  <si>
    <t>ENG0026</t>
  </si>
  <si>
    <t>AQUISIÇÃO DE MATERIAL DE JAZIDA</t>
  </si>
  <si>
    <t>Total do Item 01</t>
  </si>
  <si>
    <t>02.01</t>
  </si>
  <si>
    <t>ENG0030</t>
  </si>
  <si>
    <t>IMPRIMAÇÃO COM ASFALTO DILUÍDO (CM 30)</t>
  </si>
  <si>
    <t>UAU! Software de Automação e Gestão Empresarial</t>
  </si>
  <si>
    <t>Página</t>
  </si>
  <si>
    <t>02.02</t>
  </si>
  <si>
    <t>ENG0031</t>
  </si>
  <si>
    <t>PINTURA DE LIGAÇÃO (RR 2C)</t>
  </si>
  <si>
    <t>02.04</t>
  </si>
  <si>
    <t>ENG0230</t>
  </si>
  <si>
    <t xml:space="preserve">CONCRETO BETUMINOSO USINADO A QUENTE (CBUQ) PARA CAPA DE ROLAMENTO E: 2 A 4 CM, FORNECIMENTO E APLICAÇÃO, EXCLUSIVE TRANSPORTE </t>
  </si>
  <si>
    <t>ENG0016</t>
  </si>
  <si>
    <t xml:space="preserve">TxK M </t>
  </si>
  <si>
    <t>Total do Item 02</t>
  </si>
  <si>
    <t>BDI</t>
  </si>
  <si>
    <t>ENG0138</t>
  </si>
  <si>
    <t>BDI MÃO DE OBRA</t>
  </si>
  <si>
    <t>ENG0139</t>
  </si>
  <si>
    <t>BDI MATERIAIS</t>
  </si>
  <si>
    <t>ENG0140</t>
  </si>
  <si>
    <t>BDI SERVIÇOS</t>
  </si>
  <si>
    <t>Total do Orçamento</t>
  </si>
  <si>
    <t xml:space="preserve">TRANSPORTE DE MATERIAL COM CAMINHÃO BASCULANTE EM VIAS URBANAS PAVIMENTADAS </t>
  </si>
  <si>
    <t>02.03</t>
  </si>
  <si>
    <t xml:space="preserve">SISTEMA DA QUALIDADE
Procedimento da Qualidade
Estimativa Inicial </t>
  </si>
  <si>
    <t>TRAÇADO DA REDE</t>
  </si>
  <si>
    <t>ENG0413</t>
  </si>
  <si>
    <t xml:space="preserve">TRANSPOSIÇÃO DE CÓRREGO EM TUBOS DE CONCRETO ARMADO SIMPLES DN1200 MM X 1,00 METRO, COM LASTRO DE CONCRETO MAGRO E PEDRA RACHÃO </t>
  </si>
  <si>
    <r>
      <t xml:space="preserve">CUSTO / M2 </t>
    </r>
    <r>
      <rPr>
        <b/>
        <sz val="9"/>
        <color rgb="FFFF0000"/>
        <rFont val="Calibri"/>
        <family val="2"/>
        <scheme val="minor"/>
      </rPr>
      <t>(+6%)</t>
    </r>
  </si>
  <si>
    <t>Empreendimento</t>
  </si>
  <si>
    <t>Área (m2)</t>
  </si>
  <si>
    <t>Total</t>
  </si>
  <si>
    <t>PREMIER</t>
  </si>
  <si>
    <t>Safira I</t>
  </si>
  <si>
    <t>Safira II</t>
  </si>
  <si>
    <t>Área Comercial</t>
  </si>
  <si>
    <t>Custo baseado em ESTUDO DE CUSTO DAS EDIFICAÇÕES</t>
  </si>
  <si>
    <t>GALERIA DE ÁGUAS PLUVIAIS - M2</t>
  </si>
  <si>
    <t>01.02</t>
  </si>
  <si>
    <t>ENG0610</t>
  </si>
  <si>
    <t xml:space="preserve">EXECUÇÃO DE REFORÇO DE SUBLEITO COM SOLO ESTABILIZADO GRANULOMETRICAMENTE COM MATERIAL DE JAZIDA, MISTURA EM PISTA </t>
  </si>
  <si>
    <t>01.03</t>
  </si>
  <si>
    <t>01.04</t>
  </si>
  <si>
    <t>01.05</t>
  </si>
  <si>
    <t>AUTOMAÇÃO RESERVATÓRIO</t>
  </si>
  <si>
    <t>ETE - COOPERAÇÃO</t>
  </si>
  <si>
    <t>Villa Jardim</t>
  </si>
  <si>
    <t>ÁQUILA</t>
  </si>
  <si>
    <t>Pedro III</t>
  </si>
  <si>
    <t xml:space="preserve">Estimado </t>
  </si>
  <si>
    <t>AVENIDA EXTERNA</t>
  </si>
  <si>
    <t>LIGAÇÃO DE ENERGIA</t>
  </si>
  <si>
    <t>RATEIO SISTEMA DE SANEAMENTO  - LOTES</t>
  </si>
  <si>
    <t>ESTAR EM ARCO PERGOLADO</t>
  </si>
  <si>
    <t>ACESSOS EM PAVER - M2</t>
  </si>
  <si>
    <t>PAVER</t>
  </si>
  <si>
    <t>04.01</t>
  </si>
  <si>
    <t>04.02</t>
  </si>
  <si>
    <t>04.03</t>
  </si>
  <si>
    <t>Total do Item 04</t>
  </si>
  <si>
    <t>FONTE INTERATIVA</t>
  </si>
  <si>
    <t>HORTA - UND</t>
  </si>
  <si>
    <t>Em orçamento - apenas equipamentos aprox. R$ 53.000,00</t>
  </si>
  <si>
    <t>ESTAR PERGOLADO EM ARCO - M</t>
  </si>
  <si>
    <t>-</t>
  </si>
  <si>
    <t>m3</t>
  </si>
  <si>
    <t>reaterro</t>
  </si>
  <si>
    <t>ENG0005</t>
  </si>
  <si>
    <t xml:space="preserve">REATERRO MECANIZADO DE VALA EMPREGANDO COMPACTADOR DE PERCUSSÃO EM CAMADAS DE 20 CM </t>
  </si>
  <si>
    <t>m</t>
  </si>
  <si>
    <t>ENERGIA SOLAR - IMPLANTAÇÃO SISTEMA</t>
  </si>
  <si>
    <t>PROPOSTA DE PRESTAÇÃO DE SERVIÇO - GRUPO ÂMBITO</t>
  </si>
  <si>
    <t>5 - TRANSPOSIÇÃO DE CÓRREGO - VIABILIDADE SAFIRA</t>
  </si>
  <si>
    <t>CONCERTINA - M</t>
  </si>
  <si>
    <t>ZAYCO</t>
  </si>
  <si>
    <t>MDO</t>
  </si>
  <si>
    <t>Produtos</t>
  </si>
  <si>
    <t>CALÇADA</t>
  </si>
  <si>
    <t>Concreto 15 MPa</t>
  </si>
  <si>
    <t>PAVI SYSTEMS</t>
  </si>
  <si>
    <t>local</t>
  </si>
  <si>
    <t>Formas</t>
  </si>
  <si>
    <t>Treinamento</t>
  </si>
  <si>
    <t>Concreto 25 MPa</t>
  </si>
  <si>
    <t>Armadura</t>
  </si>
  <si>
    <t>preço tabela sicro</t>
  </si>
  <si>
    <t xml:space="preserve">Economia sub base/base </t>
  </si>
  <si>
    <t>CONCRETO ESTAMPADO</t>
  </si>
  <si>
    <t>CUSTO COMUM</t>
  </si>
  <si>
    <t>CUSTO DE PAVIMENTAÇÃO</t>
  </si>
  <si>
    <t>QUADRO RESUMO</t>
  </si>
  <si>
    <t>CBUQ</t>
  </si>
  <si>
    <t>Pista convencional</t>
  </si>
  <si>
    <t>Adicional concreto</t>
  </si>
  <si>
    <t>Concreto estampado calçada</t>
  </si>
  <si>
    <t>Concreto convencional calçada</t>
  </si>
  <si>
    <t>Calçada em paver</t>
  </si>
  <si>
    <t>Calçada em TSD</t>
  </si>
  <si>
    <t>Calçada em CBUQ</t>
  </si>
  <si>
    <t>Pista em paver</t>
  </si>
  <si>
    <t>Pista em TSD</t>
  </si>
  <si>
    <t>Pista em CBUQ</t>
  </si>
  <si>
    <t>Concreto estampado</t>
  </si>
  <si>
    <t>Pista em PMF</t>
  </si>
  <si>
    <t>custo/m2</t>
  </si>
  <si>
    <t>Custo total - Fl. Safira</t>
  </si>
  <si>
    <t>ESTUDO PISTA DE COOPER - ALTERNATIVAS</t>
  </si>
  <si>
    <t>Sexta-feira, 21 de junho de 2019</t>
  </si>
  <si>
    <t>SINALIZAÇÃO HORIZONTAL E VERTICAL - INTERNO - M2 (PAV)</t>
  </si>
  <si>
    <t>REDE ELÉTRICA - TRAVESSIAS - LOTES</t>
  </si>
  <si>
    <t>BICICLETÁRIO - M</t>
  </si>
  <si>
    <t>PET PARK - UND</t>
  </si>
  <si>
    <t>BANHEIRO - VB</t>
  </si>
  <si>
    <t>Projeto Excelência Engenharia - Proporcional correspondente às areas AR I e II (470 und)</t>
  </si>
  <si>
    <t>ENSAIO DA CAPA DO PAVIMENTO - Custo baseado em PRIMOR DAS TORRES</t>
  </si>
  <si>
    <t>ESTIMATIVA DE CUSTO baseada nos Orçamentos Açobett</t>
  </si>
  <si>
    <t>ESTIMATIVA DE CUSTO - Orçamento Preliminar - SUPERPLAY</t>
  </si>
  <si>
    <t>EXTERNO</t>
  </si>
  <si>
    <t>INTERNO</t>
  </si>
  <si>
    <t xml:space="preserve">PISO TÁTIL </t>
  </si>
  <si>
    <t>LARGURA</t>
  </si>
  <si>
    <t>REDE ELÉTRICA EXTERNA</t>
  </si>
  <si>
    <t>Usuário: RAYANEB</t>
  </si>
  <si>
    <t>Custo baseado no NOVO PROJETO a ser implantado FL. SAFIRA</t>
  </si>
  <si>
    <t>RATEIO SISTEMA DE ABASTECIMENTO E SANEAMENTO - VB</t>
  </si>
  <si>
    <t>MURETA PARA GRADIL - M</t>
  </si>
  <si>
    <t>MATERIAL DE CONSUMO - MÊS</t>
  </si>
  <si>
    <t>SEGURANÇA (12 HORAS) - MÊS</t>
  </si>
  <si>
    <t>SEGURANÇA (24 HORAS) - MÊS</t>
  </si>
  <si>
    <t>SERVIÇO TOPOGRÁFICO  - MÊS</t>
  </si>
  <si>
    <t>DREANGEM COMPLEMENTAR 
PROTEÇÃO CHUVAS - VB</t>
  </si>
  <si>
    <t>REDE ELÉTRICA - CAIXAS - LOTES</t>
  </si>
  <si>
    <t>REDE ELÉTRICA - SUPER POSTE - UND</t>
  </si>
  <si>
    <t>VIGA BENKELMAN  - VB</t>
  </si>
  <si>
    <t>VIGA BENKELMAN  - M2 (PAVIMENTO)</t>
  </si>
  <si>
    <t>REDE ELÉTRICA - ILUMINAÇÃO DE AVENIDAS - M</t>
  </si>
  <si>
    <t>PISO TÁTIL - M</t>
  </si>
  <si>
    <t>PLAYGROUND CONVENCIONAL - VB</t>
  </si>
  <si>
    <t>LIXEIRA MOBILIÁRIO URBANO MMCITÉ - VB</t>
  </si>
  <si>
    <t>BANCO MOBILIÁRIO URBANO MMCITÉ - VB</t>
  </si>
  <si>
    <t>Soma de ESMERALDA</t>
  </si>
  <si>
    <t>Soma de xSAFIRA</t>
  </si>
  <si>
    <t>Soma de xAV# JUAREZ</t>
  </si>
  <si>
    <t>FLORAIS SAFIRA</t>
  </si>
  <si>
    <t>FLORAIS ESMERALDA</t>
  </si>
  <si>
    <t>AV. JUAREZ</t>
  </si>
  <si>
    <t>ENTRADA DE ENERGIA - VB</t>
  </si>
  <si>
    <r>
      <t xml:space="preserve">CUSTO TOTAL DA OBRA </t>
    </r>
    <r>
      <rPr>
        <b/>
        <sz val="9"/>
        <color rgb="FFFF0000"/>
        <rFont val="Calibri"/>
        <family val="2"/>
        <scheme val="minor"/>
      </rPr>
      <t>(+6%)</t>
    </r>
  </si>
  <si>
    <t>R04</t>
  </si>
  <si>
    <t>08 de Setembro de 2020</t>
  </si>
  <si>
    <t>CARTA DA ENERGISA N°60504767/2020/DCMD/ENERGISA</t>
  </si>
  <si>
    <t>LIXEIRA</t>
  </si>
  <si>
    <t>GUARITA SOCIAL - VB</t>
  </si>
  <si>
    <t>ADMINISTRAÇÃO + GUARITA DE SERVIÇO -M2</t>
  </si>
  <si>
    <t>Adicional Revestimento em ACM - ESTIMATIVA DE CUSTO</t>
  </si>
  <si>
    <t>REVER</t>
  </si>
  <si>
    <t>GOURMET / SALÃO DE FESTAS - M2</t>
  </si>
  <si>
    <t>QUIOSQUE + BANHEIROS (1) - M2</t>
  </si>
  <si>
    <t>Custo baseado em ESTUDO DE CUSTO DAS EDIFICAÇÕES - M2</t>
  </si>
  <si>
    <t>QUIOSQUE + BANHEIROS (2) - M2</t>
  </si>
  <si>
    <t>QUIOSQUE + BANHEIROS (3) - M2</t>
  </si>
  <si>
    <t>QUIOSQUE + BANHEIROS (4) - M2</t>
  </si>
  <si>
    <t>ECOTRILHA</t>
  </si>
  <si>
    <t>ECOTRILHA - M2</t>
  </si>
  <si>
    <t>MURO DE FECHAMENTO - M (PLACAS VAZADAS)</t>
  </si>
  <si>
    <t>QUIOSQUE PISCINA (VESTIÁRIO) - M2</t>
  </si>
  <si>
    <t>CLUBE - VÁRZEA GRANDE</t>
  </si>
  <si>
    <t>BANCO MODERNO</t>
  </si>
  <si>
    <t>SUPER POSTE - UND</t>
  </si>
  <si>
    <t>CONCRETO PIGMENTADO - M2</t>
  </si>
  <si>
    <t>QUADRA DE AREIA - UND</t>
  </si>
  <si>
    <t>QUADRA DE AREIA</t>
  </si>
  <si>
    <t>PISCINA + DECK  PAVER - UND</t>
  </si>
  <si>
    <t>ÁREA DE PISCINA CORRENTE - M2</t>
  </si>
  <si>
    <t>PISCINA INFANTIL -M2</t>
  </si>
  <si>
    <t>PISCINA ADULTO - M2</t>
  </si>
  <si>
    <t>TOTAL - M2</t>
  </si>
  <si>
    <t>CASA DE BOMAS PISCINA CORRENTE</t>
  </si>
  <si>
    <t xml:space="preserve">CASA DE BOMBAS PISCINA (ADULTO + INFANTIL) </t>
  </si>
  <si>
    <t>ALAMBRADO  - Custo baseado em ORÇAMENTO PRELIMINAR MORLAN -  M</t>
  </si>
  <si>
    <t>ARRIMO (MURETA) - Custo baseado em HISTÓRICO DE CUSTO / PADRÃO ATUAL -  VB</t>
  </si>
  <si>
    <t>TOBOÁGUA +  EQUIPAMENTOS - Custo baseado em ORÇAMENTO PRELIMINAR -  - VB</t>
  </si>
  <si>
    <t>ESTIMATIVA DE CUSTO - Calçada faixa 150cm + Limpeza APP Manual + Acabamento</t>
  </si>
  <si>
    <t>Custo baseado em SAFIRA - ESTIMATIVA  - 02 CONJUNTOS DE FILTRAGEM</t>
  </si>
  <si>
    <t>QUIOSQUE + BANHEIROS (5) - M3</t>
  </si>
  <si>
    <t xml:space="preserve">Custo baseado em  - COMPOSIÇÃO DE CUSTO - Passeio em concreto armado pigmentado - </t>
  </si>
  <si>
    <t>PLAYGROUND SUPERPLAY (350M2 DE PISO DE BORRACHA) - VB</t>
  </si>
  <si>
    <t>LIXEIRA MOBILIÁRIO URBANO - VB - VB</t>
  </si>
  <si>
    <t>BANCO MOBILIÁRIO URBANO - VB - VB</t>
  </si>
  <si>
    <t>DUBAI</t>
  </si>
  <si>
    <t>REGIÃO VG</t>
  </si>
  <si>
    <t>FL CHAPADA</t>
  </si>
  <si>
    <t>TORONTO</t>
  </si>
  <si>
    <t>CHICAGO</t>
  </si>
  <si>
    <t>PÉROLA</t>
  </si>
  <si>
    <t>COMPLEXO ADM+ COWORKING + GUARITAS + FITNESS - M2</t>
  </si>
  <si>
    <t>Adicional de cobertura metálica - ORÇAMENTO PRÉVIO AÇOBETT - M2</t>
  </si>
  <si>
    <t xml:space="preserve">GINCO CLUBE </t>
  </si>
  <si>
    <t>ILUMINAÇÃO - FITA DE LED NEON BRANCO - ORÇ PRELIMINAR DIMEL - Em torno do Rio Lento - M</t>
  </si>
  <si>
    <t>CONCRETO PIGMENTADO/ÁREA DE PAVER</t>
  </si>
  <si>
    <t>R03</t>
  </si>
  <si>
    <t>PASSARELA/ PONTE  EM ESTRUTURA DE CONCRETO + ALAMBRADO - ORÇAMENTO PRÉVIO - VB</t>
  </si>
  <si>
    <t>1° FASE</t>
  </si>
  <si>
    <t>2° FASE</t>
  </si>
  <si>
    <t>PERÍMETRO MURO DE FECHAMENTO TRADICIONAL</t>
  </si>
  <si>
    <t>PERÍMETRO MURO DE FECHAMENTO EM PLACAS</t>
  </si>
  <si>
    <t>CAMPO SOCIETY PEQUENO</t>
  </si>
  <si>
    <t xml:space="preserve">CAMPO SOCIETY </t>
  </si>
  <si>
    <t>GINCO PLATINUM INCORPORAÇÕES LTDA</t>
  </si>
  <si>
    <t>Segunda-feira, 19 de julho de 2021</t>
  </si>
  <si>
    <t>Obra: CLUB - GINCO CLUB</t>
  </si>
  <si>
    <t>10 - PAV ESTACIONAMENTO VIA - R02</t>
  </si>
  <si>
    <t>BETUMINOSOS E CONCRETO ARMADO</t>
  </si>
  <si>
    <t>**ÁREA EXTERNA</t>
  </si>
  <si>
    <t>toboagua</t>
  </si>
  <si>
    <t>elefante escorregador</t>
  </si>
  <si>
    <t>02 und bengala</t>
  </si>
  <si>
    <t>Balde</t>
  </si>
  <si>
    <t xml:space="preserve">ducha cogumelo </t>
  </si>
  <si>
    <t>total</t>
  </si>
  <si>
    <t>ETE - LOTES</t>
  </si>
  <si>
    <t>ETA - LOTES</t>
  </si>
  <si>
    <t>EMISSÁRIO DE ESGOTO - CALÇADA - M</t>
  </si>
  <si>
    <t>EMISSÁRIO DE ESGOTO - RUA - M</t>
  </si>
  <si>
    <t>ESTAÇÃO ELEVATÓRIA - CUIABÁ - VB</t>
  </si>
  <si>
    <t>ESTAÇÃO ELEVATÓRIA - VÁRZEA GRANDE - VB</t>
  </si>
  <si>
    <t>DRENAGEM COMPLEMENTAR PROTEÇÃO CHUVAS - VB</t>
  </si>
  <si>
    <t>POÇO ARTESIANO - 150 METROS  - UND</t>
  </si>
  <si>
    <t>REDE DE ESGOTO - TERÇO DA RUA - LOTES</t>
  </si>
  <si>
    <t>REDE DE ESGOTO - CALÇADA - LOTES</t>
  </si>
  <si>
    <t>GALERIA DE ÁGUA PLUVIAIS - REDE EXTERNA  - M (REDE)</t>
  </si>
  <si>
    <t>BUEIRO SIMPLES COM BOCA P/ TRANSPOSIÇÃO DE CÓRREGO - M</t>
  </si>
  <si>
    <t>REDE ELÉTRICA - CAIXAS CP02 - 60X70 C/ TAMPA - LOTES</t>
  </si>
  <si>
    <t>REDE ELÉTRICA - ILUMINAÇÃO APPS  - M</t>
  </si>
  <si>
    <t>MURETA PARA GRADIL + PILAR - M</t>
  </si>
  <si>
    <t>FECHAMENTO EM TELA ELETROSOLDADA - M</t>
  </si>
  <si>
    <t>FECHAMENTO EM CERCA DE ARAME E MOURÕES EM MADEIRA  - M</t>
  </si>
  <si>
    <t>FECHAMENTO EM CERCA DE ARAME E MOURÕES EM CONCRETO  - M</t>
  </si>
  <si>
    <t>ESTAR DESCOBERTO EM PAVER - UND</t>
  </si>
  <si>
    <t>ESTAR DESCOBERTO EM CONCRETO C/ÁRVORE  - UND</t>
  </si>
  <si>
    <t>ESTAR EM CONCRETO C/ PERGOLADO RETO - UND</t>
  </si>
  <si>
    <t>ESTAR EM CONCRETO C/ PERGOLADO EM ARCO  - M</t>
  </si>
  <si>
    <t>PET PARQUE - UND</t>
  </si>
  <si>
    <t>HORTA SEM COBERTURA - UND</t>
  </si>
  <si>
    <t>COBERTURA HORTA - UND</t>
  </si>
  <si>
    <t>FONTE INTERATIVA - 16 SAÍDAS - UND</t>
  </si>
  <si>
    <t>CALÇADAS / PAVER - M2</t>
  </si>
  <si>
    <t>CALÇADAS/ FEIRA EM CONCRETO ARMADO  - M2</t>
  </si>
  <si>
    <t>CALÇADAS/ ACESSO DEPÓSITO DE LIXO - ACESSO  - M2</t>
  </si>
  <si>
    <t>ESTAÇÃO DE GINÁSTICA EM PAVER COMUM  - UND</t>
  </si>
  <si>
    <t>PONTO DE ÔNIBUS - UND</t>
  </si>
  <si>
    <t>BAIA P/ PONTO DE ÔNIBUS EM CONCRETO ARMADO - M2</t>
  </si>
  <si>
    <t>ESTAÇÃO DE GINÁSTICA EM PAVER C/ PERGOLADO EM ARCO - 10 M - UND</t>
  </si>
  <si>
    <t>CAMPO DE FUTEBOL PEQUENO - 720M² - UND</t>
  </si>
  <si>
    <t>16 de Agosto de 2021</t>
  </si>
  <si>
    <t>HAPROJET - ANÁLISE DE PROJETOS - VB</t>
  </si>
  <si>
    <t>CONVIVIO SOCIAL - MÊS</t>
  </si>
  <si>
    <t>ESTIMATIVA DE CUSTO</t>
  </si>
  <si>
    <t xml:space="preserve">AUDITORIA EXTERNA </t>
  </si>
  <si>
    <t>ENTREGA ANTECIPADA</t>
  </si>
  <si>
    <t>ANALISTA DE PROJETO E FISCALIZAÇÃO DE OBRA - LOTES</t>
  </si>
  <si>
    <t>SEGURANÇA ARMADA - MÊS</t>
  </si>
  <si>
    <t>INDIRETOS</t>
  </si>
  <si>
    <t>PORTARIA - CONTROLE DE ACESSO - MÊS</t>
  </si>
  <si>
    <t>TERRAPLENAGEM GERAL - M2</t>
  </si>
  <si>
    <t>CALÇADAS / CONCRETO PIGMENTADO S/ ARMAÇÃO -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</si>
</sst>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R$&quot;#,##0.00"/>
    <numFmt numFmtId="167" formatCode="_-&quot;R$ &quot;* #,##0.00_-;&quot;-R$ &quot;* #,##0.00_-;_-&quot;R$ &quot;* \-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4" fontId="8" fillId="0" borderId="0" applyFont="0" applyFill="0" applyBorder="0" applyAlignment="0" applyProtection="0"/>
    <xf numFmtId="167" fontId="19" fillId="0" borderId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2" fillId="6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4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5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4" fontId="9" fillId="0" borderId="0" xfId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4" fontId="7" fillId="0" borderId="0" xfId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8" borderId="6" xfId="0" applyFont="1" applyFill="1" applyBorder="1" applyAlignment="1">
      <alignment horizontal="center"/>
    </xf>
    <xf numFmtId="2" fontId="18" fillId="8" borderId="1" xfId="0" applyNumberFormat="1" applyFont="1" applyFill="1" applyBorder="1" applyAlignment="1">
      <alignment horizontal="center"/>
    </xf>
    <xf numFmtId="44" fontId="18" fillId="8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9" fontId="0" fillId="0" borderId="0" xfId="0" applyNumberFormat="1" applyAlignment="1">
      <alignment horizontal="center"/>
    </xf>
    <xf numFmtId="0" fontId="0" fillId="10" borderId="2" xfId="0" applyFill="1" applyBorder="1" applyAlignment="1"/>
    <xf numFmtId="0" fontId="0" fillId="10" borderId="3" xfId="0" applyFill="1" applyBorder="1" applyAlignment="1">
      <alignment horizontal="right"/>
    </xf>
    <xf numFmtId="2" fontId="0" fillId="0" borderId="3" xfId="0" applyNumberFormat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5" xfId="0" applyFill="1" applyBorder="1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left"/>
    </xf>
    <xf numFmtId="2" fontId="7" fillId="0" borderId="0" xfId="0" applyNumberFormat="1" applyFont="1" applyFill="1" applyAlignment="1">
      <alignment horizontal="left" vertical="center"/>
    </xf>
    <xf numFmtId="44" fontId="9" fillId="0" borderId="0" xfId="1" applyFont="1" applyFill="1" applyAlignment="1">
      <alignment horizontal="center" vertical="center"/>
    </xf>
    <xf numFmtId="44" fontId="7" fillId="0" borderId="0" xfId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44" fontId="1" fillId="0" borderId="0" xfId="0" applyNumberFormat="1" applyFont="1" applyFill="1" applyAlignment="1">
      <alignment horizontal="left" vertical="center" wrapText="1"/>
    </xf>
    <xf numFmtId="44" fontId="10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/>
    <xf numFmtId="164" fontId="1" fillId="11" borderId="0" xfId="0" applyNumberFormat="1" applyFont="1" applyFill="1"/>
    <xf numFmtId="164" fontId="1" fillId="11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7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4" fontId="7" fillId="0" borderId="0" xfId="0" applyNumberFormat="1" applyFont="1" applyFill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4" fontId="4" fillId="11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164" fontId="1" fillId="4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Fill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4" fontId="9" fillId="0" borderId="0" xfId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4" fontId="7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4" fontId="6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4" fontId="15" fillId="0" borderId="3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5" fontId="6" fillId="0" borderId="0" xfId="0" applyNumberFormat="1" applyFont="1" applyFill="1" applyAlignment="1">
      <alignment horizontal="center" vertical="center"/>
    </xf>
    <xf numFmtId="44" fontId="1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7" fillId="0" borderId="9" xfId="1" applyFont="1" applyFill="1" applyBorder="1" applyAlignment="1">
      <alignment vertical="center" wrapText="1"/>
    </xf>
    <xf numFmtId="44" fontId="1" fillId="0" borderId="0" xfId="1" applyFont="1" applyAlignment="1">
      <alignment horizontal="center" vertical="center"/>
    </xf>
    <xf numFmtId="44" fontId="1" fillId="0" borderId="0" xfId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9" fontId="1" fillId="0" borderId="0" xfId="8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0" fillId="0" borderId="0" xfId="1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12" fillId="7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vertical="center" wrapText="1"/>
    </xf>
    <xf numFmtId="4" fontId="1" fillId="13" borderId="1" xfId="0" applyNumberFormat="1" applyFont="1" applyFill="1" applyBorder="1" applyAlignment="1">
      <alignment horizontal="center" vertical="center"/>
    </xf>
    <xf numFmtId="165" fontId="7" fillId="13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4" fontId="7" fillId="13" borderId="1" xfId="0" applyNumberFormat="1" applyFont="1" applyFill="1" applyBorder="1" applyAlignment="1">
      <alignment horizontal="center" vertical="center"/>
    </xf>
    <xf numFmtId="165" fontId="1" fillId="13" borderId="1" xfId="0" applyNumberFormat="1" applyFont="1" applyFill="1" applyBorder="1" applyAlignment="1">
      <alignment horizontal="center" vertical="center"/>
    </xf>
    <xf numFmtId="164" fontId="7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vertical="center"/>
    </xf>
    <xf numFmtId="164" fontId="7" fillId="13" borderId="1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4" fontId="12" fillId="11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44" fontId="7" fillId="0" borderId="1" xfId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44" fontId="7" fillId="14" borderId="0" xfId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4" fontId="7" fillId="0" borderId="0" xfId="1" applyFont="1" applyFill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166" fontId="2" fillId="0" borderId="0" xfId="0" applyNumberFormat="1" applyFont="1" applyFill="1" applyAlignment="1">
      <alignment horizontal="left"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vertical="center"/>
    </xf>
    <xf numFmtId="4" fontId="2" fillId="15" borderId="1" xfId="0" applyNumberFormat="1" applyFont="1" applyFill="1" applyBorder="1" applyAlignment="1">
      <alignment horizontal="center" vertical="center"/>
    </xf>
    <xf numFmtId="165" fontId="2" fillId="15" borderId="1" xfId="0" applyNumberFormat="1" applyFont="1" applyFill="1" applyBorder="1" applyAlignment="1">
      <alignment horizontal="center" vertical="center"/>
    </xf>
    <xf numFmtId="164" fontId="2" fillId="15" borderId="1" xfId="0" applyNumberFormat="1" applyFont="1" applyFill="1" applyBorder="1" applyAlignment="1">
      <alignment horizontal="center" vertical="center"/>
    </xf>
    <xf numFmtId="44" fontId="17" fillId="0" borderId="0" xfId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1" fillId="1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wrapText="1"/>
    </xf>
    <xf numFmtId="0" fontId="7" fillId="13" borderId="6" xfId="0" applyFont="1" applyFill="1" applyBorder="1" applyAlignment="1">
      <alignment horizontal="left" vertical="center"/>
    </xf>
    <xf numFmtId="0" fontId="7" fillId="13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11" borderId="6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</cellXfs>
  <cellStyles count="11">
    <cellStyle name="Moeda" xfId="1" builtinId="4"/>
    <cellStyle name="Moeda 2" xfId="2"/>
    <cellStyle name="Moeda 3" xfId="7"/>
    <cellStyle name="Moeda 4" xfId="6"/>
    <cellStyle name="Moeda 5" xfId="9"/>
    <cellStyle name="Normal" xfId="0" builtinId="0"/>
    <cellStyle name="Normal 2" xfId="4"/>
    <cellStyle name="Porcentagem" xfId="8" builtinId="5"/>
    <cellStyle name="Separador de milhares 2" xfId="3"/>
    <cellStyle name="Separador de milhares 2 2" xfId="10"/>
    <cellStyle name="Vírgula 2" xfId="5"/>
  </cellStyles>
  <dxfs count="8">
    <dxf>
      <alignment horizontal="center" readingOrder="0"/>
    </dxf>
    <dxf>
      <alignment horizontal="center" readingOrder="0"/>
    </dxf>
    <dxf>
      <numFmt numFmtId="165" formatCode="&quot;R$&quot;\ #,##0.00"/>
    </dxf>
    <dxf>
      <numFmt numFmtId="165" formatCode="&quot;R$&quot;\ #,##0.00"/>
    </dxf>
    <dxf>
      <alignment horizontal="center" readingOrder="0"/>
    </dxf>
    <dxf>
      <alignment horizontal="center" readingOrder="0"/>
    </dxf>
    <dxf>
      <numFmt numFmtId="165" formatCode="&quot;R$&quot;\ #,##0.00"/>
    </dxf>
    <dxf>
      <numFmt numFmtId="165" formatCode="&quot;R$&quot;\ #,##0.00"/>
    </dxf>
  </dxfs>
  <tableStyles count="0" defaultTableStyle="TableStyleMedium2" defaultPivotStyle="PivotStyleLight16"/>
  <colors>
    <mruColors>
      <color rgb="FFF8D8C4"/>
      <color rgb="FFFFFF66"/>
      <color rgb="FFF1F9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590551</xdr:colOff>
      <xdr:row>31</xdr:row>
      <xdr:rowOff>28575</xdr:rowOff>
    </xdr:from>
    <xdr:ext cx="7729511" cy="3857625"/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5962650"/>
          <a:ext cx="7729511" cy="3857625"/>
        </a:xfrm>
        <a:prstGeom prst="rect">
          <a:avLst/>
        </a:prstGeom>
      </xdr:spPr>
    </xdr:pic>
    <xdr:clientData/>
  </xdr:oneCellAnchor>
  <xdr:oneCellAnchor>
    <xdr:from>
      <xdr:col>1</xdr:col>
      <xdr:colOff>1</xdr:colOff>
      <xdr:row>9</xdr:row>
      <xdr:rowOff>1</xdr:rowOff>
    </xdr:from>
    <xdr:ext cx="7720626" cy="4114800"/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1" y="1724026"/>
          <a:ext cx="7720626" cy="4114800"/>
        </a:xfrm>
        <a:prstGeom prst="rect">
          <a:avLst/>
        </a:prstGeom>
      </xdr:spPr>
    </xdr:pic>
    <xdr:clientData/>
  </xdr:oneCellAnchor>
  <xdr:oneCellAnchor>
    <xdr:from>
      <xdr:col>0</xdr:col>
      <xdr:colOff>590551</xdr:colOff>
      <xdr:row>31</xdr:row>
      <xdr:rowOff>28575</xdr:rowOff>
    </xdr:from>
    <xdr:ext cx="7729511" cy="3857625"/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5962650"/>
          <a:ext cx="7729511" cy="3857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216959</xdr:colOff>
      <xdr:row>1</xdr:row>
      <xdr:rowOff>117474</xdr:rowOff>
    </xdr:from>
    <xdr:to>
      <xdr:col>1</xdr:col>
      <xdr:colOff>1302809</xdr:colOff>
      <xdr:row>1</xdr:row>
      <xdr:rowOff>384175</xdr:rowOff>
    </xdr:to>
    <xdr:pic>
      <xdr:nvPicPr>
        <xdr:cNvPr id="2" name="Imagem 1" descr="Logo Ginco">
          <a:extLst>
            <a:ext uri="{FF2B5EF4-FFF2-40B4-BE49-F238E27FC236}">
              <a16:creationId xmlns:a16="http://schemas.microsoft.com/office/drawing/2014/main" xmlns="" id="{FBEC95DD-F7A0-46A0-881A-56686D3CCF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4" y="336549"/>
          <a:ext cx="1085850" cy="266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216959</xdr:colOff>
      <xdr:row>1</xdr:row>
      <xdr:rowOff>117474</xdr:rowOff>
    </xdr:from>
    <xdr:to>
      <xdr:col>1</xdr:col>
      <xdr:colOff>1302809</xdr:colOff>
      <xdr:row>1</xdr:row>
      <xdr:rowOff>384175</xdr:rowOff>
    </xdr:to>
    <xdr:pic>
      <xdr:nvPicPr>
        <xdr:cNvPr id="2" name="Imagem 1" descr="Logo Ginc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6" y="350307"/>
          <a:ext cx="1085850" cy="266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5%20-%20ENGENHARIA\PLANEJAMENTO%20DE%20OBRAS%20GINCO\01-OR&#199;AMENTO%20DE%20OBRAS\COMPLEXO%20RESIDENCIAIS%20VG%20-%20SEVILHA\02.%20Viabilidade\R10%20-%20atualizada\0042-RES-02-MAD-R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índices"/>
      <sheetName val="base_dados_proj"/>
      <sheetName val="Pavimentação externa"/>
      <sheetName val="Pavimentação interna"/>
      <sheetName val="APRESENTAÇÃO"/>
      <sheetName val="RATEIO EEE"/>
      <sheetName val="RATEIO ENERGIA"/>
    </sheetNames>
    <sheetDataSet>
      <sheetData sheetId="0"/>
      <sheetData sheetId="1">
        <row r="10">
          <cell r="C10">
            <v>3</v>
          </cell>
        </row>
      </sheetData>
      <sheetData sheetId="2" refreshError="1"/>
      <sheetData sheetId="3" refreshError="1"/>
      <sheetData sheetId="4">
        <row r="6">
          <cell r="F6">
            <v>17852842.111730542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ane Gama" refreshedDate="44247.737619328705" createdVersion="5" refreshedVersion="5" minRefreshableVersion="3" recordCount="17">
  <cacheSource type="external" connectionId="7"/>
  <cacheFields count="2">
    <cacheField name="EMPREENDIMENTO" numFmtId="0">
      <sharedItems count="17">
        <s v="PADRÃO ATUAL"/>
        <s v="VILLA JD "/>
        <s v="FLORAIS DA MATA"/>
        <s v="FLORAIS ITÁLIA"/>
        <s v="SUPREMO ITÁLIA"/>
        <s v="PRIMOR DAS TORRES"/>
        <s v="BELVEDERE II "/>
        <s v="FLORAIS DO PARQUE"/>
        <s v="FLORAIS SAFIRA"/>
        <s v="FLORAIS ESMERALDA"/>
        <s v="AV. JUAREZ"/>
        <s v="DUBAI"/>
        <s v="REGIÃO VG"/>
        <s v="FL CHAPADA"/>
        <s v="TORONTO"/>
        <s v="CHICAGO"/>
        <s v="PÉROLA"/>
      </sharedItems>
    </cacheField>
    <cacheField name="COLUNA" numFmtId="0">
      <sharedItems containsSemiMixedTypes="0" containsString="0" containsNumber="1" containsInteger="1" minValue="2" maxValue="18" count="17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yane Gama" refreshedDate="44427.434940624997" backgroundQuery="1" createdVersion="7" refreshedVersion="7" minRefreshableVersion="3" recordCount="115">
  <cacheSource type="external" connectionId="6"/>
  <cacheFields count="37">
    <cacheField name="SERVIÇO" numFmtId="0">
      <sharedItems/>
    </cacheField>
    <cacheField name="UNIDADE" numFmtId="0">
      <sharedItems count="13">
        <s v="MÊS"/>
        <s v="VB"/>
        <s v="LOTES"/>
        <s v="M"/>
        <s v="M2"/>
        <s v="M2 (PAVIMENTO)"/>
        <s v="UND"/>
        <s v="M2 (PAV)"/>
        <s v="M (REDE)"/>
        <s v="M (MEIO FIO)"/>
        <s v="LIG. DOM."/>
        <s v="M (BLOCOS)"/>
        <s v="M (PLACAS)"/>
      </sharedItems>
    </cacheField>
    <cacheField name="NOME" numFmtId="0">
      <sharedItems count="115">
        <s v="ENERGIA ELÉTRICA - MÊS"/>
        <s v="INTERNET - MÊS"/>
        <s v="CONTÊINER ESCRITÓRIO - MÊS"/>
        <s v="BANHEIRO - VB"/>
        <s v="INSTALAÇÕES PROVISÓRIAS - VB"/>
        <s v="MATERIAL DE CONSUMO - MÊS"/>
        <s v="ALIMENTAÇÃO - MÊS"/>
        <s v="VEÍCULOS (COMBUSTÍVEL + MANUTENÇÃO) - MÊS"/>
        <s v="SEGURANÇA (12 HORAS) - MÊS"/>
        <s v="SEGURANÇA (24 HORAS) - MÊS"/>
        <s v="SERVIÇO TOPOGRÁFICO  - MÊS"/>
        <s v="PLOTAGENS E CÓPIAS - VB"/>
        <s v="MATERIAL DE ESCRITÓRIO - VB"/>
        <s v="SEGURANÇA DO TRABALHO - VB"/>
        <s v="RATEIO SISTEMA DE ABASTECIMENTO - LOTES"/>
        <s v="RATEIO SISTEMA DE SANEAMENTO  - LOTES"/>
        <s v="ETE - VB"/>
        <s v="ETE - LOTES"/>
        <s v="ETA - LOTES"/>
        <s v="EMISSÁRIO DE ESGOTO - CALÇADA - M"/>
        <s v="EMISSÁRIO DE ESGOTO - RUA - M"/>
        <s v="ADUTORA DE ÁGUA - M"/>
        <s v="ESTAÇÃO ELEVATÓRIA - CUIABÁ - VB"/>
        <s v="ESTAÇÃO ELEVATÓRIA - VÁRZEA GRANDE - VB"/>
        <s v="LIMPEZA INICIAL DA ÁREA - M2"/>
        <s v="LIMPEZA PERIÓDICA DAS RUAS (PIPA + SERVENTE) - M2 (PAVIMENTO)"/>
        <s v="DRENAGEM COMPLEMENTAR PROTEÇÃO CHUVAS - VB"/>
        <s v="RESERVATÓRIO - UND"/>
        <s v="POÇO ARTESIANO - 150 METROS  - UND"/>
        <s v="TERRAPLENAGEM GERAL - M2"/>
        <s v="TERRAPLENAGEM GERAL - NÍVEL I - M2"/>
        <s v="TERRAPLENAGEM GERAL - NÍVEL II - M2"/>
        <s v="TERRAPLENAGEM GERAL - NÍVEL III - M2"/>
        <s v="CONTROLE TECNOLOGICO - MÊS"/>
        <s v="SINALIZAÇÃO HORIZONTAL E VERTICAL - INTERNO - M2 (PAV)"/>
        <s v="SINALIZAÇÃO HORIZONTAL E VERTICAL - INTERNO - VB"/>
        <s v="MEIO FIO (+ 5%) - M"/>
        <s v="DRENO DE PAVIMENTO - M"/>
        <s v="REDE DE ÁGUA - M (REDE)"/>
        <s v="REDE DE ÁGUA - M (MEIO FIO)"/>
        <s v="REDE DE ÁGUA - LIG. DOM."/>
        <s v="REDE DE ESGOTO - TERÇO DA RUA - LOTES"/>
        <s v="REDE DE ESGOTO - CALÇADA - LOTES"/>
        <s v="REDE DE ESGOTO - M (REDE)"/>
        <s v="REDE DE ESGOTO - M (MEIO FIO)"/>
        <s v="GALERIA DE ÁGUAS PLUVIAIS - M2"/>
        <s v="GALERIA DE ÁGUAS PLUVIAIS - NÍVEL II  - M2 (PAVIMENTO)"/>
        <s v="GALERIA DE ÁGUAS PLUVIAIS - NÍVEL I - M2 (PAVIMENTO)"/>
        <s v="GALERIA DE ÁGUA PLUVIAIS - REDE EXTERNA  - M (REDE)"/>
        <s v="BUEIRO SIMPLES COM BOCA P/ TRANSPOSIÇÃO DE CÓRREGO - M"/>
        <s v="REDE ELÉTRICA - M2 (PAVIMENTO)"/>
        <s v="REDE ELÉTRICA - TRAVESSIAS - LOTES"/>
        <s v="REDE ELÉTRICA - CAIXAS CP02 - 60X70 C/ TAMPA - LOTES"/>
        <s v="VIGA BENKELMAN  - VB"/>
        <s v="VIGA BENKELMAN  - M2 (PAVIMENTO)"/>
        <s v="REDE ELÉTRICA - ILUMINAÇÃO APPS  - M"/>
        <s v="REDE ELÉTRICA - ILUMINAÇÃO DE AVENIDAS - M"/>
        <s v="MURO DE FECHAMENTO - M (BLOCOS)"/>
        <s v="MURO DE FECHAMENTO - M (PLACAS)"/>
        <s v="MURETA PARA GRADIL + PILAR - M"/>
        <s v="GRADIL  - M2"/>
        <s v="FECHAMENTO EM TELA ELETROSOLDADA - M"/>
        <s v="FECHAMENTO EM CERCA DE ARAME E MOURÕES EM MADEIRA  - M"/>
        <s v="FECHAMENTO EM CERCA DE ARAME E MOURÕES EM CONCRETO  - M"/>
        <s v="CONTROLE DE ACESSO SIMPLES - VB"/>
        <s v="CONTROLE DE ACESSO DUPLO - VB"/>
        <s v="SEGURANÇA - INFRAESTRUTURA - M"/>
        <s v="CONCERTINA - M"/>
        <s v="PISO TÁTIL - M"/>
        <s v="REDE + CERCA - M"/>
        <s v="GRAMA ESMERALDA - M2"/>
        <s v="CAPIM - M2"/>
        <s v="PAISAGISMO - GERAL - M2"/>
        <s v="MANUTENÇÃO DAS ÁREAS VERDES - M2"/>
        <s v="ESTAR DESCOBERTO EM PAVER - UND"/>
        <s v="ESTAR DESCOBERTO EM CONCRETO C/ÁRVORE  - UND"/>
        <s v="ESTAR EM CONCRETO C/ PERGOLADO RETO - UND"/>
        <s v="ESTAR EM CONCRETO C/ PERGOLADO EM ARCO  - M"/>
        <s v="BICICLETÁRIO - M"/>
        <s v="PET PARQUE - UND"/>
        <s v="HORTA SEM COBERTURA - UND"/>
        <s v="COBERTURA HORTA - UND"/>
        <s v="FONTE INTERATIVA - 16 SAÍDAS - UND"/>
        <s v="CALÇADAS / PAVER - M2"/>
        <s v="CALÇADAS / PISTA DE COOPER - M2"/>
        <s v="CALÇADAS/ FEIRA EM CONCRETO ARMADO  - M2"/>
        <s v="CALÇADAS / CONCRETO PIGMENTADO S/ ARMAÇÃO - M2"/>
        <s v="CALÇADAS/ ACESSO DEPÓSITO DE LIXO - ACESSO  - M2"/>
        <s v="PLAYGROUND SUPERPLAY (350M2 DE PISO DE BORRACHA) - VB"/>
        <s v="PLAYGROUND CONVENCIONAL - VB"/>
        <s v="LIXEIRA MOBILIÁRIO URBANO - VB - VB"/>
        <s v="BANCO MOBILIÁRIO URBANO - VB - VB"/>
        <s v="ESTAÇÃO DE GINÁSTICA EM PAVER COMUM  - UND"/>
        <s v="PONTO DE ÔNIBUS - UND"/>
        <s v="BAIA P/ PONTO DE ÔNIBUS EM CONCRETO ARMADO - M2"/>
        <s v="ESTAÇÃO DE GINÁSTICA EM PAVER C/ PERGOLADO EM ARCO - 10 M - UND"/>
        <s v="CAMPO SOCIETY - UND"/>
        <s v="CAMPO DE FUTEBOL PEQUENO - 720M² - UND"/>
        <s v="QUADRA POLIESPORTIVA - UND"/>
        <s v="QUADRA DE TENIS - UND"/>
        <s v="QUADRA DE AREIA - UND"/>
        <s v="ELETRICA E SPDA CAMPOS E QUADRAS - UND"/>
        <s v="ARQUIBANCADA - UND"/>
        <s v="ESPELHO D'ÁGUA - M2"/>
        <s v="ATI - UND"/>
        <s v="BANCO DE CONCRETO - UND"/>
        <s v="DRENAGEM COMPLEMENTAR - MURO NÍVEL II - VB"/>
        <s v="DRENAGEM COMPLEMENTAR - MURO NÍVEL I - VB"/>
        <s v="DRENAGEM COMPLEMENTAR - GERAL - VB"/>
        <s v="LIMPEZA GERAL PARA ENTREGA DE OBRA  - VB"/>
        <s v="MARCO DOS LOTES - LOTES"/>
        <s v="SEGURANÇA -PÓS OBRA - MÊS"/>
        <s v="MANUTENÇÃO CAMPOS E QUADRAS - MÊS"/>
        <s v="MANUTENÇÃO PAISAGISMO - MÊS"/>
        <s v="LIMPEZA PARA ENTREGA DEFINITIVA - RETOQUES - VB"/>
      </sharedItems>
    </cacheField>
    <cacheField name="PADRÃO (ATUAL)" numFmtId="0">
      <sharedItems containsString="0" containsBlank="1" containsNumber="1" minValue="0.46889999999999998" maxValue="990717.14769999997"/>
    </cacheField>
    <cacheField name="VILLA JARDIM" numFmtId="0">
      <sharedItems containsString="0" containsBlank="1" containsNumber="1" minValue="0" maxValue="448784.68" count="5">
        <m/>
        <n v="904.79600000000005"/>
        <n v="286.27510000000001"/>
        <n v="448784.68"/>
        <n v="0"/>
      </sharedItems>
    </cacheField>
    <cacheField name="FL DA MATA" numFmtId="0">
      <sharedItems containsString="0" containsBlank="1" containsNumber="1" minValue="0" maxValue="151475.62849999999" count="16">
        <m/>
        <n v="0"/>
        <n v="8.5052000000000003"/>
        <n v="68.745599999999996"/>
        <n v="40.7455"/>
        <n v="2221.4677000000001"/>
        <n v="118.3291"/>
        <n v="71.642300000000006"/>
        <n v="6.5590000000000002"/>
        <n v="72.053200000000004"/>
        <n v="32.546199999999999"/>
        <n v="151475.62849999999"/>
        <n v="121.15219999999999"/>
        <n v="0.72550000000000003"/>
        <n v="1.0458000000000001"/>
        <n v="378.66160000000002"/>
      </sharedItems>
    </cacheField>
    <cacheField name="FL ITALIA" numFmtId="0">
      <sharedItems containsString="0" containsBlank="1" containsNumber="1" minValue="0" maxValue="1419452.0966" count="26">
        <m/>
        <n v="1419452.0966"/>
        <n v="0"/>
        <n v="314.72899999999998"/>
        <n v="1.9081999999999999"/>
        <n v="0.72"/>
        <n v="112434.0808"/>
        <n v="5.0438000000000001"/>
        <n v="1.5643"/>
        <n v="82515.334099999993"/>
        <n v="70.119100000000003"/>
        <n v="45.7971"/>
        <n v="2014.9455"/>
        <n v="94.607600000000005"/>
        <n v="58.1648"/>
        <n v="9.5173000000000005"/>
        <n v="80.933599999999998"/>
        <n v="29.602"/>
        <n v="924.08699999999999"/>
        <n v="120005.13"/>
        <n v="1.4831000000000001"/>
        <n v="0.83099999999999996"/>
        <n v="39136.0743"/>
        <n v="103369.8931"/>
        <n v="124122.53660000001"/>
        <n v="66.889499999999998"/>
      </sharedItems>
    </cacheField>
    <cacheField name="SUPREMO ITALIA" numFmtId="0">
      <sharedItems containsString="0" containsBlank="1" containsNumber="1" minValue="0" maxValue="963851.20550000004"/>
    </cacheField>
    <cacheField name="PRIMOR" numFmtId="0">
      <sharedItems containsString="0" containsBlank="1" containsNumber="1" minValue="0" maxValue="890533.05810000002"/>
    </cacheField>
    <cacheField name="BELVEDERE II" numFmtId="0">
      <sharedItems containsString="0" containsBlank="1" containsNumber="1" minValue="0" maxValue="1013282.4023"/>
    </cacheField>
    <cacheField name="FL PARQUE" numFmtId="0">
      <sharedItems containsString="0" containsBlank="1" containsNumber="1" minValue="0" maxValue="264380.63"/>
    </cacheField>
    <cacheField name="SAFIRA" numFmtId="0">
      <sharedItems containsString="0" containsBlank="1" containsNumber="1" minValue="0" maxValue="395.09100000000001" count="7">
        <m/>
        <n v="0"/>
        <n v="1.2438"/>
        <n v="9.7203999999999997"/>
        <n v="6.907"/>
        <n v="72.223100000000002"/>
        <n v="395.09100000000001"/>
      </sharedItems>
    </cacheField>
    <cacheField name="ESMERALDA" numFmtId="0">
      <sharedItems containsString="0" containsBlank="1" containsNumber="1" minValue="0" maxValue="4.6909000000000001" count="4">
        <m/>
        <n v="0"/>
        <n v="1.2927"/>
        <n v="4.6909000000000001"/>
      </sharedItems>
    </cacheField>
    <cacheField name="AV# JUAREZ" numFmtId="0">
      <sharedItems containsString="0" containsBlank="1" containsNumber="1" minValue="0" maxValue="167566" count="7">
        <m/>
        <n v="0"/>
        <n v="3.4670999999999998"/>
        <n v="167566"/>
        <n v="50.519399999999997"/>
        <n v="56.951900000000002"/>
        <n v="1083.0071"/>
      </sharedItems>
    </cacheField>
    <cacheField name="DUBAI" numFmtId="0">
      <sharedItems containsString="0" containsBlank="1" containsNumber="1" minValue="0" maxValue="92681.78" count="10">
        <m/>
        <n v="0"/>
        <n v="1.5590999999999999"/>
        <n v="3.3685999999999998"/>
        <n v="14.769600000000001"/>
        <n v="47.251899999999999"/>
        <n v="1.9397"/>
        <n v="88147.896999999997"/>
        <n v="92681.78"/>
        <n v="65729.08"/>
      </sharedItems>
    </cacheField>
    <cacheField name="REGIÃO VG" numFmtId="0">
      <sharedItems containsString="0" containsBlank="1" containsNumber="1" minValue="0" maxValue="1095201.9251000001" count="10">
        <m/>
        <n v="1314.9724000000001"/>
        <n v="2163.0621999999998"/>
        <n v="1095201.9251000001"/>
        <n v="1200.6575"/>
        <n v="929.33330000000001"/>
        <n v="213.82859999999999"/>
        <n v="202.45840000000001"/>
        <n v="422366.17"/>
        <n v="0"/>
      </sharedItems>
    </cacheField>
    <cacheField name="FL CHAPADA" numFmtId="0">
      <sharedItems containsString="0" containsBlank="1" containsNumber="1" minValue="0" maxValue="1899.8912" count="13">
        <m/>
        <n v="0"/>
        <n v="145.4804"/>
        <n v="0.61680000000000001"/>
        <n v="87"/>
        <n v="72.400000000000006"/>
        <n v="68.210099999999997"/>
        <n v="45.921599999999998"/>
        <n v="1899.8912"/>
        <n v="148.2389"/>
        <n v="83.298299999999998"/>
        <n v="217.5532"/>
        <n v="792.32889999999998"/>
      </sharedItems>
    </cacheField>
    <cacheField name=" TORONTO" numFmtId="0">
      <sharedItems containsString="0" containsBlank="1" containsNumber="1" minValue="0" maxValue="3.8418000000000001" count="4">
        <m/>
        <n v="0"/>
        <n v="2.0451000000000001"/>
        <n v="3.8418000000000001"/>
      </sharedItems>
    </cacheField>
    <cacheField name="CHICAGO" numFmtId="0">
      <sharedItems containsString="0" containsBlank="1" containsNumber="1" containsInteger="1" minValue="0" maxValue="0" count="2">
        <m/>
        <n v="0"/>
      </sharedItems>
    </cacheField>
    <cacheField name="PÉROLA" numFmtId="0">
      <sharedItems containsString="0" containsBlank="1" containsNumber="1" containsInteger="1" minValue="0" maxValue="0" count="2">
        <m/>
        <n v="0"/>
      </sharedItems>
    </cacheField>
    <cacheField name="F21" numFmtId="0">
      <sharedItems containsString="0" containsBlank="1" count="1">
        <m/>
      </sharedItems>
    </cacheField>
    <cacheField name="xVILLA JARDIM" numFmtId="0">
      <sharedItems containsString="0" containsBlank="1" containsNumber="1" minValue="0" maxValue="448784.68" count="5">
        <n v="0"/>
        <n v="904.79600000000005"/>
        <m/>
        <n v="286.27510000000001"/>
        <n v="448784.68"/>
      </sharedItems>
    </cacheField>
    <cacheField name="xFL DA MATA" numFmtId="0">
      <sharedItems containsString="0" containsBlank="1" containsNumber="1" minValue="0" maxValue="151475.62849999999" count="16">
        <n v="0"/>
        <m/>
        <n v="8.5052000000000003"/>
        <n v="68.745599999999996"/>
        <n v="40.7455"/>
        <n v="2221.4677000000001"/>
        <n v="118.3291"/>
        <n v="71.642300000000006"/>
        <n v="6.5590000000000002"/>
        <n v="72.053200000000004"/>
        <n v="32.546199999999999"/>
        <n v="151475.62849999999"/>
        <n v="121.15219999999999"/>
        <n v="0.72550000000000003"/>
        <n v="1.0458000000000001"/>
        <n v="378.66160000000002"/>
      </sharedItems>
    </cacheField>
    <cacheField name="xFL ITALIA" numFmtId="0">
      <sharedItems containsString="0" containsBlank="1" containsNumber="1" minValue="0" maxValue="1419452.0966" count="26">
        <n v="0"/>
        <n v="1419452.0966"/>
        <m/>
        <n v="314.72899999999998"/>
        <n v="1.9081999999999999"/>
        <n v="0.72"/>
        <n v="112434.0808"/>
        <n v="5.0438000000000001"/>
        <n v="1.5643"/>
        <n v="82515.334099999993"/>
        <n v="70.119100000000003"/>
        <n v="45.7971"/>
        <n v="2014.9455"/>
        <n v="94.607600000000005"/>
        <n v="58.1648"/>
        <n v="9.5173000000000005"/>
        <n v="80.933599999999998"/>
        <n v="29.602"/>
        <n v="924.08699999999999"/>
        <n v="120005.13"/>
        <n v="1.4831000000000001"/>
        <n v="0.83099999999999996"/>
        <n v="39136.0743"/>
        <n v="103369.8931"/>
        <n v="124122.53660000001"/>
        <n v="66.889499999999998"/>
      </sharedItems>
    </cacheField>
    <cacheField name="xSUPREMO ITALIA" numFmtId="0">
      <sharedItems containsString="0" containsBlank="1" containsNumber="1" minValue="0" maxValue="963851.20550000004"/>
    </cacheField>
    <cacheField name="xPRIMOR" numFmtId="0">
      <sharedItems containsString="0" containsBlank="1" containsNumber="1" minValue="0" maxValue="890533.05810000002"/>
    </cacheField>
    <cacheField name="xBELVEDERE II" numFmtId="0">
      <sharedItems containsString="0" containsBlank="1" containsNumber="1" minValue="0" maxValue="1013282.4023"/>
    </cacheField>
    <cacheField name="xFL PARQUE" numFmtId="0">
      <sharedItems containsString="0" containsBlank="1" containsNumber="1" minValue="0" maxValue="264380.63"/>
    </cacheField>
    <cacheField name="xSAFIRA" numFmtId="0">
      <sharedItems containsString="0" containsBlank="1" containsNumber="1" minValue="0" maxValue="395.09100000000001" count="7">
        <n v="0"/>
        <m/>
        <n v="1.2438"/>
        <n v="9.7203999999999997"/>
        <n v="6.907"/>
        <n v="72.223100000000002"/>
        <n v="395.09100000000001"/>
      </sharedItems>
    </cacheField>
    <cacheField name="xESMERALDA" numFmtId="0">
      <sharedItems containsString="0" containsBlank="1" containsNumber="1" minValue="0" maxValue="4.6909000000000001" count="4">
        <n v="0"/>
        <m/>
        <n v="1.2927"/>
        <n v="4.6909000000000001"/>
      </sharedItems>
    </cacheField>
    <cacheField name="xAV# JUAREZ" numFmtId="0">
      <sharedItems containsString="0" containsBlank="1" containsNumber="1" minValue="0" maxValue="167566" count="7">
        <n v="0"/>
        <m/>
        <n v="3.4670999999999998"/>
        <n v="167566"/>
        <n v="50.519399999999997"/>
        <n v="56.951900000000002"/>
        <n v="1083.0071"/>
      </sharedItems>
    </cacheField>
    <cacheField name="xDUBAI" numFmtId="0">
      <sharedItems containsString="0" containsBlank="1" containsNumber="1" minValue="0" maxValue="88147.896999999997" count="8">
        <n v="0"/>
        <m/>
        <n v="1.5590999999999999"/>
        <n v="3.3685999999999998"/>
        <n v="14.769600000000001"/>
        <n v="47.251899999999999"/>
        <n v="1.9397"/>
        <n v="88147.896999999997"/>
      </sharedItems>
    </cacheField>
    <cacheField name="xREGIÃO VG" numFmtId="0">
      <sharedItems containsString="0" containsBlank="1" containsNumber="1" minValue="0" maxValue="1095201.9251000001" count="9">
        <n v="0"/>
        <n v="1314.9724000000001"/>
        <n v="2163.0621999999998"/>
        <n v="1095201.9251000001"/>
        <n v="1200.6575"/>
        <m/>
        <n v="213.82859999999999"/>
        <n v="202.45840000000001"/>
        <n v="422366.17"/>
      </sharedItems>
    </cacheField>
    <cacheField name="xFL CHAPADA" numFmtId="0">
      <sharedItems containsString="0" containsBlank="1" containsNumber="1" minValue="0" maxValue="1899.8912" count="13">
        <n v="0"/>
        <m/>
        <n v="145.4804"/>
        <n v="0.61680000000000001"/>
        <n v="87"/>
        <n v="72.400000000000006"/>
        <n v="68.210099999999997"/>
        <n v="45.921599999999998"/>
        <n v="1899.8912"/>
        <n v="148.2389"/>
        <n v="83.298299999999998"/>
        <n v="217.5532"/>
        <n v="792.32889999999998"/>
      </sharedItems>
    </cacheField>
    <cacheField name="xTORONTO" numFmtId="0">
      <sharedItems containsString="0" containsBlank="1" containsNumber="1" minValue="0" maxValue="3.8418000000000001" count="4">
        <n v="0"/>
        <m/>
        <n v="2.0451000000000001"/>
        <n v="3.8418000000000001"/>
      </sharedItems>
    </cacheField>
    <cacheField name="xCHICAGO" numFmtId="0">
      <sharedItems containsString="0" containsBlank="1" containsNumber="1" containsInteger="1" minValue="0" maxValue="0" count="2">
        <n v="0"/>
        <m/>
      </sharedItems>
    </cacheField>
    <cacheField name="xPÉROLA" numFmtId="0">
      <sharedItems containsString="0" containsBlank="1" containsNumber="1" containsInteger="1" minValue="0" maxValue="0" count="2"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ENERGIA ELÉTRICA"/>
    <x v="0"/>
    <x v="0"/>
    <n v="2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INTERNET"/>
    <x v="0"/>
    <x v="1"/>
    <n v="289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CONTÊINER ESCRITÓRIO"/>
    <x v="0"/>
    <x v="2"/>
    <n v="85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BANHEIRO"/>
    <x v="1"/>
    <x v="3"/>
    <n v="5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INSTALAÇÕES PROVISÓRIAS"/>
    <x v="1"/>
    <x v="4"/>
    <n v="2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MATERIAL DE CONSUMO"/>
    <x v="0"/>
    <x v="5"/>
    <n v="3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ALIMENTAÇÃO"/>
    <x v="0"/>
    <x v="6"/>
    <n v="792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VEÍCULOS (COMBUSTÍVEL + MANUTENÇÃO)"/>
    <x v="0"/>
    <x v="7"/>
    <n v="12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SEGURANÇA (12 HORAS)"/>
    <x v="0"/>
    <x v="8"/>
    <n v="12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SEGURANÇA (24 HORAS)"/>
    <x v="0"/>
    <x v="9"/>
    <n v="24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SERVIÇO TOPOGRÁFICO "/>
    <x v="0"/>
    <x v="10"/>
    <n v="6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PLOTAGENS E CÓPIAS"/>
    <x v="1"/>
    <x v="11"/>
    <n v="15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MATERIAL DE ESCRITÓRIO"/>
    <x v="1"/>
    <x v="12"/>
    <n v="2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SEGURANÇA DO TRABALHO"/>
    <x v="1"/>
    <x v="13"/>
    <n v="22537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RATEIO SISTEMA DE ABASTECIMENTO"/>
    <x v="2"/>
    <x v="14"/>
    <n v="1314.9724000000001"/>
    <x v="1"/>
    <x v="0"/>
    <x v="0"/>
    <m/>
    <m/>
    <m/>
    <m/>
    <x v="0"/>
    <x v="0"/>
    <x v="0"/>
    <x v="0"/>
    <x v="1"/>
    <x v="0"/>
    <x v="0"/>
    <x v="0"/>
    <x v="0"/>
    <x v="0"/>
    <x v="1"/>
    <x v="0"/>
    <x v="0"/>
    <n v="0"/>
    <n v="0"/>
    <n v="0"/>
    <n v="0"/>
    <x v="0"/>
    <x v="0"/>
    <x v="0"/>
    <x v="0"/>
    <x v="1"/>
    <x v="0"/>
    <x v="0"/>
    <x v="0"/>
    <x v="0"/>
  </r>
  <r>
    <s v="RATEIO SISTEMA DE SANEAMENTO "/>
    <x v="2"/>
    <x v="15"/>
    <n v="2163.0621999999998"/>
    <x v="0"/>
    <x v="0"/>
    <x v="0"/>
    <m/>
    <n v="1305.7669000000001"/>
    <n v="2202.7878000000001"/>
    <m/>
    <x v="0"/>
    <x v="0"/>
    <x v="0"/>
    <x v="0"/>
    <x v="2"/>
    <x v="0"/>
    <x v="0"/>
    <x v="0"/>
    <x v="0"/>
    <x v="0"/>
    <x v="0"/>
    <x v="0"/>
    <x v="0"/>
    <n v="0"/>
    <n v="1305.7669000000001"/>
    <n v="2202.7878000000001"/>
    <n v="0"/>
    <x v="0"/>
    <x v="0"/>
    <x v="0"/>
    <x v="0"/>
    <x v="2"/>
    <x v="0"/>
    <x v="0"/>
    <x v="0"/>
    <x v="0"/>
  </r>
  <r>
    <s v="ETE"/>
    <x v="1"/>
    <x v="16"/>
    <n v="990717.14769999997"/>
    <x v="0"/>
    <x v="0"/>
    <x v="1"/>
    <n v="963851.20550000004"/>
    <n v="890533.05810000002"/>
    <n v="1013282.4023"/>
    <m/>
    <x v="0"/>
    <x v="0"/>
    <x v="0"/>
    <x v="0"/>
    <x v="3"/>
    <x v="0"/>
    <x v="0"/>
    <x v="0"/>
    <x v="0"/>
    <x v="0"/>
    <x v="0"/>
    <x v="0"/>
    <x v="1"/>
    <n v="963851.20550000004"/>
    <n v="890533.05810000002"/>
    <n v="1013282.4023"/>
    <n v="0"/>
    <x v="0"/>
    <x v="0"/>
    <x v="0"/>
    <x v="0"/>
    <x v="3"/>
    <x v="0"/>
    <x v="0"/>
    <x v="0"/>
    <x v="0"/>
  </r>
  <r>
    <s v="ETE"/>
    <x v="2"/>
    <x v="17"/>
    <n v="1200.6575"/>
    <x v="0"/>
    <x v="0"/>
    <x v="0"/>
    <m/>
    <m/>
    <m/>
    <m/>
    <x v="0"/>
    <x v="0"/>
    <x v="0"/>
    <x v="0"/>
    <x v="4"/>
    <x v="0"/>
    <x v="0"/>
    <x v="0"/>
    <x v="0"/>
    <x v="0"/>
    <x v="0"/>
    <x v="0"/>
    <x v="0"/>
    <n v="0"/>
    <n v="0"/>
    <n v="0"/>
    <n v="0"/>
    <x v="0"/>
    <x v="0"/>
    <x v="0"/>
    <x v="0"/>
    <x v="4"/>
    <x v="0"/>
    <x v="0"/>
    <x v="0"/>
    <x v="0"/>
  </r>
  <r>
    <s v="ETA"/>
    <x v="2"/>
    <x v="18"/>
    <n v="929.33330000000001"/>
    <x v="0"/>
    <x v="0"/>
    <x v="0"/>
    <m/>
    <m/>
    <m/>
    <m/>
    <x v="0"/>
    <x v="0"/>
    <x v="0"/>
    <x v="0"/>
    <x v="5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EMISSÁRIO DE ESGOTO - CALÇADA"/>
    <x v="3"/>
    <x v="19"/>
    <n v="213.82859999999999"/>
    <x v="2"/>
    <x v="0"/>
    <x v="0"/>
    <m/>
    <n v="310.29399999999998"/>
    <m/>
    <m/>
    <x v="0"/>
    <x v="0"/>
    <x v="0"/>
    <x v="0"/>
    <x v="6"/>
    <x v="0"/>
    <x v="0"/>
    <x v="0"/>
    <x v="0"/>
    <x v="0"/>
    <x v="3"/>
    <x v="0"/>
    <x v="0"/>
    <n v="0"/>
    <n v="310.29399999999998"/>
    <n v="0"/>
    <n v="0"/>
    <x v="0"/>
    <x v="0"/>
    <x v="0"/>
    <x v="0"/>
    <x v="6"/>
    <x v="0"/>
    <x v="0"/>
    <x v="0"/>
    <x v="0"/>
  </r>
  <r>
    <s v="EMISSÁRIO DE ESGOTO - RUA"/>
    <x v="3"/>
    <x v="20"/>
    <n v="286.27510000000001"/>
    <x v="2"/>
    <x v="1"/>
    <x v="2"/>
    <n v="0"/>
    <n v="310.29399999999998"/>
    <n v="0"/>
    <n v="0"/>
    <x v="1"/>
    <x v="1"/>
    <x v="1"/>
    <x v="1"/>
    <x v="6"/>
    <x v="1"/>
    <x v="1"/>
    <x v="1"/>
    <x v="1"/>
    <x v="0"/>
    <x v="3"/>
    <x v="0"/>
    <x v="0"/>
    <n v="0"/>
    <n v="310.29399999999998"/>
    <n v="0"/>
    <n v="0"/>
    <x v="0"/>
    <x v="0"/>
    <x v="0"/>
    <x v="0"/>
    <x v="6"/>
    <x v="0"/>
    <x v="0"/>
    <x v="0"/>
    <x v="0"/>
  </r>
  <r>
    <s v="ADUTORA DE ÁGUA"/>
    <x v="3"/>
    <x v="21"/>
    <n v="202.45840000000001"/>
    <x v="0"/>
    <x v="0"/>
    <x v="3"/>
    <m/>
    <n v="271.9649"/>
    <n v="97.5565"/>
    <m/>
    <x v="0"/>
    <x v="0"/>
    <x v="0"/>
    <x v="0"/>
    <x v="7"/>
    <x v="2"/>
    <x v="0"/>
    <x v="0"/>
    <x v="0"/>
    <x v="0"/>
    <x v="0"/>
    <x v="0"/>
    <x v="3"/>
    <n v="0"/>
    <n v="271.9649"/>
    <n v="97.5565"/>
    <n v="0"/>
    <x v="0"/>
    <x v="0"/>
    <x v="0"/>
    <x v="0"/>
    <x v="7"/>
    <x v="2"/>
    <x v="0"/>
    <x v="0"/>
    <x v="0"/>
  </r>
  <r>
    <s v="ESTAÇÃO ELEVATÓRIA - CUIABÁ"/>
    <x v="1"/>
    <x v="22"/>
    <n v="650000"/>
    <x v="3"/>
    <x v="0"/>
    <x v="0"/>
    <n v="878747.70730000001"/>
    <m/>
    <m/>
    <m/>
    <x v="0"/>
    <x v="0"/>
    <x v="0"/>
    <x v="0"/>
    <x v="8"/>
    <x v="0"/>
    <x v="0"/>
    <x v="0"/>
    <x v="0"/>
    <x v="0"/>
    <x v="4"/>
    <x v="0"/>
    <x v="0"/>
    <n v="878747.70730000001"/>
    <n v="0"/>
    <n v="0"/>
    <n v="0"/>
    <x v="0"/>
    <x v="0"/>
    <x v="0"/>
    <x v="0"/>
    <x v="8"/>
    <x v="0"/>
    <x v="0"/>
    <x v="0"/>
    <x v="0"/>
  </r>
  <r>
    <s v="ESTAÇÃO ELEVATÓRIA - VÁRZEA GRANDE"/>
    <x v="1"/>
    <x v="23"/>
    <n v="450000"/>
    <x v="3"/>
    <x v="1"/>
    <x v="2"/>
    <n v="878747.70730000001"/>
    <n v="0"/>
    <n v="0"/>
    <n v="0"/>
    <x v="1"/>
    <x v="1"/>
    <x v="1"/>
    <x v="1"/>
    <x v="8"/>
    <x v="1"/>
    <x v="1"/>
    <x v="1"/>
    <x v="1"/>
    <x v="0"/>
    <x v="4"/>
    <x v="0"/>
    <x v="0"/>
    <n v="878747.70730000001"/>
    <n v="0"/>
    <n v="0"/>
    <n v="0"/>
    <x v="0"/>
    <x v="0"/>
    <x v="0"/>
    <x v="0"/>
    <x v="8"/>
    <x v="0"/>
    <x v="0"/>
    <x v="0"/>
    <x v="0"/>
  </r>
  <r>
    <s v="LIMPEZA INICIAL DA ÁREA"/>
    <x v="4"/>
    <x v="24"/>
    <n v="2.2397999999999998"/>
    <x v="0"/>
    <x v="0"/>
    <x v="4"/>
    <n v="2.0884"/>
    <n v="0.72060000000000002"/>
    <n v="2.2397999999999998"/>
    <n v="1.9461999999999999"/>
    <x v="2"/>
    <x v="2"/>
    <x v="0"/>
    <x v="2"/>
    <x v="0"/>
    <x v="3"/>
    <x v="2"/>
    <x v="0"/>
    <x v="0"/>
    <x v="0"/>
    <x v="0"/>
    <x v="0"/>
    <x v="4"/>
    <n v="2.0884"/>
    <n v="0.72060000000000002"/>
    <n v="2.2397999999999998"/>
    <n v="1.9461999999999999"/>
    <x v="2"/>
    <x v="2"/>
    <x v="0"/>
    <x v="2"/>
    <x v="0"/>
    <x v="3"/>
    <x v="2"/>
    <x v="0"/>
    <x v="0"/>
  </r>
  <r>
    <s v="LIMPEZA PERIÓDICA DAS RUAS (PIPA + SERVENTE)"/>
    <x v="5"/>
    <x v="25"/>
    <n v="0.82269999999999999"/>
    <x v="0"/>
    <x v="0"/>
    <x v="5"/>
    <n v="0.97599999999999998"/>
    <n v="0.78069999999999995"/>
    <n v="0.81399999999999995"/>
    <m/>
    <x v="0"/>
    <x v="0"/>
    <x v="0"/>
    <x v="0"/>
    <x v="0"/>
    <x v="0"/>
    <x v="0"/>
    <x v="0"/>
    <x v="0"/>
    <x v="0"/>
    <x v="0"/>
    <x v="0"/>
    <x v="5"/>
    <n v="0.97599999999999998"/>
    <n v="0.78069999999999995"/>
    <n v="0.81399999999999995"/>
    <n v="0"/>
    <x v="0"/>
    <x v="0"/>
    <x v="0"/>
    <x v="0"/>
    <x v="0"/>
    <x v="0"/>
    <x v="0"/>
    <x v="0"/>
    <x v="0"/>
  </r>
  <r>
    <s v="DRENAGEM COMPLEMENTAR PROTEÇÃO CHUVAS"/>
    <x v="1"/>
    <x v="26"/>
    <n v="63876.498899999999"/>
    <x v="0"/>
    <x v="0"/>
    <x v="0"/>
    <m/>
    <m/>
    <n v="63876.498899999999"/>
    <m/>
    <x v="0"/>
    <x v="0"/>
    <x v="0"/>
    <x v="0"/>
    <x v="0"/>
    <x v="0"/>
    <x v="0"/>
    <x v="0"/>
    <x v="0"/>
    <x v="0"/>
    <x v="0"/>
    <x v="0"/>
    <x v="0"/>
    <n v="0"/>
    <n v="0"/>
    <n v="63876.498899999999"/>
    <n v="0"/>
    <x v="0"/>
    <x v="0"/>
    <x v="0"/>
    <x v="0"/>
    <x v="0"/>
    <x v="0"/>
    <x v="0"/>
    <x v="0"/>
    <x v="0"/>
  </r>
  <r>
    <s v="RESERVATÓRIO"/>
    <x v="6"/>
    <x v="27"/>
    <n v="65000"/>
    <x v="0"/>
    <x v="0"/>
    <x v="0"/>
    <n v="102884.85370000001"/>
    <n v="67731.719599999997"/>
    <n v="48510.051599999999"/>
    <n v="58086.18"/>
    <x v="0"/>
    <x v="0"/>
    <x v="0"/>
    <x v="0"/>
    <x v="0"/>
    <x v="0"/>
    <x v="0"/>
    <x v="0"/>
    <x v="0"/>
    <x v="0"/>
    <x v="0"/>
    <x v="0"/>
    <x v="0"/>
    <n v="102884.85370000001"/>
    <n v="67731.719599999997"/>
    <n v="48510.051599999999"/>
    <n v="58086.18"/>
    <x v="0"/>
    <x v="0"/>
    <x v="0"/>
    <x v="0"/>
    <x v="0"/>
    <x v="0"/>
    <x v="0"/>
    <x v="0"/>
    <x v="0"/>
  </r>
  <r>
    <s v="POÇO ARTESIANO - 150 METROS "/>
    <x v="6"/>
    <x v="28"/>
    <n v="80000"/>
    <x v="0"/>
    <x v="0"/>
    <x v="6"/>
    <n v="103449.2993"/>
    <n v="63571.734900000003"/>
    <n v="57992.594899999996"/>
    <n v="84100.800499999998"/>
    <x v="0"/>
    <x v="0"/>
    <x v="0"/>
    <x v="0"/>
    <x v="0"/>
    <x v="0"/>
    <x v="0"/>
    <x v="0"/>
    <x v="0"/>
    <x v="0"/>
    <x v="0"/>
    <x v="0"/>
    <x v="6"/>
    <n v="103449.2993"/>
    <n v="63571.734900000003"/>
    <n v="57992.594899999996"/>
    <n v="84100.800499999998"/>
    <x v="0"/>
    <x v="0"/>
    <x v="0"/>
    <x v="0"/>
    <x v="0"/>
    <x v="0"/>
    <x v="0"/>
    <x v="0"/>
    <x v="0"/>
  </r>
  <r>
    <s v="TERRAPLENAGEM GERAL"/>
    <x v="4"/>
    <x v="29"/>
    <n v="12.8893"/>
    <x v="0"/>
    <x v="2"/>
    <x v="7"/>
    <n v="7.4629000000000003"/>
    <n v="12.8893"/>
    <n v="9.2315000000000005"/>
    <n v="1.9762999999999999"/>
    <x v="3"/>
    <x v="3"/>
    <x v="1"/>
    <x v="3"/>
    <x v="9"/>
    <x v="1"/>
    <x v="3"/>
    <x v="1"/>
    <x v="1"/>
    <x v="0"/>
    <x v="0"/>
    <x v="2"/>
    <x v="7"/>
    <n v="7.4629000000000003"/>
    <n v="12.8893"/>
    <n v="9.2315000000000005"/>
    <n v="1.9762999999999999"/>
    <x v="3"/>
    <x v="3"/>
    <x v="0"/>
    <x v="3"/>
    <x v="0"/>
    <x v="0"/>
    <x v="3"/>
    <x v="0"/>
    <x v="0"/>
  </r>
  <r>
    <s v="TERRAPLENAGEM GERAL - NÍVEL I"/>
    <x v="4"/>
    <x v="30"/>
    <n v="5.0438000000000001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TERRAPLENAGEM GERAL - NÍVEL II"/>
    <x v="4"/>
    <x v="31"/>
    <n v="8.5052000000000003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TERRAPLENAGEM GERAL - NÍVEL III"/>
    <x v="4"/>
    <x v="32"/>
    <n v="12.8893"/>
    <x v="0"/>
    <x v="2"/>
    <x v="7"/>
    <n v="7.4629000000000003"/>
    <n v="12.8893"/>
    <n v="9.2315000000000005"/>
    <n v="1.9762999999999999"/>
    <x v="3"/>
    <x v="3"/>
    <x v="0"/>
    <x v="3"/>
    <x v="0"/>
    <x v="0"/>
    <x v="3"/>
    <x v="0"/>
    <x v="0"/>
    <x v="0"/>
    <x v="0"/>
    <x v="2"/>
    <x v="7"/>
    <n v="7.4629000000000003"/>
    <n v="12.8893"/>
    <n v="9.2315000000000005"/>
    <n v="1.9762999999999999"/>
    <x v="3"/>
    <x v="3"/>
    <x v="0"/>
    <x v="3"/>
    <x v="0"/>
    <x v="0"/>
    <x v="3"/>
    <x v="0"/>
    <x v="0"/>
  </r>
  <r>
    <s v="CONTROLE TECNOLOGICO"/>
    <x v="0"/>
    <x v="33"/>
    <n v="13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SINALIZAÇÃO HORIZONTAL E VERTICAL - INTERNO"/>
    <x v="7"/>
    <x v="34"/>
    <n v="2.5842999999999998"/>
    <x v="0"/>
    <x v="0"/>
    <x v="8"/>
    <n v="1.9508000000000001"/>
    <n v="1.8602000000000001"/>
    <n v="2.6865999999999999"/>
    <n v="1.7016"/>
    <x v="0"/>
    <x v="0"/>
    <x v="2"/>
    <x v="0"/>
    <x v="0"/>
    <x v="0"/>
    <x v="0"/>
    <x v="0"/>
    <x v="0"/>
    <x v="0"/>
    <x v="0"/>
    <x v="0"/>
    <x v="8"/>
    <n v="1.9508000000000001"/>
    <n v="1.8602000000000001"/>
    <n v="2.6865999999999999"/>
    <n v="1.7016"/>
    <x v="0"/>
    <x v="0"/>
    <x v="2"/>
    <x v="0"/>
    <x v="0"/>
    <x v="0"/>
    <x v="0"/>
    <x v="0"/>
    <x v="0"/>
  </r>
  <r>
    <s v="SINALIZAÇÃO HORIZONTAL E VERTICAL - INTERNO"/>
    <x v="1"/>
    <x v="35"/>
    <n v="95418.044599999994"/>
    <x v="0"/>
    <x v="0"/>
    <x v="9"/>
    <n v="82944.395300000004"/>
    <n v="108115.2788"/>
    <n v="108097.1703"/>
    <m/>
    <x v="0"/>
    <x v="0"/>
    <x v="3"/>
    <x v="0"/>
    <x v="0"/>
    <x v="0"/>
    <x v="0"/>
    <x v="0"/>
    <x v="0"/>
    <x v="0"/>
    <x v="0"/>
    <x v="0"/>
    <x v="9"/>
    <n v="82944.395300000004"/>
    <n v="108115.2788"/>
    <n v="108097.1703"/>
    <n v="0"/>
    <x v="0"/>
    <x v="0"/>
    <x v="3"/>
    <x v="0"/>
    <x v="0"/>
    <x v="0"/>
    <x v="0"/>
    <x v="0"/>
    <x v="0"/>
  </r>
  <r>
    <s v="MEIO FIO (+ 5%)"/>
    <x v="3"/>
    <x v="36"/>
    <n v="67.252899999999997"/>
    <x v="0"/>
    <x v="0"/>
    <x v="0"/>
    <m/>
    <n v="78.381"/>
    <n v="70.358900000000006"/>
    <n v="67.252899999999997"/>
    <x v="0"/>
    <x v="0"/>
    <x v="4"/>
    <x v="4"/>
    <x v="0"/>
    <x v="4"/>
    <x v="0"/>
    <x v="0"/>
    <x v="0"/>
    <x v="0"/>
    <x v="0"/>
    <x v="0"/>
    <x v="0"/>
    <n v="0"/>
    <n v="78.381"/>
    <n v="70.358900000000006"/>
    <n v="67.252899999999997"/>
    <x v="0"/>
    <x v="0"/>
    <x v="4"/>
    <x v="4"/>
    <x v="0"/>
    <x v="4"/>
    <x v="0"/>
    <x v="0"/>
    <x v="0"/>
  </r>
  <r>
    <s v="DRENO DE PAVIMENTO"/>
    <x v="3"/>
    <x v="37"/>
    <n v="69.5428"/>
    <x v="0"/>
    <x v="0"/>
    <x v="0"/>
    <n v="81.231300000000005"/>
    <n v="97.486800000000002"/>
    <n v="81.505099999999999"/>
    <n v="69.5428"/>
    <x v="0"/>
    <x v="0"/>
    <x v="5"/>
    <x v="5"/>
    <x v="0"/>
    <x v="5"/>
    <x v="0"/>
    <x v="0"/>
    <x v="0"/>
    <x v="0"/>
    <x v="0"/>
    <x v="0"/>
    <x v="0"/>
    <n v="81.231300000000005"/>
    <n v="97.486800000000002"/>
    <n v="81.505099999999999"/>
    <n v="69.5428"/>
    <x v="0"/>
    <x v="0"/>
    <x v="5"/>
    <x v="5"/>
    <x v="0"/>
    <x v="5"/>
    <x v="0"/>
    <x v="0"/>
    <x v="0"/>
  </r>
  <r>
    <s v="REDE DE ÁGUA"/>
    <x v="8"/>
    <x v="38"/>
    <n v="69.065600000000003"/>
    <x v="0"/>
    <x v="3"/>
    <x v="10"/>
    <n v="65.048199999999994"/>
    <n v="73.205200000000005"/>
    <n v="40.787700000000001"/>
    <n v="91.574700000000007"/>
    <x v="0"/>
    <x v="0"/>
    <x v="0"/>
    <x v="0"/>
    <x v="0"/>
    <x v="6"/>
    <x v="0"/>
    <x v="0"/>
    <x v="0"/>
    <x v="0"/>
    <x v="0"/>
    <x v="3"/>
    <x v="10"/>
    <n v="65.048199999999994"/>
    <n v="73.205200000000005"/>
    <n v="40.787700000000001"/>
    <n v="91.574700000000007"/>
    <x v="0"/>
    <x v="0"/>
    <x v="0"/>
    <x v="0"/>
    <x v="0"/>
    <x v="6"/>
    <x v="0"/>
    <x v="0"/>
    <x v="0"/>
  </r>
  <r>
    <s v="REDE DE ÁGUA"/>
    <x v="9"/>
    <x v="39"/>
    <n v="45.240900000000003"/>
    <x v="0"/>
    <x v="4"/>
    <x v="11"/>
    <n v="40.441499999999998"/>
    <n v="53.299100000000003"/>
    <n v="30.361000000000001"/>
    <n v="54.244700000000002"/>
    <x v="0"/>
    <x v="0"/>
    <x v="0"/>
    <x v="0"/>
    <x v="0"/>
    <x v="7"/>
    <x v="0"/>
    <x v="0"/>
    <x v="0"/>
    <x v="0"/>
    <x v="0"/>
    <x v="4"/>
    <x v="11"/>
    <n v="40.441499999999998"/>
    <n v="53.299100000000003"/>
    <n v="30.361000000000001"/>
    <n v="54.244700000000002"/>
    <x v="0"/>
    <x v="0"/>
    <x v="0"/>
    <x v="0"/>
    <x v="0"/>
    <x v="7"/>
    <x v="0"/>
    <x v="0"/>
    <x v="0"/>
  </r>
  <r>
    <s v="REDE DE ÁGUA"/>
    <x v="10"/>
    <x v="40"/>
    <n v="400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n v="0"/>
    <x v="0"/>
    <x v="0"/>
    <x v="0"/>
    <x v="0"/>
    <x v="0"/>
    <x v="0"/>
    <x v="0"/>
    <x v="0"/>
    <x v="0"/>
  </r>
  <r>
    <s v="REDE DE ESGOTO - TERÇO DA RUA"/>
    <x v="2"/>
    <x v="41"/>
    <n v="2568.1403"/>
    <x v="0"/>
    <x v="5"/>
    <x v="12"/>
    <n v="4530.9337999999998"/>
    <n v="2654.0810999999999"/>
    <n v="2482.1995999999999"/>
    <n v="1534.1513"/>
    <x v="0"/>
    <x v="0"/>
    <x v="0"/>
    <x v="0"/>
    <x v="0"/>
    <x v="0"/>
    <x v="0"/>
    <x v="0"/>
    <x v="0"/>
    <x v="0"/>
    <x v="0"/>
    <x v="5"/>
    <x v="12"/>
    <n v="4530.9337999999998"/>
    <n v="2654.0810999999999"/>
    <n v="2482.1995999999999"/>
    <n v="1534.1513"/>
    <x v="0"/>
    <x v="0"/>
    <x v="0"/>
    <x v="0"/>
    <x v="0"/>
    <x v="8"/>
    <x v="0"/>
    <x v="0"/>
    <x v="0"/>
  </r>
  <r>
    <s v="REDE DE ESGOTO - CALÇADA"/>
    <x v="2"/>
    <x v="42"/>
    <n v="1899.8912"/>
    <x v="4"/>
    <x v="5"/>
    <x v="12"/>
    <n v="4530.9337999999998"/>
    <n v="2654.0810999999999"/>
    <n v="2482.1995999999999"/>
    <n v="1534.1513"/>
    <x v="1"/>
    <x v="1"/>
    <x v="1"/>
    <x v="1"/>
    <x v="9"/>
    <x v="8"/>
    <x v="1"/>
    <x v="1"/>
    <x v="1"/>
    <x v="0"/>
    <x v="0"/>
    <x v="5"/>
    <x v="12"/>
    <n v="4530.9337999999998"/>
    <n v="2654.0810999999999"/>
    <n v="2482.1995999999999"/>
    <n v="1534.1513"/>
    <x v="0"/>
    <x v="0"/>
    <x v="0"/>
    <x v="0"/>
    <x v="0"/>
    <x v="1"/>
    <x v="0"/>
    <x v="0"/>
    <x v="0"/>
  </r>
  <r>
    <s v="REDE DE ESGOTO"/>
    <x v="8"/>
    <x v="43"/>
    <n v="180.51240000000001"/>
    <x v="0"/>
    <x v="6"/>
    <x v="13"/>
    <n v="180.51240000000001"/>
    <n v="209.9134"/>
    <n v="138.20230000000001"/>
    <n v="113.0408"/>
    <x v="0"/>
    <x v="0"/>
    <x v="0"/>
    <x v="0"/>
    <x v="0"/>
    <x v="9"/>
    <x v="0"/>
    <x v="0"/>
    <x v="0"/>
    <x v="0"/>
    <x v="0"/>
    <x v="6"/>
    <x v="13"/>
    <n v="180.51240000000001"/>
    <n v="209.9134"/>
    <n v="138.20230000000001"/>
    <n v="113.0408"/>
    <x v="0"/>
    <x v="0"/>
    <x v="0"/>
    <x v="0"/>
    <x v="0"/>
    <x v="9"/>
    <x v="0"/>
    <x v="0"/>
    <x v="0"/>
  </r>
  <r>
    <s v="REDE DE ESGOTO"/>
    <x v="9"/>
    <x v="44"/>
    <n v="129.3425"/>
    <x v="0"/>
    <x v="7"/>
    <x v="14"/>
    <n v="102.5286"/>
    <n v="146.42320000000001"/>
    <n v="139.07570000000001"/>
    <n v="77.543899999999994"/>
    <x v="0"/>
    <x v="0"/>
    <x v="0"/>
    <x v="0"/>
    <x v="0"/>
    <x v="10"/>
    <x v="0"/>
    <x v="0"/>
    <x v="0"/>
    <x v="0"/>
    <x v="0"/>
    <x v="7"/>
    <x v="14"/>
    <n v="102.5286"/>
    <n v="146.42320000000001"/>
    <n v="139.07570000000001"/>
    <n v="77.543899999999994"/>
    <x v="0"/>
    <x v="0"/>
    <x v="0"/>
    <x v="0"/>
    <x v="0"/>
    <x v="10"/>
    <x v="0"/>
    <x v="0"/>
    <x v="0"/>
  </r>
  <r>
    <s v="GALERIA DE ÁGUAS PLUVIAIS"/>
    <x v="4"/>
    <x v="45"/>
    <n v="7.9378000000000002"/>
    <x v="0"/>
    <x v="8"/>
    <x v="15"/>
    <n v="7.5754999999999999"/>
    <n v="10.292400000000001"/>
    <n v="7.5774999999999997"/>
    <n v="7.1356999999999999"/>
    <x v="4"/>
    <x v="0"/>
    <x v="0"/>
    <x v="0"/>
    <x v="0"/>
    <x v="0"/>
    <x v="0"/>
    <x v="0"/>
    <x v="0"/>
    <x v="0"/>
    <x v="0"/>
    <x v="8"/>
    <x v="15"/>
    <n v="7.5754999999999999"/>
    <n v="10.292400000000001"/>
    <n v="7.5774999999999997"/>
    <n v="7.1356999999999999"/>
    <x v="4"/>
    <x v="0"/>
    <x v="0"/>
    <x v="0"/>
    <x v="0"/>
    <x v="0"/>
    <x v="0"/>
    <x v="0"/>
    <x v="0"/>
  </r>
  <r>
    <s v="GALERIA DE ÁGUAS PLUVIAIS - NÍVEL II "/>
    <x v="5"/>
    <x v="46"/>
    <n v="65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GALERIA DE ÁGUAS PLUVIAIS - NÍVEL I"/>
    <x v="5"/>
    <x v="47"/>
    <n v="50"/>
    <x v="0"/>
    <x v="9"/>
    <x v="16"/>
    <n v="60.936500000000002"/>
    <n v="51.646700000000003"/>
    <n v="48.214199999999998"/>
    <n v="44.3001"/>
    <x v="5"/>
    <x v="0"/>
    <x v="0"/>
    <x v="0"/>
    <x v="0"/>
    <x v="0"/>
    <x v="0"/>
    <x v="0"/>
    <x v="0"/>
    <x v="0"/>
    <x v="0"/>
    <x v="9"/>
    <x v="16"/>
    <n v="60.936500000000002"/>
    <n v="51.646700000000003"/>
    <n v="48.214199999999998"/>
    <n v="44.3001"/>
    <x v="5"/>
    <x v="0"/>
    <x v="0"/>
    <x v="0"/>
    <x v="0"/>
    <x v="0"/>
    <x v="0"/>
    <x v="0"/>
    <x v="0"/>
  </r>
  <r>
    <s v="GALERIA DE ÁGUA PLUVIAIS - REDE EXTERNA "/>
    <x v="8"/>
    <x v="48"/>
    <m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BUEIRO SIMPLES COM BOCA P/ TRANSPOSIÇÃO DE CÓRREGO"/>
    <x v="3"/>
    <x v="49"/>
    <n v="9500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REDE ELÉTRICA"/>
    <x v="5"/>
    <x v="50"/>
    <n v="33.3093"/>
    <x v="0"/>
    <x v="10"/>
    <x v="17"/>
    <n v="170.46440000000001"/>
    <n v="29.653600000000001"/>
    <n v="29.7713"/>
    <n v="33.3093"/>
    <x v="0"/>
    <x v="0"/>
    <x v="0"/>
    <x v="0"/>
    <x v="0"/>
    <x v="0"/>
    <x v="0"/>
    <x v="0"/>
    <x v="0"/>
    <x v="0"/>
    <x v="0"/>
    <x v="10"/>
    <x v="17"/>
    <n v="170.46440000000001"/>
    <n v="29.653600000000001"/>
    <n v="29.7713"/>
    <n v="33.3093"/>
    <x v="0"/>
    <x v="0"/>
    <x v="0"/>
    <x v="0"/>
    <x v="0"/>
    <x v="0"/>
    <x v="0"/>
    <x v="0"/>
    <x v="0"/>
  </r>
  <r>
    <s v="REDE ELÉTRICA - TRAVESSIAS"/>
    <x v="2"/>
    <x v="51"/>
    <n v="215.49809999999999"/>
    <x v="0"/>
    <x v="0"/>
    <x v="0"/>
    <m/>
    <n v="198.02019999999999"/>
    <n v="174.55019999999999"/>
    <n v="213.44290000000001"/>
    <x v="0"/>
    <x v="0"/>
    <x v="0"/>
    <x v="0"/>
    <x v="0"/>
    <x v="11"/>
    <x v="0"/>
    <x v="0"/>
    <x v="0"/>
    <x v="0"/>
    <x v="0"/>
    <x v="0"/>
    <x v="0"/>
    <n v="0"/>
    <n v="198.02019999999999"/>
    <n v="174.55019999999999"/>
    <n v="213.44290000000001"/>
    <x v="0"/>
    <x v="0"/>
    <x v="0"/>
    <x v="0"/>
    <x v="0"/>
    <x v="11"/>
    <x v="0"/>
    <x v="0"/>
    <x v="0"/>
  </r>
  <r>
    <s v="REDE ELÉTRICA - CAIXAS CP02 - 60X70 C/ TAMPA"/>
    <x v="2"/>
    <x v="52"/>
    <n v="5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VIGA BENKELMAN "/>
    <x v="1"/>
    <x v="53"/>
    <n v="22559.398099999999"/>
    <x v="0"/>
    <x v="0"/>
    <x v="0"/>
    <n v="17884.164199999999"/>
    <n v="32884.262499999997"/>
    <n v="16909.767800000001"/>
    <m/>
    <x v="0"/>
    <x v="0"/>
    <x v="0"/>
    <x v="0"/>
    <x v="0"/>
    <x v="0"/>
    <x v="0"/>
    <x v="0"/>
    <x v="0"/>
    <x v="0"/>
    <x v="0"/>
    <x v="0"/>
    <x v="0"/>
    <n v="17884.164199999999"/>
    <n v="32884.262499999997"/>
    <n v="16909.767800000001"/>
    <n v="0"/>
    <x v="0"/>
    <x v="0"/>
    <x v="0"/>
    <x v="0"/>
    <x v="0"/>
    <x v="0"/>
    <x v="0"/>
    <x v="0"/>
    <x v="0"/>
  </r>
  <r>
    <s v="VIGA BENKELMAN "/>
    <x v="5"/>
    <x v="54"/>
    <n v="0.46889999999999998"/>
    <x v="0"/>
    <x v="0"/>
    <x v="0"/>
    <n v="0.42059999999999997"/>
    <n v="0.56579999999999997"/>
    <n v="0.42030000000000001"/>
    <m/>
    <x v="0"/>
    <x v="0"/>
    <x v="0"/>
    <x v="0"/>
    <x v="0"/>
    <x v="0"/>
    <x v="0"/>
    <x v="0"/>
    <x v="0"/>
    <x v="0"/>
    <x v="0"/>
    <x v="0"/>
    <x v="0"/>
    <n v="0.42059999999999997"/>
    <n v="0.56579999999999997"/>
    <n v="0.42030000000000001"/>
    <n v="0"/>
    <x v="0"/>
    <x v="0"/>
    <x v="0"/>
    <x v="0"/>
    <x v="0"/>
    <x v="0"/>
    <x v="0"/>
    <x v="0"/>
    <x v="0"/>
  </r>
  <r>
    <s v="REDE ELÉTRICA - ILUMINAÇÃO APPS "/>
    <x v="3"/>
    <x v="55"/>
    <n v="258.74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REDE ELÉTRICA - ILUMINAÇÃO DE AVENIDAS"/>
    <x v="3"/>
    <x v="56"/>
    <n v="1083.0071"/>
    <x v="0"/>
    <x v="0"/>
    <x v="0"/>
    <m/>
    <m/>
    <m/>
    <m/>
    <x v="0"/>
    <x v="0"/>
    <x v="6"/>
    <x v="0"/>
    <x v="0"/>
    <x v="0"/>
    <x v="0"/>
    <x v="0"/>
    <x v="0"/>
    <x v="0"/>
    <x v="0"/>
    <x v="0"/>
    <x v="0"/>
    <n v="0"/>
    <n v="0"/>
    <n v="0"/>
    <n v="0"/>
    <x v="0"/>
    <x v="0"/>
    <x v="6"/>
    <x v="0"/>
    <x v="0"/>
    <x v="0"/>
    <x v="0"/>
    <x v="0"/>
    <x v="0"/>
  </r>
  <r>
    <s v="MURO DE FECHAMENTO"/>
    <x v="11"/>
    <x v="57"/>
    <n v="753.9126"/>
    <x v="0"/>
    <x v="0"/>
    <x v="18"/>
    <m/>
    <m/>
    <n v="583.73829999999998"/>
    <m/>
    <x v="0"/>
    <x v="0"/>
    <x v="0"/>
    <x v="0"/>
    <x v="0"/>
    <x v="0"/>
    <x v="0"/>
    <x v="0"/>
    <x v="0"/>
    <x v="0"/>
    <x v="0"/>
    <x v="0"/>
    <x v="18"/>
    <n v="0"/>
    <n v="0"/>
    <n v="583.73829999999998"/>
    <n v="0"/>
    <x v="0"/>
    <x v="0"/>
    <x v="0"/>
    <x v="0"/>
    <x v="0"/>
    <x v="0"/>
    <x v="0"/>
    <x v="0"/>
    <x v="0"/>
  </r>
  <r>
    <s v="MURO DE FECHAMENTO"/>
    <x v="12"/>
    <x v="58"/>
    <n v="752.74289999999996"/>
    <x v="0"/>
    <x v="0"/>
    <x v="0"/>
    <n v="815.70690000000002"/>
    <n v="689.6875"/>
    <m/>
    <n v="713.2482"/>
    <x v="0"/>
    <x v="0"/>
    <x v="0"/>
    <x v="0"/>
    <x v="0"/>
    <x v="12"/>
    <x v="0"/>
    <x v="0"/>
    <x v="0"/>
    <x v="0"/>
    <x v="0"/>
    <x v="0"/>
    <x v="0"/>
    <n v="815.70690000000002"/>
    <n v="689.6875"/>
    <n v="0"/>
    <n v="713.2482"/>
    <x v="0"/>
    <x v="0"/>
    <x v="0"/>
    <x v="0"/>
    <x v="0"/>
    <x v="12"/>
    <x v="0"/>
    <x v="0"/>
    <x v="0"/>
  </r>
  <r>
    <s v="MURETA PARA GRADIL + PILAR"/>
    <x v="3"/>
    <x v="59"/>
    <n v="199.25550000000001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GRADIL "/>
    <x v="4"/>
    <x v="60"/>
    <n v="470"/>
    <x v="0"/>
    <x v="0"/>
    <x v="0"/>
    <n v="471.73230000000001"/>
    <n v="323.34429999999998"/>
    <m/>
    <n v="532.49069999999995"/>
    <x v="6"/>
    <x v="0"/>
    <x v="0"/>
    <x v="0"/>
    <x v="0"/>
    <x v="0"/>
    <x v="0"/>
    <x v="0"/>
    <x v="0"/>
    <x v="0"/>
    <x v="0"/>
    <x v="0"/>
    <x v="0"/>
    <n v="471.73230000000001"/>
    <n v="323.34429999999998"/>
    <n v="0"/>
    <n v="532.49069999999995"/>
    <x v="6"/>
    <x v="0"/>
    <x v="0"/>
    <x v="0"/>
    <x v="0"/>
    <x v="0"/>
    <x v="0"/>
    <x v="0"/>
    <x v="0"/>
  </r>
  <r>
    <s v="FECHAMENTO EM TELA ELETROSOLDADA"/>
    <x v="3"/>
    <x v="61"/>
    <n v="582.41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FECHAMENTO EM CERCA DE ARAME E MOURÕES EM MADEIRA "/>
    <x v="3"/>
    <x v="62"/>
    <n v="25.54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FECHAMENTO EM CERCA DE ARAME E MOURÕES EM CONCRETO "/>
    <x v="3"/>
    <x v="63"/>
    <n v="52.79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CONTROLE DE ACESSO SIMPLES"/>
    <x v="1"/>
    <x v="64"/>
    <n v="140000"/>
    <x v="0"/>
    <x v="0"/>
    <x v="0"/>
    <m/>
    <n v="141520.258"/>
    <n v="138888.9982"/>
    <m/>
    <x v="0"/>
    <x v="0"/>
    <x v="0"/>
    <x v="0"/>
    <x v="0"/>
    <x v="0"/>
    <x v="0"/>
    <x v="0"/>
    <x v="0"/>
    <x v="0"/>
    <x v="0"/>
    <x v="0"/>
    <x v="0"/>
    <n v="0"/>
    <n v="141520.258"/>
    <n v="138888.9982"/>
    <n v="0"/>
    <x v="0"/>
    <x v="0"/>
    <x v="0"/>
    <x v="0"/>
    <x v="0"/>
    <x v="0"/>
    <x v="0"/>
    <x v="0"/>
    <x v="0"/>
  </r>
  <r>
    <s v="CONTROLE DE ACESSO DUPLO"/>
    <x v="1"/>
    <x v="65"/>
    <n v="200000"/>
    <x v="0"/>
    <x v="11"/>
    <x v="19"/>
    <n v="199140.0612"/>
    <m/>
    <m/>
    <m/>
    <x v="0"/>
    <x v="0"/>
    <x v="0"/>
    <x v="0"/>
    <x v="0"/>
    <x v="0"/>
    <x v="0"/>
    <x v="0"/>
    <x v="0"/>
    <x v="0"/>
    <x v="0"/>
    <x v="11"/>
    <x v="19"/>
    <n v="199140.0612"/>
    <n v="0"/>
    <n v="0"/>
    <n v="0"/>
    <x v="0"/>
    <x v="0"/>
    <x v="0"/>
    <x v="0"/>
    <x v="0"/>
    <x v="0"/>
    <x v="0"/>
    <x v="0"/>
    <x v="0"/>
  </r>
  <r>
    <s v="SEGURANÇA - INFRAESTRUTURA"/>
    <x v="3"/>
    <x v="66"/>
    <n v="35"/>
    <x v="0"/>
    <x v="0"/>
    <x v="0"/>
    <n v="32.962699999999998"/>
    <n v="34.479900000000001"/>
    <n v="22.3004"/>
    <n v="34.720100000000002"/>
    <x v="0"/>
    <x v="0"/>
    <x v="0"/>
    <x v="0"/>
    <x v="0"/>
    <x v="0"/>
    <x v="0"/>
    <x v="0"/>
    <x v="0"/>
    <x v="0"/>
    <x v="0"/>
    <x v="0"/>
    <x v="0"/>
    <n v="32.962699999999998"/>
    <n v="34.479900000000001"/>
    <n v="22.3004"/>
    <n v="34.720100000000002"/>
    <x v="0"/>
    <x v="0"/>
    <x v="0"/>
    <x v="0"/>
    <x v="0"/>
    <x v="0"/>
    <x v="0"/>
    <x v="0"/>
    <x v="0"/>
  </r>
  <r>
    <s v="CONCERTINA"/>
    <x v="3"/>
    <x v="67"/>
    <n v="28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PISO TÁTIL"/>
    <x v="3"/>
    <x v="68"/>
    <n v="29.432500000000001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REDE + CERCA"/>
    <x v="3"/>
    <x v="69"/>
    <n v="128.95830000000001"/>
    <x v="0"/>
    <x v="12"/>
    <x v="0"/>
    <n v="96.144499999999994"/>
    <n v="160.24469999999999"/>
    <n v="105.4781"/>
    <m/>
    <x v="0"/>
    <x v="0"/>
    <x v="0"/>
    <x v="0"/>
    <x v="0"/>
    <x v="0"/>
    <x v="0"/>
    <x v="0"/>
    <x v="0"/>
    <x v="0"/>
    <x v="0"/>
    <x v="12"/>
    <x v="0"/>
    <n v="96.144499999999994"/>
    <n v="160.24469999999999"/>
    <n v="105.4781"/>
    <n v="0"/>
    <x v="0"/>
    <x v="0"/>
    <x v="0"/>
    <x v="0"/>
    <x v="0"/>
    <x v="0"/>
    <x v="0"/>
    <x v="0"/>
    <x v="0"/>
  </r>
  <r>
    <s v="GRAMA ESMERALDA"/>
    <x v="4"/>
    <x v="70"/>
    <n v="10.5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CAPIM"/>
    <x v="4"/>
    <x v="71"/>
    <n v="1.3958999999999999"/>
    <x v="0"/>
    <x v="0"/>
    <x v="0"/>
    <m/>
    <m/>
    <m/>
    <n v="1.3958999999999999"/>
    <x v="0"/>
    <x v="0"/>
    <x v="0"/>
    <x v="0"/>
    <x v="0"/>
    <x v="0"/>
    <x v="0"/>
    <x v="0"/>
    <x v="0"/>
    <x v="0"/>
    <x v="0"/>
    <x v="0"/>
    <x v="0"/>
    <n v="0"/>
    <n v="0"/>
    <n v="0"/>
    <n v="1.3958999999999999"/>
    <x v="0"/>
    <x v="0"/>
    <x v="0"/>
    <x v="0"/>
    <x v="0"/>
    <x v="0"/>
    <x v="0"/>
    <x v="0"/>
    <x v="0"/>
  </r>
  <r>
    <s v="PAISAGISMO - GERAL"/>
    <x v="4"/>
    <x v="72"/>
    <n v="1.9397"/>
    <x v="0"/>
    <x v="13"/>
    <x v="20"/>
    <n v="1.7661"/>
    <n v="1.3645"/>
    <n v="1.2831999999999999"/>
    <n v="1.4144000000000001"/>
    <x v="0"/>
    <x v="0"/>
    <x v="0"/>
    <x v="6"/>
    <x v="0"/>
    <x v="0"/>
    <x v="0"/>
    <x v="0"/>
    <x v="0"/>
    <x v="0"/>
    <x v="0"/>
    <x v="13"/>
    <x v="20"/>
    <n v="1.7661"/>
    <n v="1.3645"/>
    <n v="1.2831999999999999"/>
    <n v="1.4144000000000001"/>
    <x v="0"/>
    <x v="0"/>
    <x v="0"/>
    <x v="6"/>
    <x v="0"/>
    <x v="0"/>
    <x v="0"/>
    <x v="0"/>
    <x v="0"/>
  </r>
  <r>
    <s v="MANUTENÇÃO DAS ÁREAS VERDES"/>
    <x v="4"/>
    <x v="73"/>
    <n v="0.83099999999999996"/>
    <x v="0"/>
    <x v="14"/>
    <x v="21"/>
    <n v="0.7641"/>
    <n v="0.44340000000000002"/>
    <n v="0.75719999999999998"/>
    <m/>
    <x v="0"/>
    <x v="0"/>
    <x v="0"/>
    <x v="0"/>
    <x v="0"/>
    <x v="0"/>
    <x v="0"/>
    <x v="0"/>
    <x v="0"/>
    <x v="0"/>
    <x v="0"/>
    <x v="14"/>
    <x v="21"/>
    <n v="0.7641"/>
    <n v="0.44340000000000002"/>
    <n v="0.75719999999999998"/>
    <n v="0"/>
    <x v="0"/>
    <x v="0"/>
    <x v="0"/>
    <x v="0"/>
    <x v="0"/>
    <x v="0"/>
    <x v="0"/>
    <x v="0"/>
    <x v="0"/>
  </r>
  <r>
    <s v="ESTAR DESCOBERTO EM PAVER"/>
    <x v="6"/>
    <x v="74"/>
    <n v="4714.3634000000002"/>
    <x v="0"/>
    <x v="0"/>
    <x v="0"/>
    <m/>
    <n v="5053.6598999999997"/>
    <n v="4375.0668999999998"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ESTAR DESCOBERTO EM CONCRETO C/ÁRVORE "/>
    <x v="6"/>
    <x v="75"/>
    <n v="7128.72"/>
    <x v="0"/>
    <x v="0"/>
    <x v="0"/>
    <m/>
    <m/>
    <m/>
    <n v="7128.72"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ESTAR EM CONCRETO C/ PERGOLADO RETO"/>
    <x v="6"/>
    <x v="76"/>
    <n v="7080.74"/>
    <x v="0"/>
    <x v="0"/>
    <x v="0"/>
    <m/>
    <m/>
    <m/>
    <n v="7080.74"/>
    <x v="0"/>
    <x v="0"/>
    <x v="0"/>
    <x v="0"/>
    <x v="0"/>
    <x v="0"/>
    <x v="0"/>
    <x v="0"/>
    <x v="0"/>
    <x v="0"/>
    <x v="0"/>
    <x v="0"/>
    <x v="0"/>
    <n v="0"/>
    <n v="0"/>
    <n v="0"/>
    <n v="7080.74"/>
    <x v="0"/>
    <x v="0"/>
    <x v="0"/>
    <x v="0"/>
    <x v="0"/>
    <x v="0"/>
    <x v="0"/>
    <x v="0"/>
    <x v="0"/>
  </r>
  <r>
    <s v="ESTAR EM CONCRETO C/ PERGOLADO EM ARCO "/>
    <x v="3"/>
    <x v="77"/>
    <n v="1589.7150999999999"/>
    <x v="0"/>
    <x v="0"/>
    <x v="0"/>
    <m/>
    <m/>
    <m/>
    <n v="1589.7150999999999"/>
    <x v="0"/>
    <x v="0"/>
    <x v="0"/>
    <x v="0"/>
    <x v="0"/>
    <x v="0"/>
    <x v="0"/>
    <x v="0"/>
    <x v="0"/>
    <x v="0"/>
    <x v="0"/>
    <x v="0"/>
    <x v="0"/>
    <n v="0"/>
    <n v="0"/>
    <n v="0"/>
    <n v="1589.7150999999999"/>
    <x v="0"/>
    <x v="0"/>
    <x v="0"/>
    <x v="0"/>
    <x v="0"/>
    <x v="0"/>
    <x v="0"/>
    <x v="0"/>
    <x v="0"/>
  </r>
  <r>
    <s v="BICICLETÁRIO"/>
    <x v="3"/>
    <x v="78"/>
    <n v="1027.4322999999999"/>
    <x v="0"/>
    <x v="0"/>
    <x v="0"/>
    <m/>
    <m/>
    <m/>
    <n v="1027.4322999999999"/>
    <x v="0"/>
    <x v="0"/>
    <x v="0"/>
    <x v="0"/>
    <x v="0"/>
    <x v="0"/>
    <x v="0"/>
    <x v="0"/>
    <x v="0"/>
    <x v="0"/>
    <x v="0"/>
    <x v="0"/>
    <x v="0"/>
    <n v="0"/>
    <n v="0"/>
    <n v="0"/>
    <n v="1027.4322999999999"/>
    <x v="0"/>
    <x v="0"/>
    <x v="0"/>
    <x v="0"/>
    <x v="0"/>
    <x v="0"/>
    <x v="0"/>
    <x v="0"/>
    <x v="0"/>
  </r>
  <r>
    <s v="PET PARQUE"/>
    <x v="6"/>
    <x v="79"/>
    <n v="90000"/>
    <x v="0"/>
    <x v="0"/>
    <x v="0"/>
    <m/>
    <m/>
    <m/>
    <m/>
    <x v="0"/>
    <x v="0"/>
    <x v="0"/>
    <x v="7"/>
    <x v="0"/>
    <x v="0"/>
    <x v="0"/>
    <x v="0"/>
    <x v="0"/>
    <x v="0"/>
    <x v="0"/>
    <x v="0"/>
    <x v="0"/>
    <n v="0"/>
    <n v="0"/>
    <n v="0"/>
    <n v="0"/>
    <x v="0"/>
    <x v="0"/>
    <x v="0"/>
    <x v="7"/>
    <x v="0"/>
    <x v="0"/>
    <x v="0"/>
    <x v="0"/>
    <x v="0"/>
  </r>
  <r>
    <s v="HORTA SEM COBERTURA"/>
    <x v="6"/>
    <x v="80"/>
    <n v="35000"/>
    <x v="0"/>
    <x v="0"/>
    <x v="0"/>
    <m/>
    <m/>
    <m/>
    <n v="35000"/>
    <x v="0"/>
    <x v="0"/>
    <x v="0"/>
    <x v="0"/>
    <x v="0"/>
    <x v="0"/>
    <x v="0"/>
    <x v="0"/>
    <x v="0"/>
    <x v="0"/>
    <x v="0"/>
    <x v="0"/>
    <x v="0"/>
    <n v="0"/>
    <n v="0"/>
    <n v="0"/>
    <n v="35000"/>
    <x v="0"/>
    <x v="0"/>
    <x v="0"/>
    <x v="0"/>
    <x v="0"/>
    <x v="0"/>
    <x v="0"/>
    <x v="0"/>
    <x v="0"/>
  </r>
  <r>
    <s v="COBERTURA HORTA"/>
    <x v="6"/>
    <x v="81"/>
    <n v="30000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FONTE INTERATIVA - 16 SAÍDAS"/>
    <x v="6"/>
    <x v="82"/>
    <n v="120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CALÇADAS / PAVER"/>
    <x v="4"/>
    <x v="83"/>
    <n v="227.82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CALÇADAS / PISTA DE COOPER"/>
    <x v="4"/>
    <x v="84"/>
    <n v="66"/>
    <x v="0"/>
    <x v="0"/>
    <x v="0"/>
    <n v="65.757199999999997"/>
    <n v="65.411000000000001"/>
    <n v="70.051400000000001"/>
    <m/>
    <x v="0"/>
    <x v="0"/>
    <x v="0"/>
    <x v="0"/>
    <x v="0"/>
    <x v="0"/>
    <x v="0"/>
    <x v="0"/>
    <x v="0"/>
    <x v="0"/>
    <x v="0"/>
    <x v="0"/>
    <x v="0"/>
    <n v="65.757199999999997"/>
    <n v="65.411000000000001"/>
    <n v="70.051400000000001"/>
    <n v="0"/>
    <x v="0"/>
    <x v="0"/>
    <x v="0"/>
    <x v="0"/>
    <x v="0"/>
    <x v="0"/>
    <x v="0"/>
    <x v="0"/>
    <x v="0"/>
  </r>
  <r>
    <s v="CALÇADAS/ FEIRA EM CONCRETO ARMADO "/>
    <x v="4"/>
    <x v="85"/>
    <n v="135.6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CALÇADAS / CONCRETO PIGMENTADO S/ ARMAÇÃO"/>
    <x v="4"/>
    <x v="86"/>
    <n v="81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CALÇADAS/ ACESSO DEPÓSITO DE LIXO - ACESSO "/>
    <x v="4"/>
    <x v="87"/>
    <n v="135.6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PLAYGROUND SUPERPLAY (350M2 DE PISO DE BORRACHA)"/>
    <x v="1"/>
    <x v="88"/>
    <n v="313013.90700000001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PLAYGROUND CONVENCIONAL"/>
    <x v="1"/>
    <x v="89"/>
    <n v="65837.426099999997"/>
    <x v="0"/>
    <x v="0"/>
    <x v="0"/>
    <m/>
    <n v="70249.180399999997"/>
    <n v="61425.671799999996"/>
    <m/>
    <x v="0"/>
    <x v="0"/>
    <x v="0"/>
    <x v="0"/>
    <x v="0"/>
    <x v="0"/>
    <x v="0"/>
    <x v="0"/>
    <x v="0"/>
    <x v="0"/>
    <x v="0"/>
    <x v="0"/>
    <x v="0"/>
    <n v="0"/>
    <n v="70249.180399999997"/>
    <n v="61425.671799999996"/>
    <n v="0"/>
    <x v="0"/>
    <x v="0"/>
    <x v="0"/>
    <x v="0"/>
    <x v="0"/>
    <x v="0"/>
    <x v="0"/>
    <x v="0"/>
    <x v="0"/>
  </r>
  <r>
    <s v="LIXEIRA MOBILIÁRIO URBANO - VB"/>
    <x v="1"/>
    <x v="90"/>
    <n v="7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BANCO MOBILIÁRIO URBANO - VB"/>
    <x v="1"/>
    <x v="91"/>
    <n v="1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ESTAÇÃO DE GINÁSTICA EM PAVER COMUM "/>
    <x v="6"/>
    <x v="92"/>
    <n v="19624.543000000001"/>
    <x v="0"/>
    <x v="0"/>
    <x v="0"/>
    <m/>
    <n v="19624.543000000001"/>
    <n v="19023.598099999999"/>
    <m/>
    <x v="0"/>
    <x v="0"/>
    <x v="0"/>
    <x v="0"/>
    <x v="0"/>
    <x v="0"/>
    <x v="0"/>
    <x v="0"/>
    <x v="0"/>
    <x v="0"/>
    <x v="0"/>
    <x v="0"/>
    <x v="0"/>
    <n v="0"/>
    <n v="19624.543000000001"/>
    <n v="19023.598099999999"/>
    <n v="0"/>
    <x v="0"/>
    <x v="0"/>
    <x v="0"/>
    <x v="0"/>
    <x v="0"/>
    <x v="0"/>
    <x v="0"/>
    <x v="0"/>
    <x v="0"/>
  </r>
  <r>
    <s v="PONTO DE ÔNIBUS"/>
    <x v="6"/>
    <x v="93"/>
    <n v="92681.78"/>
    <x v="0"/>
    <x v="0"/>
    <x v="0"/>
    <m/>
    <m/>
    <m/>
    <m/>
    <x v="0"/>
    <x v="0"/>
    <x v="0"/>
    <x v="8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BAIA P/ PONTO DE ÔNIBUS EM CONCRETO ARMADO"/>
    <x v="4"/>
    <x v="94"/>
    <n v="11077.3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ESTAÇÃO DE GINÁSTICA EM PAVER C/ PERGOLADO EM ARCO - 10 M"/>
    <x v="6"/>
    <x v="95"/>
    <n v="65729.08"/>
    <x v="0"/>
    <x v="0"/>
    <x v="0"/>
    <m/>
    <m/>
    <m/>
    <m/>
    <x v="0"/>
    <x v="0"/>
    <x v="0"/>
    <x v="9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CAMPO SOCIETY"/>
    <x v="6"/>
    <x v="96"/>
    <n v="264380.63"/>
    <x v="0"/>
    <x v="0"/>
    <x v="0"/>
    <n v="189979.91510000001"/>
    <n v="229035.39670000001"/>
    <n v="235294.84659999999"/>
    <n v="264380.63"/>
    <x v="0"/>
    <x v="0"/>
    <x v="0"/>
    <x v="0"/>
    <x v="0"/>
    <x v="0"/>
    <x v="0"/>
    <x v="0"/>
    <x v="0"/>
    <x v="0"/>
    <x v="0"/>
    <x v="0"/>
    <x v="0"/>
    <n v="189979.91510000001"/>
    <n v="229035.39670000001"/>
    <n v="235294.84659999999"/>
    <n v="264380.63"/>
    <x v="0"/>
    <x v="0"/>
    <x v="0"/>
    <x v="0"/>
    <x v="0"/>
    <x v="0"/>
    <x v="0"/>
    <x v="0"/>
    <x v="0"/>
  </r>
  <r>
    <s v="CAMPO DE FUTEBOL PEQUENO - 720M²"/>
    <x v="6"/>
    <x v="97"/>
    <n v="200000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QUADRA POLIESPORTIVA"/>
    <x v="6"/>
    <x v="98"/>
    <n v="205791.79139999999"/>
    <x v="0"/>
    <x v="0"/>
    <x v="0"/>
    <n v="176229.44510000001"/>
    <n v="205791.79139999999"/>
    <n v="180994.28140000001"/>
    <m/>
    <x v="0"/>
    <x v="0"/>
    <x v="0"/>
    <x v="0"/>
    <x v="0"/>
    <x v="0"/>
    <x v="0"/>
    <x v="0"/>
    <x v="0"/>
    <x v="0"/>
    <x v="0"/>
    <x v="0"/>
    <x v="0"/>
    <n v="176229.44510000001"/>
    <n v="205791.79139999999"/>
    <n v="180994.28140000001"/>
    <n v="0"/>
    <x v="0"/>
    <x v="0"/>
    <x v="0"/>
    <x v="0"/>
    <x v="0"/>
    <x v="0"/>
    <x v="0"/>
    <x v="0"/>
    <x v="0"/>
  </r>
  <r>
    <s v="QUADRA DE TENIS"/>
    <x v="6"/>
    <x v="99"/>
    <n v="160000"/>
    <x v="0"/>
    <x v="0"/>
    <x v="0"/>
    <n v="144492.5385"/>
    <n v="168884.17"/>
    <n v="137803.0877"/>
    <n v="158330"/>
    <x v="0"/>
    <x v="0"/>
    <x v="0"/>
    <x v="0"/>
    <x v="0"/>
    <x v="0"/>
    <x v="0"/>
    <x v="0"/>
    <x v="0"/>
    <x v="0"/>
    <x v="0"/>
    <x v="0"/>
    <x v="0"/>
    <n v="144492.5385"/>
    <n v="168884.17"/>
    <n v="137803.0877"/>
    <n v="158330"/>
    <x v="0"/>
    <x v="0"/>
    <x v="0"/>
    <x v="0"/>
    <x v="0"/>
    <x v="0"/>
    <x v="0"/>
    <x v="0"/>
    <x v="0"/>
  </r>
  <r>
    <s v="QUADRA DE AREIA"/>
    <x v="6"/>
    <x v="100"/>
    <n v="228000"/>
    <x v="0"/>
    <x v="0"/>
    <x v="0"/>
    <m/>
    <m/>
    <m/>
    <m/>
    <x v="0"/>
    <x v="0"/>
    <x v="0"/>
    <x v="0"/>
    <x v="0"/>
    <x v="0"/>
    <x v="0"/>
    <x v="0"/>
    <x v="0"/>
    <x v="0"/>
    <x v="2"/>
    <x v="1"/>
    <x v="2"/>
    <m/>
    <m/>
    <m/>
    <m/>
    <x v="1"/>
    <x v="1"/>
    <x v="1"/>
    <x v="1"/>
    <x v="5"/>
    <x v="1"/>
    <x v="1"/>
    <x v="1"/>
    <x v="1"/>
  </r>
  <r>
    <s v="ELETRICA E SPDA CAMPOS E QUADRAS"/>
    <x v="6"/>
    <x v="101"/>
    <n v="75000"/>
    <x v="0"/>
    <x v="0"/>
    <x v="0"/>
    <n v="44330.520600000003"/>
    <n v="20236.410899999999"/>
    <n v="46666.666700000002"/>
    <n v="73344.333299999998"/>
    <x v="0"/>
    <x v="0"/>
    <x v="0"/>
    <x v="0"/>
    <x v="0"/>
    <x v="0"/>
    <x v="0"/>
    <x v="0"/>
    <x v="0"/>
    <x v="0"/>
    <x v="0"/>
    <x v="0"/>
    <x v="0"/>
    <n v="44330.520600000003"/>
    <n v="20236.410899999999"/>
    <n v="46666.666700000002"/>
    <n v="73344.333299999998"/>
    <x v="0"/>
    <x v="0"/>
    <x v="0"/>
    <x v="0"/>
    <x v="0"/>
    <x v="0"/>
    <x v="0"/>
    <x v="0"/>
    <x v="0"/>
  </r>
  <r>
    <s v="ARQUIBANCADA"/>
    <x v="6"/>
    <x v="102"/>
    <n v="25000"/>
    <x v="0"/>
    <x v="0"/>
    <x v="0"/>
    <m/>
    <m/>
    <m/>
    <n v="24974.27"/>
    <x v="0"/>
    <x v="0"/>
    <x v="0"/>
    <x v="0"/>
    <x v="0"/>
    <x v="0"/>
    <x v="0"/>
    <x v="0"/>
    <x v="0"/>
    <x v="0"/>
    <x v="0"/>
    <x v="0"/>
    <x v="0"/>
    <n v="0"/>
    <n v="0"/>
    <n v="0"/>
    <n v="24974.27"/>
    <x v="0"/>
    <x v="0"/>
    <x v="0"/>
    <x v="0"/>
    <x v="0"/>
    <x v="0"/>
    <x v="0"/>
    <x v="0"/>
    <x v="0"/>
  </r>
  <r>
    <s v="ESPELHO D'ÁGUA"/>
    <x v="4"/>
    <x v="103"/>
    <n v="378.66160000000002"/>
    <x v="0"/>
    <x v="15"/>
    <x v="0"/>
    <n v="549.09960000000001"/>
    <m/>
    <m/>
    <m/>
    <x v="0"/>
    <x v="0"/>
    <x v="0"/>
    <x v="0"/>
    <x v="0"/>
    <x v="0"/>
    <x v="0"/>
    <x v="0"/>
    <x v="0"/>
    <x v="0"/>
    <x v="0"/>
    <x v="15"/>
    <x v="0"/>
    <n v="549.09960000000001"/>
    <n v="0"/>
    <n v="0"/>
    <n v="0"/>
    <x v="0"/>
    <x v="0"/>
    <x v="0"/>
    <x v="0"/>
    <x v="0"/>
    <x v="0"/>
    <x v="0"/>
    <x v="0"/>
    <x v="0"/>
  </r>
  <r>
    <s v="ATI"/>
    <x v="6"/>
    <x v="104"/>
    <n v="37603.417099999999"/>
    <x v="0"/>
    <x v="0"/>
    <x v="22"/>
    <m/>
    <m/>
    <m/>
    <n v="36070.76"/>
    <x v="0"/>
    <x v="0"/>
    <x v="0"/>
    <x v="0"/>
    <x v="0"/>
    <x v="0"/>
    <x v="0"/>
    <x v="0"/>
    <x v="0"/>
    <x v="0"/>
    <x v="0"/>
    <x v="0"/>
    <x v="22"/>
    <n v="0"/>
    <n v="0"/>
    <n v="0"/>
    <n v="36070.76"/>
    <x v="0"/>
    <x v="0"/>
    <x v="0"/>
    <x v="0"/>
    <x v="0"/>
    <x v="0"/>
    <x v="0"/>
    <x v="0"/>
    <x v="0"/>
  </r>
  <r>
    <s v="BANCO DE CONCRETO"/>
    <x v="6"/>
    <x v="105"/>
    <n v="75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DRENAGEM COMPLEMENTAR - MURO NÍVEL II"/>
    <x v="1"/>
    <x v="106"/>
    <n v="50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DRENAGEM COMPLEMENTAR - MURO NÍVEL I"/>
    <x v="1"/>
    <x v="107"/>
    <n v="25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DRENAGEM COMPLEMENTAR - GERAL"/>
    <x v="1"/>
    <x v="108"/>
    <n v="60000"/>
    <x v="0"/>
    <x v="0"/>
    <x v="23"/>
    <n v="246919.58840000001"/>
    <n v="57286.023200000003"/>
    <n v="58547.8"/>
    <m/>
    <x v="0"/>
    <x v="0"/>
    <x v="0"/>
    <x v="0"/>
    <x v="0"/>
    <x v="0"/>
    <x v="0"/>
    <x v="0"/>
    <x v="0"/>
    <x v="0"/>
    <x v="0"/>
    <x v="0"/>
    <x v="23"/>
    <n v="246919.58840000001"/>
    <n v="57286.023200000003"/>
    <n v="58547.8"/>
    <n v="0"/>
    <x v="0"/>
    <x v="0"/>
    <x v="0"/>
    <x v="0"/>
    <x v="0"/>
    <x v="0"/>
    <x v="0"/>
    <x v="0"/>
    <x v="0"/>
  </r>
  <r>
    <s v="LIMPEZA GERAL PARA ENTREGA DE OBRA "/>
    <x v="1"/>
    <x v="109"/>
    <n v="81322.078699999998"/>
    <x v="0"/>
    <x v="0"/>
    <x v="24"/>
    <n v="83406.740300000005"/>
    <n v="79237.417000000001"/>
    <m/>
    <m/>
    <x v="0"/>
    <x v="0"/>
    <x v="0"/>
    <x v="0"/>
    <x v="0"/>
    <x v="0"/>
    <x v="0"/>
    <x v="0"/>
    <x v="0"/>
    <x v="0"/>
    <x v="0"/>
    <x v="0"/>
    <x v="24"/>
    <n v="83406.740300000005"/>
    <n v="79237.417000000001"/>
    <n v="0"/>
    <n v="0"/>
    <x v="0"/>
    <x v="0"/>
    <x v="0"/>
    <x v="0"/>
    <x v="0"/>
    <x v="0"/>
    <x v="0"/>
    <x v="0"/>
    <x v="0"/>
  </r>
  <r>
    <s v="MARCO DOS LOTES"/>
    <x v="2"/>
    <x v="110"/>
    <n v="90"/>
    <x v="0"/>
    <x v="0"/>
    <x v="25"/>
    <n v="57.403599999999997"/>
    <n v="23.3398"/>
    <m/>
    <m/>
    <x v="0"/>
    <x v="0"/>
    <x v="0"/>
    <x v="0"/>
    <x v="0"/>
    <x v="0"/>
    <x v="0"/>
    <x v="0"/>
    <x v="0"/>
    <x v="0"/>
    <x v="0"/>
    <x v="0"/>
    <x v="25"/>
    <n v="57.403599999999997"/>
    <n v="23.3398"/>
    <n v="0"/>
    <n v="0"/>
    <x v="0"/>
    <x v="0"/>
    <x v="0"/>
    <x v="0"/>
    <x v="0"/>
    <x v="0"/>
    <x v="0"/>
    <x v="0"/>
    <x v="0"/>
  </r>
  <r>
    <s v="SEGURANÇA -PÓS OBRA"/>
    <x v="0"/>
    <x v="111"/>
    <n v="13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MANUTENÇÃO CAMPOS E QUADRAS"/>
    <x v="0"/>
    <x v="112"/>
    <n v="36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MANUTENÇÃO PAISAGISMO"/>
    <x v="0"/>
    <x v="113"/>
    <n v="30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  <r>
    <s v="LIMPEZA PARA ENTREGA DEFINITIVA - RETOQUES"/>
    <x v="1"/>
    <x v="114"/>
    <n v="15000"/>
    <x v="0"/>
    <x v="0"/>
    <x v="0"/>
    <m/>
    <m/>
    <m/>
    <m/>
    <x v="0"/>
    <x v="0"/>
    <x v="0"/>
    <x v="0"/>
    <x v="0"/>
    <x v="0"/>
    <x v="0"/>
    <x v="0"/>
    <x v="0"/>
    <x v="0"/>
    <x v="0"/>
    <x v="0"/>
    <x v="0"/>
    <n v="0"/>
    <n v="0"/>
    <n v="0"/>
    <n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2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5" indent="0" outline="1" outlineData="1" multipleFieldFilters="0" fieldListSortAscending="1">
  <location ref="A1:L116" firstHeaderRow="0" firstDataRow="1" firstDataCol="1"/>
  <pivotFields count="37">
    <pivotField showAll="0"/>
    <pivotField showAll="0"/>
    <pivotField axis="axisRow" showAll="0">
      <items count="116">
        <item x="21"/>
        <item x="6"/>
        <item x="105"/>
        <item x="96"/>
        <item x="71"/>
        <item x="2"/>
        <item x="33"/>
        <item x="108"/>
        <item x="37"/>
        <item x="101"/>
        <item x="0"/>
        <item x="103"/>
        <item x="16"/>
        <item x="70"/>
        <item x="4"/>
        <item x="1"/>
        <item x="109"/>
        <item x="24"/>
        <item x="114"/>
        <item x="25"/>
        <item x="112"/>
        <item x="73"/>
        <item x="113"/>
        <item x="110"/>
        <item x="12"/>
        <item x="57"/>
        <item x="58"/>
        <item x="72"/>
        <item x="11"/>
        <item x="99"/>
        <item x="98"/>
        <item x="14"/>
        <item x="69"/>
        <item x="40"/>
        <item x="39"/>
        <item x="38"/>
        <item x="44"/>
        <item x="43"/>
        <item x="27"/>
        <item x="66"/>
        <item x="13"/>
        <item x="111"/>
        <item x="7"/>
        <item x="60"/>
        <item x="104"/>
        <item x="30"/>
        <item x="31"/>
        <item x="32"/>
        <item x="35"/>
        <item x="46"/>
        <item x="47"/>
        <item x="50"/>
        <item x="64"/>
        <item x="65"/>
        <item x="84"/>
        <item x="102"/>
        <item x="36"/>
        <item x="107"/>
        <item x="106"/>
        <item x="45"/>
        <item x="15"/>
        <item x="34"/>
        <item x="51"/>
        <item x="67"/>
        <item x="78"/>
        <item x="3"/>
        <item x="5"/>
        <item x="8"/>
        <item x="9"/>
        <item x="10"/>
        <item x="53"/>
        <item x="54"/>
        <item x="56"/>
        <item x="68"/>
        <item x="89"/>
        <item x="88"/>
        <item x="90"/>
        <item x="91"/>
        <item x="100"/>
        <item x="17"/>
        <item x="18"/>
        <item x="19"/>
        <item x="20"/>
        <item x="22"/>
        <item x="23"/>
        <item x="26"/>
        <item x="28"/>
        <item x="41"/>
        <item x="42"/>
        <item x="48"/>
        <item x="49"/>
        <item x="52"/>
        <item x="55"/>
        <item x="59"/>
        <item x="61"/>
        <item x="62"/>
        <item x="63"/>
        <item x="74"/>
        <item x="75"/>
        <item x="76"/>
        <item x="77"/>
        <item x="79"/>
        <item x="80"/>
        <item x="81"/>
        <item x="82"/>
        <item x="83"/>
        <item x="85"/>
        <item x="87"/>
        <item x="92"/>
        <item x="93"/>
        <item x="94"/>
        <item x="95"/>
        <item x="97"/>
        <item x="29"/>
        <item x="86"/>
        <item t="default"/>
      </items>
    </pivotField>
    <pivotField dataField="1"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a de PADRÃO (ATUAL)" fld="3" baseField="4" baseItem="0"/>
    <dataField name="Soma de xVILLA JARDIM" fld="21" baseField="4" baseItem="0"/>
    <dataField name="Soma de xFL DA MATA" fld="22" baseField="4" baseItem="0"/>
    <dataField name="Soma de xFL ITALIA" fld="23" baseField="4" baseItem="0"/>
    <dataField name="Soma de xSUPREMO ITALIA" fld="24" baseField="4" baseItem="0"/>
    <dataField name="Soma de xPRIMOR" fld="25" baseField="4" baseItem="0"/>
    <dataField name="Soma de xBELVEDERE II" fld="26" baseField="4" baseItem="0"/>
    <dataField name="Soma de xFL PARQUE" fld="27" baseField="4" baseItem="0"/>
    <dataField name="Soma de ESMERALDA" fld="12" baseField="0" baseItem="0"/>
    <dataField name="Soma de xSAFIRA" fld="28" baseField="0" baseItem="0"/>
    <dataField name="Soma de xAV# JUAREZ" fld="30" baseField="0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fieldListSortAscending="1">
  <location ref="A141:B159" firstHeaderRow="1" firstDataRow="1" firstDataCol="1"/>
  <pivotFields count="2">
    <pivotField axis="axisRow" showAll="0">
      <items count="18">
        <item n="HISTÓRICO DE CUSTO / PADRÃO ATUAL" x="0"/>
        <item x="5"/>
        <item x="4"/>
        <item x="6"/>
        <item x="3"/>
        <item x="2"/>
        <item x="1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a de COLUNA" fld="1" baseField="0" baseItem="5" numFmtId="165"/>
  </dataFields>
  <formats count="4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70" zoomScaleNormal="70" workbookViewId="0">
      <selection activeCell="B6" sqref="B6"/>
    </sheetView>
  </sheetViews>
  <sheetFormatPr defaultRowHeight="15" x14ac:dyDescent="0.25"/>
  <cols>
    <col min="1" max="1" width="75.85546875" bestFit="1" customWidth="1"/>
    <col min="2" max="2" width="32.85546875" style="7" customWidth="1"/>
    <col min="3" max="3" width="30" style="7" customWidth="1"/>
    <col min="4" max="4" width="27.85546875" style="7" customWidth="1"/>
    <col min="5" max="5" width="24.5703125" style="7" customWidth="1"/>
    <col min="6" max="6" width="33.85546875" style="7" customWidth="1"/>
    <col min="7" max="7" width="23" style="7" customWidth="1"/>
    <col min="8" max="8" width="29.5703125" style="7" customWidth="1"/>
    <col min="9" max="9" width="27.28515625" style="7" customWidth="1"/>
    <col min="10" max="10" width="27.140625" style="7" bestFit="1" customWidth="1"/>
    <col min="11" max="11" width="22.42578125" bestFit="1" customWidth="1"/>
    <col min="12" max="12" width="28.28515625" bestFit="1" customWidth="1"/>
  </cols>
  <sheetData>
    <row r="1" spans="1:12" x14ac:dyDescent="0.25">
      <c r="A1" s="128" t="s">
        <v>59</v>
      </c>
      <c r="B1" s="130" t="s">
        <v>33</v>
      </c>
      <c r="C1" s="130" t="s">
        <v>95</v>
      </c>
      <c r="D1" s="130" t="s">
        <v>98</v>
      </c>
      <c r="E1" s="130" t="s">
        <v>96</v>
      </c>
      <c r="F1" s="130" t="s">
        <v>94</v>
      </c>
      <c r="G1" s="130" t="s">
        <v>93</v>
      </c>
      <c r="H1" s="130" t="s">
        <v>99</v>
      </c>
      <c r="I1" s="130" t="s">
        <v>97</v>
      </c>
      <c r="J1" t="s">
        <v>306</v>
      </c>
      <c r="K1" t="s">
        <v>307</v>
      </c>
      <c r="L1" t="s">
        <v>308</v>
      </c>
    </row>
    <row r="2" spans="1:12" x14ac:dyDescent="0.25">
      <c r="A2" s="129" t="s">
        <v>103</v>
      </c>
      <c r="B2" s="130">
        <v>202.45840000000001</v>
      </c>
      <c r="C2" s="130">
        <v>0</v>
      </c>
      <c r="D2" s="130">
        <v>0</v>
      </c>
      <c r="E2" s="130">
        <v>314.72899999999998</v>
      </c>
      <c r="F2" s="130">
        <v>0</v>
      </c>
      <c r="G2" s="130">
        <v>271.9649</v>
      </c>
      <c r="H2" s="130">
        <v>97.5565</v>
      </c>
      <c r="I2" s="130">
        <v>0</v>
      </c>
      <c r="J2" s="130"/>
      <c r="K2" s="130">
        <v>0</v>
      </c>
      <c r="L2" s="130">
        <v>0</v>
      </c>
    </row>
    <row r="3" spans="1:12" x14ac:dyDescent="0.25">
      <c r="A3" s="129" t="s">
        <v>60</v>
      </c>
      <c r="B3" s="130">
        <v>792</v>
      </c>
      <c r="C3" s="130">
        <v>0</v>
      </c>
      <c r="D3" s="130">
        <v>0</v>
      </c>
      <c r="E3" s="130">
        <v>0</v>
      </c>
      <c r="F3" s="130">
        <v>0</v>
      </c>
      <c r="G3" s="130">
        <v>0</v>
      </c>
      <c r="H3" s="130">
        <v>0</v>
      </c>
      <c r="I3" s="130">
        <v>0</v>
      </c>
      <c r="J3" s="130"/>
      <c r="K3" s="130">
        <v>0</v>
      </c>
      <c r="L3" s="130">
        <v>0</v>
      </c>
    </row>
    <row r="4" spans="1:12" x14ac:dyDescent="0.25">
      <c r="A4" s="129" t="s">
        <v>52</v>
      </c>
      <c r="B4" s="130">
        <v>750</v>
      </c>
      <c r="C4" s="130">
        <v>0</v>
      </c>
      <c r="D4" s="130">
        <v>0</v>
      </c>
      <c r="E4" s="130">
        <v>0</v>
      </c>
      <c r="F4" s="130">
        <v>0</v>
      </c>
      <c r="G4" s="130">
        <v>0</v>
      </c>
      <c r="H4" s="130">
        <v>0</v>
      </c>
      <c r="I4" s="130">
        <v>0</v>
      </c>
      <c r="J4" s="130"/>
      <c r="K4" s="130">
        <v>0</v>
      </c>
      <c r="L4" s="130">
        <v>0</v>
      </c>
    </row>
    <row r="5" spans="1:12" x14ac:dyDescent="0.25">
      <c r="A5" s="129" t="s">
        <v>48</v>
      </c>
      <c r="B5" s="130">
        <v>264380.63</v>
      </c>
      <c r="C5" s="130">
        <v>0</v>
      </c>
      <c r="D5" s="130">
        <v>0</v>
      </c>
      <c r="E5" s="130">
        <v>0</v>
      </c>
      <c r="F5" s="130">
        <v>189979.91510000001</v>
      </c>
      <c r="G5" s="130">
        <v>229035.39670000001</v>
      </c>
      <c r="H5" s="130">
        <v>235294.84659999999</v>
      </c>
      <c r="I5" s="130">
        <v>264380.63</v>
      </c>
      <c r="J5" s="130"/>
      <c r="K5" s="130">
        <v>0</v>
      </c>
      <c r="L5" s="130">
        <v>0</v>
      </c>
    </row>
    <row r="6" spans="1:12" x14ac:dyDescent="0.25">
      <c r="A6" s="129" t="s">
        <v>43</v>
      </c>
      <c r="B6" s="130">
        <v>1.3958999999999999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1.3958999999999999</v>
      </c>
      <c r="J6" s="130"/>
      <c r="K6" s="130">
        <v>0</v>
      </c>
      <c r="L6" s="130">
        <v>0</v>
      </c>
    </row>
    <row r="7" spans="1:12" x14ac:dyDescent="0.25">
      <c r="A7" s="129" t="s">
        <v>61</v>
      </c>
      <c r="B7" s="130">
        <v>850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/>
      <c r="K7" s="130">
        <v>0</v>
      </c>
      <c r="L7" s="130">
        <v>0</v>
      </c>
    </row>
    <row r="8" spans="1:12" x14ac:dyDescent="0.25">
      <c r="A8" s="129" t="s">
        <v>37</v>
      </c>
      <c r="B8" s="130">
        <v>13000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/>
      <c r="K8" s="130">
        <v>0</v>
      </c>
      <c r="L8" s="130">
        <v>0</v>
      </c>
    </row>
    <row r="9" spans="1:12" x14ac:dyDescent="0.25">
      <c r="A9" s="129" t="s">
        <v>104</v>
      </c>
      <c r="B9" s="130">
        <v>60000</v>
      </c>
      <c r="C9" s="130">
        <v>0</v>
      </c>
      <c r="D9" s="130">
        <v>0</v>
      </c>
      <c r="E9" s="130">
        <v>103369.8931</v>
      </c>
      <c r="F9" s="130">
        <v>246919.58840000001</v>
      </c>
      <c r="G9" s="130">
        <v>57286.023200000003</v>
      </c>
      <c r="H9" s="130">
        <v>58547.8</v>
      </c>
      <c r="I9" s="130">
        <v>0</v>
      </c>
      <c r="J9" s="130"/>
      <c r="K9" s="130">
        <v>0</v>
      </c>
      <c r="L9" s="130">
        <v>0</v>
      </c>
    </row>
    <row r="10" spans="1:12" x14ac:dyDescent="0.25">
      <c r="A10" s="129" t="s">
        <v>38</v>
      </c>
      <c r="B10" s="130">
        <v>69.5428</v>
      </c>
      <c r="C10" s="130">
        <v>0</v>
      </c>
      <c r="D10" s="130">
        <v>0</v>
      </c>
      <c r="E10" s="130">
        <v>0</v>
      </c>
      <c r="F10" s="130">
        <v>81.231300000000005</v>
      </c>
      <c r="G10" s="130">
        <v>97.486800000000002</v>
      </c>
      <c r="H10" s="130">
        <v>81.505099999999999</v>
      </c>
      <c r="I10" s="130">
        <v>69.5428</v>
      </c>
      <c r="J10" s="130"/>
      <c r="K10" s="130">
        <v>0</v>
      </c>
      <c r="L10" s="130">
        <v>56.951900000000002</v>
      </c>
    </row>
    <row r="11" spans="1:12" x14ac:dyDescent="0.25">
      <c r="A11" s="129" t="s">
        <v>51</v>
      </c>
      <c r="B11" s="130">
        <v>75000</v>
      </c>
      <c r="C11" s="130">
        <v>0</v>
      </c>
      <c r="D11" s="130">
        <v>0</v>
      </c>
      <c r="E11" s="130">
        <v>0</v>
      </c>
      <c r="F11" s="130">
        <v>44330.520600000003</v>
      </c>
      <c r="G11" s="130">
        <v>20236.410899999999</v>
      </c>
      <c r="H11" s="130">
        <v>46666.666700000002</v>
      </c>
      <c r="I11" s="130">
        <v>73344.333299999998</v>
      </c>
      <c r="J11" s="130"/>
      <c r="K11" s="130">
        <v>0</v>
      </c>
      <c r="L11" s="130">
        <v>0</v>
      </c>
    </row>
    <row r="12" spans="1:12" x14ac:dyDescent="0.25">
      <c r="A12" s="129" t="s">
        <v>62</v>
      </c>
      <c r="B12" s="130">
        <v>2000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/>
      <c r="K12" s="130">
        <v>0</v>
      </c>
      <c r="L12" s="130">
        <v>0</v>
      </c>
    </row>
    <row r="13" spans="1:12" x14ac:dyDescent="0.25">
      <c r="A13" s="129" t="s">
        <v>53</v>
      </c>
      <c r="B13" s="130">
        <v>378.66160000000002</v>
      </c>
      <c r="C13" s="130">
        <v>0</v>
      </c>
      <c r="D13" s="130">
        <v>378.66160000000002</v>
      </c>
      <c r="E13" s="130">
        <v>0</v>
      </c>
      <c r="F13" s="130">
        <v>549.09960000000001</v>
      </c>
      <c r="G13" s="130">
        <v>0</v>
      </c>
      <c r="H13" s="130">
        <v>0</v>
      </c>
      <c r="I13" s="130">
        <v>0</v>
      </c>
      <c r="J13" s="130"/>
      <c r="K13" s="130">
        <v>0</v>
      </c>
      <c r="L13" s="130">
        <v>0</v>
      </c>
    </row>
    <row r="14" spans="1:12" x14ac:dyDescent="0.25">
      <c r="A14" s="129" t="s">
        <v>105</v>
      </c>
      <c r="B14" s="130">
        <v>990717.14769999997</v>
      </c>
      <c r="C14" s="130">
        <v>0</v>
      </c>
      <c r="D14" s="130">
        <v>0</v>
      </c>
      <c r="E14" s="130">
        <v>1419452.0966</v>
      </c>
      <c r="F14" s="130">
        <v>963851.20550000004</v>
      </c>
      <c r="G14" s="130">
        <v>890533.05810000002</v>
      </c>
      <c r="H14" s="130">
        <v>1013282.4023</v>
      </c>
      <c r="I14" s="130">
        <v>0</v>
      </c>
      <c r="J14" s="130"/>
      <c r="K14" s="130">
        <v>0</v>
      </c>
      <c r="L14" s="130">
        <v>0</v>
      </c>
    </row>
    <row r="15" spans="1:12" x14ac:dyDescent="0.25">
      <c r="A15" s="129" t="s">
        <v>42</v>
      </c>
      <c r="B15" s="130">
        <v>10.5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/>
      <c r="K15" s="130">
        <v>0</v>
      </c>
      <c r="L15" s="130">
        <v>0</v>
      </c>
    </row>
    <row r="16" spans="1:12" x14ac:dyDescent="0.25">
      <c r="A16" s="129" t="s">
        <v>106</v>
      </c>
      <c r="B16" s="130">
        <v>2000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/>
      <c r="K16" s="130">
        <v>0</v>
      </c>
      <c r="L16" s="130">
        <v>0</v>
      </c>
    </row>
    <row r="17" spans="1:12" x14ac:dyDescent="0.25">
      <c r="A17" s="129" t="s">
        <v>63</v>
      </c>
      <c r="B17" s="130">
        <v>289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/>
      <c r="K17" s="130">
        <v>0</v>
      </c>
      <c r="L17" s="130">
        <v>0</v>
      </c>
    </row>
    <row r="18" spans="1:12" x14ac:dyDescent="0.25">
      <c r="A18" s="129" t="s">
        <v>107</v>
      </c>
      <c r="B18" s="130">
        <v>81322.078699999998</v>
      </c>
      <c r="C18" s="130">
        <v>0</v>
      </c>
      <c r="D18" s="130">
        <v>0</v>
      </c>
      <c r="E18" s="130">
        <v>124122.53660000001</v>
      </c>
      <c r="F18" s="130">
        <v>83406.740300000005</v>
      </c>
      <c r="G18" s="130">
        <v>79237.417000000001</v>
      </c>
      <c r="H18" s="130">
        <v>0</v>
      </c>
      <c r="I18" s="130">
        <v>0</v>
      </c>
      <c r="J18" s="130"/>
      <c r="K18" s="130">
        <v>0</v>
      </c>
      <c r="L18" s="130">
        <v>0</v>
      </c>
    </row>
    <row r="19" spans="1:12" x14ac:dyDescent="0.25">
      <c r="A19" s="129" t="s">
        <v>34</v>
      </c>
      <c r="B19" s="130">
        <v>2.2397999999999998</v>
      </c>
      <c r="C19" s="130">
        <v>0</v>
      </c>
      <c r="D19" s="130">
        <v>0</v>
      </c>
      <c r="E19" s="130">
        <v>1.9081999999999999</v>
      </c>
      <c r="F19" s="130">
        <v>2.0884</v>
      </c>
      <c r="G19" s="130">
        <v>0.72060000000000002</v>
      </c>
      <c r="H19" s="130">
        <v>2.2397999999999998</v>
      </c>
      <c r="I19" s="130">
        <v>1.9461999999999999</v>
      </c>
      <c r="J19" s="130">
        <v>1.2927</v>
      </c>
      <c r="K19" s="130">
        <v>1.2438</v>
      </c>
      <c r="L19" s="130">
        <v>0</v>
      </c>
    </row>
    <row r="20" spans="1:12" x14ac:dyDescent="0.25">
      <c r="A20" s="129" t="s">
        <v>57</v>
      </c>
      <c r="B20" s="130">
        <v>15000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/>
      <c r="K20" s="130">
        <v>0</v>
      </c>
      <c r="L20" s="130">
        <v>0</v>
      </c>
    </row>
    <row r="21" spans="1:12" x14ac:dyDescent="0.25">
      <c r="A21" s="129" t="s">
        <v>108</v>
      </c>
      <c r="B21" s="130">
        <v>0.82269999999999999</v>
      </c>
      <c r="C21" s="130">
        <v>0</v>
      </c>
      <c r="D21" s="130">
        <v>0</v>
      </c>
      <c r="E21" s="130">
        <v>0.72</v>
      </c>
      <c r="F21" s="130">
        <v>0.97599999999999998</v>
      </c>
      <c r="G21" s="130">
        <v>0.78069999999999995</v>
      </c>
      <c r="H21" s="130">
        <v>0.81399999999999995</v>
      </c>
      <c r="I21" s="130">
        <v>0</v>
      </c>
      <c r="J21" s="130"/>
      <c r="K21" s="130">
        <v>0</v>
      </c>
      <c r="L21" s="130">
        <v>0</v>
      </c>
    </row>
    <row r="22" spans="1:12" x14ac:dyDescent="0.25">
      <c r="A22" s="129" t="s">
        <v>55</v>
      </c>
      <c r="B22" s="130">
        <v>3600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/>
      <c r="K22" s="130">
        <v>0</v>
      </c>
      <c r="L22" s="130">
        <v>0</v>
      </c>
    </row>
    <row r="23" spans="1:12" x14ac:dyDescent="0.25">
      <c r="A23" s="129" t="s">
        <v>46</v>
      </c>
      <c r="B23" s="130">
        <v>0.83099999999999996</v>
      </c>
      <c r="C23" s="130">
        <v>0</v>
      </c>
      <c r="D23" s="130">
        <v>1.0458000000000001</v>
      </c>
      <c r="E23" s="130">
        <v>0.83099999999999996</v>
      </c>
      <c r="F23" s="130">
        <v>0.7641</v>
      </c>
      <c r="G23" s="130">
        <v>0.44340000000000002</v>
      </c>
      <c r="H23" s="130">
        <v>0.75719999999999998</v>
      </c>
      <c r="I23" s="130">
        <v>0</v>
      </c>
      <c r="J23" s="130"/>
      <c r="K23" s="130">
        <v>0</v>
      </c>
      <c r="L23" s="130">
        <v>0</v>
      </c>
    </row>
    <row r="24" spans="1:12" x14ac:dyDescent="0.25">
      <c r="A24" s="129" t="s">
        <v>56</v>
      </c>
      <c r="B24" s="130">
        <v>30000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/>
      <c r="K24" s="130">
        <v>0</v>
      </c>
      <c r="L24" s="130">
        <v>0</v>
      </c>
    </row>
    <row r="25" spans="1:12" x14ac:dyDescent="0.25">
      <c r="A25" s="129" t="s">
        <v>45</v>
      </c>
      <c r="B25" s="130">
        <v>90</v>
      </c>
      <c r="C25" s="130">
        <v>0</v>
      </c>
      <c r="D25" s="130">
        <v>0</v>
      </c>
      <c r="E25" s="130">
        <v>66.889499999999998</v>
      </c>
      <c r="F25" s="130">
        <v>57.403599999999997</v>
      </c>
      <c r="G25" s="130">
        <v>23.3398</v>
      </c>
      <c r="H25" s="130">
        <v>0</v>
      </c>
      <c r="I25" s="130">
        <v>0</v>
      </c>
      <c r="J25" s="130"/>
      <c r="K25" s="130">
        <v>0</v>
      </c>
      <c r="L25" s="130">
        <v>0</v>
      </c>
    </row>
    <row r="26" spans="1:12" x14ac:dyDescent="0.25">
      <c r="A26" s="129" t="s">
        <v>64</v>
      </c>
      <c r="B26" s="130">
        <v>2000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/>
      <c r="K26" s="130">
        <v>0</v>
      </c>
      <c r="L26" s="130">
        <v>0</v>
      </c>
    </row>
    <row r="27" spans="1:12" x14ac:dyDescent="0.25">
      <c r="A27" s="129" t="s">
        <v>109</v>
      </c>
      <c r="B27" s="130">
        <v>753.9126</v>
      </c>
      <c r="C27" s="130">
        <v>0</v>
      </c>
      <c r="D27" s="130">
        <v>0</v>
      </c>
      <c r="E27" s="130">
        <v>924.08699999999999</v>
      </c>
      <c r="F27" s="130">
        <v>0</v>
      </c>
      <c r="G27" s="130">
        <v>0</v>
      </c>
      <c r="H27" s="130">
        <v>583.73829999999998</v>
      </c>
      <c r="I27" s="130">
        <v>0</v>
      </c>
      <c r="J27" s="130"/>
      <c r="K27" s="130">
        <v>0</v>
      </c>
      <c r="L27" s="130">
        <v>0</v>
      </c>
    </row>
    <row r="28" spans="1:12" x14ac:dyDescent="0.25">
      <c r="A28" s="129" t="s">
        <v>41</v>
      </c>
      <c r="B28" s="130">
        <v>752.74289999999996</v>
      </c>
      <c r="C28" s="130">
        <v>0</v>
      </c>
      <c r="D28" s="130">
        <v>0</v>
      </c>
      <c r="E28" s="130">
        <v>0</v>
      </c>
      <c r="F28" s="130">
        <v>815.70690000000002</v>
      </c>
      <c r="G28" s="130">
        <v>689.6875</v>
      </c>
      <c r="H28" s="130">
        <v>0</v>
      </c>
      <c r="I28" s="130">
        <v>713.2482</v>
      </c>
      <c r="J28" s="130"/>
      <c r="K28" s="130">
        <v>0</v>
      </c>
      <c r="L28" s="130">
        <v>0</v>
      </c>
    </row>
    <row r="29" spans="1:12" x14ac:dyDescent="0.25">
      <c r="A29" s="129" t="s">
        <v>44</v>
      </c>
      <c r="B29" s="130">
        <v>1.9397</v>
      </c>
      <c r="C29" s="130">
        <v>0</v>
      </c>
      <c r="D29" s="130">
        <v>0.72550000000000003</v>
      </c>
      <c r="E29" s="130">
        <v>1.4831000000000001</v>
      </c>
      <c r="F29" s="130">
        <v>1.7661</v>
      </c>
      <c r="G29" s="130">
        <v>1.3645</v>
      </c>
      <c r="H29" s="130">
        <v>1.2831999999999999</v>
      </c>
      <c r="I29" s="130">
        <v>1.4144000000000001</v>
      </c>
      <c r="J29" s="130"/>
      <c r="K29" s="130">
        <v>0</v>
      </c>
      <c r="L29" s="130">
        <v>0</v>
      </c>
    </row>
    <row r="30" spans="1:12" x14ac:dyDescent="0.25">
      <c r="A30" s="129" t="s">
        <v>65</v>
      </c>
      <c r="B30" s="130">
        <v>1500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/>
      <c r="K30" s="130">
        <v>0</v>
      </c>
      <c r="L30" s="130">
        <v>0</v>
      </c>
    </row>
    <row r="31" spans="1:12" x14ac:dyDescent="0.25">
      <c r="A31" s="129" t="s">
        <v>49</v>
      </c>
      <c r="B31" s="130">
        <v>160000</v>
      </c>
      <c r="C31" s="130">
        <v>0</v>
      </c>
      <c r="D31" s="130">
        <v>0</v>
      </c>
      <c r="E31" s="130">
        <v>0</v>
      </c>
      <c r="F31" s="130">
        <v>144492.5385</v>
      </c>
      <c r="G31" s="130">
        <v>168884.17</v>
      </c>
      <c r="H31" s="130">
        <v>137803.0877</v>
      </c>
      <c r="I31" s="130">
        <v>158330</v>
      </c>
      <c r="J31" s="130"/>
      <c r="K31" s="130">
        <v>0</v>
      </c>
      <c r="L31" s="130">
        <v>0</v>
      </c>
    </row>
    <row r="32" spans="1:12" x14ac:dyDescent="0.25">
      <c r="A32" s="129" t="s">
        <v>50</v>
      </c>
      <c r="B32" s="130">
        <v>205791.79139999999</v>
      </c>
      <c r="C32" s="130">
        <v>0</v>
      </c>
      <c r="D32" s="130">
        <v>0</v>
      </c>
      <c r="E32" s="130">
        <v>0</v>
      </c>
      <c r="F32" s="130">
        <v>176229.44510000001</v>
      </c>
      <c r="G32" s="130">
        <v>205791.79139999999</v>
      </c>
      <c r="H32" s="130">
        <v>180994.28140000001</v>
      </c>
      <c r="I32" s="130">
        <v>0</v>
      </c>
      <c r="J32" s="130"/>
      <c r="K32" s="130">
        <v>0</v>
      </c>
      <c r="L32" s="130">
        <v>0</v>
      </c>
    </row>
    <row r="33" spans="1:12" x14ac:dyDescent="0.25">
      <c r="A33" s="129" t="s">
        <v>66</v>
      </c>
      <c r="B33" s="130">
        <v>1314.9724000000001</v>
      </c>
      <c r="C33" s="130">
        <v>904.79600000000005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/>
      <c r="K33" s="130">
        <v>0</v>
      </c>
      <c r="L33" s="130">
        <v>0</v>
      </c>
    </row>
    <row r="34" spans="1:12" x14ac:dyDescent="0.25">
      <c r="A34" s="129" t="s">
        <v>67</v>
      </c>
      <c r="B34" s="130">
        <v>128.95830000000001</v>
      </c>
      <c r="C34" s="130">
        <v>0</v>
      </c>
      <c r="D34" s="130">
        <v>121.15219999999999</v>
      </c>
      <c r="E34" s="130">
        <v>0</v>
      </c>
      <c r="F34" s="130">
        <v>96.144499999999994</v>
      </c>
      <c r="G34" s="130">
        <v>160.24469999999999</v>
      </c>
      <c r="H34" s="130">
        <v>105.4781</v>
      </c>
      <c r="I34" s="130">
        <v>0</v>
      </c>
      <c r="J34" s="130"/>
      <c r="K34" s="130">
        <v>0</v>
      </c>
      <c r="L34" s="130">
        <v>0</v>
      </c>
    </row>
    <row r="35" spans="1:12" x14ac:dyDescent="0.25">
      <c r="A35" s="129" t="s">
        <v>111</v>
      </c>
      <c r="B35" s="130">
        <v>400</v>
      </c>
      <c r="C35" s="130"/>
      <c r="D35" s="130"/>
      <c r="E35" s="130"/>
      <c r="F35" s="130"/>
      <c r="G35" s="130"/>
      <c r="H35" s="130"/>
      <c r="I35" s="130">
        <v>0</v>
      </c>
      <c r="J35" s="130"/>
      <c r="K35" s="130">
        <v>0</v>
      </c>
      <c r="L35" s="130">
        <v>0</v>
      </c>
    </row>
    <row r="36" spans="1:12" x14ac:dyDescent="0.25">
      <c r="A36" s="129" t="s">
        <v>112</v>
      </c>
      <c r="B36" s="130">
        <v>45.240900000000003</v>
      </c>
      <c r="C36" s="130">
        <v>0</v>
      </c>
      <c r="D36" s="130">
        <v>40.7455</v>
      </c>
      <c r="E36" s="130">
        <v>45.7971</v>
      </c>
      <c r="F36" s="130">
        <v>40.441499999999998</v>
      </c>
      <c r="G36" s="130">
        <v>53.299100000000003</v>
      </c>
      <c r="H36" s="130">
        <v>30.361000000000001</v>
      </c>
      <c r="I36" s="130">
        <v>54.244700000000002</v>
      </c>
      <c r="J36" s="130"/>
      <c r="K36" s="130">
        <v>0</v>
      </c>
      <c r="L36" s="130">
        <v>0</v>
      </c>
    </row>
    <row r="37" spans="1:12" x14ac:dyDescent="0.25">
      <c r="A37" s="129" t="s">
        <v>39</v>
      </c>
      <c r="B37" s="130">
        <v>69.065600000000003</v>
      </c>
      <c r="C37" s="130">
        <v>0</v>
      </c>
      <c r="D37" s="130">
        <v>68.745599999999996</v>
      </c>
      <c r="E37" s="130">
        <v>70.119100000000003</v>
      </c>
      <c r="F37" s="130">
        <v>65.048199999999994</v>
      </c>
      <c r="G37" s="130">
        <v>73.205200000000005</v>
      </c>
      <c r="H37" s="130">
        <v>40.787700000000001</v>
      </c>
      <c r="I37" s="130">
        <v>91.574700000000007</v>
      </c>
      <c r="J37" s="130"/>
      <c r="K37" s="130">
        <v>0</v>
      </c>
      <c r="L37" s="130">
        <v>0</v>
      </c>
    </row>
    <row r="38" spans="1:12" x14ac:dyDescent="0.25">
      <c r="A38" s="129" t="s">
        <v>113</v>
      </c>
      <c r="B38" s="130">
        <v>129.3425</v>
      </c>
      <c r="C38" s="130">
        <v>0</v>
      </c>
      <c r="D38" s="130">
        <v>71.642300000000006</v>
      </c>
      <c r="E38" s="130">
        <v>58.1648</v>
      </c>
      <c r="F38" s="130">
        <v>102.5286</v>
      </c>
      <c r="G38" s="130">
        <v>146.42320000000001</v>
      </c>
      <c r="H38" s="130">
        <v>139.07570000000001</v>
      </c>
      <c r="I38" s="130">
        <v>77.543899999999994</v>
      </c>
      <c r="J38" s="130"/>
      <c r="K38" s="130">
        <v>0</v>
      </c>
      <c r="L38" s="130">
        <v>0</v>
      </c>
    </row>
    <row r="39" spans="1:12" x14ac:dyDescent="0.25">
      <c r="A39" s="129" t="s">
        <v>114</v>
      </c>
      <c r="B39" s="130">
        <v>180.51240000000001</v>
      </c>
      <c r="C39" s="130">
        <v>0</v>
      </c>
      <c r="D39" s="130">
        <v>118.3291</v>
      </c>
      <c r="E39" s="130">
        <v>94.607600000000005</v>
      </c>
      <c r="F39" s="130">
        <v>180.51240000000001</v>
      </c>
      <c r="G39" s="130">
        <v>209.9134</v>
      </c>
      <c r="H39" s="130">
        <v>138.20230000000001</v>
      </c>
      <c r="I39" s="130">
        <v>113.0408</v>
      </c>
      <c r="J39" s="130"/>
      <c r="K39" s="130">
        <v>0</v>
      </c>
      <c r="L39" s="130">
        <v>0</v>
      </c>
    </row>
    <row r="40" spans="1:12" x14ac:dyDescent="0.25">
      <c r="A40" s="129" t="s">
        <v>35</v>
      </c>
      <c r="B40" s="130">
        <v>65000</v>
      </c>
      <c r="C40" s="130">
        <v>0</v>
      </c>
      <c r="D40" s="130">
        <v>0</v>
      </c>
      <c r="E40" s="130">
        <v>0</v>
      </c>
      <c r="F40" s="130">
        <v>102884.85370000001</v>
      </c>
      <c r="G40" s="130">
        <v>67731.719599999997</v>
      </c>
      <c r="H40" s="130">
        <v>48510.051599999999</v>
      </c>
      <c r="I40" s="130">
        <v>58086.18</v>
      </c>
      <c r="J40" s="130"/>
      <c r="K40" s="130">
        <v>0</v>
      </c>
      <c r="L40" s="130">
        <v>0</v>
      </c>
    </row>
    <row r="41" spans="1:12" x14ac:dyDescent="0.25">
      <c r="A41" s="129" t="s">
        <v>68</v>
      </c>
      <c r="B41" s="130">
        <v>35</v>
      </c>
      <c r="C41" s="130">
        <v>0</v>
      </c>
      <c r="D41" s="130">
        <v>0</v>
      </c>
      <c r="E41" s="130">
        <v>0</v>
      </c>
      <c r="F41" s="130">
        <v>32.962699999999998</v>
      </c>
      <c r="G41" s="130">
        <v>34.479900000000001</v>
      </c>
      <c r="H41" s="130">
        <v>22.3004</v>
      </c>
      <c r="I41" s="130">
        <v>34.720100000000002</v>
      </c>
      <c r="J41" s="130"/>
      <c r="K41" s="130">
        <v>0</v>
      </c>
      <c r="L41" s="130">
        <v>0</v>
      </c>
    </row>
    <row r="42" spans="1:12" x14ac:dyDescent="0.25">
      <c r="A42" s="129" t="s">
        <v>69</v>
      </c>
      <c r="B42" s="130">
        <v>22537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/>
      <c r="K42" s="130">
        <v>0</v>
      </c>
      <c r="L42" s="130">
        <v>0</v>
      </c>
    </row>
    <row r="43" spans="1:12" x14ac:dyDescent="0.25">
      <c r="A43" s="129" t="s">
        <v>54</v>
      </c>
      <c r="B43" s="130">
        <v>13000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/>
      <c r="K43" s="130">
        <v>0</v>
      </c>
      <c r="L43" s="130">
        <v>0</v>
      </c>
    </row>
    <row r="44" spans="1:12" x14ac:dyDescent="0.25">
      <c r="A44" s="129" t="s">
        <v>70</v>
      </c>
      <c r="B44" s="130">
        <v>1200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/>
      <c r="K44" s="130">
        <v>0</v>
      </c>
      <c r="L44" s="130">
        <v>0</v>
      </c>
    </row>
    <row r="45" spans="1:12" x14ac:dyDescent="0.25">
      <c r="A45" s="129" t="s">
        <v>117</v>
      </c>
      <c r="B45" s="130">
        <v>470</v>
      </c>
      <c r="C45" s="130">
        <v>0</v>
      </c>
      <c r="D45" s="130">
        <v>0</v>
      </c>
      <c r="E45" s="130">
        <v>0</v>
      </c>
      <c r="F45" s="130">
        <v>471.73230000000001</v>
      </c>
      <c r="G45" s="130">
        <v>323.34429999999998</v>
      </c>
      <c r="H45" s="130">
        <v>0</v>
      </c>
      <c r="I45" s="130">
        <v>532.49069999999995</v>
      </c>
      <c r="J45" s="130"/>
      <c r="K45" s="130">
        <v>395.09100000000001</v>
      </c>
      <c r="L45" s="130">
        <v>0</v>
      </c>
    </row>
    <row r="46" spans="1:12" x14ac:dyDescent="0.25">
      <c r="A46" s="129" t="s">
        <v>119</v>
      </c>
      <c r="B46" s="130">
        <v>37603.417099999999</v>
      </c>
      <c r="C46" s="130">
        <v>0</v>
      </c>
      <c r="D46" s="130">
        <v>0</v>
      </c>
      <c r="E46" s="130">
        <v>39136.0743</v>
      </c>
      <c r="F46" s="130">
        <v>0</v>
      </c>
      <c r="G46" s="130">
        <v>0</v>
      </c>
      <c r="H46" s="130">
        <v>0</v>
      </c>
      <c r="I46" s="130">
        <v>36070.76</v>
      </c>
      <c r="J46" s="130"/>
      <c r="K46" s="130">
        <v>0</v>
      </c>
      <c r="L46" s="130">
        <v>0</v>
      </c>
    </row>
    <row r="47" spans="1:12" x14ac:dyDescent="0.25">
      <c r="A47" s="129" t="s">
        <v>120</v>
      </c>
      <c r="B47" s="130">
        <v>5.0438000000000001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/>
      <c r="K47" s="130">
        <v>0</v>
      </c>
      <c r="L47" s="130">
        <v>0</v>
      </c>
    </row>
    <row r="48" spans="1:12" x14ac:dyDescent="0.25">
      <c r="A48" s="129" t="s">
        <v>121</v>
      </c>
      <c r="B48" s="130">
        <v>8.5052000000000003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/>
      <c r="K48" s="130">
        <v>0</v>
      </c>
      <c r="L48" s="130">
        <v>0</v>
      </c>
    </row>
    <row r="49" spans="1:12" x14ac:dyDescent="0.25">
      <c r="A49" s="129" t="s">
        <v>122</v>
      </c>
      <c r="B49" s="130">
        <v>12.8893</v>
      </c>
      <c r="C49" s="130">
        <v>0</v>
      </c>
      <c r="D49" s="130">
        <v>8.5052000000000003</v>
      </c>
      <c r="E49" s="130">
        <v>5.0438000000000001</v>
      </c>
      <c r="F49" s="130">
        <v>7.4629000000000003</v>
      </c>
      <c r="G49" s="130">
        <v>12.8893</v>
      </c>
      <c r="H49" s="130">
        <v>9.2315000000000005</v>
      </c>
      <c r="I49" s="130">
        <v>1.9762999999999999</v>
      </c>
      <c r="J49" s="130">
        <v>4.6909000000000001</v>
      </c>
      <c r="K49" s="130">
        <v>9.7203999999999997</v>
      </c>
      <c r="L49" s="130">
        <v>0</v>
      </c>
    </row>
    <row r="50" spans="1:12" x14ac:dyDescent="0.25">
      <c r="A50" s="129" t="s">
        <v>124</v>
      </c>
      <c r="B50" s="130">
        <v>95418.044599999994</v>
      </c>
      <c r="C50" s="130">
        <v>0</v>
      </c>
      <c r="D50" s="130">
        <v>0</v>
      </c>
      <c r="E50" s="130">
        <v>82515.334099999993</v>
      </c>
      <c r="F50" s="130">
        <v>82944.395300000004</v>
      </c>
      <c r="G50" s="130">
        <v>108115.2788</v>
      </c>
      <c r="H50" s="130">
        <v>108097.1703</v>
      </c>
      <c r="I50" s="130">
        <v>0</v>
      </c>
      <c r="J50" s="130"/>
      <c r="K50" s="130">
        <v>0</v>
      </c>
      <c r="L50" s="130">
        <v>167566</v>
      </c>
    </row>
    <row r="51" spans="1:12" x14ac:dyDescent="0.25">
      <c r="A51" s="129" t="s">
        <v>125</v>
      </c>
      <c r="B51" s="130">
        <v>65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/>
      <c r="K51" s="130">
        <v>0</v>
      </c>
      <c r="L51" s="130">
        <v>0</v>
      </c>
    </row>
    <row r="52" spans="1:12" x14ac:dyDescent="0.25">
      <c r="A52" s="129" t="s">
        <v>126</v>
      </c>
      <c r="B52" s="130">
        <v>50</v>
      </c>
      <c r="C52" s="130">
        <v>0</v>
      </c>
      <c r="D52" s="130">
        <v>72.053200000000004</v>
      </c>
      <c r="E52" s="130">
        <v>80.933599999999998</v>
      </c>
      <c r="F52" s="130">
        <v>60.936500000000002</v>
      </c>
      <c r="G52" s="130">
        <v>51.646700000000003</v>
      </c>
      <c r="H52" s="130">
        <v>48.214199999999998</v>
      </c>
      <c r="I52" s="130">
        <v>44.3001</v>
      </c>
      <c r="J52" s="130"/>
      <c r="K52" s="130">
        <v>72.223100000000002</v>
      </c>
      <c r="L52" s="130">
        <v>0</v>
      </c>
    </row>
    <row r="53" spans="1:12" x14ac:dyDescent="0.25">
      <c r="A53" s="129" t="s">
        <v>127</v>
      </c>
      <c r="B53" s="130">
        <v>33.3093</v>
      </c>
      <c r="C53" s="130">
        <v>0</v>
      </c>
      <c r="D53" s="130">
        <v>32.546199999999999</v>
      </c>
      <c r="E53" s="130">
        <v>29.602</v>
      </c>
      <c r="F53" s="130">
        <v>170.46440000000001</v>
      </c>
      <c r="G53" s="130">
        <v>29.653600000000001</v>
      </c>
      <c r="H53" s="130">
        <v>29.7713</v>
      </c>
      <c r="I53" s="130">
        <v>33.3093</v>
      </c>
      <c r="J53" s="130"/>
      <c r="K53" s="130">
        <v>0</v>
      </c>
      <c r="L53" s="130">
        <v>0</v>
      </c>
    </row>
    <row r="54" spans="1:12" x14ac:dyDescent="0.25">
      <c r="A54" s="129" t="s">
        <v>129</v>
      </c>
      <c r="B54" s="130">
        <v>140000</v>
      </c>
      <c r="C54" s="130">
        <v>0</v>
      </c>
      <c r="D54" s="130">
        <v>0</v>
      </c>
      <c r="E54" s="130">
        <v>0</v>
      </c>
      <c r="F54" s="130">
        <v>0</v>
      </c>
      <c r="G54" s="130">
        <v>141520.258</v>
      </c>
      <c r="H54" s="130">
        <v>138888.9982</v>
      </c>
      <c r="I54" s="130">
        <v>0</v>
      </c>
      <c r="J54" s="130"/>
      <c r="K54" s="130">
        <v>0</v>
      </c>
      <c r="L54" s="130">
        <v>0</v>
      </c>
    </row>
    <row r="55" spans="1:12" x14ac:dyDescent="0.25">
      <c r="A55" s="129" t="s">
        <v>130</v>
      </c>
      <c r="B55" s="130">
        <v>200000</v>
      </c>
      <c r="C55" s="130">
        <v>0</v>
      </c>
      <c r="D55" s="130">
        <v>151475.62849999999</v>
      </c>
      <c r="E55" s="130">
        <v>120005.13</v>
      </c>
      <c r="F55" s="130">
        <v>199140.0612</v>
      </c>
      <c r="G55" s="130">
        <v>0</v>
      </c>
      <c r="H55" s="130">
        <v>0</v>
      </c>
      <c r="I55" s="130">
        <v>0</v>
      </c>
      <c r="J55" s="130"/>
      <c r="K55" s="130">
        <v>0</v>
      </c>
      <c r="L55" s="130">
        <v>0</v>
      </c>
    </row>
    <row r="56" spans="1:12" x14ac:dyDescent="0.25">
      <c r="A56" s="129" t="s">
        <v>132</v>
      </c>
      <c r="B56" s="130">
        <v>66</v>
      </c>
      <c r="C56" s="130">
        <v>0</v>
      </c>
      <c r="D56" s="130">
        <v>0</v>
      </c>
      <c r="E56" s="130">
        <v>0</v>
      </c>
      <c r="F56" s="130">
        <v>65.757199999999997</v>
      </c>
      <c r="G56" s="130">
        <v>65.411000000000001</v>
      </c>
      <c r="H56" s="130">
        <v>70.051400000000001</v>
      </c>
      <c r="I56" s="130">
        <v>0</v>
      </c>
      <c r="J56" s="130"/>
      <c r="K56" s="130">
        <v>0</v>
      </c>
      <c r="L56" s="130">
        <v>0</v>
      </c>
    </row>
    <row r="57" spans="1:12" x14ac:dyDescent="0.25">
      <c r="A57" s="129" t="s">
        <v>133</v>
      </c>
      <c r="B57" s="130">
        <v>25000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24974.27</v>
      </c>
      <c r="J57" s="130"/>
      <c r="K57" s="130">
        <v>0</v>
      </c>
      <c r="L57" s="130">
        <v>0</v>
      </c>
    </row>
    <row r="58" spans="1:12" x14ac:dyDescent="0.25">
      <c r="A58" s="129" t="s">
        <v>141</v>
      </c>
      <c r="B58" s="130">
        <v>67.252899999999997</v>
      </c>
      <c r="C58" s="130">
        <v>0</v>
      </c>
      <c r="D58" s="130">
        <v>0</v>
      </c>
      <c r="E58" s="130">
        <v>0</v>
      </c>
      <c r="F58" s="130">
        <v>0</v>
      </c>
      <c r="G58" s="130">
        <v>78.381</v>
      </c>
      <c r="H58" s="130">
        <v>70.358900000000006</v>
      </c>
      <c r="I58" s="130">
        <v>67.252899999999997</v>
      </c>
      <c r="J58" s="130"/>
      <c r="K58" s="130">
        <v>0</v>
      </c>
      <c r="L58" s="130">
        <v>50.519399999999997</v>
      </c>
    </row>
    <row r="59" spans="1:12" x14ac:dyDescent="0.25">
      <c r="A59" s="129" t="s">
        <v>142</v>
      </c>
      <c r="B59" s="130">
        <v>25000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/>
      <c r="K59" s="130">
        <v>0</v>
      </c>
      <c r="L59" s="130">
        <v>0</v>
      </c>
    </row>
    <row r="60" spans="1:12" x14ac:dyDescent="0.25">
      <c r="A60" s="129" t="s">
        <v>143</v>
      </c>
      <c r="B60" s="130">
        <v>50000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/>
      <c r="K60" s="130">
        <v>0</v>
      </c>
      <c r="L60" s="130">
        <v>0</v>
      </c>
    </row>
    <row r="61" spans="1:12" x14ac:dyDescent="0.25">
      <c r="A61" s="129" t="s">
        <v>203</v>
      </c>
      <c r="B61" s="130">
        <v>7.9378000000000002</v>
      </c>
      <c r="C61" s="130">
        <v>0</v>
      </c>
      <c r="D61" s="130">
        <v>6.5590000000000002</v>
      </c>
      <c r="E61" s="130">
        <v>9.5173000000000005</v>
      </c>
      <c r="F61" s="130">
        <v>7.5754999999999999</v>
      </c>
      <c r="G61" s="130">
        <v>10.292400000000001</v>
      </c>
      <c r="H61" s="130">
        <v>7.5774999999999997</v>
      </c>
      <c r="I61" s="130">
        <v>7.1356999999999999</v>
      </c>
      <c r="J61" s="130"/>
      <c r="K61" s="130">
        <v>6.907</v>
      </c>
      <c r="L61" s="130">
        <v>0</v>
      </c>
    </row>
    <row r="62" spans="1:12" x14ac:dyDescent="0.25">
      <c r="A62" s="129" t="s">
        <v>218</v>
      </c>
      <c r="B62" s="130">
        <v>2163.0621999999998</v>
      </c>
      <c r="C62" s="130">
        <v>0</v>
      </c>
      <c r="D62" s="130">
        <v>0</v>
      </c>
      <c r="E62" s="130">
        <v>0</v>
      </c>
      <c r="F62" s="130">
        <v>0</v>
      </c>
      <c r="G62" s="130">
        <v>1305.7669000000001</v>
      </c>
      <c r="H62" s="130">
        <v>2202.7878000000001</v>
      </c>
      <c r="I62" s="130">
        <v>0</v>
      </c>
      <c r="J62" s="130"/>
      <c r="K62" s="130">
        <v>0</v>
      </c>
      <c r="L62" s="130">
        <v>0</v>
      </c>
    </row>
    <row r="63" spans="1:12" x14ac:dyDescent="0.25">
      <c r="A63" s="129" t="s">
        <v>274</v>
      </c>
      <c r="B63" s="130">
        <v>2.5842999999999998</v>
      </c>
      <c r="C63" s="130">
        <v>0</v>
      </c>
      <c r="D63" s="130">
        <v>0</v>
      </c>
      <c r="E63" s="130">
        <v>1.5643</v>
      </c>
      <c r="F63" s="130">
        <v>1.9508000000000001</v>
      </c>
      <c r="G63" s="130">
        <v>1.8602000000000001</v>
      </c>
      <c r="H63" s="130">
        <v>2.6865999999999999</v>
      </c>
      <c r="I63" s="130">
        <v>1.7016</v>
      </c>
      <c r="J63" s="130"/>
      <c r="K63" s="130">
        <v>0</v>
      </c>
      <c r="L63" s="130">
        <v>3.4670999999999998</v>
      </c>
    </row>
    <row r="64" spans="1:12" x14ac:dyDescent="0.25">
      <c r="A64" s="129" t="s">
        <v>275</v>
      </c>
      <c r="B64" s="130">
        <v>215.49809999999999</v>
      </c>
      <c r="C64" s="130">
        <v>0</v>
      </c>
      <c r="D64" s="130">
        <v>0</v>
      </c>
      <c r="E64" s="130">
        <v>0</v>
      </c>
      <c r="F64" s="130">
        <v>0</v>
      </c>
      <c r="G64" s="130">
        <v>198.02019999999999</v>
      </c>
      <c r="H64" s="130">
        <v>174.55019999999999</v>
      </c>
      <c r="I64" s="130">
        <v>213.44290000000001</v>
      </c>
      <c r="J64" s="130"/>
      <c r="K64" s="130">
        <v>0</v>
      </c>
      <c r="L64" s="130">
        <v>0</v>
      </c>
    </row>
    <row r="65" spans="1:12" x14ac:dyDescent="0.25">
      <c r="A65" s="129" t="s">
        <v>239</v>
      </c>
      <c r="B65" s="130">
        <v>28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/>
      <c r="K65" s="130">
        <v>0</v>
      </c>
      <c r="L65" s="130">
        <v>0</v>
      </c>
    </row>
    <row r="66" spans="1:12" x14ac:dyDescent="0.25">
      <c r="A66" s="129" t="s">
        <v>276</v>
      </c>
      <c r="B66" s="130">
        <v>1027.4322999999999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1027.4322999999999</v>
      </c>
      <c r="J66" s="130"/>
      <c r="K66" s="130">
        <v>0</v>
      </c>
      <c r="L66" s="130">
        <v>0</v>
      </c>
    </row>
    <row r="67" spans="1:12" x14ac:dyDescent="0.25">
      <c r="A67" s="129" t="s">
        <v>278</v>
      </c>
      <c r="B67" s="130">
        <v>5000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/>
      <c r="K67" s="130">
        <v>0</v>
      </c>
      <c r="L67" s="130">
        <v>0</v>
      </c>
    </row>
    <row r="68" spans="1:12" x14ac:dyDescent="0.25">
      <c r="A68" s="129" t="s">
        <v>292</v>
      </c>
      <c r="B68" s="130">
        <v>300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/>
      <c r="K68" s="130">
        <v>0</v>
      </c>
      <c r="L68" s="130">
        <v>0</v>
      </c>
    </row>
    <row r="69" spans="1:12" x14ac:dyDescent="0.25">
      <c r="A69" s="129" t="s">
        <v>293</v>
      </c>
      <c r="B69" s="130">
        <v>12000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/>
      <c r="K69" s="130">
        <v>0</v>
      </c>
      <c r="L69" s="130">
        <v>0</v>
      </c>
    </row>
    <row r="70" spans="1:12" x14ac:dyDescent="0.25">
      <c r="A70" s="129" t="s">
        <v>294</v>
      </c>
      <c r="B70" s="130">
        <v>24000</v>
      </c>
      <c r="C70" s="130">
        <v>0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/>
      <c r="K70" s="130">
        <v>0</v>
      </c>
      <c r="L70" s="130">
        <v>0</v>
      </c>
    </row>
    <row r="71" spans="1:12" x14ac:dyDescent="0.25">
      <c r="A71" s="129" t="s">
        <v>295</v>
      </c>
      <c r="B71" s="130">
        <v>6000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/>
      <c r="K71" s="130">
        <v>0</v>
      </c>
      <c r="L71" s="130">
        <v>0</v>
      </c>
    </row>
    <row r="72" spans="1:12" x14ac:dyDescent="0.25">
      <c r="A72" s="129" t="s">
        <v>299</v>
      </c>
      <c r="B72" s="130">
        <v>22559.398099999999</v>
      </c>
      <c r="C72" s="130">
        <v>0</v>
      </c>
      <c r="D72" s="130">
        <v>0</v>
      </c>
      <c r="E72" s="130">
        <v>0</v>
      </c>
      <c r="F72" s="130">
        <v>17884.164199999999</v>
      </c>
      <c r="G72" s="130">
        <v>32884.262499999997</v>
      </c>
      <c r="H72" s="130">
        <v>16909.767800000001</v>
      </c>
      <c r="I72" s="130">
        <v>0</v>
      </c>
      <c r="J72" s="130"/>
      <c r="K72" s="130">
        <v>0</v>
      </c>
      <c r="L72" s="130">
        <v>0</v>
      </c>
    </row>
    <row r="73" spans="1:12" x14ac:dyDescent="0.25">
      <c r="A73" s="129" t="s">
        <v>300</v>
      </c>
      <c r="B73" s="130">
        <v>0.46889999999999998</v>
      </c>
      <c r="C73" s="130">
        <v>0</v>
      </c>
      <c r="D73" s="130">
        <v>0</v>
      </c>
      <c r="E73" s="130">
        <v>0</v>
      </c>
      <c r="F73" s="130">
        <v>0.42059999999999997</v>
      </c>
      <c r="G73" s="130">
        <v>0.56579999999999997</v>
      </c>
      <c r="H73" s="130">
        <v>0.42030000000000001</v>
      </c>
      <c r="I73" s="130">
        <v>0</v>
      </c>
      <c r="J73" s="130"/>
      <c r="K73" s="130">
        <v>0</v>
      </c>
      <c r="L73" s="130">
        <v>0</v>
      </c>
    </row>
    <row r="74" spans="1:12" x14ac:dyDescent="0.25">
      <c r="A74" s="129" t="s">
        <v>301</v>
      </c>
      <c r="B74" s="130">
        <v>1083.0071</v>
      </c>
      <c r="C74" s="130">
        <v>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/>
      <c r="K74" s="130">
        <v>0</v>
      </c>
      <c r="L74" s="130">
        <v>1083.0071</v>
      </c>
    </row>
    <row r="75" spans="1:12" x14ac:dyDescent="0.25">
      <c r="A75" s="129" t="s">
        <v>302</v>
      </c>
      <c r="B75" s="130">
        <v>29.432500000000001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/>
      <c r="K75" s="130">
        <v>0</v>
      </c>
      <c r="L75" s="130">
        <v>0</v>
      </c>
    </row>
    <row r="76" spans="1:12" x14ac:dyDescent="0.25">
      <c r="A76" s="129" t="s">
        <v>303</v>
      </c>
      <c r="B76" s="130">
        <v>65837.426099999997</v>
      </c>
      <c r="C76" s="130">
        <v>0</v>
      </c>
      <c r="D76" s="130">
        <v>0</v>
      </c>
      <c r="E76" s="130">
        <v>0</v>
      </c>
      <c r="F76" s="130">
        <v>0</v>
      </c>
      <c r="G76" s="130">
        <v>70249.180399999997</v>
      </c>
      <c r="H76" s="130">
        <v>61425.671799999996</v>
      </c>
      <c r="I76" s="130">
        <v>0</v>
      </c>
      <c r="J76" s="130"/>
      <c r="K76" s="130">
        <v>0</v>
      </c>
      <c r="L76" s="130">
        <v>0</v>
      </c>
    </row>
    <row r="77" spans="1:12" x14ac:dyDescent="0.25">
      <c r="A77" s="129" t="s">
        <v>352</v>
      </c>
      <c r="B77" s="130">
        <v>313013.90700000001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/>
      <c r="K77" s="130">
        <v>0</v>
      </c>
      <c r="L77" s="130">
        <v>0</v>
      </c>
    </row>
    <row r="78" spans="1:12" x14ac:dyDescent="0.25">
      <c r="A78" s="129" t="s">
        <v>353</v>
      </c>
      <c r="B78" s="130">
        <v>700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  <c r="J78" s="130"/>
      <c r="K78" s="130">
        <v>0</v>
      </c>
      <c r="L78" s="130">
        <v>0</v>
      </c>
    </row>
    <row r="79" spans="1:12" x14ac:dyDescent="0.25">
      <c r="A79" s="129" t="s">
        <v>354</v>
      </c>
      <c r="B79" s="130">
        <v>1000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/>
      <c r="K79" s="130">
        <v>0</v>
      </c>
      <c r="L79" s="130">
        <v>0</v>
      </c>
    </row>
    <row r="80" spans="1:12" x14ac:dyDescent="0.25">
      <c r="A80" s="129" t="s">
        <v>336</v>
      </c>
      <c r="B80" s="130">
        <v>228000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</row>
    <row r="81" spans="1:12" x14ac:dyDescent="0.25">
      <c r="A81" s="129" t="s">
        <v>386</v>
      </c>
      <c r="B81" s="130">
        <v>1200.6575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/>
      <c r="K81" s="130">
        <v>0</v>
      </c>
      <c r="L81" s="130">
        <v>0</v>
      </c>
    </row>
    <row r="82" spans="1:12" x14ac:dyDescent="0.25">
      <c r="A82" s="129" t="s">
        <v>387</v>
      </c>
      <c r="B82" s="130">
        <v>929.33330000000001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</row>
    <row r="83" spans="1:12" x14ac:dyDescent="0.25">
      <c r="A83" s="129" t="s">
        <v>388</v>
      </c>
      <c r="B83" s="130">
        <v>213.82859999999999</v>
      </c>
      <c r="C83" s="130">
        <v>286.27510000000001</v>
      </c>
      <c r="D83" s="130">
        <v>0</v>
      </c>
      <c r="E83" s="130">
        <v>0</v>
      </c>
      <c r="F83" s="130">
        <v>0</v>
      </c>
      <c r="G83" s="130">
        <v>310.29399999999998</v>
      </c>
      <c r="H83" s="130">
        <v>0</v>
      </c>
      <c r="I83" s="130">
        <v>0</v>
      </c>
      <c r="J83" s="130"/>
      <c r="K83" s="130">
        <v>0</v>
      </c>
      <c r="L83" s="130">
        <v>0</v>
      </c>
    </row>
    <row r="84" spans="1:12" x14ac:dyDescent="0.25">
      <c r="A84" s="129" t="s">
        <v>389</v>
      </c>
      <c r="B84" s="130">
        <v>286.27510000000001</v>
      </c>
      <c r="C84" s="130">
        <v>286.27510000000001</v>
      </c>
      <c r="D84" s="130">
        <v>0</v>
      </c>
      <c r="E84" s="130">
        <v>0</v>
      </c>
      <c r="F84" s="130">
        <v>0</v>
      </c>
      <c r="G84" s="130">
        <v>310.29399999999998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</row>
    <row r="85" spans="1:12" x14ac:dyDescent="0.25">
      <c r="A85" s="129" t="s">
        <v>390</v>
      </c>
      <c r="B85" s="130">
        <v>650000</v>
      </c>
      <c r="C85" s="130">
        <v>448784.68</v>
      </c>
      <c r="D85" s="130">
        <v>0</v>
      </c>
      <c r="E85" s="130">
        <v>0</v>
      </c>
      <c r="F85" s="130">
        <v>878747.70730000001</v>
      </c>
      <c r="G85" s="130">
        <v>0</v>
      </c>
      <c r="H85" s="130">
        <v>0</v>
      </c>
      <c r="I85" s="130">
        <v>0</v>
      </c>
      <c r="J85" s="130"/>
      <c r="K85" s="130">
        <v>0</v>
      </c>
      <c r="L85" s="130">
        <v>0</v>
      </c>
    </row>
    <row r="86" spans="1:12" x14ac:dyDescent="0.25">
      <c r="A86" s="129" t="s">
        <v>391</v>
      </c>
      <c r="B86" s="130">
        <v>450000</v>
      </c>
      <c r="C86" s="130">
        <v>448784.68</v>
      </c>
      <c r="D86" s="130">
        <v>0</v>
      </c>
      <c r="E86" s="130">
        <v>0</v>
      </c>
      <c r="F86" s="130">
        <v>878747.70730000001</v>
      </c>
      <c r="G86" s="130">
        <v>0</v>
      </c>
      <c r="H86" s="130">
        <v>0</v>
      </c>
      <c r="I86" s="130">
        <v>0</v>
      </c>
      <c r="J86" s="130">
        <v>0</v>
      </c>
      <c r="K86" s="130">
        <v>0</v>
      </c>
      <c r="L86" s="130">
        <v>0</v>
      </c>
    </row>
    <row r="87" spans="1:12" x14ac:dyDescent="0.25">
      <c r="A87" s="129" t="s">
        <v>392</v>
      </c>
      <c r="B87" s="130">
        <v>63876.498899999999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30">
        <v>63876.498899999999</v>
      </c>
      <c r="I87" s="130">
        <v>0</v>
      </c>
      <c r="J87" s="130"/>
      <c r="K87" s="130">
        <v>0</v>
      </c>
      <c r="L87" s="130">
        <v>0</v>
      </c>
    </row>
    <row r="88" spans="1:12" x14ac:dyDescent="0.25">
      <c r="A88" s="129" t="s">
        <v>393</v>
      </c>
      <c r="B88" s="130">
        <v>80000</v>
      </c>
      <c r="C88" s="130">
        <v>0</v>
      </c>
      <c r="D88" s="130">
        <v>0</v>
      </c>
      <c r="E88" s="130">
        <v>112434.0808</v>
      </c>
      <c r="F88" s="130">
        <v>103449.2993</v>
      </c>
      <c r="G88" s="130">
        <v>63571.734900000003</v>
      </c>
      <c r="H88" s="130">
        <v>57992.594899999996</v>
      </c>
      <c r="I88" s="130">
        <v>84100.800499999998</v>
      </c>
      <c r="J88" s="130"/>
      <c r="K88" s="130">
        <v>0</v>
      </c>
      <c r="L88" s="130">
        <v>0</v>
      </c>
    </row>
    <row r="89" spans="1:12" x14ac:dyDescent="0.25">
      <c r="A89" s="129" t="s">
        <v>394</v>
      </c>
      <c r="B89" s="130">
        <v>2568.1403</v>
      </c>
      <c r="C89" s="130">
        <v>0</v>
      </c>
      <c r="D89" s="130">
        <v>2221.4677000000001</v>
      </c>
      <c r="E89" s="130">
        <v>2014.9455</v>
      </c>
      <c r="F89" s="130">
        <v>4530.9337999999998</v>
      </c>
      <c r="G89" s="130">
        <v>2654.0810999999999</v>
      </c>
      <c r="H89" s="130">
        <v>2482.1995999999999</v>
      </c>
      <c r="I89" s="130">
        <v>1534.1513</v>
      </c>
      <c r="J89" s="130"/>
      <c r="K89" s="130">
        <v>0</v>
      </c>
      <c r="L89" s="130">
        <v>0</v>
      </c>
    </row>
    <row r="90" spans="1:12" x14ac:dyDescent="0.25">
      <c r="A90" s="129" t="s">
        <v>395</v>
      </c>
      <c r="B90" s="130">
        <v>1899.8912</v>
      </c>
      <c r="C90" s="130">
        <v>0</v>
      </c>
      <c r="D90" s="130">
        <v>2221.4677000000001</v>
      </c>
      <c r="E90" s="130">
        <v>2014.9455</v>
      </c>
      <c r="F90" s="130">
        <v>4530.9337999999998</v>
      </c>
      <c r="G90" s="130">
        <v>2654.0810999999999</v>
      </c>
      <c r="H90" s="130">
        <v>2482.1995999999999</v>
      </c>
      <c r="I90" s="130">
        <v>1534.1513</v>
      </c>
      <c r="J90" s="130">
        <v>0</v>
      </c>
      <c r="K90" s="130">
        <v>0</v>
      </c>
      <c r="L90" s="130">
        <v>0</v>
      </c>
    </row>
    <row r="91" spans="1:12" x14ac:dyDescent="0.25">
      <c r="A91" s="129" t="s">
        <v>396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1:12" x14ac:dyDescent="0.25">
      <c r="A92" s="129" t="s">
        <v>397</v>
      </c>
      <c r="B92" s="130">
        <v>9500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1:12" x14ac:dyDescent="0.25">
      <c r="A93" s="129" t="s">
        <v>398</v>
      </c>
      <c r="B93" s="130">
        <v>500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/>
      <c r="K93" s="130">
        <v>0</v>
      </c>
      <c r="L93" s="130">
        <v>0</v>
      </c>
    </row>
    <row r="94" spans="1:12" x14ac:dyDescent="0.25">
      <c r="A94" s="129" t="s">
        <v>399</v>
      </c>
      <c r="B94" s="130">
        <v>258.74</v>
      </c>
      <c r="C94" s="130">
        <v>0</v>
      </c>
      <c r="D94" s="130">
        <v>0</v>
      </c>
      <c r="E94" s="130">
        <v>0</v>
      </c>
      <c r="F94" s="130">
        <v>0</v>
      </c>
      <c r="G94" s="130">
        <v>0</v>
      </c>
      <c r="H94" s="130">
        <v>0</v>
      </c>
      <c r="I94" s="130">
        <v>0</v>
      </c>
      <c r="J94" s="130"/>
      <c r="K94" s="130">
        <v>0</v>
      </c>
      <c r="L94" s="130">
        <v>0</v>
      </c>
    </row>
    <row r="95" spans="1:12" x14ac:dyDescent="0.25">
      <c r="A95" s="129" t="s">
        <v>400</v>
      </c>
      <c r="B95" s="130">
        <v>199.25550000000001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/>
      <c r="K95" s="130">
        <v>0</v>
      </c>
      <c r="L95" s="130">
        <v>0</v>
      </c>
    </row>
    <row r="96" spans="1:12" x14ac:dyDescent="0.25">
      <c r="A96" s="129" t="s">
        <v>401</v>
      </c>
      <c r="B96" s="130">
        <v>582.41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1:12" x14ac:dyDescent="0.25">
      <c r="A97" s="129" t="s">
        <v>402</v>
      </c>
      <c r="B97" s="130">
        <v>25.54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1:12" x14ac:dyDescent="0.25">
      <c r="A98" s="129" t="s">
        <v>403</v>
      </c>
      <c r="B98" s="130">
        <v>52.79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1:12" x14ac:dyDescent="0.25">
      <c r="A99" s="129" t="s">
        <v>404</v>
      </c>
      <c r="B99" s="130">
        <v>4714.3634000000002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</row>
    <row r="100" spans="1:12" x14ac:dyDescent="0.25">
      <c r="A100" s="129" t="s">
        <v>405</v>
      </c>
      <c r="B100" s="130">
        <v>7128.72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1:12" x14ac:dyDescent="0.25">
      <c r="A101" s="129" t="s">
        <v>406</v>
      </c>
      <c r="B101" s="130">
        <v>7080.74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7080.74</v>
      </c>
      <c r="J101" s="130"/>
      <c r="K101" s="130">
        <v>0</v>
      </c>
      <c r="L101" s="130">
        <v>0</v>
      </c>
    </row>
    <row r="102" spans="1:12" x14ac:dyDescent="0.25">
      <c r="A102" s="129" t="s">
        <v>407</v>
      </c>
      <c r="B102" s="130">
        <v>1589.7150999999999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1589.7150999999999</v>
      </c>
      <c r="J102" s="130"/>
      <c r="K102" s="130">
        <v>0</v>
      </c>
      <c r="L102" s="130">
        <v>0</v>
      </c>
    </row>
    <row r="103" spans="1:12" x14ac:dyDescent="0.25">
      <c r="A103" s="129" t="s">
        <v>408</v>
      </c>
      <c r="B103" s="130">
        <v>90000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/>
      <c r="K103" s="130">
        <v>0</v>
      </c>
      <c r="L103" s="130">
        <v>0</v>
      </c>
    </row>
    <row r="104" spans="1:12" x14ac:dyDescent="0.25">
      <c r="A104" s="129" t="s">
        <v>409</v>
      </c>
      <c r="B104" s="130">
        <v>35000</v>
      </c>
      <c r="C104" s="130">
        <v>0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35000</v>
      </c>
      <c r="J104" s="130"/>
      <c r="K104" s="130">
        <v>0</v>
      </c>
      <c r="L104" s="130">
        <v>0</v>
      </c>
    </row>
    <row r="105" spans="1:12" x14ac:dyDescent="0.25">
      <c r="A105" s="129" t="s">
        <v>410</v>
      </c>
      <c r="B105" s="130">
        <v>30000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1:12" x14ac:dyDescent="0.25">
      <c r="A106" s="129" t="s">
        <v>411</v>
      </c>
      <c r="B106" s="130">
        <v>120000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/>
      <c r="K106" s="130">
        <v>0</v>
      </c>
      <c r="L106" s="130">
        <v>0</v>
      </c>
    </row>
    <row r="107" spans="1:12" x14ac:dyDescent="0.25">
      <c r="A107" s="129" t="s">
        <v>412</v>
      </c>
      <c r="B107" s="130">
        <v>227.82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/>
      <c r="K107" s="130">
        <v>0</v>
      </c>
      <c r="L107" s="130">
        <v>0</v>
      </c>
    </row>
    <row r="108" spans="1:12" x14ac:dyDescent="0.25">
      <c r="A108" s="129" t="s">
        <v>413</v>
      </c>
      <c r="B108" s="130">
        <v>135.6</v>
      </c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</row>
    <row r="109" spans="1:12" x14ac:dyDescent="0.25">
      <c r="A109" s="129" t="s">
        <v>414</v>
      </c>
      <c r="B109" s="130">
        <v>135.6</v>
      </c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</row>
    <row r="110" spans="1:12" x14ac:dyDescent="0.25">
      <c r="A110" s="129" t="s">
        <v>415</v>
      </c>
      <c r="B110" s="130">
        <v>19624.543000000001</v>
      </c>
      <c r="C110" s="130">
        <v>0</v>
      </c>
      <c r="D110" s="130">
        <v>0</v>
      </c>
      <c r="E110" s="130">
        <v>0</v>
      </c>
      <c r="F110" s="130">
        <v>0</v>
      </c>
      <c r="G110" s="130">
        <v>19624.543000000001</v>
      </c>
      <c r="H110" s="130">
        <v>19023.598099999999</v>
      </c>
      <c r="I110" s="130">
        <v>0</v>
      </c>
      <c r="J110" s="130"/>
      <c r="K110" s="130">
        <v>0</v>
      </c>
      <c r="L110" s="130">
        <v>0</v>
      </c>
    </row>
    <row r="111" spans="1:12" x14ac:dyDescent="0.25">
      <c r="A111" s="129" t="s">
        <v>416</v>
      </c>
      <c r="B111" s="130">
        <v>92681.78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1:12" x14ac:dyDescent="0.25">
      <c r="A112" s="129" t="s">
        <v>417</v>
      </c>
      <c r="B112" s="130">
        <v>11077.3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1:12" x14ac:dyDescent="0.25">
      <c r="A113" s="129" t="s">
        <v>418</v>
      </c>
      <c r="B113" s="130">
        <v>65729.08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1:12" x14ac:dyDescent="0.25">
      <c r="A114" s="129" t="s">
        <v>419</v>
      </c>
      <c r="B114" s="130">
        <v>200000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1:12" x14ac:dyDescent="0.25">
      <c r="A115" s="129" t="s">
        <v>430</v>
      </c>
      <c r="B115" s="130">
        <v>12.8893</v>
      </c>
      <c r="C115" s="130">
        <v>0</v>
      </c>
      <c r="D115" s="130">
        <v>8.5052000000000003</v>
      </c>
      <c r="E115" s="130">
        <v>5.0438000000000001</v>
      </c>
      <c r="F115" s="130">
        <v>7.4629000000000003</v>
      </c>
      <c r="G115" s="130">
        <v>12.8893</v>
      </c>
      <c r="H115" s="130">
        <v>9.2315000000000005</v>
      </c>
      <c r="I115" s="130">
        <v>1.9762999999999999</v>
      </c>
      <c r="J115" s="130">
        <v>4.6909000000000001</v>
      </c>
      <c r="K115" s="130">
        <v>9.7203999999999997</v>
      </c>
      <c r="L115" s="130">
        <v>0</v>
      </c>
    </row>
    <row r="116" spans="1:12" x14ac:dyDescent="0.25">
      <c r="A116" s="129" t="s">
        <v>431</v>
      </c>
      <c r="B116" s="130">
        <v>81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/>
      <c r="K116" s="130">
        <v>0</v>
      </c>
      <c r="L116" s="130">
        <v>0</v>
      </c>
    </row>
    <row r="117" spans="1:12" x14ac:dyDescent="0.25">
      <c r="B117"/>
      <c r="C117"/>
      <c r="D117"/>
      <c r="E117"/>
      <c r="F117"/>
      <c r="G117"/>
      <c r="H117"/>
      <c r="I117"/>
      <c r="J117"/>
    </row>
    <row r="118" spans="1:12" x14ac:dyDescent="0.25">
      <c r="B118"/>
      <c r="C118"/>
      <c r="D118"/>
      <c r="E118"/>
      <c r="F118"/>
      <c r="G118"/>
      <c r="H118"/>
      <c r="I118"/>
      <c r="J118"/>
    </row>
    <row r="119" spans="1:12" x14ac:dyDescent="0.25">
      <c r="B119"/>
      <c r="C119"/>
      <c r="D119"/>
      <c r="E119"/>
      <c r="F119"/>
      <c r="G119"/>
      <c r="H119"/>
      <c r="I119"/>
      <c r="J119"/>
    </row>
    <row r="120" spans="1:12" x14ac:dyDescent="0.25">
      <c r="B120"/>
      <c r="C120"/>
      <c r="D120"/>
      <c r="E120"/>
      <c r="F120"/>
      <c r="G120"/>
      <c r="H120"/>
      <c r="I120"/>
      <c r="J120"/>
    </row>
    <row r="121" spans="1:12" x14ac:dyDescent="0.25">
      <c r="B121"/>
      <c r="C121"/>
      <c r="D121"/>
      <c r="E121"/>
      <c r="F121"/>
      <c r="G121"/>
      <c r="H121"/>
      <c r="I121"/>
      <c r="J121"/>
    </row>
    <row r="122" spans="1:12" x14ac:dyDescent="0.25">
      <c r="B122"/>
      <c r="C122"/>
      <c r="D122"/>
      <c r="E122"/>
      <c r="F122"/>
      <c r="G122"/>
      <c r="H122"/>
      <c r="I122"/>
      <c r="J122"/>
    </row>
    <row r="123" spans="1:12" x14ac:dyDescent="0.25">
      <c r="B123"/>
      <c r="C123"/>
      <c r="D123"/>
      <c r="E123"/>
      <c r="F123"/>
      <c r="G123"/>
      <c r="H123"/>
      <c r="I123"/>
      <c r="J123"/>
    </row>
    <row r="141" spans="1:2" x14ac:dyDescent="0.25">
      <c r="A141" s="128" t="s">
        <v>59</v>
      </c>
      <c r="B141" s="130" t="s">
        <v>73</v>
      </c>
    </row>
    <row r="142" spans="1:2" x14ac:dyDescent="0.25">
      <c r="A142" s="129" t="s">
        <v>131</v>
      </c>
      <c r="B142" s="130">
        <v>2</v>
      </c>
    </row>
    <row r="143" spans="1:2" x14ac:dyDescent="0.25">
      <c r="A143" s="129" t="s">
        <v>71</v>
      </c>
      <c r="B143" s="130">
        <v>7</v>
      </c>
    </row>
    <row r="144" spans="1:2" x14ac:dyDescent="0.25">
      <c r="A144" s="129" t="s">
        <v>72</v>
      </c>
      <c r="B144" s="130">
        <v>6</v>
      </c>
    </row>
    <row r="145" spans="1:2" x14ac:dyDescent="0.25">
      <c r="A145" s="129" t="s">
        <v>100</v>
      </c>
      <c r="B145" s="130">
        <v>8</v>
      </c>
    </row>
    <row r="146" spans="1:2" x14ac:dyDescent="0.25">
      <c r="A146" s="129" t="s">
        <v>101</v>
      </c>
      <c r="B146" s="130">
        <v>5</v>
      </c>
    </row>
    <row r="147" spans="1:2" x14ac:dyDescent="0.25">
      <c r="A147" s="129" t="s">
        <v>102</v>
      </c>
      <c r="B147" s="130">
        <v>4</v>
      </c>
    </row>
    <row r="148" spans="1:2" x14ac:dyDescent="0.25">
      <c r="A148" s="129" t="s">
        <v>115</v>
      </c>
      <c r="B148" s="130">
        <v>3</v>
      </c>
    </row>
    <row r="149" spans="1:2" x14ac:dyDescent="0.25">
      <c r="A149" s="129" t="s">
        <v>116</v>
      </c>
      <c r="B149" s="130">
        <v>9</v>
      </c>
    </row>
    <row r="150" spans="1:2" x14ac:dyDescent="0.25">
      <c r="A150" s="129" t="s">
        <v>309</v>
      </c>
      <c r="B150" s="130">
        <v>10</v>
      </c>
    </row>
    <row r="151" spans="1:2" x14ac:dyDescent="0.25">
      <c r="A151" s="129" t="s">
        <v>310</v>
      </c>
      <c r="B151" s="130">
        <v>11</v>
      </c>
    </row>
    <row r="152" spans="1:2" x14ac:dyDescent="0.25">
      <c r="A152" s="129" t="s">
        <v>311</v>
      </c>
      <c r="B152" s="130">
        <v>12</v>
      </c>
    </row>
    <row r="153" spans="1:2" x14ac:dyDescent="0.25">
      <c r="A153" s="129" t="s">
        <v>355</v>
      </c>
      <c r="B153" s="130">
        <v>13</v>
      </c>
    </row>
    <row r="154" spans="1:2" x14ac:dyDescent="0.25">
      <c r="A154" s="129" t="s">
        <v>356</v>
      </c>
      <c r="B154" s="130">
        <v>14</v>
      </c>
    </row>
    <row r="155" spans="1:2" x14ac:dyDescent="0.25">
      <c r="A155" s="129" t="s">
        <v>357</v>
      </c>
      <c r="B155" s="130">
        <v>15</v>
      </c>
    </row>
    <row r="156" spans="1:2" x14ac:dyDescent="0.25">
      <c r="A156" s="129" t="s">
        <v>358</v>
      </c>
      <c r="B156" s="130">
        <v>16</v>
      </c>
    </row>
    <row r="157" spans="1:2" x14ac:dyDescent="0.25">
      <c r="A157" s="129" t="s">
        <v>359</v>
      </c>
      <c r="B157" s="130">
        <v>17</v>
      </c>
    </row>
    <row r="158" spans="1:2" x14ac:dyDescent="0.25">
      <c r="A158" s="129" t="s">
        <v>360</v>
      </c>
      <c r="B158" s="130">
        <v>18</v>
      </c>
    </row>
    <row r="159" spans="1:2" x14ac:dyDescent="0.25">
      <c r="A159" s="129" t="s">
        <v>58</v>
      </c>
      <c r="B159" s="130">
        <v>170</v>
      </c>
    </row>
    <row r="160" spans="1:2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64"/>
  <sheetViews>
    <sheetView showGridLines="0" tabSelected="1" zoomScaleNormal="100" workbookViewId="0">
      <selection activeCell="B8" sqref="B8"/>
    </sheetView>
  </sheetViews>
  <sheetFormatPr defaultColWidth="9.140625" defaultRowHeight="11.25" x14ac:dyDescent="0.25"/>
  <cols>
    <col min="1" max="1" width="3.140625" style="2" customWidth="1"/>
    <col min="2" max="2" width="39.42578125" style="1" bestFit="1" customWidth="1"/>
    <col min="3" max="3" width="11.7109375" style="106" customWidth="1"/>
    <col min="4" max="4" width="9.140625" style="104"/>
    <col min="5" max="5" width="7.5703125" style="104" customWidth="1"/>
    <col min="6" max="6" width="11.7109375" style="104" customWidth="1"/>
    <col min="7" max="7" width="5.42578125" style="104" bestFit="1" customWidth="1"/>
    <col min="8" max="8" width="16.85546875" style="104" customWidth="1"/>
    <col min="9" max="9" width="16.5703125" style="104" customWidth="1"/>
    <col min="10" max="11" width="9.140625" style="104"/>
    <col min="12" max="12" width="10" style="104" bestFit="1" customWidth="1"/>
    <col min="13" max="15" width="9.140625" style="104"/>
    <col min="16" max="16384" width="9.140625" style="2"/>
  </cols>
  <sheetData>
    <row r="2" spans="2:12" x14ac:dyDescent="0.25">
      <c r="B2" s="249" t="s">
        <v>332</v>
      </c>
      <c r="C2" s="250"/>
    </row>
    <row r="3" spans="2:12" x14ac:dyDescent="0.25">
      <c r="B3" s="251" t="s">
        <v>363</v>
      </c>
      <c r="C3" s="251"/>
    </row>
    <row r="5" spans="2:12" ht="12.75" x14ac:dyDescent="0.25">
      <c r="B5" s="252" t="s">
        <v>5</v>
      </c>
      <c r="C5" s="252"/>
    </row>
    <row r="6" spans="2:12" x14ac:dyDescent="0.25">
      <c r="B6" s="3" t="s">
        <v>0</v>
      </c>
      <c r="C6" s="200">
        <v>0</v>
      </c>
      <c r="D6" s="104" t="s">
        <v>1</v>
      </c>
    </row>
    <row r="7" spans="2:12" x14ac:dyDescent="0.25">
      <c r="B7" s="52" t="s">
        <v>6</v>
      </c>
      <c r="C7" s="105">
        <f>42765.53+E7</f>
        <v>47283.25</v>
      </c>
      <c r="D7" s="104" t="s">
        <v>2</v>
      </c>
      <c r="E7" s="104">
        <v>4517.72</v>
      </c>
      <c r="F7" s="104" t="s">
        <v>379</v>
      </c>
    </row>
    <row r="8" spans="2:12" x14ac:dyDescent="0.25">
      <c r="B8" s="3" t="s">
        <v>7</v>
      </c>
      <c r="C8" s="105"/>
      <c r="D8" s="104" t="s">
        <v>2</v>
      </c>
    </row>
    <row r="9" spans="2:12" x14ac:dyDescent="0.25">
      <c r="B9" s="3" t="s">
        <v>24</v>
      </c>
      <c r="C9" s="105">
        <v>20</v>
      </c>
      <c r="D9" s="104" t="s">
        <v>18</v>
      </c>
    </row>
    <row r="10" spans="2:12" x14ac:dyDescent="0.25">
      <c r="B10" s="18" t="s">
        <v>137</v>
      </c>
      <c r="C10" s="105">
        <v>4</v>
      </c>
      <c r="D10" s="104" t="s">
        <v>18</v>
      </c>
    </row>
    <row r="12" spans="2:12" x14ac:dyDescent="0.25">
      <c r="B12" s="253" t="s">
        <v>13</v>
      </c>
      <c r="C12" s="105"/>
      <c r="D12" s="104" t="s">
        <v>15</v>
      </c>
    </row>
    <row r="13" spans="2:12" x14ac:dyDescent="0.25">
      <c r="B13" s="253"/>
      <c r="C13" s="105">
        <v>200</v>
      </c>
      <c r="D13" s="104" t="s">
        <v>3</v>
      </c>
    </row>
    <row r="14" spans="2:12" x14ac:dyDescent="0.25">
      <c r="B14" s="253" t="s">
        <v>14</v>
      </c>
      <c r="C14" s="105"/>
      <c r="D14" s="104" t="s">
        <v>15</v>
      </c>
    </row>
    <row r="15" spans="2:12" x14ac:dyDescent="0.25">
      <c r="B15" s="253"/>
      <c r="C15" s="105">
        <v>200</v>
      </c>
      <c r="D15" s="104" t="s">
        <v>3</v>
      </c>
    </row>
    <row r="16" spans="2:12" x14ac:dyDescent="0.25">
      <c r="B16" s="2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2:12" ht="12.75" x14ac:dyDescent="0.25">
      <c r="B17" s="254" t="s">
        <v>283</v>
      </c>
      <c r="C17" s="254"/>
      <c r="D17" s="107"/>
      <c r="E17" s="106"/>
      <c r="F17" s="106"/>
      <c r="G17" s="106"/>
      <c r="H17" s="106"/>
      <c r="I17" s="106"/>
      <c r="J17" s="106"/>
      <c r="K17" s="106"/>
      <c r="L17" s="106"/>
    </row>
    <row r="18" spans="2:12" x14ac:dyDescent="0.25">
      <c r="B18" s="181" t="s">
        <v>135</v>
      </c>
      <c r="C18" s="158"/>
      <c r="D18" s="107" t="s">
        <v>2</v>
      </c>
      <c r="E18" s="108">
        <f>C18/2</f>
        <v>0</v>
      </c>
      <c r="F18" s="108">
        <f>E18*0.2</f>
        <v>0</v>
      </c>
      <c r="G18" s="106"/>
      <c r="H18" s="106">
        <f>C18*0.4</f>
        <v>0</v>
      </c>
      <c r="I18" s="106">
        <f>SUM(H18,F18)*1.25</f>
        <v>0</v>
      </c>
      <c r="J18" s="106">
        <f>I18*1.6*20</f>
        <v>0</v>
      </c>
      <c r="K18" s="106"/>
      <c r="L18" s="106"/>
    </row>
    <row r="19" spans="2:12" x14ac:dyDescent="0.25">
      <c r="B19" s="181" t="s">
        <v>8</v>
      </c>
      <c r="C19" s="158"/>
      <c r="D19" s="107" t="s">
        <v>2</v>
      </c>
      <c r="E19" s="108">
        <f>C19*0.035</f>
        <v>0</v>
      </c>
      <c r="F19" s="108">
        <f>E19*2.45*20</f>
        <v>0</v>
      </c>
      <c r="G19" s="106"/>
      <c r="H19" s="106"/>
      <c r="I19" s="106"/>
      <c r="J19" s="106"/>
      <c r="K19" s="106"/>
      <c r="L19" s="106"/>
    </row>
    <row r="20" spans="2:12" x14ac:dyDescent="0.25">
      <c r="B20" s="181" t="s">
        <v>10</v>
      </c>
      <c r="C20" s="109">
        <f>C21*1.05</f>
        <v>0</v>
      </c>
      <c r="D20" s="107" t="s">
        <v>3</v>
      </c>
      <c r="E20" s="106"/>
      <c r="F20" s="106"/>
      <c r="G20" s="106"/>
      <c r="H20" s="106"/>
      <c r="I20" s="106"/>
      <c r="J20" s="106"/>
      <c r="K20" s="106"/>
      <c r="L20" s="106"/>
    </row>
    <row r="21" spans="2:12" x14ac:dyDescent="0.25">
      <c r="B21" s="181" t="s">
        <v>11</v>
      </c>
      <c r="C21" s="158"/>
      <c r="D21" s="104" t="s">
        <v>3</v>
      </c>
    </row>
    <row r="22" spans="2:12" x14ac:dyDescent="0.25">
      <c r="B22" s="181" t="s">
        <v>9</v>
      </c>
      <c r="C22" s="111">
        <f>E22*G22</f>
        <v>0</v>
      </c>
      <c r="D22" s="104" t="s">
        <v>2</v>
      </c>
      <c r="E22" s="112">
        <v>0</v>
      </c>
      <c r="F22" s="104" t="s">
        <v>136</v>
      </c>
      <c r="G22" s="113">
        <v>1.5</v>
      </c>
      <c r="H22" s="104" t="s">
        <v>4</v>
      </c>
      <c r="I22" s="104">
        <f>C20*E22</f>
        <v>0</v>
      </c>
    </row>
    <row r="23" spans="2:12" x14ac:dyDescent="0.25">
      <c r="B23" s="181" t="s">
        <v>287</v>
      </c>
      <c r="C23" s="158"/>
      <c r="D23" s="104" t="s">
        <v>3</v>
      </c>
    </row>
    <row r="24" spans="2:12" x14ac:dyDescent="0.25">
      <c r="B24" s="181" t="s">
        <v>285</v>
      </c>
      <c r="C24" s="111">
        <f>C25/E25</f>
        <v>0</v>
      </c>
      <c r="D24" s="104" t="s">
        <v>3</v>
      </c>
    </row>
    <row r="25" spans="2:12" x14ac:dyDescent="0.25">
      <c r="B25" s="181" t="s">
        <v>243</v>
      </c>
      <c r="C25" s="158">
        <v>0</v>
      </c>
      <c r="D25" s="104" t="s">
        <v>2</v>
      </c>
      <c r="E25" s="112">
        <v>3.5</v>
      </c>
      <c r="F25" s="104" t="s">
        <v>286</v>
      </c>
    </row>
    <row r="26" spans="2:12" x14ac:dyDescent="0.25">
      <c r="B26" s="104"/>
      <c r="C26" s="104"/>
    </row>
    <row r="27" spans="2:12" ht="12.75" x14ac:dyDescent="0.25">
      <c r="B27" s="254" t="s">
        <v>284</v>
      </c>
      <c r="C27" s="254"/>
    </row>
    <row r="28" spans="2:12" x14ac:dyDescent="0.25">
      <c r="B28" s="3" t="s">
        <v>135</v>
      </c>
      <c r="C28" s="158">
        <v>6872.22</v>
      </c>
      <c r="D28" s="107" t="s">
        <v>2</v>
      </c>
      <c r="E28" s="108">
        <f>C28/2</f>
        <v>3436.11</v>
      </c>
      <c r="F28" s="108">
        <f>E28*0.2</f>
        <v>687.22200000000009</v>
      </c>
      <c r="G28" s="106"/>
      <c r="H28" s="106">
        <f>C28*0.4</f>
        <v>2748.8880000000004</v>
      </c>
      <c r="I28" s="106">
        <f>SUM(H28,F28)*1.25</f>
        <v>4295.1375000000007</v>
      </c>
      <c r="J28" s="106">
        <f>I28*1.6*20</f>
        <v>137444.40000000002</v>
      </c>
      <c r="K28" s="106"/>
      <c r="L28" s="106"/>
    </row>
    <row r="29" spans="2:12" x14ac:dyDescent="0.25">
      <c r="B29" s="18" t="s">
        <v>8</v>
      </c>
      <c r="C29" s="158">
        <v>5584.05</v>
      </c>
      <c r="D29" s="107" t="s">
        <v>2</v>
      </c>
      <c r="E29" s="108">
        <f>C29*0.035</f>
        <v>195.44175000000001</v>
      </c>
      <c r="F29" s="108">
        <f>E29*2.45*20</f>
        <v>9576.6457500000015</v>
      </c>
      <c r="G29" s="106"/>
      <c r="H29" s="106"/>
      <c r="I29" s="106"/>
      <c r="J29" s="106"/>
      <c r="K29" s="106"/>
      <c r="L29" s="106"/>
    </row>
    <row r="30" spans="2:12" x14ac:dyDescent="0.25">
      <c r="B30" s="3" t="s">
        <v>10</v>
      </c>
      <c r="C30" s="109">
        <f>C31*1.05</f>
        <v>1475.8799999999999</v>
      </c>
      <c r="D30" s="107" t="s">
        <v>3</v>
      </c>
      <c r="E30" s="106"/>
      <c r="F30" s="106"/>
      <c r="G30" s="106"/>
      <c r="H30" s="106"/>
      <c r="I30" s="106"/>
      <c r="J30" s="106"/>
      <c r="K30" s="106"/>
      <c r="L30" s="106"/>
    </row>
    <row r="31" spans="2:12" x14ac:dyDescent="0.25">
      <c r="B31" s="3" t="s">
        <v>11</v>
      </c>
      <c r="C31" s="105">
        <v>1405.6</v>
      </c>
      <c r="D31" s="104" t="s">
        <v>3</v>
      </c>
    </row>
    <row r="32" spans="2:12" x14ac:dyDescent="0.25">
      <c r="B32" s="18" t="s">
        <v>134</v>
      </c>
      <c r="C32" s="105">
        <v>0</v>
      </c>
      <c r="D32" s="104" t="s">
        <v>18</v>
      </c>
    </row>
    <row r="33" spans="2:15" x14ac:dyDescent="0.25">
      <c r="B33" s="3" t="s">
        <v>17</v>
      </c>
      <c r="C33" s="105">
        <v>3</v>
      </c>
      <c r="D33" s="104" t="s">
        <v>18</v>
      </c>
    </row>
    <row r="34" spans="2:15" x14ac:dyDescent="0.25">
      <c r="B34" s="2"/>
    </row>
    <row r="35" spans="2:15" x14ac:dyDescent="0.25">
      <c r="B35" s="5" t="s">
        <v>370</v>
      </c>
      <c r="C35" s="158">
        <v>572.03</v>
      </c>
      <c r="D35" s="104" t="s">
        <v>3</v>
      </c>
    </row>
    <row r="36" spans="2:15" x14ac:dyDescent="0.25">
      <c r="B36" s="238" t="s">
        <v>371</v>
      </c>
      <c r="C36" s="158">
        <v>167.43</v>
      </c>
      <c r="D36" s="104" t="s">
        <v>3</v>
      </c>
    </row>
    <row r="37" spans="2:15" x14ac:dyDescent="0.25">
      <c r="B37" s="5" t="s">
        <v>138</v>
      </c>
      <c r="C37" s="111">
        <f>E37*2.7</f>
        <v>0</v>
      </c>
      <c r="D37" s="104" t="s">
        <v>2</v>
      </c>
      <c r="E37" s="158"/>
      <c r="F37" s="104" t="s">
        <v>3</v>
      </c>
    </row>
    <row r="38" spans="2:15" s="21" customFormat="1" x14ac:dyDescent="0.25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2:15" x14ac:dyDescent="0.25">
      <c r="B39" s="5" t="s">
        <v>9</v>
      </c>
      <c r="C39" s="111">
        <f>E39*G39</f>
        <v>39280.754999999997</v>
      </c>
      <c r="D39" s="104" t="s">
        <v>2</v>
      </c>
      <c r="E39" s="112">
        <v>26187.17</v>
      </c>
      <c r="F39" s="104" t="s">
        <v>136</v>
      </c>
      <c r="G39" s="113">
        <v>1.5</v>
      </c>
      <c r="H39" s="104" t="s">
        <v>4</v>
      </c>
    </row>
    <row r="40" spans="2:15" x14ac:dyDescent="0.25">
      <c r="B40" s="5" t="s">
        <v>29</v>
      </c>
      <c r="C40" s="111">
        <f>C8</f>
        <v>0</v>
      </c>
      <c r="D40" s="104" t="s">
        <v>2</v>
      </c>
    </row>
    <row r="41" spans="2:15" x14ac:dyDescent="0.25">
      <c r="B41" s="2"/>
    </row>
    <row r="42" spans="2:15" ht="12.75" x14ac:dyDescent="0.25">
      <c r="B42" s="252" t="s">
        <v>20</v>
      </c>
      <c r="C42" s="252"/>
    </row>
    <row r="43" spans="2:15" x14ac:dyDescent="0.25">
      <c r="B43" s="3" t="s">
        <v>372</v>
      </c>
      <c r="C43" s="113">
        <v>1</v>
      </c>
      <c r="D43" s="104" t="s">
        <v>16</v>
      </c>
    </row>
    <row r="44" spans="2:15" x14ac:dyDescent="0.25">
      <c r="B44" s="218" t="s">
        <v>373</v>
      </c>
      <c r="C44" s="113">
        <v>1</v>
      </c>
      <c r="D44" s="104" t="s">
        <v>16</v>
      </c>
    </row>
    <row r="45" spans="2:15" x14ac:dyDescent="0.25">
      <c r="B45" s="3" t="s">
        <v>22</v>
      </c>
      <c r="C45" s="113">
        <v>2</v>
      </c>
      <c r="D45" s="104" t="s">
        <v>16</v>
      </c>
    </row>
    <row r="46" spans="2:15" x14ac:dyDescent="0.25">
      <c r="B46" s="3" t="s">
        <v>21</v>
      </c>
      <c r="C46" s="113">
        <v>2</v>
      </c>
      <c r="D46" s="104" t="s">
        <v>16</v>
      </c>
    </row>
    <row r="47" spans="2:15" x14ac:dyDescent="0.25">
      <c r="B47" s="225" t="s">
        <v>337</v>
      </c>
      <c r="C47" s="113">
        <v>2</v>
      </c>
      <c r="D47" s="104" t="s">
        <v>16</v>
      </c>
    </row>
    <row r="48" spans="2:15" x14ac:dyDescent="0.25">
      <c r="B48" s="3" t="s">
        <v>23</v>
      </c>
      <c r="C48" s="109">
        <f>SUM(C43:C47)</f>
        <v>8</v>
      </c>
      <c r="D48" s="104" t="s">
        <v>16</v>
      </c>
    </row>
    <row r="49" spans="2:5" x14ac:dyDescent="0.25">
      <c r="B49" s="4"/>
      <c r="C49" s="114"/>
      <c r="D49" s="114"/>
      <c r="E49" s="114"/>
    </row>
    <row r="50" spans="2:5" ht="12.75" x14ac:dyDescent="0.25">
      <c r="B50" s="252" t="s">
        <v>28</v>
      </c>
      <c r="C50" s="252"/>
      <c r="D50" s="114"/>
      <c r="E50" s="114"/>
    </row>
    <row r="51" spans="2:5" x14ac:dyDescent="0.25">
      <c r="B51" s="3" t="s">
        <v>219</v>
      </c>
      <c r="C51" s="122">
        <v>0</v>
      </c>
      <c r="D51" s="104" t="s">
        <v>3</v>
      </c>
      <c r="E51" s="114"/>
    </row>
    <row r="52" spans="2:5" x14ac:dyDescent="0.25">
      <c r="B52" s="18" t="s">
        <v>139</v>
      </c>
      <c r="C52" s="122"/>
      <c r="D52" s="104" t="s">
        <v>16</v>
      </c>
      <c r="E52" s="114"/>
    </row>
    <row r="53" spans="2:5" x14ac:dyDescent="0.25">
      <c r="B53" s="3" t="s">
        <v>25</v>
      </c>
      <c r="C53" s="226">
        <v>0</v>
      </c>
      <c r="D53" s="104" t="s">
        <v>16</v>
      </c>
      <c r="E53" s="114"/>
    </row>
    <row r="54" spans="2:5" x14ac:dyDescent="0.25">
      <c r="B54" s="199" t="s">
        <v>333</v>
      </c>
      <c r="C54" s="226">
        <v>27</v>
      </c>
      <c r="D54" s="104" t="s">
        <v>16</v>
      </c>
      <c r="E54" s="114"/>
    </row>
    <row r="55" spans="2:5" x14ac:dyDescent="0.25">
      <c r="B55" s="199" t="s">
        <v>317</v>
      </c>
      <c r="C55" s="226">
        <v>7</v>
      </c>
      <c r="D55" s="104" t="s">
        <v>16</v>
      </c>
      <c r="E55" s="114"/>
    </row>
    <row r="56" spans="2:5" x14ac:dyDescent="0.25">
      <c r="B56" s="3" t="s">
        <v>26</v>
      </c>
      <c r="C56" s="122"/>
      <c r="D56" s="104" t="s">
        <v>16</v>
      </c>
      <c r="E56" s="114"/>
    </row>
    <row r="57" spans="2:5" x14ac:dyDescent="0.25">
      <c r="B57" s="3" t="s">
        <v>27</v>
      </c>
      <c r="C57" s="122">
        <v>332.04</v>
      </c>
      <c r="D57" s="104" t="s">
        <v>2</v>
      </c>
      <c r="E57" s="114"/>
    </row>
    <row r="58" spans="2:5" x14ac:dyDescent="0.25">
      <c r="B58" s="5" t="s">
        <v>92</v>
      </c>
      <c r="C58" s="122">
        <f>2116.95+2642.46</f>
        <v>4759.41</v>
      </c>
      <c r="D58" s="104" t="s">
        <v>2</v>
      </c>
      <c r="E58" s="106"/>
    </row>
    <row r="59" spans="2:5" x14ac:dyDescent="0.25">
      <c r="B59" s="225" t="s">
        <v>365</v>
      </c>
      <c r="C59" s="122"/>
      <c r="D59" s="104" t="s">
        <v>2</v>
      </c>
      <c r="E59" s="106"/>
    </row>
    <row r="60" spans="2:5" x14ac:dyDescent="0.25">
      <c r="B60" s="18" t="s">
        <v>140</v>
      </c>
      <c r="C60" s="122"/>
      <c r="D60" s="104" t="s">
        <v>16</v>
      </c>
      <c r="E60" s="106"/>
    </row>
    <row r="61" spans="2:5" x14ac:dyDescent="0.25">
      <c r="B61" s="8" t="s">
        <v>77</v>
      </c>
      <c r="C61" s="122"/>
      <c r="D61" s="104" t="s">
        <v>16</v>
      </c>
      <c r="E61" s="106"/>
    </row>
    <row r="62" spans="2:5" x14ac:dyDescent="0.25">
      <c r="B62" s="218" t="s">
        <v>328</v>
      </c>
      <c r="C62" s="122">
        <v>545.46</v>
      </c>
      <c r="D62" s="104" t="s">
        <v>2</v>
      </c>
      <c r="E62" s="114"/>
    </row>
    <row r="63" spans="2:5" x14ac:dyDescent="0.25">
      <c r="B63" s="225" t="s">
        <v>334</v>
      </c>
      <c r="C63" s="122">
        <v>10</v>
      </c>
      <c r="D63" s="104" t="s">
        <v>16</v>
      </c>
    </row>
    <row r="64" spans="2:5" x14ac:dyDescent="0.25">
      <c r="B64" s="225" t="s">
        <v>220</v>
      </c>
      <c r="C64" s="122">
        <v>1540.65</v>
      </c>
      <c r="D64" s="104" t="s">
        <v>2</v>
      </c>
    </row>
  </sheetData>
  <mergeCells count="9">
    <mergeCell ref="B2:C2"/>
    <mergeCell ref="B3:C3"/>
    <mergeCell ref="B5:C5"/>
    <mergeCell ref="B50:C50"/>
    <mergeCell ref="B12:B13"/>
    <mergeCell ref="B14:B15"/>
    <mergeCell ref="B42:C42"/>
    <mergeCell ref="B17:C17"/>
    <mergeCell ref="B27:C2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showGridLines="0" zoomScale="80" zoomScaleNormal="80" workbookViewId="0">
      <selection activeCell="M19" sqref="M19"/>
    </sheetView>
  </sheetViews>
  <sheetFormatPr defaultRowHeight="15" x14ac:dyDescent="0.25"/>
  <cols>
    <col min="2" max="2" width="14.28515625" style="40" bestFit="1" customWidth="1"/>
    <col min="3" max="3" width="18.28515625" customWidth="1"/>
    <col min="4" max="4" width="16.85546875" style="60" customWidth="1"/>
    <col min="5" max="5" width="15.85546875" style="61" bestFit="1" customWidth="1"/>
    <col min="12" max="12" width="16.28515625" customWidth="1"/>
    <col min="13" max="13" width="18.28515625" bestFit="1" customWidth="1"/>
    <col min="14" max="14" width="10.5703125" bestFit="1" customWidth="1"/>
    <col min="15" max="15" width="19.28515625" customWidth="1"/>
  </cols>
  <sheetData>
    <row r="2" spans="2:15" x14ac:dyDescent="0.25">
      <c r="B2" s="255" t="s">
        <v>210</v>
      </c>
      <c r="C2" s="256"/>
      <c r="D2" s="256"/>
      <c r="E2" s="257"/>
      <c r="L2" s="255" t="s">
        <v>211</v>
      </c>
      <c r="M2" s="256"/>
      <c r="N2" s="256"/>
      <c r="O2" s="257"/>
    </row>
    <row r="3" spans="2:15" x14ac:dyDescent="0.25">
      <c r="B3"/>
      <c r="D3"/>
      <c r="E3"/>
    </row>
    <row r="4" spans="2:15" ht="15.75" x14ac:dyDescent="0.25">
      <c r="C4" s="41" t="s">
        <v>195</v>
      </c>
      <c r="D4" s="42" t="s">
        <v>196</v>
      </c>
      <c r="E4" s="43" t="s">
        <v>197</v>
      </c>
      <c r="L4" s="40"/>
      <c r="M4" s="41" t="s">
        <v>195</v>
      </c>
      <c r="N4" s="42" t="s">
        <v>196</v>
      </c>
      <c r="O4" s="43" t="s">
        <v>197</v>
      </c>
    </row>
    <row r="5" spans="2:15" x14ac:dyDescent="0.25">
      <c r="B5" s="258" t="s">
        <v>198</v>
      </c>
      <c r="C5" s="44" t="s">
        <v>199</v>
      </c>
      <c r="D5" s="45">
        <f>base_dados_proj!C8</f>
        <v>0</v>
      </c>
      <c r="E5" s="46">
        <f>$B$7*(D5/SUM($D$5:$D$7))</f>
        <v>0</v>
      </c>
      <c r="F5" s="53">
        <f>D5/SUM($D$5:$D$7)</f>
        <v>0</v>
      </c>
      <c r="L5" s="54"/>
      <c r="M5" s="55" t="s">
        <v>212</v>
      </c>
      <c r="N5" s="56">
        <v>573798.51</v>
      </c>
      <c r="O5" s="46">
        <v>1846860.5464555484</v>
      </c>
    </row>
    <row r="6" spans="2:15" x14ac:dyDescent="0.25">
      <c r="B6" s="258"/>
      <c r="C6" s="44" t="s">
        <v>200</v>
      </c>
      <c r="D6" s="45">
        <v>37811.410000000003</v>
      </c>
      <c r="E6" s="46">
        <f>$B$7*(D6/SUM($D$5:$D$7))</f>
        <v>45407.030495224106</v>
      </c>
      <c r="F6" s="53">
        <f t="shared" ref="F6:F7" si="0">D6/SUM($D$5:$D$7)</f>
        <v>0.45358496903537321</v>
      </c>
      <c r="L6" s="57" t="s">
        <v>213</v>
      </c>
      <c r="M6" s="58" t="s">
        <v>214</v>
      </c>
      <c r="N6" s="45"/>
      <c r="O6" s="46">
        <v>1680880.4815072904</v>
      </c>
    </row>
    <row r="7" spans="2:15" x14ac:dyDescent="0.25">
      <c r="B7" s="47">
        <f>86231+13876</f>
        <v>100107</v>
      </c>
      <c r="C7" s="44" t="s">
        <v>201</v>
      </c>
      <c r="D7" s="45">
        <v>45549.84</v>
      </c>
      <c r="E7" s="46">
        <f>$B$7*(D7/SUM($D$5:$D$7))</f>
        <v>54699.969504775901</v>
      </c>
      <c r="F7" s="53">
        <f t="shared" si="0"/>
        <v>0.54641503096462685</v>
      </c>
      <c r="L7" s="258" t="s">
        <v>198</v>
      </c>
      <c r="M7" s="44" t="s">
        <v>199</v>
      </c>
      <c r="N7" s="45">
        <f>D5</f>
        <v>0</v>
      </c>
      <c r="O7" s="46">
        <f>$L$9*(N7/SUM($N$7:$N$9))</f>
        <v>0</v>
      </c>
    </row>
    <row r="8" spans="2:15" x14ac:dyDescent="0.25">
      <c r="B8" s="59" t="s">
        <v>215</v>
      </c>
      <c r="L8" s="258"/>
      <c r="M8" s="44" t="s">
        <v>200</v>
      </c>
      <c r="N8" s="45">
        <f t="shared" ref="N8:N9" si="1">D6</f>
        <v>37811.410000000003</v>
      </c>
      <c r="O8" s="46">
        <f>$L$9*(N8/SUM($N$7:$N$9))</f>
        <v>187957.19836198771</v>
      </c>
    </row>
    <row r="9" spans="2:15" x14ac:dyDescent="0.25">
      <c r="C9" s="62"/>
      <c r="L9" s="47">
        <v>414381.45263435686</v>
      </c>
      <c r="M9" s="44" t="s">
        <v>201</v>
      </c>
      <c r="N9" s="45">
        <f t="shared" si="1"/>
        <v>45549.84</v>
      </c>
      <c r="O9" s="46">
        <f>$L$9*(N9/SUM($N$7:$N$9))</f>
        <v>226424.25427236914</v>
      </c>
    </row>
    <row r="10" spans="2:15" x14ac:dyDescent="0.25">
      <c r="B10" s="63"/>
    </row>
    <row r="14" spans="2:15" x14ac:dyDescent="0.25">
      <c r="L14" s="255" t="s">
        <v>216</v>
      </c>
      <c r="M14" s="256"/>
      <c r="N14" s="256"/>
      <c r="O14" s="257"/>
    </row>
    <row r="16" spans="2:15" ht="15.75" x14ac:dyDescent="0.25">
      <c r="L16" s="40"/>
      <c r="M16" s="41" t="s">
        <v>195</v>
      </c>
      <c r="N16" s="42" t="s">
        <v>196</v>
      </c>
      <c r="O16" s="43" t="s">
        <v>197</v>
      </c>
    </row>
    <row r="17" spans="12:15" x14ac:dyDescent="0.25">
      <c r="L17" s="258" t="s">
        <v>198</v>
      </c>
      <c r="M17" s="44" t="s">
        <v>199</v>
      </c>
      <c r="N17" s="45">
        <f>D5</f>
        <v>0</v>
      </c>
      <c r="O17" s="46">
        <f>$L$19*(N17/SUM($N$17:$N$19))</f>
        <v>0</v>
      </c>
    </row>
    <row r="18" spans="12:15" x14ac:dyDescent="0.25">
      <c r="L18" s="258"/>
      <c r="M18" s="44" t="s">
        <v>200</v>
      </c>
      <c r="N18" s="45">
        <f t="shared" ref="N18:N19" si="2">D6</f>
        <v>37811.410000000003</v>
      </c>
      <c r="O18" s="46">
        <f>$L$19*(N18/SUM($N$17:$N$19))</f>
        <v>3401887.267765299</v>
      </c>
    </row>
    <row r="19" spans="12:15" x14ac:dyDescent="0.25">
      <c r="L19" s="47">
        <v>7500000</v>
      </c>
      <c r="M19" s="44" t="s">
        <v>201</v>
      </c>
      <c r="N19" s="45">
        <f t="shared" si="2"/>
        <v>45549.84</v>
      </c>
      <c r="O19" s="46">
        <f>$L$19*(N19/SUM($N$17:$N$19))</f>
        <v>4098112.7322347015</v>
      </c>
    </row>
    <row r="22" spans="12:15" x14ac:dyDescent="0.25">
      <c r="L22" s="255" t="s">
        <v>217</v>
      </c>
      <c r="M22" s="256"/>
      <c r="N22" s="256"/>
      <c r="O22" s="257"/>
    </row>
    <row r="24" spans="12:15" ht="15.75" x14ac:dyDescent="0.25">
      <c r="L24" s="40"/>
      <c r="M24" s="41" t="s">
        <v>195</v>
      </c>
      <c r="N24" s="42" t="s">
        <v>196</v>
      </c>
      <c r="O24" s="43" t="s">
        <v>197</v>
      </c>
    </row>
    <row r="25" spans="12:15" x14ac:dyDescent="0.25">
      <c r="L25" s="258" t="s">
        <v>198</v>
      </c>
      <c r="M25" s="44" t="s">
        <v>199</v>
      </c>
      <c r="N25" s="45">
        <f>D5</f>
        <v>0</v>
      </c>
      <c r="O25" s="46">
        <f>$L$27*(N25/SUM($N$25:$N$27))</f>
        <v>0</v>
      </c>
    </row>
    <row r="26" spans="12:15" x14ac:dyDescent="0.25">
      <c r="L26" s="258"/>
      <c r="M26" s="44" t="s">
        <v>200</v>
      </c>
      <c r="N26" s="45">
        <f>D6</f>
        <v>37811.410000000003</v>
      </c>
      <c r="O26" s="46">
        <f t="shared" ref="O26:O27" si="3">$L$27*(N26/SUM($N$25:$N$27))</f>
        <v>80974.918521381347</v>
      </c>
    </row>
    <row r="27" spans="12:15" x14ac:dyDescent="0.25">
      <c r="L27" s="84">
        <v>178522.05</v>
      </c>
      <c r="M27" s="44" t="s">
        <v>201</v>
      </c>
      <c r="N27" s="45">
        <f>D7</f>
        <v>45549.84</v>
      </c>
      <c r="O27" s="46">
        <f t="shared" si="3"/>
        <v>97547.131478618656</v>
      </c>
    </row>
  </sheetData>
  <mergeCells count="8">
    <mergeCell ref="L22:O22"/>
    <mergeCell ref="L25:L26"/>
    <mergeCell ref="B2:E2"/>
    <mergeCell ref="L2:O2"/>
    <mergeCell ref="B5:B6"/>
    <mergeCell ref="L7:L8"/>
    <mergeCell ref="L14:O14"/>
    <mergeCell ref="L17:L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zoomScale="80" zoomScaleNormal="80" workbookViewId="0">
      <selection activeCell="C26" sqref="C26"/>
    </sheetView>
  </sheetViews>
  <sheetFormatPr defaultColWidth="13" defaultRowHeight="12" x14ac:dyDescent="0.25"/>
  <cols>
    <col min="1" max="1" width="13" style="124"/>
    <col min="2" max="2" width="25.140625" style="124" customWidth="1"/>
    <col min="3" max="3" width="75.5703125" style="124" customWidth="1"/>
    <col min="4" max="16384" width="13" style="124"/>
  </cols>
  <sheetData>
    <row r="1" spans="1:16" x14ac:dyDescent="0.25">
      <c r="A1" s="124" t="s">
        <v>374</v>
      </c>
      <c r="B1" s="124" t="s">
        <v>375</v>
      </c>
    </row>
    <row r="2" spans="1:16" x14ac:dyDescent="0.25">
      <c r="A2" s="124" t="s">
        <v>288</v>
      </c>
    </row>
    <row r="4" spans="1:16" x14ac:dyDescent="0.25">
      <c r="A4" s="124" t="s">
        <v>146</v>
      </c>
    </row>
    <row r="5" spans="1:16" x14ac:dyDescent="0.25">
      <c r="A5" s="124" t="s">
        <v>376</v>
      </c>
    </row>
    <row r="7" spans="1:16" x14ac:dyDescent="0.25">
      <c r="A7" s="124" t="s">
        <v>148</v>
      </c>
      <c r="B7" s="124" t="s">
        <v>377</v>
      </c>
    </row>
    <row r="8" spans="1:16" x14ac:dyDescent="0.25">
      <c r="A8" s="124" t="s">
        <v>149</v>
      </c>
      <c r="B8" s="124" t="s">
        <v>150</v>
      </c>
      <c r="C8" s="124" t="s">
        <v>151</v>
      </c>
      <c r="D8" s="124" t="s">
        <v>152</v>
      </c>
      <c r="E8" s="124" t="s">
        <v>153</v>
      </c>
      <c r="F8" s="124" t="s">
        <v>154</v>
      </c>
      <c r="G8" s="124" t="s">
        <v>155</v>
      </c>
    </row>
    <row r="9" spans="1:16" x14ac:dyDescent="0.25">
      <c r="A9" s="124">
        <v>1</v>
      </c>
      <c r="B9" s="124" t="s">
        <v>149</v>
      </c>
      <c r="C9" s="124" t="s">
        <v>32</v>
      </c>
    </row>
    <row r="10" spans="1:16" x14ac:dyDescent="0.25">
      <c r="A10" s="124" t="s">
        <v>156</v>
      </c>
      <c r="B10" s="124" t="s">
        <v>157</v>
      </c>
      <c r="C10" s="124" t="s">
        <v>158</v>
      </c>
      <c r="D10" s="124" t="s">
        <v>159</v>
      </c>
      <c r="E10" s="125">
        <v>3436.11</v>
      </c>
      <c r="F10" s="124">
        <v>1.3732</v>
      </c>
      <c r="G10" s="125">
        <v>4718.4663</v>
      </c>
    </row>
    <row r="11" spans="1:16" x14ac:dyDescent="0.25">
      <c r="A11" s="124" t="s">
        <v>204</v>
      </c>
      <c r="B11" s="124" t="s">
        <v>205</v>
      </c>
      <c r="C11" s="124" t="s">
        <v>206</v>
      </c>
      <c r="D11" s="124" t="s">
        <v>162</v>
      </c>
      <c r="E11" s="125">
        <v>687.22</v>
      </c>
      <c r="F11" s="124">
        <v>11.430899999999999</v>
      </c>
      <c r="G11" s="125">
        <v>7855.5430999999999</v>
      </c>
      <c r="M11" s="125"/>
      <c r="O11" s="125"/>
      <c r="P11" s="182"/>
    </row>
    <row r="12" spans="1:16" x14ac:dyDescent="0.25">
      <c r="A12" s="124" t="s">
        <v>207</v>
      </c>
      <c r="B12" s="124" t="s">
        <v>160</v>
      </c>
      <c r="C12" s="124" t="s">
        <v>161</v>
      </c>
      <c r="D12" s="124" t="s">
        <v>162</v>
      </c>
      <c r="E12" s="125">
        <v>2748.89</v>
      </c>
      <c r="F12" s="124">
        <v>11.430899999999999</v>
      </c>
      <c r="G12" s="125">
        <v>31422.286700000001</v>
      </c>
      <c r="O12" s="125"/>
      <c r="P12" s="182"/>
    </row>
    <row r="13" spans="1:16" x14ac:dyDescent="0.25">
      <c r="A13" s="124" t="s">
        <v>208</v>
      </c>
      <c r="B13" s="124" t="s">
        <v>163</v>
      </c>
      <c r="C13" s="124" t="s">
        <v>164</v>
      </c>
      <c r="D13" s="124" t="s">
        <v>162</v>
      </c>
      <c r="E13" s="125">
        <v>4295.1400000000003</v>
      </c>
      <c r="F13" s="124">
        <v>10</v>
      </c>
      <c r="G13" s="125">
        <v>42951.4</v>
      </c>
      <c r="M13" s="125"/>
      <c r="O13" s="125"/>
      <c r="P13" s="182"/>
    </row>
    <row r="14" spans="1:16" x14ac:dyDescent="0.25">
      <c r="A14" s="124" t="s">
        <v>209</v>
      </c>
      <c r="B14" s="124" t="s">
        <v>177</v>
      </c>
      <c r="C14" s="124" t="s">
        <v>188</v>
      </c>
      <c r="D14" s="124" t="s">
        <v>178</v>
      </c>
      <c r="E14" s="125">
        <v>137444.4</v>
      </c>
      <c r="F14" s="124">
        <v>0.88060000000000005</v>
      </c>
      <c r="G14" s="125">
        <v>121033.5386</v>
      </c>
      <c r="M14" s="125"/>
      <c r="O14" s="125"/>
      <c r="P14" s="182"/>
    </row>
    <row r="15" spans="1:16" x14ac:dyDescent="0.25">
      <c r="A15" s="124" t="s">
        <v>165</v>
      </c>
      <c r="B15" s="125">
        <v>207981.23</v>
      </c>
      <c r="M15" s="125"/>
      <c r="O15" s="125"/>
      <c r="P15" s="182"/>
    </row>
    <row r="16" spans="1:16" x14ac:dyDescent="0.25">
      <c r="A16" s="124">
        <v>2</v>
      </c>
      <c r="B16" s="124" t="s">
        <v>149</v>
      </c>
      <c r="C16" s="124" t="s">
        <v>378</v>
      </c>
      <c r="J16" s="125"/>
      <c r="K16" s="182"/>
    </row>
    <row r="17" spans="1:16" x14ac:dyDescent="0.25">
      <c r="A17" s="124" t="s">
        <v>166</v>
      </c>
      <c r="B17" s="124" t="s">
        <v>167</v>
      </c>
      <c r="C17" s="124" t="s">
        <v>168</v>
      </c>
      <c r="D17" s="124" t="s">
        <v>159</v>
      </c>
      <c r="E17" s="125">
        <v>6872.22</v>
      </c>
      <c r="F17" s="124">
        <v>6.5791000000000004</v>
      </c>
      <c r="G17" s="125">
        <v>45213.022599999997</v>
      </c>
    </row>
    <row r="18" spans="1:16" x14ac:dyDescent="0.25">
      <c r="A18" s="124" t="s">
        <v>171</v>
      </c>
      <c r="B18" s="124" t="s">
        <v>172</v>
      </c>
      <c r="C18" s="124" t="s">
        <v>173</v>
      </c>
      <c r="D18" s="124" t="s">
        <v>159</v>
      </c>
      <c r="E18" s="125">
        <v>5584.05</v>
      </c>
      <c r="F18" s="124">
        <v>1.752</v>
      </c>
      <c r="G18" s="125">
        <v>9783.2556000000004</v>
      </c>
      <c r="M18" s="125"/>
      <c r="O18" s="125"/>
      <c r="P18" s="182"/>
    </row>
    <row r="19" spans="1:16" x14ac:dyDescent="0.25">
      <c r="A19" s="124" t="s">
        <v>189</v>
      </c>
      <c r="B19" s="124" t="s">
        <v>175</v>
      </c>
      <c r="C19" s="124" t="s">
        <v>176</v>
      </c>
      <c r="D19" s="124" t="s">
        <v>162</v>
      </c>
      <c r="E19" s="125">
        <v>195.44</v>
      </c>
      <c r="F19" s="125">
        <v>1038.1796999999999</v>
      </c>
      <c r="G19" s="125">
        <v>202901.8406</v>
      </c>
      <c r="M19" s="125"/>
      <c r="O19" s="125"/>
      <c r="P19" s="182"/>
    </row>
    <row r="20" spans="1:16" x14ac:dyDescent="0.25">
      <c r="A20" s="124" t="s">
        <v>174</v>
      </c>
      <c r="B20" s="124" t="s">
        <v>177</v>
      </c>
      <c r="C20" s="124" t="s">
        <v>188</v>
      </c>
      <c r="D20" s="124" t="s">
        <v>178</v>
      </c>
      <c r="E20" s="125">
        <v>9576.65</v>
      </c>
      <c r="F20" s="125">
        <v>0.88060000000000005</v>
      </c>
      <c r="G20" s="125">
        <v>8433.1980000000003</v>
      </c>
      <c r="N20" s="125"/>
      <c r="O20" s="125"/>
      <c r="P20" s="182"/>
    </row>
    <row r="21" spans="1:16" x14ac:dyDescent="0.25">
      <c r="A21" s="183" t="s">
        <v>179</v>
      </c>
      <c r="B21" s="184">
        <v>266331.32</v>
      </c>
      <c r="C21" s="183"/>
      <c r="D21" s="183"/>
      <c r="E21" s="184"/>
      <c r="F21" s="183"/>
      <c r="G21" s="184"/>
      <c r="M21" s="125"/>
      <c r="O21" s="125"/>
      <c r="P21" s="182"/>
    </row>
    <row r="22" spans="1:16" x14ac:dyDescent="0.25">
      <c r="A22" s="124">
        <v>4</v>
      </c>
      <c r="B22" s="125" t="s">
        <v>149</v>
      </c>
      <c r="C22" s="124" t="s">
        <v>180</v>
      </c>
      <c r="P22" s="182"/>
    </row>
    <row r="23" spans="1:16" x14ac:dyDescent="0.25">
      <c r="A23" s="124" t="s">
        <v>222</v>
      </c>
      <c r="B23" s="124" t="s">
        <v>181</v>
      </c>
      <c r="C23" s="124" t="s">
        <v>182</v>
      </c>
      <c r="D23" s="124" t="s">
        <v>15</v>
      </c>
      <c r="E23" s="124">
        <v>0.35</v>
      </c>
      <c r="F23" s="125">
        <v>26274.95</v>
      </c>
      <c r="G23" s="125">
        <v>9196.2325000000001</v>
      </c>
      <c r="J23" s="125"/>
      <c r="K23" s="182"/>
    </row>
    <row r="24" spans="1:16" x14ac:dyDescent="0.25">
      <c r="A24" s="124" t="s">
        <v>223</v>
      </c>
      <c r="B24" s="124" t="s">
        <v>183</v>
      </c>
      <c r="C24" s="124" t="s">
        <v>184</v>
      </c>
      <c r="D24" s="124" t="s">
        <v>15</v>
      </c>
      <c r="E24" s="124">
        <v>0.15</v>
      </c>
      <c r="F24" s="125">
        <v>340717.51</v>
      </c>
      <c r="G24" s="125">
        <v>51107.626499999998</v>
      </c>
    </row>
    <row r="25" spans="1:16" x14ac:dyDescent="0.25">
      <c r="A25" s="124" t="s">
        <v>224</v>
      </c>
      <c r="B25" s="124" t="s">
        <v>185</v>
      </c>
      <c r="C25" s="124" t="s">
        <v>186</v>
      </c>
      <c r="D25" s="124" t="s">
        <v>15</v>
      </c>
      <c r="E25" s="124">
        <v>0.35</v>
      </c>
      <c r="F25" s="125">
        <v>107316.63</v>
      </c>
      <c r="G25" s="125">
        <v>37560.820500000002</v>
      </c>
      <c r="N25" s="125"/>
      <c r="P25" s="182"/>
    </row>
    <row r="26" spans="1:16" x14ac:dyDescent="0.25">
      <c r="A26" s="124" t="s">
        <v>225</v>
      </c>
      <c r="B26" s="125">
        <v>97864.68</v>
      </c>
      <c r="F26" s="125"/>
      <c r="G26" s="125"/>
      <c r="N26" s="125"/>
      <c r="P26" s="182"/>
    </row>
    <row r="27" spans="1:16" x14ac:dyDescent="0.25">
      <c r="A27" s="124" t="s">
        <v>187</v>
      </c>
      <c r="B27" s="126">
        <v>572177.23100000003</v>
      </c>
      <c r="N27" s="125"/>
      <c r="P27" s="182"/>
    </row>
    <row r="28" spans="1:16" x14ac:dyDescent="0.25">
      <c r="B28" s="126">
        <f>B27*1.08</f>
        <v>617951.40948000003</v>
      </c>
      <c r="K28" s="182"/>
    </row>
    <row r="29" spans="1:16" x14ac:dyDescent="0.25">
      <c r="J29" s="125"/>
      <c r="K29" s="182"/>
    </row>
    <row r="82" spans="1:3" x14ac:dyDescent="0.25">
      <c r="A82" s="124" t="s">
        <v>169</v>
      </c>
      <c r="B82" s="124" t="s">
        <v>170</v>
      </c>
      <c r="C82" s="124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4"/>
  <sheetViews>
    <sheetView showGridLines="0" zoomScaleNormal="100" workbookViewId="0">
      <selection activeCell="I30" sqref="I30"/>
    </sheetView>
  </sheetViews>
  <sheetFormatPr defaultColWidth="9.140625" defaultRowHeight="12" x14ac:dyDescent="0.2"/>
  <cols>
    <col min="1" max="1" width="9.140625" style="86" customWidth="1"/>
    <col min="2" max="2" width="15.7109375" style="89" bestFit="1" customWidth="1"/>
    <col min="3" max="3" width="10" style="87" bestFit="1" customWidth="1"/>
    <col min="4" max="4" width="16.42578125" style="87" bestFit="1" customWidth="1"/>
    <col min="5" max="5" width="10.140625" style="86" customWidth="1"/>
    <col min="6" max="6" width="10" style="86" bestFit="1" customWidth="1"/>
    <col min="7" max="7" width="4.85546875" style="86" bestFit="1" customWidth="1"/>
    <col min="8" max="8" width="10.7109375" style="86" customWidth="1"/>
    <col min="9" max="9" width="21.5703125" style="86" bestFit="1" customWidth="1"/>
    <col min="10" max="10" width="12.140625" style="86" customWidth="1"/>
    <col min="11" max="11" width="9.140625" style="89"/>
    <col min="12" max="13" width="9.140625" style="86"/>
    <col min="14" max="14" width="22.85546875" style="89" customWidth="1"/>
    <col min="15" max="15" width="13.28515625" style="87" hidden="1" customWidth="1"/>
    <col min="16" max="16" width="12.140625" style="86" customWidth="1"/>
    <col min="17" max="16384" width="9.140625" style="86"/>
  </cols>
  <sheetData>
    <row r="2" spans="2:16" x14ac:dyDescent="0.2">
      <c r="B2" s="259" t="s">
        <v>243</v>
      </c>
      <c r="C2" s="259"/>
      <c r="D2" s="259"/>
      <c r="E2" s="259"/>
      <c r="F2" s="259"/>
      <c r="G2" s="259"/>
      <c r="H2" s="259"/>
      <c r="N2" s="260" t="s">
        <v>256</v>
      </c>
      <c r="O2" s="260"/>
      <c r="P2" s="260"/>
    </row>
    <row r="3" spans="2:16" x14ac:dyDescent="0.2">
      <c r="B3" s="259" t="s">
        <v>240</v>
      </c>
      <c r="C3" s="259"/>
      <c r="D3" s="88"/>
      <c r="E3" s="259" t="s">
        <v>245</v>
      </c>
      <c r="F3" s="259"/>
      <c r="I3" s="259"/>
      <c r="J3" s="259"/>
      <c r="N3" s="260" t="s">
        <v>255</v>
      </c>
      <c r="O3" s="260"/>
      <c r="P3" s="260"/>
    </row>
    <row r="4" spans="2:16" x14ac:dyDescent="0.2">
      <c r="B4" s="89" t="s">
        <v>241</v>
      </c>
      <c r="C4" s="87">
        <v>28</v>
      </c>
      <c r="E4" s="89" t="s">
        <v>241</v>
      </c>
      <c r="F4" s="87">
        <v>25</v>
      </c>
      <c r="G4" s="86" t="s">
        <v>246</v>
      </c>
      <c r="I4" s="89" t="s">
        <v>241</v>
      </c>
      <c r="J4" s="87">
        <v>28</v>
      </c>
      <c r="N4" s="94" t="s">
        <v>254</v>
      </c>
      <c r="O4" s="95">
        <f>1485721.3/27567.1</f>
        <v>53.894725959567751</v>
      </c>
      <c r="P4" s="96"/>
    </row>
    <row r="5" spans="2:16" x14ac:dyDescent="0.2">
      <c r="B5" s="89" t="s">
        <v>242</v>
      </c>
      <c r="C5" s="87">
        <v>16</v>
      </c>
      <c r="E5" s="89" t="s">
        <v>242</v>
      </c>
      <c r="F5" s="87">
        <v>16</v>
      </c>
      <c r="I5" s="89" t="s">
        <v>242</v>
      </c>
      <c r="J5" s="87">
        <v>16</v>
      </c>
      <c r="N5" s="94"/>
      <c r="O5" s="95"/>
      <c r="P5" s="96"/>
    </row>
    <row r="6" spans="2:16" x14ac:dyDescent="0.2">
      <c r="B6" s="89" t="s">
        <v>244</v>
      </c>
      <c r="C6" s="87">
        <f>310*0.06*1.03</f>
        <v>19.157999999999998</v>
      </c>
      <c r="E6" s="89" t="s">
        <v>244</v>
      </c>
      <c r="F6" s="87">
        <f>310*0.08*1.03</f>
        <v>25.544</v>
      </c>
      <c r="I6" s="63" t="s">
        <v>250</v>
      </c>
      <c r="J6" s="90">
        <f>4.48*5.35</f>
        <v>23.968</v>
      </c>
      <c r="K6" s="89" t="s">
        <v>251</v>
      </c>
      <c r="N6" s="94" t="s">
        <v>257</v>
      </c>
      <c r="O6" s="95">
        <f>885251.09/19755.87</f>
        <v>44.809521929431611</v>
      </c>
      <c r="P6" s="95">
        <f>O6+O4</f>
        <v>98.704247888999362</v>
      </c>
    </row>
    <row r="7" spans="2:16" x14ac:dyDescent="0.2">
      <c r="C7" s="87">
        <f>SUM(C4:C6)</f>
        <v>63.158000000000001</v>
      </c>
      <c r="E7" s="89"/>
      <c r="F7" s="87">
        <f>SUM(F4:F6)</f>
        <v>66.543999999999997</v>
      </c>
      <c r="I7" s="91" t="s">
        <v>252</v>
      </c>
      <c r="J7" s="92" t="e">
        <f>-0.25*'Pavimentação Interna'!#REF!</f>
        <v>#REF!</v>
      </c>
      <c r="N7" s="94" t="s">
        <v>221</v>
      </c>
      <c r="O7" s="95">
        <f>573397.54/7818.28</f>
        <v>73.340624792153776</v>
      </c>
      <c r="P7" s="95">
        <f>O7+O4</f>
        <v>127.23535075172153</v>
      </c>
    </row>
    <row r="8" spans="2:16" x14ac:dyDescent="0.2">
      <c r="I8" s="89" t="s">
        <v>249</v>
      </c>
      <c r="J8" s="87">
        <f>355*0.16*1.03</f>
        <v>58.504000000000005</v>
      </c>
      <c r="N8" s="94" t="s">
        <v>253</v>
      </c>
      <c r="O8" s="95" t="e">
        <f>J9</f>
        <v>#REF!</v>
      </c>
      <c r="P8" s="95" t="e">
        <f>O8+O4</f>
        <v>#REF!</v>
      </c>
    </row>
    <row r="9" spans="2:16" x14ac:dyDescent="0.2">
      <c r="E9" s="89" t="s">
        <v>247</v>
      </c>
      <c r="F9" s="87">
        <v>4000</v>
      </c>
      <c r="I9" s="89"/>
      <c r="J9" s="87" t="e">
        <f>SUM(J4:J8)</f>
        <v>#REF!</v>
      </c>
    </row>
    <row r="10" spans="2:16" x14ac:dyDescent="0.2">
      <c r="E10" s="89" t="s">
        <v>248</v>
      </c>
      <c r="F10" s="87">
        <f>3500+2000</f>
        <v>5500</v>
      </c>
      <c r="I10" s="88"/>
      <c r="J10" s="88"/>
    </row>
    <row r="11" spans="2:16" x14ac:dyDescent="0.2">
      <c r="I11" s="89"/>
      <c r="J11" s="87"/>
    </row>
    <row r="12" spans="2:16" x14ac:dyDescent="0.2">
      <c r="B12" s="260" t="s">
        <v>260</v>
      </c>
      <c r="C12" s="260"/>
      <c r="I12" s="89"/>
      <c r="J12" s="87"/>
    </row>
    <row r="13" spans="2:16" x14ac:dyDescent="0.2">
      <c r="B13" s="94" t="s">
        <v>258</v>
      </c>
      <c r="C13" s="95">
        <v>56.2</v>
      </c>
    </row>
    <row r="14" spans="2:16" x14ac:dyDescent="0.2">
      <c r="B14" s="94" t="s">
        <v>242</v>
      </c>
      <c r="C14" s="95">
        <f>C5</f>
        <v>16</v>
      </c>
    </row>
    <row r="15" spans="2:16" x14ac:dyDescent="0.2">
      <c r="B15" s="94" t="s">
        <v>259</v>
      </c>
      <c r="C15" s="95">
        <f>0.01*310</f>
        <v>3.1</v>
      </c>
    </row>
    <row r="16" spans="2:16" x14ac:dyDescent="0.2">
      <c r="B16" s="88"/>
      <c r="C16" s="97">
        <f>SUM(C13:C15)</f>
        <v>75.3</v>
      </c>
    </row>
    <row r="17" spans="1:15" hidden="1" x14ac:dyDescent="0.2"/>
    <row r="18" spans="1:15" hidden="1" x14ac:dyDescent="0.2">
      <c r="B18" s="260" t="s">
        <v>261</v>
      </c>
      <c r="C18" s="260"/>
    </row>
    <row r="19" spans="1:15" s="88" customFormat="1" x14ac:dyDescent="0.2">
      <c r="K19" s="89"/>
      <c r="N19" s="89"/>
      <c r="O19" s="87"/>
    </row>
    <row r="20" spans="1:15" s="88" customFormat="1" x14ac:dyDescent="0.2">
      <c r="K20" s="89"/>
      <c r="N20" s="89"/>
      <c r="O20" s="87"/>
    </row>
    <row r="21" spans="1:15" s="88" customFormat="1" x14ac:dyDescent="0.2">
      <c r="K21" s="89"/>
      <c r="N21" s="89"/>
      <c r="O21" s="87"/>
    </row>
    <row r="22" spans="1:15" s="88" customFormat="1" x14ac:dyDescent="0.2">
      <c r="K22" s="89"/>
      <c r="N22" s="89"/>
      <c r="O22" s="87"/>
    </row>
    <row r="23" spans="1:15" s="88" customFormat="1" ht="15" x14ac:dyDescent="0.25">
      <c r="A23" s="77"/>
      <c r="B23" s="261" t="s">
        <v>272</v>
      </c>
      <c r="C23" s="261"/>
      <c r="D23" s="261"/>
      <c r="K23" s="89"/>
      <c r="N23" s="89"/>
      <c r="O23" s="87"/>
    </row>
    <row r="24" spans="1:15" s="88" customFormat="1" x14ac:dyDescent="0.2">
      <c r="A24" s="77"/>
      <c r="B24" s="77"/>
      <c r="C24" s="77"/>
      <c r="D24" s="77"/>
      <c r="K24" s="89"/>
      <c r="N24" s="89"/>
      <c r="O24" s="87"/>
    </row>
    <row r="25" spans="1:15" s="88" customFormat="1" x14ac:dyDescent="0.2">
      <c r="A25" s="77"/>
      <c r="B25" s="77"/>
      <c r="C25" s="98" t="s">
        <v>270</v>
      </c>
      <c r="D25" s="103" t="s">
        <v>271</v>
      </c>
      <c r="K25" s="89"/>
      <c r="N25" s="89"/>
      <c r="O25" s="87"/>
    </row>
    <row r="26" spans="1:15" x14ac:dyDescent="0.2">
      <c r="A26" s="77"/>
      <c r="B26" s="99" t="s">
        <v>258</v>
      </c>
      <c r="C26" s="101">
        <v>56.2</v>
      </c>
      <c r="D26" s="101">
        <f>C26*SUM(APRESENTAÇÃO!$D$104:$D$104)</f>
        <v>267478.842</v>
      </c>
      <c r="E26" s="87"/>
    </row>
    <row r="27" spans="1:15" ht="12" hidden="1" customHeight="1" x14ac:dyDescent="0.2">
      <c r="A27" s="77"/>
      <c r="B27" s="99"/>
      <c r="C27" s="101">
        <f>SUM(C26:C26)</f>
        <v>56.2</v>
      </c>
      <c r="D27" s="101">
        <f>C27*SUM(APRESENTAÇÃO!$D$104:$D$104)</f>
        <v>267478.842</v>
      </c>
      <c r="E27" s="87"/>
      <c r="O27" s="93"/>
    </row>
    <row r="28" spans="1:15" ht="12" hidden="1" customHeight="1" x14ac:dyDescent="0.2">
      <c r="A28" s="77"/>
      <c r="B28" s="99"/>
      <c r="C28" s="101"/>
      <c r="D28" s="101">
        <f>C28*SUM(APRESENTAÇÃO!$D$104:$D$104)</f>
        <v>0</v>
      </c>
      <c r="E28" s="87"/>
    </row>
    <row r="29" spans="1:15" ht="12" hidden="1" customHeight="1" x14ac:dyDescent="0.2">
      <c r="A29" s="77"/>
      <c r="B29" s="99" t="s">
        <v>262</v>
      </c>
      <c r="C29" s="101"/>
      <c r="D29" s="101">
        <f>C29*SUM(APRESENTAÇÃO!$D$104:$D$104)</f>
        <v>0</v>
      </c>
      <c r="E29" s="87"/>
    </row>
    <row r="30" spans="1:15" x14ac:dyDescent="0.2">
      <c r="A30" s="77"/>
      <c r="B30" s="99" t="s">
        <v>265</v>
      </c>
      <c r="C30" s="101">
        <f>494476.05/4807.97</f>
        <v>102.84507806829076</v>
      </c>
      <c r="D30" s="101">
        <f>C30*SUM(APRESENTAÇÃO!$D$104:$D$104)</f>
        <v>489481.89300900372</v>
      </c>
      <c r="E30" s="87"/>
    </row>
    <row r="31" spans="1:15" ht="12" hidden="1" customHeight="1" x14ac:dyDescent="0.2">
      <c r="A31" s="77"/>
      <c r="B31" s="99"/>
      <c r="C31" s="101">
        <f>SUM(C30:C30)</f>
        <v>102.84507806829076</v>
      </c>
      <c r="D31" s="101">
        <f>C31*SUM(APRESENTAÇÃO!$D$104:$D$104)</f>
        <v>489481.89300900372</v>
      </c>
      <c r="E31" s="87"/>
    </row>
    <row r="32" spans="1:15" ht="12" hidden="1" customHeight="1" x14ac:dyDescent="0.2">
      <c r="A32" s="77"/>
      <c r="B32" s="99"/>
      <c r="C32" s="101"/>
      <c r="D32" s="101">
        <f>C32*SUM(APRESENTAÇÃO!$D$104:$D$104)</f>
        <v>0</v>
      </c>
      <c r="E32" s="87"/>
    </row>
    <row r="33" spans="1:15" ht="12" hidden="1" customHeight="1" x14ac:dyDescent="0.2">
      <c r="A33" s="77"/>
      <c r="B33" s="99" t="s">
        <v>263</v>
      </c>
      <c r="C33" s="101"/>
      <c r="D33" s="101">
        <f>C33*SUM(APRESENTAÇÃO!$D$104:$D$104)</f>
        <v>0</v>
      </c>
      <c r="E33" s="87"/>
    </row>
    <row r="34" spans="1:15" x14ac:dyDescent="0.2">
      <c r="A34" s="77"/>
      <c r="B34" s="99" t="s">
        <v>266</v>
      </c>
      <c r="C34" s="101">
        <f>451450.12/10062.97</f>
        <v>44.862512757168112</v>
      </c>
      <c r="D34" s="101">
        <f>C34*SUM(APRESENTAÇÃO!$D$104:$D$104)</f>
        <v>213519.09184159347</v>
      </c>
      <c r="E34" s="87"/>
    </row>
    <row r="35" spans="1:15" ht="12" hidden="1" customHeight="1" x14ac:dyDescent="0.2">
      <c r="A35" s="77"/>
      <c r="B35" s="99"/>
      <c r="C35" s="101">
        <f>SUM(C34:C34)</f>
        <v>44.862512757168112</v>
      </c>
      <c r="D35" s="101">
        <f>C35*SUM(APRESENTAÇÃO!$D$104:$D$104)</f>
        <v>213519.09184159347</v>
      </c>
      <c r="E35" s="87"/>
    </row>
    <row r="36" spans="1:15" ht="12" hidden="1" customHeight="1" x14ac:dyDescent="0.2">
      <c r="A36" s="77"/>
      <c r="B36" s="99"/>
      <c r="C36" s="101"/>
      <c r="D36" s="101">
        <f>C36*SUM(APRESENTAÇÃO!$D$104:$D$104)</f>
        <v>0</v>
      </c>
      <c r="E36" s="87"/>
    </row>
    <row r="37" spans="1:15" ht="12" hidden="1" customHeight="1" x14ac:dyDescent="0.2">
      <c r="A37" s="77"/>
      <c r="B37" s="99" t="s">
        <v>264</v>
      </c>
      <c r="C37" s="101"/>
      <c r="D37" s="101">
        <f>C37*SUM(APRESENTAÇÃO!$D$104:$D$104)</f>
        <v>0</v>
      </c>
      <c r="E37" s="87"/>
    </row>
    <row r="38" spans="1:15" x14ac:dyDescent="0.2">
      <c r="A38" s="77"/>
      <c r="B38" s="99" t="s">
        <v>267</v>
      </c>
      <c r="C38" s="101">
        <f>577514.11/10062.97</f>
        <v>57.39002600623872</v>
      </c>
      <c r="D38" s="101">
        <f>C38*SUM(APRESENTAÇÃO!$D$104:$D$104)</f>
        <v>273142.66367435263</v>
      </c>
      <c r="E38" s="87"/>
    </row>
    <row r="39" spans="1:15" hidden="1" x14ac:dyDescent="0.2">
      <c r="A39" s="77"/>
      <c r="B39" s="83"/>
      <c r="C39" s="101">
        <f>SUM(C38:C38)</f>
        <v>57.39002600623872</v>
      </c>
      <c r="D39" s="101">
        <f>C39*SUM(APRESENTAÇÃO!$D$104:$D$104)</f>
        <v>273142.66367435263</v>
      </c>
      <c r="E39" s="87"/>
    </row>
    <row r="40" spans="1:15" s="88" customFormat="1" x14ac:dyDescent="0.2">
      <c r="A40" s="77"/>
      <c r="B40" s="99" t="s">
        <v>269</v>
      </c>
      <c r="C40" s="101">
        <f>C38*1.05</f>
        <v>60.259527306550659</v>
      </c>
      <c r="D40" s="101">
        <f>C40*SUM(APRESENTAÇÃO!$D$104:$D$104)</f>
        <v>286799.79685807024</v>
      </c>
      <c r="E40" s="87"/>
      <c r="K40" s="89"/>
      <c r="N40" s="89"/>
      <c r="O40" s="87"/>
    </row>
    <row r="41" spans="1:15" x14ac:dyDescent="0.2">
      <c r="A41" s="77"/>
      <c r="B41" s="99" t="s">
        <v>268</v>
      </c>
      <c r="C41" s="101">
        <f>C16</f>
        <v>75.3</v>
      </c>
      <c r="D41" s="101">
        <f>C41*SUM(APRESENTAÇÃO!$D$104:$D$104)</f>
        <v>358383.57299999997</v>
      </c>
      <c r="E41" s="87"/>
    </row>
    <row r="42" spans="1:15" x14ac:dyDescent="0.2">
      <c r="A42" s="77"/>
      <c r="B42" s="102"/>
      <c r="C42" s="100"/>
      <c r="D42" s="100"/>
    </row>
    <row r="43" spans="1:15" x14ac:dyDescent="0.2">
      <c r="A43" s="77"/>
      <c r="B43" s="102"/>
      <c r="C43" s="100"/>
      <c r="D43" s="100"/>
    </row>
    <row r="44" spans="1:15" x14ac:dyDescent="0.2">
      <c r="A44" s="77"/>
      <c r="B44" s="102"/>
      <c r="C44" s="100"/>
      <c r="D44" s="100"/>
    </row>
  </sheetData>
  <mergeCells count="9">
    <mergeCell ref="I3:J3"/>
    <mergeCell ref="N3:P3"/>
    <mergeCell ref="N2:P2"/>
    <mergeCell ref="B23:D23"/>
    <mergeCell ref="B12:C12"/>
    <mergeCell ref="B18:C18"/>
    <mergeCell ref="B3:C3"/>
    <mergeCell ref="B2:H2"/>
    <mergeCell ref="E3:F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F15" sqref="F15"/>
    </sheetView>
  </sheetViews>
  <sheetFormatPr defaultColWidth="9.140625" defaultRowHeight="12" x14ac:dyDescent="0.2"/>
  <cols>
    <col min="1" max="1" width="16.140625" style="28" customWidth="1"/>
    <col min="2" max="2" width="18" style="28" customWidth="1"/>
    <col min="3" max="3" width="42.42578125" style="28" customWidth="1"/>
    <col min="4" max="4" width="5.140625" style="28" bestFit="1" customWidth="1"/>
    <col min="5" max="5" width="10.28515625" style="28" bestFit="1" customWidth="1"/>
    <col min="6" max="6" width="10" style="28" bestFit="1" customWidth="1"/>
    <col min="7" max="7" width="9.7109375" style="28" bestFit="1" customWidth="1"/>
    <col min="8" max="8" width="9.7109375" style="28" customWidth="1"/>
    <col min="9" max="10" width="9.140625" style="77"/>
    <col min="11" max="16384" width="9.140625" style="67"/>
  </cols>
  <sheetData>
    <row r="1" spans="1:11" x14ac:dyDescent="0.2">
      <c r="A1" s="67" t="s">
        <v>144</v>
      </c>
      <c r="B1" s="67" t="s">
        <v>273</v>
      </c>
      <c r="C1" s="67"/>
      <c r="D1" s="67"/>
      <c r="E1" s="67"/>
      <c r="F1" s="67"/>
      <c r="G1" s="67"/>
      <c r="H1" s="67"/>
    </row>
    <row r="2" spans="1:11" x14ac:dyDescent="0.2">
      <c r="A2" s="67" t="s">
        <v>145</v>
      </c>
      <c r="B2" s="67"/>
      <c r="C2" s="67"/>
      <c r="D2" s="67"/>
      <c r="E2" s="67"/>
      <c r="F2" s="67"/>
      <c r="G2" s="67"/>
      <c r="H2" s="67"/>
    </row>
    <row r="3" spans="1:11" x14ac:dyDescent="0.2">
      <c r="A3" s="67"/>
      <c r="B3" s="67"/>
      <c r="C3" s="67"/>
      <c r="D3" s="67"/>
      <c r="E3" s="67"/>
      <c r="F3" s="67"/>
      <c r="G3" s="67"/>
      <c r="H3" s="67"/>
    </row>
    <row r="4" spans="1:11" x14ac:dyDescent="0.2">
      <c r="A4" s="67" t="s">
        <v>146</v>
      </c>
      <c r="B4" s="67"/>
      <c r="C4" s="67"/>
      <c r="D4" s="67"/>
      <c r="E4" s="67"/>
      <c r="F4" s="67"/>
      <c r="G4" s="67"/>
      <c r="H4" s="67"/>
      <c r="I4" s="79">
        <v>10</v>
      </c>
      <c r="J4" s="79">
        <v>1</v>
      </c>
      <c r="K4" s="79">
        <f>(3*4.5)+((3*1.2)-(1*(3.14*0.6^2)))</f>
        <v>15.9696</v>
      </c>
    </row>
    <row r="5" spans="1:11" x14ac:dyDescent="0.2">
      <c r="A5" s="67" t="s">
        <v>147</v>
      </c>
      <c r="B5" s="67"/>
      <c r="C5" s="67"/>
      <c r="D5" s="67"/>
      <c r="E5" s="67"/>
      <c r="F5" s="67"/>
      <c r="G5" s="67"/>
      <c r="H5" s="67"/>
      <c r="I5" s="79">
        <v>34</v>
      </c>
      <c r="J5" s="79">
        <v>2</v>
      </c>
      <c r="K5" s="79">
        <f>(3*4.5)+((3*2.4)-(2*(3.14*0.6^2)))</f>
        <v>18.4392</v>
      </c>
    </row>
    <row r="6" spans="1:11" x14ac:dyDescent="0.2">
      <c r="A6" s="67"/>
      <c r="B6" s="67"/>
      <c r="C6" s="67"/>
      <c r="D6" s="67"/>
      <c r="E6" s="67"/>
      <c r="F6" s="67"/>
      <c r="G6" s="67"/>
      <c r="H6" s="67"/>
      <c r="I6" s="79">
        <v>27</v>
      </c>
      <c r="J6" s="79">
        <v>3</v>
      </c>
      <c r="K6" s="79">
        <f>(3*4.5)+((3*3.6)-(3*(3.14*0.6^2)))</f>
        <v>20.908799999999999</v>
      </c>
    </row>
    <row r="7" spans="1:11" x14ac:dyDescent="0.2">
      <c r="A7" s="67" t="s">
        <v>148</v>
      </c>
      <c r="B7" s="67" t="s">
        <v>238</v>
      </c>
      <c r="C7" s="67"/>
      <c r="D7" s="67"/>
      <c r="E7" s="67"/>
      <c r="F7" s="67"/>
      <c r="G7" s="67"/>
      <c r="H7" s="67"/>
      <c r="I7" s="79"/>
      <c r="J7" s="79"/>
      <c r="K7" s="80"/>
    </row>
    <row r="8" spans="1:11" x14ac:dyDescent="0.2">
      <c r="A8" s="67" t="s">
        <v>149</v>
      </c>
      <c r="B8" s="67" t="s">
        <v>150</v>
      </c>
      <c r="C8" s="67" t="s">
        <v>151</v>
      </c>
      <c r="D8" s="67" t="s">
        <v>152</v>
      </c>
      <c r="E8" s="67" t="s">
        <v>153</v>
      </c>
      <c r="F8" s="67" t="s">
        <v>154</v>
      </c>
      <c r="G8" s="67" t="s">
        <v>155</v>
      </c>
      <c r="H8" s="67"/>
      <c r="I8" s="79"/>
      <c r="J8" s="79"/>
      <c r="K8" s="80"/>
    </row>
    <row r="9" spans="1:11" x14ac:dyDescent="0.2">
      <c r="A9" s="67">
        <v>1</v>
      </c>
      <c r="B9" s="67" t="s">
        <v>149</v>
      </c>
      <c r="C9" s="67" t="s">
        <v>191</v>
      </c>
      <c r="D9" s="67"/>
      <c r="E9" s="67"/>
      <c r="F9" s="67"/>
      <c r="G9" s="67"/>
      <c r="H9" s="67"/>
      <c r="I9" s="79"/>
      <c r="J9" s="79"/>
      <c r="K9" s="80"/>
    </row>
    <row r="10" spans="1:11" s="68" customFormat="1" ht="34.5" customHeight="1" x14ac:dyDescent="0.25">
      <c r="A10" s="68" t="s">
        <v>156</v>
      </c>
      <c r="B10" s="68" t="s">
        <v>192</v>
      </c>
      <c r="C10" s="69" t="s">
        <v>193</v>
      </c>
      <c r="D10" s="70" t="s">
        <v>3</v>
      </c>
      <c r="E10" s="71">
        <v>159</v>
      </c>
      <c r="F10" s="72">
        <v>678.4538</v>
      </c>
      <c r="G10" s="73">
        <v>107874.1542</v>
      </c>
      <c r="H10" s="73"/>
      <c r="I10" s="81">
        <f>SUMPRODUCT(I4:I6,J4:J6)</f>
        <v>159</v>
      </c>
      <c r="J10" s="82" t="s">
        <v>235</v>
      </c>
      <c r="K10" s="82"/>
    </row>
    <row r="11" spans="1:11" x14ac:dyDescent="0.2">
      <c r="A11" s="67" t="s">
        <v>204</v>
      </c>
      <c r="B11" s="67" t="s">
        <v>233</v>
      </c>
      <c r="C11" s="67" t="s">
        <v>234</v>
      </c>
      <c r="D11" s="67" t="s">
        <v>162</v>
      </c>
      <c r="E11" s="74">
        <v>1351.1664000000001</v>
      </c>
      <c r="F11" s="67">
        <v>17.0886</v>
      </c>
      <c r="G11" s="74">
        <v>23089.542099999999</v>
      </c>
      <c r="H11" s="74"/>
      <c r="I11" s="79"/>
      <c r="J11" s="79"/>
      <c r="K11" s="80"/>
    </row>
    <row r="12" spans="1:11" x14ac:dyDescent="0.2">
      <c r="A12" s="67" t="s">
        <v>165</v>
      </c>
      <c r="B12" s="74">
        <v>130963.7</v>
      </c>
      <c r="C12" s="67"/>
      <c r="D12" s="67"/>
      <c r="E12" s="74"/>
      <c r="F12" s="67"/>
      <c r="G12" s="67"/>
      <c r="H12" s="67"/>
      <c r="I12" s="79">
        <f>SUMPRODUCT(I4:I6,K4:K6)</f>
        <v>1351.1664000000001</v>
      </c>
      <c r="J12" s="83" t="s">
        <v>231</v>
      </c>
      <c r="K12" s="83" t="s">
        <v>232</v>
      </c>
    </row>
    <row r="13" spans="1:11" x14ac:dyDescent="0.2">
      <c r="A13" s="67">
        <v>2</v>
      </c>
      <c r="B13" s="67" t="s">
        <v>149</v>
      </c>
      <c r="C13" s="67" t="s">
        <v>180</v>
      </c>
      <c r="D13" s="67"/>
      <c r="E13" s="74"/>
      <c r="F13" s="67"/>
      <c r="G13" s="67"/>
      <c r="H13" s="67"/>
    </row>
    <row r="14" spans="1:11" x14ac:dyDescent="0.2">
      <c r="A14" s="67" t="s">
        <v>166</v>
      </c>
      <c r="B14" s="67" t="s">
        <v>181</v>
      </c>
      <c r="C14" s="67" t="s">
        <v>182</v>
      </c>
      <c r="D14" s="67" t="s">
        <v>15</v>
      </c>
      <c r="E14" s="74">
        <v>1</v>
      </c>
      <c r="F14" s="74">
        <v>11899.314</v>
      </c>
      <c r="G14" s="74">
        <v>11899.314</v>
      </c>
      <c r="H14" s="74"/>
    </row>
    <row r="15" spans="1:11" x14ac:dyDescent="0.2">
      <c r="A15" s="74" t="s">
        <v>171</v>
      </c>
      <c r="B15" s="67" t="s">
        <v>183</v>
      </c>
      <c r="C15" s="67" t="s">
        <v>184</v>
      </c>
      <c r="D15" s="67" t="s">
        <v>15</v>
      </c>
      <c r="E15" s="67">
        <v>1</v>
      </c>
      <c r="F15" s="74">
        <v>12988.5705</v>
      </c>
      <c r="G15" s="74">
        <v>12988.5705</v>
      </c>
      <c r="H15" s="74"/>
      <c r="I15" s="77">
        <f>I4/SUMPRODUCT(J4:J6,I4:I6)</f>
        <v>6.2893081761006289E-2</v>
      </c>
      <c r="J15" s="77">
        <f>I4/SUMPRODUCT(I4:I6,J4:J6)</f>
        <v>6.2893081761006289E-2</v>
      </c>
    </row>
    <row r="16" spans="1:11" x14ac:dyDescent="0.2">
      <c r="A16" s="67" t="s">
        <v>189</v>
      </c>
      <c r="B16" s="67" t="s">
        <v>185</v>
      </c>
      <c r="C16" s="67" t="s">
        <v>186</v>
      </c>
      <c r="D16" s="67" t="s">
        <v>15</v>
      </c>
      <c r="E16" s="67">
        <v>1</v>
      </c>
      <c r="F16" s="74">
        <v>3631.3024999999998</v>
      </c>
      <c r="G16" s="74">
        <v>3631.3024999999998</v>
      </c>
      <c r="H16" s="74"/>
    </row>
    <row r="17" spans="1:10" s="68" customFormat="1" ht="34.5" customHeight="1" x14ac:dyDescent="0.25">
      <c r="A17" s="68" t="s">
        <v>179</v>
      </c>
      <c r="B17" s="73">
        <v>28519.19</v>
      </c>
      <c r="C17" s="69"/>
      <c r="D17" s="70"/>
      <c r="E17" s="71"/>
      <c r="F17" s="72"/>
      <c r="I17" s="78"/>
      <c r="J17" s="78"/>
    </row>
    <row r="18" spans="1:10" x14ac:dyDescent="0.2">
      <c r="A18" s="67" t="s">
        <v>187</v>
      </c>
      <c r="B18" s="75">
        <v>159482.88329999999</v>
      </c>
      <c r="C18" s="67"/>
      <c r="D18" s="74"/>
      <c r="E18" s="74"/>
      <c r="F18" s="67"/>
      <c r="G18" s="67"/>
      <c r="H18" s="67"/>
    </row>
    <row r="19" spans="1:10" s="68" customFormat="1" ht="34.5" customHeight="1" x14ac:dyDescent="0.25">
      <c r="B19" s="76">
        <f>B18*1.08</f>
        <v>172241.51396399998</v>
      </c>
      <c r="C19" s="69"/>
      <c r="D19" s="70"/>
      <c r="E19" s="71"/>
      <c r="F19" s="72"/>
      <c r="I19" s="78"/>
      <c r="J19" s="78"/>
    </row>
    <row r="89" spans="1:3" x14ac:dyDescent="0.2">
      <c r="A89" s="28" t="s">
        <v>169</v>
      </c>
      <c r="B89" s="28" t="s">
        <v>170</v>
      </c>
      <c r="C89" s="28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1"/>
  <sheetViews>
    <sheetView showGridLines="0" zoomScaleNormal="100" workbookViewId="0">
      <selection activeCell="C29" sqref="C29"/>
    </sheetView>
  </sheetViews>
  <sheetFormatPr defaultColWidth="9.140625" defaultRowHeight="18" customHeight="1" x14ac:dyDescent="0.25"/>
  <cols>
    <col min="1" max="1" width="2.140625" style="131" customWidth="1"/>
    <col min="2" max="2" width="51" style="11" customWidth="1"/>
    <col min="3" max="3" width="57.85546875" style="127" customWidth="1"/>
    <col min="4" max="4" width="9.7109375" style="138" customWidth="1"/>
    <col min="5" max="5" width="15" style="132" customWidth="1"/>
    <col min="6" max="6" width="15" style="168" customWidth="1"/>
    <col min="7" max="7" width="15.140625" style="189" customWidth="1"/>
    <col min="8" max="8" width="12.28515625" style="152" hidden="1" customWidth="1"/>
    <col min="9" max="9" width="12.28515625" style="141" hidden="1" customWidth="1"/>
    <col min="10" max="10" width="2.85546875" style="141" hidden="1" customWidth="1"/>
    <col min="11" max="11" width="13.7109375" style="142" hidden="1" customWidth="1"/>
    <col min="12" max="12" width="13.7109375" style="143" hidden="1" customWidth="1"/>
    <col min="13" max="13" width="13.7109375" style="142" customWidth="1"/>
    <col min="14" max="14" width="13.7109375" style="143" customWidth="1"/>
    <col min="15" max="15" width="13.7109375" style="142" customWidth="1"/>
    <col min="16" max="16" width="13.7109375" style="65" customWidth="1"/>
    <col min="17" max="18" width="13.7109375" style="131" customWidth="1"/>
    <col min="19" max="16384" width="9.140625" style="131"/>
  </cols>
  <sheetData>
    <row r="1" spans="1:16" ht="17.25" customHeight="1" x14ac:dyDescent="0.25">
      <c r="B1" s="14"/>
      <c r="C1" s="284"/>
      <c r="D1" s="284"/>
      <c r="E1" s="284"/>
      <c r="F1" s="284"/>
    </row>
    <row r="2" spans="1:16" ht="45.75" customHeight="1" x14ac:dyDescent="0.25">
      <c r="B2" s="285" t="s">
        <v>190</v>
      </c>
      <c r="C2" s="286"/>
      <c r="D2" s="286"/>
      <c r="E2" s="286"/>
      <c r="F2" s="164" t="s">
        <v>314</v>
      </c>
    </row>
    <row r="3" spans="1:16" ht="17.25" customHeight="1" x14ac:dyDescent="0.25">
      <c r="A3" s="142"/>
      <c r="B3" s="287" t="str">
        <f>base_dados_proj!B2</f>
        <v>CLUBE - VÁRZEA GRANDE</v>
      </c>
      <c r="C3" s="288"/>
      <c r="D3" s="289" t="s">
        <v>91</v>
      </c>
      <c r="E3" s="289"/>
      <c r="F3" s="29">
        <f>base_dados_proj!C7</f>
        <v>47283.25</v>
      </c>
      <c r="L3" s="142"/>
    </row>
    <row r="4" spans="1:16" ht="17.25" customHeight="1" x14ac:dyDescent="0.25">
      <c r="A4" s="142"/>
      <c r="B4" s="290" t="s">
        <v>315</v>
      </c>
      <c r="C4" s="291"/>
      <c r="D4" s="201"/>
      <c r="E4" s="201" t="s">
        <v>90</v>
      </c>
      <c r="F4" s="29">
        <f>base_dados_proj!C8</f>
        <v>0</v>
      </c>
      <c r="G4" s="190"/>
      <c r="L4" s="142"/>
    </row>
    <row r="5" spans="1:16" ht="17.25" customHeight="1" x14ac:dyDescent="0.25">
      <c r="A5" s="142"/>
      <c r="B5" s="281" t="str">
        <f>base_dados_proj!B3</f>
        <v xml:space="preserve">GINCO CLUBE </v>
      </c>
      <c r="C5" s="281"/>
      <c r="D5" s="201"/>
      <c r="E5" s="201" t="s">
        <v>89</v>
      </c>
      <c r="F5" s="175" t="e">
        <f>SUM($F$9,$F$23,$F$26,$F$40,$F$46,$F$67,$F$72,$F$76,F82,$F$89,$F$95,$F$109,$F$115)</f>
        <v>#DIV/0!</v>
      </c>
      <c r="L5" s="142"/>
    </row>
    <row r="6" spans="1:16" ht="17.25" customHeight="1" x14ac:dyDescent="0.25">
      <c r="A6" s="142"/>
      <c r="B6" s="281"/>
      <c r="C6" s="281"/>
      <c r="D6" s="202"/>
      <c r="E6" s="201" t="s">
        <v>313</v>
      </c>
      <c r="F6" s="175" t="e">
        <f>F5*1.06</f>
        <v>#DIV/0!</v>
      </c>
      <c r="L6" s="142"/>
    </row>
    <row r="7" spans="1:16" ht="17.25" customHeight="1" x14ac:dyDescent="0.25">
      <c r="A7" s="142"/>
      <c r="B7" s="281"/>
      <c r="C7" s="281"/>
      <c r="D7" s="282" t="s">
        <v>194</v>
      </c>
      <c r="E7" s="283"/>
      <c r="F7" s="176" t="e">
        <f>F6/F4</f>
        <v>#DIV/0!</v>
      </c>
      <c r="L7" s="142"/>
    </row>
    <row r="8" spans="1:16" ht="10.5" customHeight="1" x14ac:dyDescent="0.25">
      <c r="A8" s="142"/>
      <c r="B8" s="9"/>
      <c r="C8" s="131"/>
      <c r="D8" s="22"/>
      <c r="E8" s="131"/>
      <c r="F8" s="116"/>
      <c r="K8" s="20"/>
      <c r="L8" s="20"/>
      <c r="M8" s="20"/>
      <c r="N8" s="20"/>
      <c r="O8" s="20"/>
      <c r="P8" s="20"/>
    </row>
    <row r="9" spans="1:16" ht="18" customHeight="1" x14ac:dyDescent="0.25">
      <c r="B9" s="264" t="s">
        <v>78</v>
      </c>
      <c r="C9" s="266" t="s">
        <v>88</v>
      </c>
      <c r="D9" s="267"/>
      <c r="E9" s="268"/>
      <c r="F9" s="165">
        <f>SUM(F11:F22)</f>
        <v>355657</v>
      </c>
      <c r="G9" s="195" t="e">
        <f>F9/F6</f>
        <v>#DIV/0!</v>
      </c>
    </row>
    <row r="10" spans="1:16" ht="18" customHeight="1" x14ac:dyDescent="0.25">
      <c r="B10" s="265" t="s">
        <v>78</v>
      </c>
      <c r="C10" s="15" t="s">
        <v>87</v>
      </c>
      <c r="D10" s="23" t="s">
        <v>74</v>
      </c>
      <c r="E10" s="16" t="s">
        <v>85</v>
      </c>
      <c r="F10" s="166" t="s">
        <v>86</v>
      </c>
    </row>
    <row r="11" spans="1:16" ht="18" customHeight="1" x14ac:dyDescent="0.25">
      <c r="B11" s="13" t="s">
        <v>62</v>
      </c>
      <c r="C11" s="39" t="str">
        <f t="shared" ref="C11:C21" si="0">CONCATENATE("Custo baseado em ",K11," - ",M11," - ",O11)</f>
        <v xml:space="preserve">Custo baseado em HISTÓRICO DE CUSTO / PADRÃO ATUAL -  - </v>
      </c>
      <c r="D11" s="31">
        <f>base_dados_proj!$C$9</f>
        <v>20</v>
      </c>
      <c r="E11" s="30">
        <f>SUM(L11,N11,P11)/COUNTIF(L11:P11,"&gt;0")</f>
        <v>2000</v>
      </c>
      <c r="F11" s="167">
        <f>D11*E11</f>
        <v>40000</v>
      </c>
      <c r="K11" s="142" t="s">
        <v>131</v>
      </c>
      <c r="L11" s="143">
        <f>IFERROR(VLOOKUP($B11,base_índices!$A:$L,VLOOKUP(INFRA!K11,base_índices!$A$142:$B$153,2,FALSE),FALSE),0)</f>
        <v>2000</v>
      </c>
      <c r="P11" s="143"/>
    </row>
    <row r="12" spans="1:16" ht="18" customHeight="1" x14ac:dyDescent="0.25">
      <c r="B12" s="11" t="s">
        <v>63</v>
      </c>
      <c r="C12" s="127" t="str">
        <f t="shared" si="0"/>
        <v xml:space="preserve">Custo baseado em HISTÓRICO DE CUSTO / PADRÃO ATUAL -  - </v>
      </c>
      <c r="D12" s="138">
        <f>base_dados_proj!$C$9</f>
        <v>20</v>
      </c>
      <c r="E12" s="132">
        <f t="shared" ref="E12:E21" si="1">SUM(L12,N12,P12)/COUNTIF(L12:P12,"&gt;0")</f>
        <v>289</v>
      </c>
      <c r="F12" s="168">
        <f t="shared" ref="F12:F81" si="2">D12*E12</f>
        <v>5780</v>
      </c>
      <c r="K12" s="142" t="s">
        <v>131</v>
      </c>
      <c r="L12" s="143">
        <f>IFERROR(VLOOKUP($B12,base_índices!$A:$L,VLOOKUP(INFRA!K12,base_índices!$A$142:$B$153,2,FALSE),FALSE),0)</f>
        <v>289</v>
      </c>
      <c r="P12" s="143"/>
    </row>
    <row r="13" spans="1:16" ht="18" customHeight="1" x14ac:dyDescent="0.25">
      <c r="B13" s="11" t="s">
        <v>61</v>
      </c>
      <c r="C13" s="127" t="str">
        <f t="shared" si="0"/>
        <v xml:space="preserve">Custo baseado em HISTÓRICO DE CUSTO / PADRÃO ATUAL -  - </v>
      </c>
      <c r="D13" s="138">
        <f>base_dados_proj!$C$9</f>
        <v>20</v>
      </c>
      <c r="E13" s="132">
        <f t="shared" si="1"/>
        <v>850</v>
      </c>
      <c r="F13" s="168">
        <f t="shared" si="2"/>
        <v>17000</v>
      </c>
      <c r="K13" s="142" t="s">
        <v>131</v>
      </c>
      <c r="L13" s="143">
        <f>IFERROR(VLOOKUP($B13,base_índices!$A:$L,VLOOKUP(INFRA!K13,base_índices!$A$142:$B$153,2,FALSE),FALSE),0)</f>
        <v>850</v>
      </c>
      <c r="P13" s="143"/>
    </row>
    <row r="14" spans="1:16" ht="18" customHeight="1" x14ac:dyDescent="0.25">
      <c r="B14" s="11" t="s">
        <v>278</v>
      </c>
      <c r="C14" s="127" t="str">
        <f t="shared" si="0"/>
        <v xml:space="preserve">Custo baseado em HISTÓRICO DE CUSTO / PADRÃO ATUAL -  - </v>
      </c>
      <c r="D14" s="138">
        <v>1</v>
      </c>
      <c r="E14" s="132">
        <f t="shared" si="1"/>
        <v>5000</v>
      </c>
      <c r="F14" s="168">
        <f t="shared" si="2"/>
        <v>5000</v>
      </c>
      <c r="K14" s="142" t="s">
        <v>131</v>
      </c>
      <c r="L14" s="143">
        <f>IFERROR(VLOOKUP($B14,base_índices!$A:$L,VLOOKUP(INFRA!K14,base_índices!$A$142:$B$153,2,FALSE),FALSE),0)</f>
        <v>5000</v>
      </c>
      <c r="P14" s="143"/>
    </row>
    <row r="15" spans="1:16" ht="18" customHeight="1" x14ac:dyDescent="0.25">
      <c r="B15" s="11" t="s">
        <v>292</v>
      </c>
      <c r="C15" s="127" t="str">
        <f t="shared" si="0"/>
        <v xml:space="preserve">Custo baseado em HISTÓRICO DE CUSTO / PADRÃO ATUAL -  - </v>
      </c>
      <c r="D15" s="138">
        <f>base_dados_proj!$C$9</f>
        <v>20</v>
      </c>
      <c r="E15" s="132">
        <f t="shared" si="1"/>
        <v>300</v>
      </c>
      <c r="F15" s="168">
        <f t="shared" si="2"/>
        <v>6000</v>
      </c>
      <c r="K15" s="142" t="s">
        <v>131</v>
      </c>
      <c r="L15" s="143">
        <f>IFERROR(VLOOKUP($B15,base_índices!$A:$L,VLOOKUP(INFRA!K15,base_índices!$A$142:$B$153,2,FALSE),FALSE),0)</f>
        <v>300</v>
      </c>
      <c r="P15" s="143"/>
    </row>
    <row r="16" spans="1:16" ht="18" customHeight="1" x14ac:dyDescent="0.25">
      <c r="B16" s="11" t="s">
        <v>64</v>
      </c>
      <c r="C16" s="127" t="str">
        <f t="shared" si="0"/>
        <v xml:space="preserve">Custo baseado em HISTÓRICO DE CUSTO / PADRÃO ATUAL -  - </v>
      </c>
      <c r="D16" s="138">
        <v>1</v>
      </c>
      <c r="E16" s="132">
        <f t="shared" si="1"/>
        <v>2000</v>
      </c>
      <c r="F16" s="168">
        <f t="shared" si="2"/>
        <v>2000</v>
      </c>
      <c r="K16" s="142" t="s">
        <v>131</v>
      </c>
      <c r="L16" s="143">
        <f>IFERROR(VLOOKUP($B16,base_índices!$A:$L,VLOOKUP(INFRA!K16,base_índices!$A$142:$B$153,2,FALSE),FALSE),0)</f>
        <v>2000</v>
      </c>
      <c r="P16" s="143"/>
    </row>
    <row r="17" spans="2:16" s="137" customFormat="1" ht="18" customHeight="1" x14ac:dyDescent="0.25">
      <c r="B17" s="134" t="s">
        <v>60</v>
      </c>
      <c r="C17" s="135" t="str">
        <f t="shared" si="0"/>
        <v xml:space="preserve">Custo baseado em HISTÓRICO DE CUSTO / PADRÃO ATUAL -  - </v>
      </c>
      <c r="D17" s="139">
        <f>base_dados_proj!$C$9</f>
        <v>20</v>
      </c>
      <c r="E17" s="132">
        <f t="shared" si="1"/>
        <v>792</v>
      </c>
      <c r="F17" s="169">
        <f t="shared" si="2"/>
        <v>15840</v>
      </c>
      <c r="G17" s="66"/>
      <c r="H17" s="147"/>
      <c r="I17" s="149"/>
      <c r="J17" s="149"/>
      <c r="K17" s="142" t="s">
        <v>131</v>
      </c>
      <c r="L17" s="143">
        <f>IFERROR(VLOOKUP($B17,base_índices!$A:$L,VLOOKUP(INFRA!K17,base_índices!$A$142:$B$153,2,FALSE),FALSE),0)</f>
        <v>792</v>
      </c>
      <c r="M17" s="147"/>
      <c r="N17" s="148"/>
      <c r="O17" s="147"/>
      <c r="P17" s="148"/>
    </row>
    <row r="18" spans="2:16" ht="18" customHeight="1" x14ac:dyDescent="0.25">
      <c r="B18" s="11" t="s">
        <v>70</v>
      </c>
      <c r="C18" s="127" t="str">
        <f t="shared" si="0"/>
        <v xml:space="preserve">Custo baseado em HISTÓRICO DE CUSTO / PADRÃO ATUAL -  - </v>
      </c>
      <c r="D18" s="138">
        <f>base_dados_proj!$C$9</f>
        <v>20</v>
      </c>
      <c r="E18" s="132">
        <f t="shared" si="1"/>
        <v>1200</v>
      </c>
      <c r="F18" s="168">
        <f t="shared" si="2"/>
        <v>24000</v>
      </c>
      <c r="K18" s="142" t="s">
        <v>131</v>
      </c>
      <c r="L18" s="143">
        <f>IFERROR(VLOOKUP($B18,base_índices!$A:$L,VLOOKUP(INFRA!K18,base_índices!$A$142:$B$153,2,FALSE),FALSE),0)</f>
        <v>1200</v>
      </c>
      <c r="P18" s="143"/>
    </row>
    <row r="19" spans="2:16" s="133" customFormat="1" ht="18" customHeight="1" x14ac:dyDescent="0.25">
      <c r="B19" s="134" t="s">
        <v>293</v>
      </c>
      <c r="C19" s="135" t="str">
        <f t="shared" si="0"/>
        <v xml:space="preserve">Custo baseado em HISTÓRICO DE CUSTO / PADRÃO ATUAL -  - </v>
      </c>
      <c r="D19" s="139">
        <v>12</v>
      </c>
      <c r="E19" s="136">
        <f t="shared" si="1"/>
        <v>12000</v>
      </c>
      <c r="F19" s="169">
        <f t="shared" si="2"/>
        <v>144000</v>
      </c>
      <c r="G19" s="190"/>
      <c r="H19" s="153"/>
      <c r="I19" s="157"/>
      <c r="J19" s="157"/>
      <c r="K19" s="153" t="s">
        <v>131</v>
      </c>
      <c r="L19" s="156">
        <f>IFERROR(VLOOKUP($B19,base_índices!$A:$L,VLOOKUP(INFRA!K19,base_índices!$A$142:$B$153,2,FALSE),FALSE),0)</f>
        <v>12000</v>
      </c>
      <c r="M19" s="153"/>
      <c r="N19" s="156"/>
      <c r="O19" s="153"/>
      <c r="P19" s="156"/>
    </row>
    <row r="20" spans="2:16" s="137" customFormat="1" ht="18" customHeight="1" x14ac:dyDescent="0.25">
      <c r="B20" s="144" t="s">
        <v>65</v>
      </c>
      <c r="C20" s="145" t="str">
        <f t="shared" si="0"/>
        <v xml:space="preserve">Custo baseado em HISTÓRICO DE CUSTO / PADRÃO ATUAL -  - </v>
      </c>
      <c r="D20" s="146">
        <v>1</v>
      </c>
      <c r="E20" s="140">
        <f t="shared" si="1"/>
        <v>1500</v>
      </c>
      <c r="F20" s="169">
        <f t="shared" si="2"/>
        <v>1500</v>
      </c>
      <c r="G20" s="66"/>
      <c r="H20" s="147"/>
      <c r="I20" s="149"/>
      <c r="J20" s="149"/>
      <c r="K20" s="142" t="s">
        <v>131</v>
      </c>
      <c r="L20" s="143">
        <f>IFERROR(VLOOKUP($B20,base_índices!$A:$L,VLOOKUP(INFRA!K20,base_índices!$A$142:$B$153,2,FALSE),FALSE),0)</f>
        <v>1500</v>
      </c>
      <c r="M20" s="147"/>
      <c r="N20" s="148"/>
      <c r="O20" s="147"/>
      <c r="P20" s="148"/>
    </row>
    <row r="21" spans="2:16" s="137" customFormat="1" ht="18" customHeight="1" x14ac:dyDescent="0.25">
      <c r="B21" s="144" t="s">
        <v>295</v>
      </c>
      <c r="C21" s="145" t="str">
        <f t="shared" si="0"/>
        <v xml:space="preserve">Custo baseado em HISTÓRICO DE CUSTO / PADRÃO ATUAL -  - </v>
      </c>
      <c r="D21" s="146">
        <v>12</v>
      </c>
      <c r="E21" s="140">
        <f t="shared" si="1"/>
        <v>6000</v>
      </c>
      <c r="F21" s="169">
        <f t="shared" si="2"/>
        <v>72000</v>
      </c>
      <c r="G21" s="66"/>
      <c r="H21" s="147"/>
      <c r="I21" s="149"/>
      <c r="J21" s="149"/>
      <c r="K21" s="142" t="s">
        <v>131</v>
      </c>
      <c r="L21" s="143">
        <f>IFERROR(VLOOKUP($B21,base_índices!$A:$L,VLOOKUP(INFRA!K21,base_índices!$A$142:$B$153,2,FALSE),FALSE),0)</f>
        <v>6000</v>
      </c>
      <c r="M21" s="147"/>
      <c r="N21" s="148"/>
      <c r="O21" s="147"/>
      <c r="P21" s="148"/>
    </row>
    <row r="22" spans="2:16" ht="18" customHeight="1" x14ac:dyDescent="0.25">
      <c r="B22" s="11" t="s">
        <v>69</v>
      </c>
      <c r="C22" s="127" t="str">
        <f>CONCATENATE("Custo baseado em ",K22," - ",M22," - ",O22)</f>
        <v xml:space="preserve">Custo baseado em HISTÓRICO DE CUSTO / PADRÃO ATUAL -  - </v>
      </c>
      <c r="D22" s="138">
        <v>1</v>
      </c>
      <c r="E22" s="132">
        <f>SUM(L22,N22,P22)/COUNTIF(L22:P22,"&gt;0")</f>
        <v>22537</v>
      </c>
      <c r="F22" s="168">
        <f>D22*E22</f>
        <v>22537</v>
      </c>
      <c r="K22" s="142" t="s">
        <v>131</v>
      </c>
      <c r="L22" s="143">
        <f>IFERROR(VLOOKUP($B22,base_índices!$A:$L,VLOOKUP(INFRA!K22,base_índices!$A$142:$B$153,2,FALSE),FALSE),0)</f>
        <v>22537</v>
      </c>
      <c r="P22" s="143"/>
    </row>
    <row r="23" spans="2:16" ht="18" customHeight="1" x14ac:dyDescent="0.25">
      <c r="B23" s="264" t="s">
        <v>79</v>
      </c>
      <c r="C23" s="266" t="s">
        <v>88</v>
      </c>
      <c r="D23" s="267"/>
      <c r="E23" s="268"/>
      <c r="F23" s="165">
        <f>SUM(F25:F25)</f>
        <v>0</v>
      </c>
      <c r="H23" s="51"/>
      <c r="K23" s="142" t="s">
        <v>131</v>
      </c>
      <c r="L23" s="143">
        <f>IFERROR(VLOOKUP($B23,base_índices!$A:$L,VLOOKUP(INFRA!K23,base_índices!$A$142:$B$153,2,FALSE),FALSE),0)</f>
        <v>0</v>
      </c>
    </row>
    <row r="24" spans="2:16" ht="18" customHeight="1" x14ac:dyDescent="0.25">
      <c r="B24" s="265" t="s">
        <v>78</v>
      </c>
      <c r="C24" s="15" t="s">
        <v>87</v>
      </c>
      <c r="D24" s="23" t="s">
        <v>74</v>
      </c>
      <c r="E24" s="16" t="s">
        <v>85</v>
      </c>
      <c r="F24" s="166" t="s">
        <v>86</v>
      </c>
      <c r="H24" s="141"/>
      <c r="K24" s="142" t="s">
        <v>131</v>
      </c>
      <c r="L24" s="143">
        <f>IFERROR(VLOOKUP($B24,base_índices!$A:$L,VLOOKUP(INFRA!K24,base_índices!$A$142:$B$153,2,FALSE),FALSE),0)</f>
        <v>0</v>
      </c>
    </row>
    <row r="25" spans="2:16" s="133" customFormat="1" ht="22.5" customHeight="1" x14ac:dyDescent="0.25">
      <c r="B25" s="205" t="s">
        <v>290</v>
      </c>
      <c r="C25" s="161" t="s">
        <v>279</v>
      </c>
      <c r="D25" s="146">
        <f>base_dados_proj!C6</f>
        <v>0</v>
      </c>
      <c r="E25" s="140">
        <f>1098019.72258969/470</f>
        <v>2336.2121757227446</v>
      </c>
      <c r="F25" s="170">
        <f>E25*D25</f>
        <v>0</v>
      </c>
      <c r="G25" s="190"/>
      <c r="H25" s="115"/>
      <c r="I25" s="157"/>
      <c r="J25" s="157"/>
      <c r="K25" s="142" t="s">
        <v>131</v>
      </c>
      <c r="L25" s="143">
        <f>IFERROR(VLOOKUP($B25,base_índices!$A:$L,VLOOKUP(INFRA!K25,base_índices!$A$142:$B$153,2,FALSE),FALSE),0)</f>
        <v>0</v>
      </c>
      <c r="M25" s="153"/>
      <c r="N25" s="156"/>
      <c r="O25" s="153"/>
      <c r="P25" s="156"/>
    </row>
    <row r="26" spans="2:16" s="133" customFormat="1" ht="18" customHeight="1" x14ac:dyDescent="0.25">
      <c r="B26" s="274" t="s">
        <v>76</v>
      </c>
      <c r="C26" s="276" t="s">
        <v>88</v>
      </c>
      <c r="D26" s="277"/>
      <c r="E26" s="278"/>
      <c r="F26" s="171">
        <f>SUM(F28:F39)</f>
        <v>6004.86</v>
      </c>
      <c r="G26" s="189"/>
      <c r="H26" s="152"/>
      <c r="I26" s="141"/>
      <c r="J26" s="141"/>
      <c r="K26" s="142" t="s">
        <v>131</v>
      </c>
      <c r="L26" s="143">
        <f>IFERROR(VLOOKUP($B26,base_índices!$A:$L,VLOOKUP(INFRA!K26,base_índices!$A$142:$B$153,2,FALSE),FALSE),0)</f>
        <v>0</v>
      </c>
      <c r="M26" s="142"/>
      <c r="N26" s="143"/>
      <c r="O26" s="142"/>
      <c r="P26" s="65"/>
    </row>
    <row r="27" spans="2:16" s="133" customFormat="1" ht="18" customHeight="1" x14ac:dyDescent="0.25">
      <c r="B27" s="275" t="s">
        <v>78</v>
      </c>
      <c r="C27" s="25" t="s">
        <v>87</v>
      </c>
      <c r="D27" s="26" t="s">
        <v>74</v>
      </c>
      <c r="E27" s="27" t="s">
        <v>85</v>
      </c>
      <c r="F27" s="172" t="s">
        <v>86</v>
      </c>
      <c r="G27" s="189"/>
      <c r="H27" s="152"/>
      <c r="I27" s="141"/>
      <c r="J27" s="141"/>
      <c r="K27" s="142" t="s">
        <v>131</v>
      </c>
      <c r="L27" s="143">
        <f>IFERROR(VLOOKUP($B27,base_índices!$A:$L,VLOOKUP(INFRA!K27,base_índices!$A$142:$B$153,2,FALSE),FALSE),0)</f>
        <v>0</v>
      </c>
      <c r="M27" s="142"/>
      <c r="N27" s="143"/>
      <c r="O27" s="142"/>
      <c r="P27" s="65"/>
    </row>
    <row r="28" spans="2:16" s="137" customFormat="1" ht="18" customHeight="1" x14ac:dyDescent="0.25">
      <c r="B28" s="134" t="s">
        <v>34</v>
      </c>
      <c r="C28" s="135" t="str">
        <f t="shared" ref="C28" si="3">CONCATENATE("Custo baseado em ",K28," - ",M28," - ",O28)</f>
        <v xml:space="preserve">Custo baseado em HISTÓRICO DE CUSTO / PADRÃO ATUAL -  - </v>
      </c>
      <c r="D28" s="139">
        <f>SUM(base_dados_proj!C25+base_dados_proj!E22)</f>
        <v>0</v>
      </c>
      <c r="E28" s="136">
        <f t="shared" ref="E28:E32" si="4">SUM(L28,N28,P28)/COUNTIF(L28:P28,"&gt;0")</f>
        <v>2.2397999999999998</v>
      </c>
      <c r="F28" s="170">
        <f>D28*E28</f>
        <v>0</v>
      </c>
      <c r="G28" s="66"/>
      <c r="H28" s="147"/>
      <c r="I28" s="149"/>
      <c r="J28" s="149"/>
      <c r="K28" s="142" t="s">
        <v>131</v>
      </c>
      <c r="L28" s="143">
        <f>IFERROR(VLOOKUP($B28,base_índices!$A:$L,VLOOKUP(INFRA!K28,base_índices!$A$142:$B$153,2,FALSE),FALSE),0)</f>
        <v>2.2397999999999998</v>
      </c>
      <c r="M28" s="147"/>
      <c r="N28" s="148"/>
      <c r="O28" s="147"/>
      <c r="P28" s="148"/>
    </row>
    <row r="29" spans="2:16" s="137" customFormat="1" ht="18" customHeight="1" x14ac:dyDescent="0.25">
      <c r="B29" s="144" t="s">
        <v>121</v>
      </c>
      <c r="C29" s="145" t="str">
        <f>CONCATENATE("Custo baseado em ",K29," - ",M29," - ",O29)</f>
        <v xml:space="preserve">Custo baseado em HISTÓRICO DE CUSTO / PADRÃO ATUAL -  - </v>
      </c>
      <c r="D29" s="139">
        <f>D28</f>
        <v>0</v>
      </c>
      <c r="E29" s="140">
        <f t="shared" si="4"/>
        <v>8.5052000000000003</v>
      </c>
      <c r="F29" s="170">
        <f>D29*E29</f>
        <v>0</v>
      </c>
      <c r="G29" s="66"/>
      <c r="H29" s="117"/>
      <c r="I29" s="149"/>
      <c r="J29" s="149"/>
      <c r="K29" s="142" t="s">
        <v>131</v>
      </c>
      <c r="L29" s="143">
        <f>IFERROR(VLOOKUP($B29,base_índices!$A:$L,VLOOKUP(INFRA!K29,base_índices!$A$142:$B$153,2,FALSE),FALSE),0)</f>
        <v>8.5052000000000003</v>
      </c>
      <c r="M29" s="147"/>
      <c r="N29" s="148"/>
      <c r="O29" s="147"/>
      <c r="P29" s="148"/>
    </row>
    <row r="30" spans="2:16" s="137" customFormat="1" ht="18" hidden="1" customHeight="1" x14ac:dyDescent="0.25">
      <c r="B30" s="144" t="s">
        <v>125</v>
      </c>
      <c r="C30" s="145" t="str">
        <f>CONCATENATE("Custo baseado em ",K30," - ",M30," - ",O30)</f>
        <v xml:space="preserve">Custo baseado em HISTÓRICO DE CUSTO / PADRÃO ATUAL -  - </v>
      </c>
      <c r="D30" s="146">
        <f>base_dados_proj!C18</f>
        <v>0</v>
      </c>
      <c r="E30" s="140">
        <f t="shared" si="4"/>
        <v>65</v>
      </c>
      <c r="F30" s="186"/>
      <c r="G30" s="66"/>
      <c r="H30" s="147"/>
      <c r="I30" s="141"/>
      <c r="J30" s="151"/>
      <c r="K30" s="142" t="s">
        <v>131</v>
      </c>
      <c r="L30" s="143">
        <f>IFERROR(VLOOKUP($B30,base_índices!$A:$L,VLOOKUP(INFRA!K30,base_índices!$A$142:$B$153,2,FALSE),FALSE),0)</f>
        <v>65</v>
      </c>
      <c r="M30" s="147"/>
      <c r="N30" s="148"/>
      <c r="O30" s="147"/>
      <c r="P30" s="148"/>
    </row>
    <row r="31" spans="2:16" ht="18" hidden="1" customHeight="1" x14ac:dyDescent="0.25">
      <c r="B31" s="13" t="s">
        <v>38</v>
      </c>
      <c r="C31" s="39" t="str">
        <f t="shared" ref="C31:C32" si="5">CONCATENATE("Custo baseado em ",K31," - ",M31," - ",O31)</f>
        <v xml:space="preserve">Custo baseado em HISTÓRICO DE CUSTO / PADRÃO ATUAL -  - </v>
      </c>
      <c r="D31" s="31">
        <f>base_dados_proj!C21</f>
        <v>0</v>
      </c>
      <c r="E31" s="30">
        <f t="shared" si="4"/>
        <v>69.5428</v>
      </c>
      <c r="F31" s="185"/>
      <c r="H31" s="153"/>
      <c r="K31" s="142" t="s">
        <v>131</v>
      </c>
      <c r="L31" s="143">
        <f>IFERROR(VLOOKUP($B31,base_índices!$A:$L,VLOOKUP(INFRA!K31,base_índices!$A$142:$B$153,2,FALSE),FALSE),0)</f>
        <v>69.5428</v>
      </c>
      <c r="P31" s="143"/>
    </row>
    <row r="32" spans="2:16" ht="18" hidden="1" customHeight="1" x14ac:dyDescent="0.25">
      <c r="B32" s="203" t="s">
        <v>141</v>
      </c>
      <c r="C32" s="39" t="str">
        <f t="shared" si="5"/>
        <v xml:space="preserve">Custo baseado em HISTÓRICO DE CUSTO / PADRÃO ATUAL -  - </v>
      </c>
      <c r="D32" s="31">
        <f>base_dados_proj!C20</f>
        <v>0</v>
      </c>
      <c r="E32" s="30">
        <f t="shared" si="4"/>
        <v>67.252899999999997</v>
      </c>
      <c r="F32" s="185"/>
      <c r="H32" s="51"/>
      <c r="J32" s="151"/>
      <c r="K32" s="142" t="s">
        <v>131</v>
      </c>
      <c r="L32" s="143">
        <f>IFERROR(VLOOKUP($B32,base_índices!$A:$L,VLOOKUP(INFRA!K32,base_índices!$A$142:$B$153,2,FALSE),FALSE),0)</f>
        <v>67.252899999999997</v>
      </c>
      <c r="P32" s="143"/>
    </row>
    <row r="33" spans="2:16" ht="18" hidden="1" customHeight="1" x14ac:dyDescent="0.25">
      <c r="B33" s="144" t="s">
        <v>110</v>
      </c>
      <c r="C33" s="145" t="s">
        <v>75</v>
      </c>
      <c r="D33" s="146">
        <v>1</v>
      </c>
      <c r="E33" s="140" t="e">
        <f>#REF!</f>
        <v>#REF!</v>
      </c>
      <c r="F33" s="186"/>
      <c r="G33" s="191"/>
      <c r="H33" s="178"/>
      <c r="I33" s="178"/>
      <c r="J33" s="151"/>
      <c r="K33" s="142" t="s">
        <v>131</v>
      </c>
      <c r="L33" s="143">
        <f>IFERROR(VLOOKUP($B33,base_índices!$A:$L,VLOOKUP(INFRA!K33,base_índices!$A$142:$B$153,2,FALSE),FALSE),0)</f>
        <v>0</v>
      </c>
      <c r="P33" s="143"/>
    </row>
    <row r="34" spans="2:16" s="137" customFormat="1" ht="18" hidden="1" customHeight="1" x14ac:dyDescent="0.25">
      <c r="B34" s="144" t="s">
        <v>123</v>
      </c>
      <c r="C34" s="145" t="str">
        <f>CONCATENATE("Custo baseado em ",K34," - ",M34," - ",O34)</f>
        <v xml:space="preserve">Custo baseado em HISTÓRICO DE CUSTO / PADRÃO ATUAL -  - </v>
      </c>
      <c r="D34" s="146">
        <f>base_dados_proj!C18</f>
        <v>0</v>
      </c>
      <c r="E34" s="140" t="e">
        <f>SUM(L34,N34,P34)/COUNTIF(L34:P34,"&gt;0")</f>
        <v>#DIV/0!</v>
      </c>
      <c r="F34" s="186"/>
      <c r="G34" s="66"/>
      <c r="H34" s="147"/>
      <c r="I34" s="160"/>
      <c r="K34" s="142" t="s">
        <v>131</v>
      </c>
      <c r="L34" s="143">
        <f>IFERROR(VLOOKUP($B34,base_índices!$A:$L,VLOOKUP(INFRA!K34,base_índices!$A$142:$B$153,2,FALSE),FALSE),0)</f>
        <v>0</v>
      </c>
      <c r="M34" s="147"/>
      <c r="N34" s="148"/>
      <c r="O34" s="147"/>
      <c r="P34" s="148"/>
    </row>
    <row r="35" spans="2:16" s="179" customFormat="1" ht="12" x14ac:dyDescent="0.25">
      <c r="B35" s="187" t="s">
        <v>312</v>
      </c>
      <c r="C35" s="177" t="s">
        <v>316</v>
      </c>
      <c r="D35" s="139">
        <v>1</v>
      </c>
      <c r="E35" s="136">
        <f>6004.86</f>
        <v>6004.86</v>
      </c>
      <c r="F35" s="170">
        <f>E35*D35</f>
        <v>6004.86</v>
      </c>
      <c r="G35" s="192"/>
      <c r="H35" s="124"/>
      <c r="I35" s="180"/>
      <c r="J35" s="180"/>
      <c r="K35" s="142" t="s">
        <v>131</v>
      </c>
      <c r="L35" s="143">
        <f>IFERROR(VLOOKUP($B35,base_índices!$A:$L,VLOOKUP(INFRA!K35,base_índices!$A$142:$B$153,2,FALSE),FALSE),0)</f>
        <v>0</v>
      </c>
      <c r="M35" s="9"/>
      <c r="N35" s="143"/>
      <c r="O35" s="9"/>
      <c r="P35" s="143"/>
    </row>
    <row r="36" spans="2:16" s="133" customFormat="1" ht="18" hidden="1" customHeight="1" x14ac:dyDescent="0.25">
      <c r="B36" s="144" t="s">
        <v>301</v>
      </c>
      <c r="C36" s="145" t="str">
        <f>CONCATENATE("Custo baseado em ",K36," - ",M36," - ",O36)</f>
        <v xml:space="preserve">Custo baseado em AV. JUAREZ -  - </v>
      </c>
      <c r="D36" s="146">
        <f>base_dados_proj!C24</f>
        <v>0</v>
      </c>
      <c r="E36" s="140">
        <f>SUM(L36,N36,P36)/COUNTIF(L36:P36,"&gt;0")</f>
        <v>1083.0071</v>
      </c>
      <c r="F36" s="186"/>
      <c r="G36" s="190"/>
      <c r="H36" s="153"/>
      <c r="I36" s="157"/>
      <c r="J36" s="157"/>
      <c r="K36" s="153" t="s">
        <v>311</v>
      </c>
      <c r="L36" s="156">
        <f>IFERROR(VLOOKUP($B36,base_índices!$A:$L,VLOOKUP(INFRA!K36,base_índices!$A$142:$B$153,2,FALSE),FALSE),0)</f>
        <v>1083.0071</v>
      </c>
      <c r="M36" s="153"/>
      <c r="N36" s="156"/>
      <c r="O36" s="153"/>
      <c r="P36" s="156"/>
    </row>
    <row r="37" spans="2:16" ht="18" customHeight="1" x14ac:dyDescent="0.25">
      <c r="B37" s="11" t="s">
        <v>132</v>
      </c>
      <c r="C37" s="127" t="str">
        <f>CONCATENATE("Custo baseado em ",K37," - ",M37," - ",O37)</f>
        <v xml:space="preserve">Custo baseado em HISTÓRICO DE CUSTO / PADRÃO ATUAL -  - </v>
      </c>
      <c r="D37" s="31">
        <f>base_dados_proj!C25</f>
        <v>0</v>
      </c>
      <c r="E37" s="132">
        <f>SUM(L37,N37,P37)/COUNTIF(L37:P37,"&gt;0")</f>
        <v>66</v>
      </c>
      <c r="F37" s="168">
        <f>D37*E37</f>
        <v>0</v>
      </c>
      <c r="G37" s="190"/>
      <c r="K37" s="142" t="s">
        <v>131</v>
      </c>
      <c r="L37" s="143">
        <f>IFERROR(VLOOKUP($B37,base_índices!$A:$L,VLOOKUP(INFRA!K37,base_índices!$A$142:$B$153,2,FALSE),FALSE),0)</f>
        <v>66</v>
      </c>
      <c r="P37" s="143"/>
    </row>
    <row r="38" spans="2:16" ht="18" customHeight="1" x14ac:dyDescent="0.25">
      <c r="B38" s="11" t="s">
        <v>42</v>
      </c>
      <c r="C38" s="127" t="str">
        <f t="shared" ref="C38:C39" si="6">CONCATENATE("Custo baseado em ",K38," - ",M38," - ",O38)</f>
        <v xml:space="preserve">Custo baseado em HISTÓRICO DE CUSTO / PADRÃO ATUAL -  - </v>
      </c>
      <c r="D38" s="31">
        <f>base_dados_proj!C22</f>
        <v>0</v>
      </c>
      <c r="E38" s="132">
        <f t="shared" ref="E38:E39" si="7">SUM(L38,N38,P38)/COUNTIF(L38:P38,"&gt;0")</f>
        <v>10.5</v>
      </c>
      <c r="F38" s="168">
        <f t="shared" ref="F38:F39" si="8">D38*E38</f>
        <v>0</v>
      </c>
      <c r="K38" s="142" t="s">
        <v>131</v>
      </c>
      <c r="L38" s="143">
        <f>IFERROR(VLOOKUP($B38,base_índices!$A:$L,VLOOKUP(INFRA!K38,base_índices!$A$142:$B$153,2,FALSE),FALSE),0)</f>
        <v>10.5</v>
      </c>
      <c r="P38" s="143"/>
    </row>
    <row r="39" spans="2:16" ht="18" customHeight="1" x14ac:dyDescent="0.25">
      <c r="B39" s="11" t="s">
        <v>302</v>
      </c>
      <c r="C39" s="127" t="str">
        <f t="shared" si="6"/>
        <v xml:space="preserve">Custo baseado em HISTÓRICO DE CUSTO / PADRÃO ATUAL -  - </v>
      </c>
      <c r="D39" s="31">
        <f>base_dados_proj!C24</f>
        <v>0</v>
      </c>
      <c r="E39" s="132">
        <f t="shared" si="7"/>
        <v>29.432500000000001</v>
      </c>
      <c r="F39" s="168">
        <f t="shared" si="8"/>
        <v>0</v>
      </c>
      <c r="K39" s="142" t="s">
        <v>131</v>
      </c>
      <c r="L39" s="143">
        <f>IFERROR(VLOOKUP($B39,base_índices!$A:$L,VLOOKUP(INFRA!K39,base_índices!$A$142:$B$153,2,FALSE),FALSE),0)</f>
        <v>29.432500000000001</v>
      </c>
      <c r="P39" s="143"/>
    </row>
    <row r="40" spans="2:16" ht="18" customHeight="1" x14ac:dyDescent="0.25">
      <c r="B40" s="264" t="s">
        <v>80</v>
      </c>
      <c r="C40" s="266" t="s">
        <v>88</v>
      </c>
      <c r="D40" s="267"/>
      <c r="E40" s="268"/>
      <c r="F40" s="165" t="e">
        <f>SUM(F42:F45)</f>
        <v>#DIV/0!</v>
      </c>
      <c r="K40" s="142" t="s">
        <v>131</v>
      </c>
      <c r="L40" s="143">
        <f>IFERROR(VLOOKUP($B40,base_índices!$A:$L,VLOOKUP(INFRA!K40,base_índices!$A$142:$B$153,2,FALSE),FALSE),0)</f>
        <v>0</v>
      </c>
    </row>
    <row r="41" spans="2:16" ht="18" customHeight="1" x14ac:dyDescent="0.25">
      <c r="B41" s="265" t="s">
        <v>78</v>
      </c>
      <c r="C41" s="15" t="s">
        <v>87</v>
      </c>
      <c r="D41" s="23" t="s">
        <v>74</v>
      </c>
      <c r="E41" s="16" t="s">
        <v>85</v>
      </c>
      <c r="F41" s="166" t="s">
        <v>86</v>
      </c>
      <c r="K41" s="142" t="s">
        <v>131</v>
      </c>
      <c r="L41" s="143">
        <f>IFERROR(VLOOKUP($B41,base_índices!$A:$L,VLOOKUP(INFRA!K41,base_índices!$A$142:$B$153,2,FALSE),FALSE),0)</f>
        <v>0</v>
      </c>
    </row>
    <row r="42" spans="2:16" ht="18" customHeight="1" x14ac:dyDescent="0.25">
      <c r="B42" s="11" t="s">
        <v>34</v>
      </c>
      <c r="C42" s="127" t="str">
        <f t="shared" ref="C42:C48" si="9">CONCATENATE("Custo baseado em ",K42," - ",M42," - ",O42)</f>
        <v xml:space="preserve">Custo baseado em HISTÓRICO DE CUSTO / PADRÃO ATUAL -  - </v>
      </c>
      <c r="D42" s="138">
        <f>base_dados_proj!C7</f>
        <v>47283.25</v>
      </c>
      <c r="E42" s="132">
        <f t="shared" ref="E42:E43" si="10">SUM(L42,N42,P42)/COUNTIF(L42:P42,"&gt;0")</f>
        <v>2.2397999999999998</v>
      </c>
      <c r="F42" s="168">
        <f>D42*E42</f>
        <v>105905.02334999999</v>
      </c>
      <c r="K42" s="142" t="s">
        <v>131</v>
      </c>
      <c r="L42" s="143">
        <f>IFERROR(VLOOKUP($B42,base_índices!$A:$L,VLOOKUP(INFRA!K42,base_índices!$A$142:$B$153,2,FALSE),FALSE),0)</f>
        <v>2.2397999999999998</v>
      </c>
      <c r="P42" s="143"/>
    </row>
    <row r="43" spans="2:16" ht="18" customHeight="1" x14ac:dyDescent="0.25">
      <c r="B43" s="279" t="s">
        <v>108</v>
      </c>
      <c r="C43" s="127" t="str">
        <f t="shared" si="9"/>
        <v xml:space="preserve">Custo baseado em HISTÓRICO DE CUSTO / PADRÃO ATUAL -  - </v>
      </c>
      <c r="D43" s="138">
        <f>base_dados_proj!$C$28</f>
        <v>6872.22</v>
      </c>
      <c r="E43" s="132">
        <f t="shared" si="10"/>
        <v>0.82269999999999999</v>
      </c>
      <c r="F43" s="168">
        <f t="shared" si="2"/>
        <v>5653.7753940000002</v>
      </c>
      <c r="K43" s="142" t="s">
        <v>131</v>
      </c>
      <c r="L43" s="143">
        <f>IFERROR(VLOOKUP($B43,base_índices!$A:$L,VLOOKUP(INFRA!K43,base_índices!$A$142:$B$153,2,FALSE),FALSE),0)</f>
        <v>0.82269999999999999</v>
      </c>
      <c r="P43" s="143"/>
    </row>
    <row r="44" spans="2:16" ht="18" customHeight="1" x14ac:dyDescent="0.25">
      <c r="B44" s="280"/>
      <c r="C44" s="127" t="str">
        <f t="shared" si="9"/>
        <v xml:space="preserve">Custo baseado em HISTÓRICO DE CUSTO / PADRÃO ATUAL -  - </v>
      </c>
      <c r="D44" s="138">
        <f>base_dados_proj!$C$28</f>
        <v>6872.22</v>
      </c>
      <c r="E44" s="132">
        <f>E43</f>
        <v>0.82269999999999999</v>
      </c>
      <c r="F44" s="168">
        <f t="shared" si="2"/>
        <v>5653.7753940000002</v>
      </c>
      <c r="K44" s="142" t="s">
        <v>131</v>
      </c>
      <c r="L44" s="143">
        <f>IFERROR(VLOOKUP($B44,base_índices!$A:$L,VLOOKUP(INFRA!K44,base_índices!$A$142:$B$153,2,FALSE),FALSE),0)</f>
        <v>0</v>
      </c>
      <c r="P44" s="143"/>
    </row>
    <row r="45" spans="2:16" ht="18" customHeight="1" x14ac:dyDescent="0.25">
      <c r="B45" s="11" t="s">
        <v>296</v>
      </c>
      <c r="C45" s="127" t="str">
        <f t="shared" si="9"/>
        <v xml:space="preserve">Custo baseado em HISTÓRICO DE CUSTO / PADRÃO ATUAL -  - </v>
      </c>
      <c r="D45" s="138">
        <v>1</v>
      </c>
      <c r="E45" s="132" t="e">
        <f t="shared" ref="E45" si="11">SUM(L45,N45,P45)/COUNTIF(L45:P45,"&gt;0")</f>
        <v>#DIV/0!</v>
      </c>
      <c r="F45" s="168" t="e">
        <f>D45*E45</f>
        <v>#DIV/0!</v>
      </c>
      <c r="K45" s="142" t="s">
        <v>131</v>
      </c>
      <c r="L45" s="143">
        <f>IFERROR(VLOOKUP($B45,base_índices!$A:$L,VLOOKUP(INFRA!K45,base_índices!$A$142:$B$153,2,FALSE),FALSE),0)</f>
        <v>0</v>
      </c>
      <c r="P45" s="143"/>
    </row>
    <row r="46" spans="2:16" ht="18" customHeight="1" x14ac:dyDescent="0.25">
      <c r="B46" s="264" t="s">
        <v>81</v>
      </c>
      <c r="C46" s="266" t="s">
        <v>88</v>
      </c>
      <c r="D46" s="267"/>
      <c r="E46" s="268"/>
      <c r="F46" s="165" t="e">
        <f>SUM(F48:F66)</f>
        <v>#DIV/0!</v>
      </c>
      <c r="K46" s="142" t="s">
        <v>131</v>
      </c>
      <c r="L46" s="143">
        <f>IFERROR(VLOOKUP($B46,base_índices!$A:$L,VLOOKUP(INFRA!K46,base_índices!$A$142:$B$153,2,FALSE),FALSE),0)</f>
        <v>0</v>
      </c>
    </row>
    <row r="47" spans="2:16" ht="18" customHeight="1" x14ac:dyDescent="0.25">
      <c r="B47" s="265" t="s">
        <v>78</v>
      </c>
      <c r="C47" s="15" t="s">
        <v>87</v>
      </c>
      <c r="D47" s="23" t="s">
        <v>74</v>
      </c>
      <c r="E47" s="16" t="s">
        <v>85</v>
      </c>
      <c r="F47" s="166" t="s">
        <v>86</v>
      </c>
      <c r="K47" s="142" t="s">
        <v>131</v>
      </c>
      <c r="L47" s="143">
        <f>IFERROR(VLOOKUP($B47,base_índices!$A:$L,VLOOKUP(INFRA!K47,base_índices!$A$142:$B$153,2,FALSE),FALSE),0)</f>
        <v>0</v>
      </c>
    </row>
    <row r="48" spans="2:16" ht="18" customHeight="1" x14ac:dyDescent="0.25">
      <c r="B48" s="11" t="s">
        <v>36</v>
      </c>
      <c r="C48" s="127" t="str">
        <f t="shared" si="9"/>
        <v xml:space="preserve">Custo baseado em HISTÓRICO DE CUSTO / PADRÃO ATUAL -  - </v>
      </c>
      <c r="D48" s="138">
        <v>1</v>
      </c>
      <c r="E48" s="132" t="e">
        <f t="shared" ref="E48:E56" si="12">SUM(L48,N48,P48)/COUNTIF(L48:P48,"&gt;0")</f>
        <v>#DIV/0!</v>
      </c>
      <c r="F48" s="168" t="e">
        <f t="shared" si="2"/>
        <v>#DIV/0!</v>
      </c>
      <c r="K48" s="142" t="s">
        <v>131</v>
      </c>
      <c r="L48" s="143">
        <f>IFERROR(VLOOKUP($B48,base_índices!$A:$L,VLOOKUP(INFRA!K48,base_índices!$A$142:$B$153,2,FALSE),FALSE),0)</f>
        <v>0</v>
      </c>
      <c r="P48" s="143"/>
    </row>
    <row r="49" spans="2:16" ht="18" customHeight="1" x14ac:dyDescent="0.25">
      <c r="B49" s="11" t="s">
        <v>35</v>
      </c>
      <c r="C49" s="127" t="str">
        <f>CONCATENATE("Custo baseado em ",K49," - ",M49," - ",O49)</f>
        <v xml:space="preserve">Custo baseado em HISTÓRICO DE CUSTO / PADRÃO ATUAL -  - </v>
      </c>
      <c r="D49" s="138">
        <v>1</v>
      </c>
      <c r="E49" s="132">
        <f t="shared" si="12"/>
        <v>65000</v>
      </c>
      <c r="F49" s="168">
        <f t="shared" si="2"/>
        <v>65000</v>
      </c>
      <c r="K49" s="142" t="s">
        <v>131</v>
      </c>
      <c r="L49" s="143">
        <f>IFERROR(VLOOKUP($B49,base_índices!$A:$L,VLOOKUP(INFRA!K49,base_índices!$A$142:$B$153,2,FALSE),FALSE),0)</f>
        <v>65000</v>
      </c>
      <c r="P49" s="143"/>
    </row>
    <row r="50" spans="2:16" s="137" customFormat="1" ht="18" customHeight="1" x14ac:dyDescent="0.25">
      <c r="B50" s="144" t="s">
        <v>121</v>
      </c>
      <c r="C50" s="145" t="str">
        <f>CONCATENATE("Custo baseado em ",K50," - ",M50," - ",O50)</f>
        <v xml:space="preserve">Custo baseado em HISTÓRICO DE CUSTO / PADRÃO ATUAL -  - </v>
      </c>
      <c r="D50" s="146">
        <f>base_dados_proj!C7</f>
        <v>47283.25</v>
      </c>
      <c r="E50" s="140">
        <f t="shared" si="12"/>
        <v>8.5052000000000003</v>
      </c>
      <c r="F50" s="170">
        <f>D50*E50</f>
        <v>402153.49790000002</v>
      </c>
      <c r="G50" s="66"/>
      <c r="H50" s="117"/>
      <c r="I50" s="149"/>
      <c r="J50" s="149"/>
      <c r="K50" s="142" t="s">
        <v>131</v>
      </c>
      <c r="L50" s="143">
        <f>IFERROR(VLOOKUP($B50,base_índices!$A:$L,VLOOKUP(INFRA!K50,base_índices!$A$142:$B$153,2,FALSE),FALSE),0)</f>
        <v>8.5052000000000003</v>
      </c>
      <c r="M50" s="147"/>
      <c r="N50" s="148"/>
      <c r="O50" s="147"/>
      <c r="P50" s="148"/>
    </row>
    <row r="51" spans="2:16" s="137" customFormat="1" ht="18" customHeight="1" x14ac:dyDescent="0.25">
      <c r="B51" s="144" t="s">
        <v>125</v>
      </c>
      <c r="C51" s="145" t="str">
        <f>CONCATENATE("Custo baseado em ",K51," - ",M51," - ",O51)</f>
        <v xml:space="preserve">Custo baseado em HISTÓRICO DE CUSTO / PADRÃO ATUAL -  - </v>
      </c>
      <c r="D51" s="146">
        <f>base_dados_proj!C28</f>
        <v>6872.22</v>
      </c>
      <c r="E51" s="140">
        <f t="shared" si="12"/>
        <v>65</v>
      </c>
      <c r="F51" s="170">
        <f t="shared" ref="F51:F55" si="13">D51*E51</f>
        <v>446694.3</v>
      </c>
      <c r="G51" s="66"/>
      <c r="H51" s="147"/>
      <c r="I51" s="141"/>
      <c r="J51" s="151"/>
      <c r="K51" s="142" t="s">
        <v>131</v>
      </c>
      <c r="L51" s="143">
        <f>IFERROR(VLOOKUP($B51,base_índices!$A:$L,VLOOKUP(INFRA!K51,base_índices!$A$142:$B$153,2,FALSE),FALSE),0)</f>
        <v>65</v>
      </c>
      <c r="M51" s="147"/>
      <c r="N51" s="148"/>
      <c r="O51" s="147"/>
      <c r="P51" s="148"/>
    </row>
    <row r="52" spans="2:16" s="137" customFormat="1" ht="18" customHeight="1" x14ac:dyDescent="0.25">
      <c r="B52" s="144" t="s">
        <v>40</v>
      </c>
      <c r="C52" s="145" t="str">
        <f>CONCATENATE("Custo baseado em ",K52," - ",M52," - ",O52)</f>
        <v xml:space="preserve">Custo baseado em HISTÓRICO DE CUSTO / PADRÃO ATUAL -  - </v>
      </c>
      <c r="D52" s="146">
        <f>base_dados_proj!C6</f>
        <v>0</v>
      </c>
      <c r="E52" s="140" t="e">
        <f t="shared" si="12"/>
        <v>#DIV/0!</v>
      </c>
      <c r="F52" s="170" t="e">
        <f>(D52*E52)</f>
        <v>#DIV/0!</v>
      </c>
      <c r="G52" s="66"/>
      <c r="H52" s="147"/>
      <c r="I52" s="141"/>
      <c r="J52" s="141"/>
      <c r="K52" s="142" t="s">
        <v>131</v>
      </c>
      <c r="L52" s="143">
        <f>IFERROR(VLOOKUP($B52,base_índices!$A:$L,VLOOKUP(INFRA!K52,base_índices!$A$142:$B$153,2,FALSE),FALSE),0)</f>
        <v>0</v>
      </c>
      <c r="M52" s="147"/>
      <c r="N52" s="148"/>
      <c r="O52" s="147"/>
      <c r="P52" s="148"/>
    </row>
    <row r="53" spans="2:16" s="137" customFormat="1" ht="18" customHeight="1" x14ac:dyDescent="0.25">
      <c r="B53" s="144" t="s">
        <v>112</v>
      </c>
      <c r="C53" s="145" t="str">
        <f>CONCATENATE("Custo baseado em ",K53," - ",M53," - ",O53)</f>
        <v xml:space="preserve">Custo baseado em HISTÓRICO DE CUSTO / PADRÃO ATUAL -  - </v>
      </c>
      <c r="D53" s="146">
        <f>base_dados_proj!C31</f>
        <v>1405.6</v>
      </c>
      <c r="E53" s="140">
        <f t="shared" si="12"/>
        <v>45.240900000000003</v>
      </c>
      <c r="F53" s="170">
        <f t="shared" si="13"/>
        <v>63590.609040000003</v>
      </c>
      <c r="G53" s="66"/>
      <c r="H53" s="147"/>
      <c r="I53" s="141"/>
      <c r="J53" s="151"/>
      <c r="K53" s="142" t="s">
        <v>131</v>
      </c>
      <c r="L53" s="143">
        <f>IFERROR(VLOOKUP($B53,base_índices!$A:$L,VLOOKUP(INFRA!K53,base_índices!$A$142:$B$153,2,FALSE),FALSE),0)</f>
        <v>45.240900000000003</v>
      </c>
      <c r="M53" s="147"/>
      <c r="N53" s="148"/>
      <c r="O53" s="147"/>
      <c r="P53" s="148"/>
    </row>
    <row r="54" spans="2:16" ht="18" customHeight="1" x14ac:dyDescent="0.25">
      <c r="B54" s="144" t="s">
        <v>111</v>
      </c>
      <c r="C54" s="145" t="str">
        <f t="shared" ref="C54:C56" si="14">CONCATENATE("Custo baseado em ",K54," - ",M54," - ",O54)</f>
        <v xml:space="preserve">Custo baseado em HISTÓRICO DE CUSTO / PADRÃO ATUAL -  - </v>
      </c>
      <c r="D54" s="146">
        <f>base_dados_proj!C6</f>
        <v>0</v>
      </c>
      <c r="E54" s="140">
        <f t="shared" si="12"/>
        <v>400</v>
      </c>
      <c r="F54" s="170">
        <f t="shared" si="13"/>
        <v>0</v>
      </c>
      <c r="H54" s="153"/>
      <c r="K54" s="142" t="s">
        <v>131</v>
      </c>
      <c r="L54" s="143">
        <f>IFERROR(VLOOKUP($B54,base_índices!$A:$L,VLOOKUP(INFRA!K54,base_índices!$A$142:$B$153,2,FALSE),FALSE),0)</f>
        <v>400</v>
      </c>
      <c r="P54" s="143"/>
    </row>
    <row r="55" spans="2:16" ht="18" customHeight="1" x14ac:dyDescent="0.25">
      <c r="B55" s="144" t="s">
        <v>38</v>
      </c>
      <c r="C55" s="145" t="str">
        <f t="shared" si="14"/>
        <v xml:space="preserve">Custo baseado em HISTÓRICO DE CUSTO / PADRÃO ATUAL -  - </v>
      </c>
      <c r="D55" s="146">
        <f>base_dados_proj!C31</f>
        <v>1405.6</v>
      </c>
      <c r="E55" s="140">
        <f t="shared" si="12"/>
        <v>69.5428</v>
      </c>
      <c r="F55" s="170">
        <f t="shared" si="13"/>
        <v>97749.359679999994</v>
      </c>
      <c r="H55" s="153"/>
      <c r="K55" s="142" t="s">
        <v>131</v>
      </c>
      <c r="L55" s="143">
        <f>IFERROR(VLOOKUP($B55,base_índices!$A:$L,VLOOKUP(INFRA!K55,base_índices!$A$142:$B$153,2,FALSE),FALSE),0)</f>
        <v>69.5428</v>
      </c>
      <c r="P55" s="143"/>
    </row>
    <row r="56" spans="2:16" ht="18" customHeight="1" x14ac:dyDescent="0.25">
      <c r="B56" s="203" t="s">
        <v>141</v>
      </c>
      <c r="C56" s="39" t="str">
        <f t="shared" si="14"/>
        <v xml:space="preserve">Custo baseado em HISTÓRICO DE CUSTO / PADRÃO ATUAL -  - </v>
      </c>
      <c r="D56" s="31">
        <f>base_dados_proj!C30</f>
        <v>1475.8799999999999</v>
      </c>
      <c r="E56" s="30">
        <f t="shared" si="12"/>
        <v>67.252899999999997</v>
      </c>
      <c r="F56" s="167">
        <f>D56*E56</f>
        <v>99257.21005199998</v>
      </c>
      <c r="H56" s="51"/>
      <c r="J56" s="151"/>
      <c r="K56" s="142" t="s">
        <v>131</v>
      </c>
      <c r="L56" s="143">
        <f>IFERROR(VLOOKUP($B56,base_índices!$A:$L,VLOOKUP(INFRA!K56,base_índices!$A$142:$B$153,2,FALSE),FALSE),0)</f>
        <v>67.252899999999997</v>
      </c>
      <c r="P56" s="143"/>
    </row>
    <row r="57" spans="2:16" ht="18" customHeight="1" x14ac:dyDescent="0.25">
      <c r="B57" s="144" t="s">
        <v>110</v>
      </c>
      <c r="C57" s="145" t="s">
        <v>75</v>
      </c>
      <c r="D57" s="155">
        <v>1</v>
      </c>
      <c r="E57" s="150">
        <f>'Pavimentação Interna'!B28</f>
        <v>617951.40948000003</v>
      </c>
      <c r="F57" s="173">
        <f>(D57*E57)</f>
        <v>617951.40948000003</v>
      </c>
      <c r="G57" s="191"/>
      <c r="H57" s="178"/>
      <c r="I57" s="178"/>
      <c r="J57" s="151"/>
      <c r="K57" s="142" t="s">
        <v>131</v>
      </c>
      <c r="L57" s="143">
        <f>IFERROR(VLOOKUP($B57,base_índices!$A:$L,VLOOKUP(INFRA!K57,base_índices!$A$142:$B$153,2,FALSE),FALSE),0)</f>
        <v>0</v>
      </c>
      <c r="P57" s="143"/>
    </row>
    <row r="58" spans="2:16" ht="18" customHeight="1" x14ac:dyDescent="0.25">
      <c r="B58" s="13" t="s">
        <v>37</v>
      </c>
      <c r="C58" s="39" t="str">
        <f>CONCATENATE("Custo baseado em ",K58," - ",M58," - ",O58)</f>
        <v xml:space="preserve">Custo baseado em HISTÓRICO DE CUSTO / PADRÃO ATUAL -  - </v>
      </c>
      <c r="D58" s="31">
        <f>base_dados_proj!C33</f>
        <v>3</v>
      </c>
      <c r="E58" s="30">
        <f t="shared" ref="E58:E59" si="15">SUM(L58,N58,P58)/COUNTIF(L58:P58,"&gt;0")</f>
        <v>13000</v>
      </c>
      <c r="F58" s="167">
        <f t="shared" ref="F58:F59" si="16">D58*E58</f>
        <v>39000</v>
      </c>
      <c r="I58" s="151"/>
      <c r="J58" s="151"/>
      <c r="K58" s="142" t="s">
        <v>131</v>
      </c>
      <c r="L58" s="143">
        <f>IFERROR(VLOOKUP($B58,base_índices!$A:$L,VLOOKUP(INFRA!K58,base_índices!$A$142:$B$153,2,FALSE),FALSE),0)</f>
        <v>13000</v>
      </c>
      <c r="P58" s="143"/>
    </row>
    <row r="59" spans="2:16" ht="18" customHeight="1" x14ac:dyDescent="0.25">
      <c r="B59" s="272" t="s">
        <v>299</v>
      </c>
      <c r="C59" s="39" t="str">
        <f t="shared" ref="C59" si="17">CONCATENATE("Custo baseado em ",K59," - ",M59," - ",O59)</f>
        <v xml:space="preserve">Custo baseado em HISTÓRICO DE CUSTO / PADRÃO ATUAL -  - </v>
      </c>
      <c r="D59" s="31">
        <v>1</v>
      </c>
      <c r="E59" s="30">
        <f t="shared" si="15"/>
        <v>22559.398099999999</v>
      </c>
      <c r="F59" s="167">
        <f t="shared" si="16"/>
        <v>22559.398099999999</v>
      </c>
      <c r="K59" s="152" t="s">
        <v>131</v>
      </c>
      <c r="L59" s="193">
        <f>IFERROR(VLOOKUP($B59,base_índices!$A:$L,VLOOKUP(INFRA!K59,base_índices!$A$142:$B$153,2,FALSE),FALSE),0)</f>
        <v>22559.398099999999</v>
      </c>
      <c r="M59" s="152"/>
      <c r="N59" s="193"/>
      <c r="O59" s="152"/>
      <c r="P59" s="193"/>
    </row>
    <row r="60" spans="2:16" s="198" customFormat="1" ht="15" customHeight="1" x14ac:dyDescent="0.25">
      <c r="B60" s="273"/>
      <c r="C60" s="196" t="s">
        <v>280</v>
      </c>
      <c r="D60" s="138">
        <v>1</v>
      </c>
      <c r="E60" s="132">
        <f>E59</f>
        <v>22559.398099999999</v>
      </c>
      <c r="F60" s="168">
        <f>E60*D60</f>
        <v>22559.398099999999</v>
      </c>
      <c r="G60" s="197"/>
      <c r="H60" s="124"/>
      <c r="I60" s="193"/>
      <c r="J60" s="124"/>
      <c r="K60" s="152" t="s">
        <v>131</v>
      </c>
      <c r="L60" s="193">
        <f>IFERROR(VLOOKUP($B60,base_índices!$A:$L,VLOOKUP(INFRA!K60,base_índices!$A$142:$B$153,2,FALSE),FALSE),0)</f>
        <v>0</v>
      </c>
      <c r="M60" s="193"/>
    </row>
    <row r="61" spans="2:16" s="137" customFormat="1" ht="18" customHeight="1" x14ac:dyDescent="0.25">
      <c r="B61" s="144" t="s">
        <v>124</v>
      </c>
      <c r="C61" s="145" t="str">
        <f>CONCATENATE("Custo baseado em ",K61," - ",M61," - ",O61)</f>
        <v xml:space="preserve">Custo baseado em HISTÓRICO DE CUSTO / PADRÃO ATUAL -  - </v>
      </c>
      <c r="D61" s="146">
        <v>1</v>
      </c>
      <c r="E61" s="140">
        <f t="shared" ref="E61:E66" si="18">SUM(L61,N61,P61)/COUNTIF(L61:P61,"&gt;0")</f>
        <v>95418.044599999994</v>
      </c>
      <c r="F61" s="170">
        <f t="shared" ref="F61" si="19">D61*E61</f>
        <v>95418.044599999994</v>
      </c>
      <c r="G61" s="66"/>
      <c r="H61" s="147"/>
      <c r="I61" s="160"/>
      <c r="K61" s="142" t="s">
        <v>131</v>
      </c>
      <c r="L61" s="143">
        <f>IFERROR(VLOOKUP($B61,base_índices!$A:$L,VLOOKUP(INFRA!K61,base_índices!$A$142:$B$153,2,FALSE),FALSE),0)</f>
        <v>95418.044599999994</v>
      </c>
      <c r="M61" s="147"/>
      <c r="N61" s="148"/>
      <c r="O61" s="147"/>
      <c r="P61" s="148"/>
    </row>
    <row r="62" spans="2:16" s="137" customFormat="1" ht="18" customHeight="1" x14ac:dyDescent="0.25">
      <c r="B62" s="144" t="s">
        <v>127</v>
      </c>
      <c r="C62" s="145" t="str">
        <f>CONCATENATE("Custo baseado em ",K62," - ",M62," - ",O62)</f>
        <v xml:space="preserve">Custo baseado em HISTÓRICO DE CUSTO / PADRÃO ATUAL -  - </v>
      </c>
      <c r="D62" s="146">
        <f>base_dados_proj!C28</f>
        <v>6872.22</v>
      </c>
      <c r="E62" s="140">
        <f t="shared" si="18"/>
        <v>33.3093</v>
      </c>
      <c r="F62" s="170">
        <f>D62*E62</f>
        <v>228908.837646</v>
      </c>
      <c r="G62" s="66"/>
      <c r="H62" s="147"/>
      <c r="I62" s="141"/>
      <c r="J62" s="151"/>
      <c r="K62" s="142" t="s">
        <v>131</v>
      </c>
      <c r="L62" s="143">
        <f>IFERROR(VLOOKUP($B62,base_índices!$A:$L,VLOOKUP(INFRA!K62,base_índices!$A$142:$B$153,2,FALSE),FALSE),0)</f>
        <v>33.3093</v>
      </c>
      <c r="M62" s="147"/>
      <c r="N62" s="148"/>
      <c r="O62" s="147"/>
      <c r="P62" s="148"/>
    </row>
    <row r="63" spans="2:16" s="137" customFormat="1" ht="18" customHeight="1" x14ac:dyDescent="0.25">
      <c r="B63" s="144" t="s">
        <v>298</v>
      </c>
      <c r="C63" s="145" t="str">
        <f t="shared" ref="C63:C65" si="20">CONCATENATE("Custo baseado em ",K63," - ",M63," - ",O63)</f>
        <v xml:space="preserve">Custo baseado em HISTÓRICO DE CUSTO / PADRÃO ATUAL -  - </v>
      </c>
      <c r="D63" s="139">
        <v>5</v>
      </c>
      <c r="E63" s="140" t="e">
        <f t="shared" si="18"/>
        <v>#DIV/0!</v>
      </c>
      <c r="F63" s="170" t="e">
        <f>D63*E63</f>
        <v>#DIV/0!</v>
      </c>
      <c r="G63" s="66"/>
      <c r="H63" s="147"/>
      <c r="I63" s="141"/>
      <c r="J63" s="151"/>
      <c r="K63" s="142" t="s">
        <v>131</v>
      </c>
      <c r="L63" s="143">
        <f>IFERROR(VLOOKUP($B63,base_índices!$A:$L,VLOOKUP(INFRA!K63,base_índices!$A$142:$B$153,2,FALSE),FALSE),0)</f>
        <v>0</v>
      </c>
      <c r="M63" s="147"/>
      <c r="N63" s="148"/>
      <c r="O63" s="147"/>
      <c r="P63" s="148"/>
    </row>
    <row r="64" spans="2:16" s="137" customFormat="1" ht="18" customHeight="1" x14ac:dyDescent="0.25">
      <c r="B64" s="144" t="s">
        <v>275</v>
      </c>
      <c r="C64" s="145" t="str">
        <f t="shared" si="20"/>
        <v xml:space="preserve">Custo baseado em HISTÓRICO DE CUSTO / PADRÃO ATUAL -  - </v>
      </c>
      <c r="D64" s="139">
        <f>base_dados_proj!C6</f>
        <v>0</v>
      </c>
      <c r="E64" s="140">
        <f t="shared" si="18"/>
        <v>215.49809999999999</v>
      </c>
      <c r="F64" s="170">
        <f>D64*E64</f>
        <v>0</v>
      </c>
      <c r="G64" s="66"/>
      <c r="H64" s="147"/>
      <c r="I64" s="141"/>
      <c r="J64" s="151"/>
      <c r="K64" s="142" t="s">
        <v>131</v>
      </c>
      <c r="L64" s="143">
        <f>IFERROR(VLOOKUP($B64,base_índices!$A:$L,VLOOKUP(INFRA!K64,base_índices!$A$142:$B$153,2,FALSE),FALSE),0)</f>
        <v>215.49809999999999</v>
      </c>
      <c r="M64" s="147"/>
      <c r="N64" s="148"/>
      <c r="O64" s="147"/>
      <c r="P64" s="148"/>
    </row>
    <row r="65" spans="2:16" s="137" customFormat="1" ht="18" customHeight="1" x14ac:dyDescent="0.25">
      <c r="B65" s="144" t="s">
        <v>297</v>
      </c>
      <c r="C65" s="145" t="str">
        <f t="shared" si="20"/>
        <v xml:space="preserve">Custo baseado em HISTÓRICO DE CUSTO / PADRÃO ATUAL -  - </v>
      </c>
      <c r="D65" s="139">
        <f>base_dados_proj!C6</f>
        <v>0</v>
      </c>
      <c r="E65" s="140" t="e">
        <f t="shared" si="18"/>
        <v>#DIV/0!</v>
      </c>
      <c r="F65" s="170" t="e">
        <f>D65*E65</f>
        <v>#DIV/0!</v>
      </c>
      <c r="G65" s="66"/>
      <c r="H65" s="147"/>
      <c r="I65" s="141"/>
      <c r="J65" s="151"/>
      <c r="K65" s="142" t="s">
        <v>131</v>
      </c>
      <c r="L65" s="143">
        <f>IFERROR(VLOOKUP($B65,base_índices!$A:$L,VLOOKUP(INFRA!K65,base_índices!$A$142:$B$153,2,FALSE),FALSE),0)</f>
        <v>0</v>
      </c>
      <c r="M65" s="147"/>
      <c r="N65" s="148"/>
      <c r="O65" s="147"/>
      <c r="P65" s="148"/>
    </row>
    <row r="66" spans="2:16" s="133" customFormat="1" ht="18" hidden="1" customHeight="1" x14ac:dyDescent="0.25">
      <c r="B66" s="123" t="s">
        <v>128</v>
      </c>
      <c r="C66" s="154" t="str">
        <f>CONCATENATE("Custo baseado em ",K66," - ",M66," - ",O66)</f>
        <v xml:space="preserve">Custo baseado em HISTÓRICO DE CUSTO / PADRÃO ATUAL -  - </v>
      </c>
      <c r="D66" s="155">
        <v>1</v>
      </c>
      <c r="E66" s="150" t="e">
        <f t="shared" si="18"/>
        <v>#DIV/0!</v>
      </c>
      <c r="F66" s="173"/>
      <c r="G66" s="190"/>
      <c r="H66" s="153"/>
      <c r="I66" s="157"/>
      <c r="K66" s="142" t="s">
        <v>131</v>
      </c>
      <c r="L66" s="143">
        <f>IFERROR(VLOOKUP($B66,base_índices!$A:$L,VLOOKUP(INFRA!K66,base_índices!$A$142:$B$153,2,FALSE),FALSE),0)</f>
        <v>0</v>
      </c>
      <c r="M66" s="153"/>
      <c r="N66" s="156"/>
      <c r="O66" s="153"/>
      <c r="P66" s="156"/>
    </row>
    <row r="67" spans="2:16" ht="18" customHeight="1" x14ac:dyDescent="0.25">
      <c r="B67" s="264" t="s">
        <v>82</v>
      </c>
      <c r="C67" s="266" t="s">
        <v>88</v>
      </c>
      <c r="D67" s="267"/>
      <c r="E67" s="268"/>
      <c r="F67" s="165" t="e">
        <f>SUM(F69:F71)</f>
        <v>#DIV/0!</v>
      </c>
      <c r="K67" s="142" t="s">
        <v>131</v>
      </c>
      <c r="L67" s="143">
        <f>IFERROR(VLOOKUP($B67,base_índices!$A:$L,VLOOKUP(INFRA!K67,base_índices!$A$142:$B$153,2,FALSE),FALSE),0)</f>
        <v>0</v>
      </c>
    </row>
    <row r="68" spans="2:16" ht="18" customHeight="1" x14ac:dyDescent="0.25">
      <c r="B68" s="265" t="s">
        <v>78</v>
      </c>
      <c r="C68" s="15" t="s">
        <v>87</v>
      </c>
      <c r="D68" s="23" t="s">
        <v>74</v>
      </c>
      <c r="E68" s="16" t="s">
        <v>85</v>
      </c>
      <c r="F68" s="166" t="s">
        <v>86</v>
      </c>
      <c r="K68" s="142" t="s">
        <v>131</v>
      </c>
      <c r="L68" s="143">
        <f>IFERROR(VLOOKUP($B68,base_índices!$A:$L,VLOOKUP(INFRA!K68,base_índices!$A$142:$B$153,2,FALSE),FALSE),0)</f>
        <v>0</v>
      </c>
    </row>
    <row r="69" spans="2:16" ht="18" customHeight="1" x14ac:dyDescent="0.25">
      <c r="B69" s="11" t="s">
        <v>41</v>
      </c>
      <c r="C69" s="127" t="str">
        <f t="shared" ref="C69:C71" si="21">CONCATENATE("Custo baseado em ",K69," - ",M69," - ",O69)</f>
        <v xml:space="preserve">Custo baseado em HISTÓRICO DE CUSTO / PADRÃO ATUAL -  - </v>
      </c>
      <c r="D69" s="138">
        <f>base_dados_proj!C35</f>
        <v>572.03</v>
      </c>
      <c r="E69" s="30">
        <f t="shared" ref="E69:E71" si="22">SUM(L69,N69,P69)/COUNTIF(L69:P69,"&gt;0")</f>
        <v>752.74289999999996</v>
      </c>
      <c r="F69" s="168">
        <f t="shared" ref="F69:F71" si="23">D69*E69</f>
        <v>430591.52108699997</v>
      </c>
      <c r="K69" s="142" t="s">
        <v>131</v>
      </c>
      <c r="L69" s="143">
        <f>IFERROR(VLOOKUP($B69,base_índices!$A:$L,VLOOKUP(INFRA!K69,base_índices!$A$142:$B$153,2,FALSE),FALSE),0)</f>
        <v>752.74289999999996</v>
      </c>
      <c r="P69" s="143"/>
    </row>
    <row r="70" spans="2:16" ht="18" hidden="1" customHeight="1" x14ac:dyDescent="0.25">
      <c r="B70" s="11" t="s">
        <v>291</v>
      </c>
      <c r="C70" s="127" t="str">
        <f t="shared" si="21"/>
        <v xml:space="preserve">Custo baseado em HISTÓRICO DE CUSTO / PADRÃO ATUAL -  - </v>
      </c>
      <c r="D70" s="138">
        <f>base_dados_proj!E37</f>
        <v>0</v>
      </c>
      <c r="E70" s="30" t="e">
        <f t="shared" si="22"/>
        <v>#DIV/0!</v>
      </c>
      <c r="F70" s="168" t="e">
        <f t="shared" si="23"/>
        <v>#DIV/0!</v>
      </c>
      <c r="K70" s="142" t="s">
        <v>131</v>
      </c>
      <c r="L70" s="143">
        <f>IFERROR(VLOOKUP($B70,base_índices!$A:$L,VLOOKUP(INFRA!K70,base_índices!$A$142:$B$153,2,FALSE),FALSE),0)</f>
        <v>0</v>
      </c>
      <c r="P70" s="143"/>
    </row>
    <row r="71" spans="2:16" ht="18" hidden="1" customHeight="1" x14ac:dyDescent="0.25">
      <c r="B71" s="11" t="s">
        <v>117</v>
      </c>
      <c r="C71" s="127" t="str">
        <f t="shared" si="21"/>
        <v xml:space="preserve">Custo baseado em HISTÓRICO DE CUSTO / PADRÃO ATUAL -  - </v>
      </c>
      <c r="D71" s="138">
        <f>base_dados_proj!C37</f>
        <v>0</v>
      </c>
      <c r="E71" s="132">
        <f t="shared" si="22"/>
        <v>470</v>
      </c>
      <c r="F71" s="168">
        <f t="shared" si="23"/>
        <v>0</v>
      </c>
      <c r="K71" s="142" t="s">
        <v>131</v>
      </c>
      <c r="L71" s="143">
        <f>IFERROR(VLOOKUP($B71,base_índices!$A:$L,VLOOKUP(INFRA!K71,base_índices!$A$142:$B$153,2,FALSE),FALSE),0)</f>
        <v>470</v>
      </c>
      <c r="P71" s="143"/>
    </row>
    <row r="72" spans="2:16" ht="18" customHeight="1" x14ac:dyDescent="0.25">
      <c r="B72" s="264" t="s">
        <v>31</v>
      </c>
      <c r="C72" s="266" t="s">
        <v>88</v>
      </c>
      <c r="D72" s="267"/>
      <c r="E72" s="268"/>
      <c r="F72" s="165">
        <f>SUM(F74:F75)</f>
        <v>36037.89</v>
      </c>
      <c r="K72" s="142" t="s">
        <v>131</v>
      </c>
      <c r="L72" s="143">
        <f>IFERROR(VLOOKUP($B72,base_índices!$A:$L,VLOOKUP(INFRA!K72,base_índices!$A$142:$B$153,2,FALSE),FALSE),0)</f>
        <v>0</v>
      </c>
    </row>
    <row r="73" spans="2:16" ht="18" customHeight="1" x14ac:dyDescent="0.25">
      <c r="B73" s="265" t="s">
        <v>78</v>
      </c>
      <c r="C73" s="15" t="s">
        <v>87</v>
      </c>
      <c r="D73" s="23" t="s">
        <v>74</v>
      </c>
      <c r="E73" s="16" t="s">
        <v>85</v>
      </c>
      <c r="F73" s="166" t="s">
        <v>86</v>
      </c>
      <c r="K73" s="142" t="s">
        <v>131</v>
      </c>
      <c r="L73" s="143">
        <f>IFERROR(VLOOKUP($B73,base_índices!$A:$L,VLOOKUP(INFRA!K73,base_índices!$A$142:$B$153,2,FALSE),FALSE),0)</f>
        <v>0</v>
      </c>
    </row>
    <row r="74" spans="2:16" ht="18" customHeight="1" x14ac:dyDescent="0.25">
      <c r="B74" s="13" t="s">
        <v>239</v>
      </c>
      <c r="C74" s="39" t="str">
        <f t="shared" ref="C74:C119" si="24">CONCATENATE("Custo baseado em ",K74," - ",M74," - ",O74)</f>
        <v xml:space="preserve">Custo baseado em HISTÓRICO DE CUSTO / PADRÃO ATUAL -  - </v>
      </c>
      <c r="D74" s="31">
        <f>SUM(base_dados_proj!$C$35,base_dados_proj!$E$37)</f>
        <v>572.03</v>
      </c>
      <c r="E74" s="30">
        <f t="shared" ref="E74:E75" si="25">SUM(L74,N74,P74)/COUNTIF(L74:P74,"&gt;0")</f>
        <v>28</v>
      </c>
      <c r="F74" s="167">
        <f t="shared" ref="F74" si="26">D74*E74</f>
        <v>16016.84</v>
      </c>
      <c r="K74" s="142" t="s">
        <v>131</v>
      </c>
      <c r="L74" s="143">
        <f>IFERROR(VLOOKUP($B74,base_índices!$A:$L,VLOOKUP(INFRA!K74,base_índices!$A$142:$B$153,2,FALSE),FALSE),0)</f>
        <v>28</v>
      </c>
      <c r="P74" s="143"/>
    </row>
    <row r="75" spans="2:16" ht="18" customHeight="1" x14ac:dyDescent="0.25">
      <c r="B75" s="144" t="s">
        <v>68</v>
      </c>
      <c r="C75" s="145" t="str">
        <f t="shared" si="24"/>
        <v xml:space="preserve">Custo baseado em HISTÓRICO DE CUSTO / PADRÃO ATUAL -  - </v>
      </c>
      <c r="D75" s="146">
        <f>SUM(base_dados_proj!$C$35,base_dados_proj!$E$37)</f>
        <v>572.03</v>
      </c>
      <c r="E75" s="140">
        <f t="shared" si="25"/>
        <v>35</v>
      </c>
      <c r="F75" s="170">
        <f t="shared" si="2"/>
        <v>20021.05</v>
      </c>
      <c r="K75" s="142" t="s">
        <v>131</v>
      </c>
      <c r="L75" s="143">
        <f>IFERROR(VLOOKUP($B75,base_índices!$A:$L,VLOOKUP(INFRA!K75,base_índices!$A$142:$B$153,2,FALSE),FALSE),0)</f>
        <v>35</v>
      </c>
      <c r="P75" s="143"/>
    </row>
    <row r="76" spans="2:16" ht="18" customHeight="1" x14ac:dyDescent="0.25">
      <c r="B76" s="264" t="s">
        <v>83</v>
      </c>
      <c r="C76" s="266" t="s">
        <v>88</v>
      </c>
      <c r="D76" s="267"/>
      <c r="E76" s="268"/>
      <c r="F76" s="165">
        <f>SUM(F78:F81)</f>
        <v>607656.35229249997</v>
      </c>
      <c r="K76" s="142" t="s">
        <v>131</v>
      </c>
      <c r="L76" s="143">
        <f>IFERROR(VLOOKUP($B76,base_índices!$A:$L,VLOOKUP(INFRA!K76,base_índices!$A$142:$B$153,2,FALSE),FALSE),0)</f>
        <v>0</v>
      </c>
    </row>
    <row r="77" spans="2:16" ht="18" customHeight="1" x14ac:dyDescent="0.25">
      <c r="B77" s="265" t="s">
        <v>78</v>
      </c>
      <c r="C77" s="15" t="s">
        <v>87</v>
      </c>
      <c r="D77" s="23" t="s">
        <v>74</v>
      </c>
      <c r="E77" s="16" t="s">
        <v>85</v>
      </c>
      <c r="F77" s="166" t="s">
        <v>86</v>
      </c>
      <c r="K77" s="142" t="s">
        <v>131</v>
      </c>
      <c r="L77" s="143">
        <f>IFERROR(VLOOKUP($B77,base_índices!$A:$L,VLOOKUP(INFRA!K77,base_índices!$A$142:$B$153,2,FALSE),FALSE),0)</f>
        <v>0</v>
      </c>
    </row>
    <row r="78" spans="2:16" ht="18" customHeight="1" x14ac:dyDescent="0.25">
      <c r="B78" s="13" t="s">
        <v>44</v>
      </c>
      <c r="C78" s="39" t="str">
        <f>CONCATENATE("Custo baseado em ",K78," - ",M78," - ","+70%")</f>
        <v>Custo baseado em HISTÓRICO DE CUSTO / PADRÃO ATUAL -  - +70%</v>
      </c>
      <c r="D78" s="31">
        <f>base_dados_proj!C7</f>
        <v>47283.25</v>
      </c>
      <c r="E78" s="150">
        <f>SUM(L78,N78,P78)/COUNTIF(L78:P78,"&gt;0")*1.7</f>
        <v>3.2974899999999998</v>
      </c>
      <c r="F78" s="167">
        <f>D78*E78</f>
        <v>155916.0440425</v>
      </c>
      <c r="K78" s="142" t="s">
        <v>131</v>
      </c>
      <c r="L78" s="143">
        <f>IFERROR(VLOOKUP($B78,base_índices!$A:$L,VLOOKUP(INFRA!K78,base_índices!$A$142:$B$153,2,FALSE),FALSE),0)</f>
        <v>1.9397</v>
      </c>
      <c r="P78" s="143"/>
    </row>
    <row r="79" spans="2:16" ht="18" customHeight="1" x14ac:dyDescent="0.25">
      <c r="B79" s="144" t="s">
        <v>42</v>
      </c>
      <c r="C79" s="145" t="str">
        <f t="shared" si="24"/>
        <v xml:space="preserve">Custo baseado em HISTÓRICO DE CUSTO / PADRÃO ATUAL -  - </v>
      </c>
      <c r="D79" s="146">
        <f>base_dados_proj!C39</f>
        <v>39280.754999999997</v>
      </c>
      <c r="E79" s="140">
        <f t="shared" ref="E79:E81" si="27">SUM(L79,N79,P79)/COUNTIF(L79:P79,"&gt;0")</f>
        <v>10.5</v>
      </c>
      <c r="F79" s="170">
        <f t="shared" si="2"/>
        <v>412447.92749999999</v>
      </c>
      <c r="K79" s="142" t="s">
        <v>131</v>
      </c>
      <c r="L79" s="143">
        <f>IFERROR(VLOOKUP($B79,base_índices!$A:$L,VLOOKUP(INFRA!K79,base_índices!$A$142:$B$153,2,FALSE),FALSE),0)</f>
        <v>10.5</v>
      </c>
      <c r="P79" s="143"/>
    </row>
    <row r="80" spans="2:16" ht="18" customHeight="1" x14ac:dyDescent="0.25">
      <c r="B80" s="13" t="s">
        <v>43</v>
      </c>
      <c r="C80" s="39" t="str">
        <f t="shared" si="24"/>
        <v xml:space="preserve">Custo baseado em HISTÓRICO DE CUSTO / PADRÃO ATUAL -  - </v>
      </c>
      <c r="D80" s="31">
        <f>base_dados_proj!C40</f>
        <v>0</v>
      </c>
      <c r="E80" s="30">
        <f>SUM(L80,N80,P80)/COUNTIF(L80:P80,"&gt;0")*1.03</f>
        <v>1.4377769999999999</v>
      </c>
      <c r="F80" s="167">
        <f t="shared" si="2"/>
        <v>0</v>
      </c>
      <c r="I80" s="34"/>
      <c r="K80" s="142" t="s">
        <v>131</v>
      </c>
      <c r="L80" s="143">
        <f>IFERROR(VLOOKUP($B80,base_índices!$A:$L,VLOOKUP(INFRA!K80,base_índices!$A$142:$B$153,2,FALSE),FALSE),0)</f>
        <v>1.3958999999999999</v>
      </c>
      <c r="P80" s="143"/>
    </row>
    <row r="81" spans="2:16" ht="18" customHeight="1" x14ac:dyDescent="0.25">
      <c r="B81" s="13" t="s">
        <v>46</v>
      </c>
      <c r="C81" s="39" t="str">
        <f t="shared" si="24"/>
        <v xml:space="preserve">Custo baseado em HISTÓRICO DE CUSTO / PADRÃO ATUAL -  - </v>
      </c>
      <c r="D81" s="31">
        <f>base_dados_proj!C7</f>
        <v>47283.25</v>
      </c>
      <c r="E81" s="30">
        <f t="shared" si="27"/>
        <v>0.83099999999999996</v>
      </c>
      <c r="F81" s="167">
        <f t="shared" si="2"/>
        <v>39292.380749999997</v>
      </c>
      <c r="I81" s="34"/>
      <c r="K81" s="142" t="s">
        <v>131</v>
      </c>
      <c r="L81" s="143">
        <f>IFERROR(VLOOKUP($B81,base_índices!$A:$L,VLOOKUP(INFRA!K81,base_índices!$A$142:$B$153,2,FALSE),FALSE),0)</f>
        <v>0.83099999999999996</v>
      </c>
      <c r="P81" s="143"/>
    </row>
    <row r="82" spans="2:16" ht="18" customHeight="1" x14ac:dyDescent="0.25">
      <c r="B82" s="269" t="s">
        <v>12</v>
      </c>
      <c r="C82" s="266" t="s">
        <v>88</v>
      </c>
      <c r="D82" s="267"/>
      <c r="E82" s="268"/>
      <c r="F82" s="165">
        <f>SUM(F84:F88)</f>
        <v>1069961.8855875775</v>
      </c>
      <c r="H82" s="51"/>
      <c r="I82" s="151"/>
      <c r="K82" s="142" t="s">
        <v>131</v>
      </c>
      <c r="L82" s="143">
        <f>IFERROR(VLOOKUP($B82,base_índices!$A:$L,VLOOKUP(INFRA!K82,base_índices!$A$142:$B$153,2,FALSE),FALSE),0)</f>
        <v>0</v>
      </c>
    </row>
    <row r="83" spans="2:16" s="137" customFormat="1" ht="18" customHeight="1" x14ac:dyDescent="0.25">
      <c r="B83" s="265"/>
      <c r="C83" s="119" t="s">
        <v>87</v>
      </c>
      <c r="D83" s="120" t="s">
        <v>74</v>
      </c>
      <c r="E83" s="121" t="s">
        <v>85</v>
      </c>
      <c r="F83" s="174" t="s">
        <v>86</v>
      </c>
      <c r="G83" s="189"/>
      <c r="H83" s="51"/>
      <c r="I83" s="151"/>
      <c r="J83" s="151"/>
      <c r="K83" s="142" t="s">
        <v>131</v>
      </c>
      <c r="L83" s="143">
        <f>IFERROR(VLOOKUP($B83,base_índices!$A:$L,VLOOKUP(INFRA!K83,base_índices!$A$142:$B$153,2,FALSE),FALSE),0)</f>
        <v>0</v>
      </c>
      <c r="M83" s="147"/>
      <c r="N83" s="148"/>
      <c r="O83" s="147"/>
      <c r="P83" s="66"/>
    </row>
    <row r="84" spans="2:16" s="133" customFormat="1" ht="18" customHeight="1" x14ac:dyDescent="0.25">
      <c r="B84" s="215" t="s">
        <v>318</v>
      </c>
      <c r="C84" s="216" t="s">
        <v>202</v>
      </c>
      <c r="D84" s="212">
        <v>1</v>
      </c>
      <c r="E84" s="209">
        <v>265735.9443459211</v>
      </c>
      <c r="F84" s="217">
        <f>E84*D84</f>
        <v>265735.9443459211</v>
      </c>
      <c r="G84" s="190"/>
      <c r="H84" s="153"/>
      <c r="I84" s="162"/>
      <c r="K84" s="142" t="s">
        <v>131</v>
      </c>
      <c r="L84" s="143">
        <f>IFERROR(VLOOKUP($B84,base_índices!$A:$L,VLOOKUP(INFRA!K84,base_índices!$A$142:$B$153,2,FALSE),FALSE),0)</f>
        <v>0</v>
      </c>
      <c r="M84" s="153"/>
      <c r="N84" s="156"/>
      <c r="O84" s="153"/>
      <c r="P84" s="156"/>
    </row>
    <row r="85" spans="2:16" s="133" customFormat="1" ht="18" customHeight="1" x14ac:dyDescent="0.25">
      <c r="B85" s="270" t="s">
        <v>319</v>
      </c>
      <c r="C85" s="216" t="s">
        <v>281</v>
      </c>
      <c r="D85" s="212">
        <v>157</v>
      </c>
      <c r="E85" s="209">
        <v>2901.8492563162831</v>
      </c>
      <c r="F85" s="217">
        <f>E85*D85</f>
        <v>455590.33324165642</v>
      </c>
      <c r="G85" s="190"/>
      <c r="H85" s="153"/>
      <c r="I85" s="162"/>
      <c r="J85" s="159"/>
      <c r="K85" s="142" t="s">
        <v>131</v>
      </c>
      <c r="L85" s="143">
        <f>IFERROR(VLOOKUP($B85,base_índices!$A:$L,VLOOKUP(INFRA!K85,base_índices!$A$142:$B$153,2,FALSE),FALSE),0)</f>
        <v>0</v>
      </c>
      <c r="M85" s="153"/>
      <c r="N85" s="156"/>
      <c r="O85" s="153"/>
      <c r="P85" s="156"/>
    </row>
    <row r="86" spans="2:16" s="137" customFormat="1" ht="18" customHeight="1" x14ac:dyDescent="0.25">
      <c r="B86" s="271"/>
      <c r="C86" s="216" t="s">
        <v>320</v>
      </c>
      <c r="D86" s="212">
        <f>(1.5*(55+55+29.6+36.55))</f>
        <v>264.22499999999997</v>
      </c>
      <c r="E86" s="209">
        <v>425.28</v>
      </c>
      <c r="F86" s="217">
        <f>E86*D86</f>
        <v>112369.60799999998</v>
      </c>
      <c r="G86" s="66"/>
      <c r="H86" s="147"/>
      <c r="I86" s="85"/>
      <c r="K86" s="142" t="s">
        <v>131</v>
      </c>
      <c r="L86" s="143">
        <f>IFERROR(VLOOKUP($B86,base_índices!$A:$L,VLOOKUP(INFRA!K86,base_índices!$A$142:$B$153,2,FALSE),FALSE),0)</f>
        <v>0</v>
      </c>
      <c r="M86" s="147"/>
      <c r="N86" s="148"/>
      <c r="O86" s="147"/>
      <c r="P86" s="148"/>
    </row>
    <row r="87" spans="2:16" s="137" customFormat="1" ht="18" customHeight="1" x14ac:dyDescent="0.25">
      <c r="B87" s="205" t="s">
        <v>236</v>
      </c>
      <c r="C87" s="145" t="s">
        <v>237</v>
      </c>
      <c r="D87" s="146">
        <v>0.4</v>
      </c>
      <c r="E87" s="140">
        <v>250000</v>
      </c>
      <c r="F87" s="170">
        <f>E87*D87</f>
        <v>100000</v>
      </c>
      <c r="G87" s="193"/>
      <c r="H87" s="152"/>
      <c r="I87" s="34"/>
      <c r="J87" s="38"/>
      <c r="K87" s="142" t="s">
        <v>131</v>
      </c>
      <c r="L87" s="143">
        <f>IFERROR(VLOOKUP($B87,base_índices!$A:$L,VLOOKUP(INFRA!K87,base_índices!$A$142:$B$153,2,FALSE),FALSE),0)</f>
        <v>0</v>
      </c>
      <c r="M87" s="147"/>
      <c r="N87" s="148"/>
      <c r="O87" s="147"/>
      <c r="P87" s="148"/>
    </row>
    <row r="88" spans="2:16" ht="18" customHeight="1" x14ac:dyDescent="0.25">
      <c r="B88" s="204" t="s">
        <v>47</v>
      </c>
      <c r="C88" s="145" t="s">
        <v>202</v>
      </c>
      <c r="D88" s="146">
        <v>69.88</v>
      </c>
      <c r="E88" s="140">
        <v>1950</v>
      </c>
      <c r="F88" s="170">
        <f>E88*D88</f>
        <v>136266</v>
      </c>
      <c r="H88" s="51"/>
      <c r="I88" s="34"/>
      <c r="J88" s="38"/>
      <c r="K88" s="142" t="s">
        <v>131</v>
      </c>
      <c r="L88" s="143">
        <f>IFERROR(VLOOKUP($B88,base_índices!$A:$L,VLOOKUP(INFRA!K88,base_índices!$A$142:$B$153,2,FALSE),FALSE),0)</f>
        <v>0</v>
      </c>
      <c r="P88" s="143"/>
    </row>
    <row r="89" spans="2:16" ht="18" customHeight="1" x14ac:dyDescent="0.25">
      <c r="B89" s="264" t="s">
        <v>84</v>
      </c>
      <c r="C89" s="266" t="s">
        <v>88</v>
      </c>
      <c r="D89" s="267"/>
      <c r="E89" s="268"/>
      <c r="F89" s="165">
        <f>SUM(F91:F94)</f>
        <v>1491316.8613</v>
      </c>
      <c r="I89" s="34"/>
      <c r="J89" s="38"/>
      <c r="K89" s="142" t="s">
        <v>131</v>
      </c>
      <c r="L89" s="143">
        <f>IFERROR(VLOOKUP($B89,base_índices!$A:$L,VLOOKUP(INFRA!K89,base_índices!$A$142:$B$153,2,FALSE),FALSE),0)</f>
        <v>0</v>
      </c>
    </row>
    <row r="90" spans="2:16" s="137" customFormat="1" ht="18" customHeight="1" x14ac:dyDescent="0.25">
      <c r="B90" s="265"/>
      <c r="C90" s="25" t="s">
        <v>87</v>
      </c>
      <c r="D90" s="26" t="s">
        <v>74</v>
      </c>
      <c r="E90" s="27" t="s">
        <v>85</v>
      </c>
      <c r="F90" s="172" t="s">
        <v>86</v>
      </c>
      <c r="G90" s="66"/>
      <c r="H90" s="147"/>
      <c r="I90" s="64"/>
      <c r="J90" s="149"/>
      <c r="K90" s="142" t="s">
        <v>131</v>
      </c>
      <c r="L90" s="143">
        <f>IFERROR(VLOOKUP($B90,base_índices!$A:$L,VLOOKUP(INFRA!K90,base_índices!$A$142:$B$153,2,FALSE),FALSE),0)</f>
        <v>0</v>
      </c>
      <c r="M90" s="147"/>
      <c r="N90" s="148"/>
      <c r="O90" s="147"/>
      <c r="P90" s="66"/>
    </row>
    <row r="91" spans="2:16" s="137" customFormat="1" ht="18" hidden="1" customHeight="1" x14ac:dyDescent="0.25">
      <c r="B91" s="123" t="s">
        <v>48</v>
      </c>
      <c r="C91" s="154" t="s">
        <v>75</v>
      </c>
      <c r="D91" s="155">
        <f>base_dados_proj!C43</f>
        <v>1</v>
      </c>
      <c r="E91" s="150">
        <v>159733.27849999999</v>
      </c>
      <c r="F91" s="173">
        <f t="shared" ref="F91:F118" si="28">D91*E91</f>
        <v>159733.27849999999</v>
      </c>
      <c r="G91" s="66"/>
      <c r="H91" s="147"/>
      <c r="I91" s="64"/>
      <c r="J91" s="149"/>
      <c r="K91" s="142" t="s">
        <v>131</v>
      </c>
      <c r="L91" s="143">
        <f>IFERROR(VLOOKUP($B91,base_índices!$A:$L,VLOOKUP(INFRA!K91,base_índices!$A$142:$B$153,2,FALSE),FALSE),0)</f>
        <v>264380.63</v>
      </c>
      <c r="M91" s="147"/>
      <c r="N91" s="148"/>
      <c r="O91" s="147"/>
      <c r="P91" s="148"/>
    </row>
    <row r="92" spans="2:16" s="137" customFormat="1" ht="18" hidden="1" customHeight="1" x14ac:dyDescent="0.25">
      <c r="B92" s="123" t="s">
        <v>50</v>
      </c>
      <c r="C92" s="154" t="str">
        <f t="shared" si="24"/>
        <v xml:space="preserve">Custo baseado em HISTÓRICO DE CUSTO / PADRÃO ATUAL -  - </v>
      </c>
      <c r="D92" s="155">
        <f>base_dados_proj!C45</f>
        <v>2</v>
      </c>
      <c r="E92" s="150">
        <f t="shared" ref="E92:E94" si="29">SUM(L92,N92,P92)/COUNTIF(L92:P92,"&gt;0")</f>
        <v>205791.79139999999</v>
      </c>
      <c r="F92" s="173">
        <f>(D92*E92)-I92</f>
        <v>411583.58279999997</v>
      </c>
      <c r="G92" s="66"/>
      <c r="H92" s="147"/>
      <c r="I92" s="64"/>
      <c r="J92" s="149"/>
      <c r="K92" s="142" t="s">
        <v>131</v>
      </c>
      <c r="L92" s="143">
        <f>IFERROR(VLOOKUP($B92,base_índices!$A:$L,VLOOKUP(INFRA!K92,base_índices!$A$142:$B$153,2,FALSE),FALSE),0)</f>
        <v>205791.79139999999</v>
      </c>
      <c r="M92" s="147"/>
      <c r="N92" s="148"/>
      <c r="O92" s="147"/>
      <c r="P92" s="148"/>
    </row>
    <row r="93" spans="2:16" s="137" customFormat="1" ht="18" hidden="1" customHeight="1" x14ac:dyDescent="0.25">
      <c r="B93" s="123" t="s">
        <v>49</v>
      </c>
      <c r="C93" s="154" t="str">
        <f t="shared" si="24"/>
        <v xml:space="preserve">Custo baseado em HISTÓRICO DE CUSTO / PADRÃO ATUAL -  - </v>
      </c>
      <c r="D93" s="155">
        <f>base_dados_proj!C46</f>
        <v>2</v>
      </c>
      <c r="E93" s="150">
        <f t="shared" si="29"/>
        <v>160000</v>
      </c>
      <c r="F93" s="173">
        <f>(D93*E93)-I93</f>
        <v>320000</v>
      </c>
      <c r="G93" s="66"/>
      <c r="H93" s="147"/>
      <c r="I93" s="64"/>
      <c r="K93" s="142" t="s">
        <v>131</v>
      </c>
      <c r="L93" s="143">
        <f>IFERROR(VLOOKUP($B93,base_índices!$A:$L,VLOOKUP(INFRA!K93,base_índices!$A$142:$B$153,2,FALSE),FALSE),0)</f>
        <v>160000</v>
      </c>
      <c r="M93" s="147"/>
      <c r="N93" s="148"/>
      <c r="O93" s="147"/>
      <c r="P93" s="148"/>
    </row>
    <row r="94" spans="2:16" s="137" customFormat="1" ht="18" hidden="1" customHeight="1" x14ac:dyDescent="0.25">
      <c r="B94" s="123" t="s">
        <v>51</v>
      </c>
      <c r="C94" s="154" t="str">
        <f t="shared" si="24"/>
        <v xml:space="preserve">Custo baseado em HISTÓRICO DE CUSTO / PADRÃO ATUAL -  - </v>
      </c>
      <c r="D94" s="155">
        <f>base_dados_proj!C48</f>
        <v>8</v>
      </c>
      <c r="E94" s="150">
        <f t="shared" si="29"/>
        <v>75000</v>
      </c>
      <c r="F94" s="173">
        <f>(D94*E94)-I94</f>
        <v>600000</v>
      </c>
      <c r="G94" s="66"/>
      <c r="H94" s="147"/>
      <c r="I94" s="64"/>
      <c r="J94" s="149"/>
      <c r="K94" s="142" t="s">
        <v>131</v>
      </c>
      <c r="L94" s="143">
        <f>IFERROR(VLOOKUP($B94,base_índices!$A:$L,VLOOKUP(INFRA!K94,base_índices!$A$142:$B$153,2,FALSE),FALSE),0)</f>
        <v>75000</v>
      </c>
      <c r="M94" s="147"/>
      <c r="N94" s="148"/>
      <c r="O94" s="147"/>
      <c r="P94" s="148"/>
    </row>
    <row r="95" spans="2:16" ht="18" customHeight="1" x14ac:dyDescent="0.25">
      <c r="B95" s="264" t="s">
        <v>28</v>
      </c>
      <c r="C95" s="266" t="s">
        <v>88</v>
      </c>
      <c r="D95" s="267"/>
      <c r="E95" s="268"/>
      <c r="F95" s="165">
        <f>SUM(F97:F108)</f>
        <v>251121.71680000002</v>
      </c>
      <c r="I95" s="37"/>
      <c r="K95" s="142" t="s">
        <v>131</v>
      </c>
      <c r="L95" s="143">
        <f>IFERROR(VLOOKUP($B95,base_índices!$A:$L,VLOOKUP(INFRA!K95,base_índices!$A$142:$B$153,2,FALSE),FALSE),0)</f>
        <v>0</v>
      </c>
    </row>
    <row r="96" spans="2:16" ht="18" customHeight="1" x14ac:dyDescent="0.25">
      <c r="B96" s="265"/>
      <c r="C96" s="15" t="s">
        <v>87</v>
      </c>
      <c r="D96" s="23" t="s">
        <v>74</v>
      </c>
      <c r="E96" s="16" t="s">
        <v>85</v>
      </c>
      <c r="F96" s="166" t="s">
        <v>86</v>
      </c>
      <c r="I96" s="37"/>
      <c r="K96" s="142" t="s">
        <v>131</v>
      </c>
      <c r="L96" s="143">
        <f>IFERROR(VLOOKUP($B96,base_índices!$A:$L,VLOOKUP(INFRA!K96,base_índices!$A$142:$B$153,2,FALSE),FALSE),0)</f>
        <v>0</v>
      </c>
    </row>
    <row r="97" spans="2:16" ht="18" customHeight="1" x14ac:dyDescent="0.25">
      <c r="B97" s="206" t="s">
        <v>229</v>
      </c>
      <c r="C97" s="216" t="str">
        <f>CONCATENATE("Custo baseado em ",K97," - ",M97," - ",O97)</f>
        <v xml:space="preserve">Custo baseado em HISTÓRICO DE CUSTO / PADRÃO ATUAL -  - </v>
      </c>
      <c r="D97" s="208">
        <f>base_dados_proj!C51</f>
        <v>0</v>
      </c>
      <c r="E97" s="209" t="e">
        <f>SUM(L97,N97,P97)/COUNTIF(L97:P97,"&gt;0")</f>
        <v>#DIV/0!</v>
      </c>
      <c r="F97" s="214"/>
      <c r="I97" s="152"/>
      <c r="J97" s="151"/>
      <c r="K97" s="142" t="s">
        <v>131</v>
      </c>
      <c r="L97" s="143">
        <f>IFERROR(VLOOKUP($B97,base_índices!$A:$L,VLOOKUP(INFRA!K97,base_índices!$A$142:$B$153,2,FALSE),FALSE),0)</f>
        <v>0</v>
      </c>
      <c r="P97" s="143"/>
    </row>
    <row r="98" spans="2:16" ht="18" customHeight="1" x14ac:dyDescent="0.25">
      <c r="B98" s="262" t="s">
        <v>276</v>
      </c>
      <c r="C98" s="145" t="str">
        <f>CONCATENATE("Custo baseado em ",K98," - ",M98," - ",O98)</f>
        <v xml:space="preserve">Custo baseado em HISTÓRICO DE CUSTO / PADRÃO ATUAL -  - </v>
      </c>
      <c r="D98" s="146">
        <v>12</v>
      </c>
      <c r="E98" s="140">
        <f>SUM(L98,N98,P98)/COUNTIF(L98:P98,"&gt;0")</f>
        <v>1027.4322999999999</v>
      </c>
      <c r="F98" s="170">
        <f>E98*D98</f>
        <v>12329.187599999999</v>
      </c>
      <c r="I98" s="152"/>
      <c r="J98" s="151"/>
      <c r="K98" s="142" t="s">
        <v>131</v>
      </c>
      <c r="L98" s="143">
        <f>IFERROR(VLOOKUP($B98,base_índices!$A:$L,VLOOKUP(INFRA!K98,base_índices!$A$142:$B$153,2,FALSE),FALSE),0)</f>
        <v>1027.4322999999999</v>
      </c>
      <c r="P98" s="143"/>
    </row>
    <row r="99" spans="2:16" ht="18" customHeight="1" x14ac:dyDescent="0.25">
      <c r="B99" s="263"/>
      <c r="C99" s="145" t="str">
        <f>CONCATENATE("Custo baseado em ",K99," - ",M99," - ",O99)</f>
        <v xml:space="preserve">Custo baseado em HISTÓRICO DE CUSTO / PADRÃO ATUAL -  - </v>
      </c>
      <c r="D99" s="146">
        <v>4</v>
      </c>
      <c r="E99" s="140">
        <f>E98</f>
        <v>1027.4322999999999</v>
      </c>
      <c r="F99" s="170">
        <f>E99*D99</f>
        <v>4109.7291999999998</v>
      </c>
      <c r="I99" s="152"/>
      <c r="J99" s="151"/>
      <c r="K99" s="142" t="s">
        <v>131</v>
      </c>
      <c r="L99" s="143">
        <f>IFERROR(VLOOKUP($B99,base_índices!$A:$L,VLOOKUP(INFRA!K99,base_índices!$A$142:$B$153,2,FALSE),FALSE),0)</f>
        <v>0</v>
      </c>
      <c r="P99" s="143"/>
    </row>
    <row r="100" spans="2:16" ht="18" customHeight="1" x14ac:dyDescent="0.25">
      <c r="B100" s="206" t="s">
        <v>118</v>
      </c>
      <c r="C100" s="207" t="s">
        <v>282</v>
      </c>
      <c r="D100" s="208">
        <f>base_dados_proj!C61</f>
        <v>0</v>
      </c>
      <c r="E100" s="209">
        <f>((13470+29900+17900+36900+54660)+15000+(112.83*567.51))*1.35</f>
        <v>313013.90695500001</v>
      </c>
      <c r="F100" s="210"/>
      <c r="I100" s="152"/>
      <c r="J100" s="151"/>
      <c r="K100" s="142" t="s">
        <v>131</v>
      </c>
      <c r="L100" s="143">
        <f>IFERROR(VLOOKUP($B100,base_índices!$A:$L,VLOOKUP(INFRA!K100,base_índices!$A$142:$B$153,2,FALSE),FALSE),0)</f>
        <v>0</v>
      </c>
      <c r="P100" s="143"/>
    </row>
    <row r="101" spans="2:16" ht="18" customHeight="1" x14ac:dyDescent="0.25">
      <c r="B101" s="206" t="s">
        <v>277</v>
      </c>
      <c r="C101" s="211" t="s">
        <v>289</v>
      </c>
      <c r="D101" s="208">
        <v>1</v>
      </c>
      <c r="E101" s="209" t="e">
        <f t="shared" ref="E101:E102" si="30">SUM(L101,N101,P101)/COUNTIF(L101:P101,"&gt;0")</f>
        <v>#DIV/0!</v>
      </c>
      <c r="F101" s="210"/>
      <c r="H101" s="51"/>
      <c r="K101" s="142" t="s">
        <v>131</v>
      </c>
      <c r="L101" s="143">
        <f>IFERROR(VLOOKUP($B101,base_índices!$A:$L,VLOOKUP(INFRA!K101,base_índices!$A$142:$B$153,2,FALSE),FALSE),0)</f>
        <v>0</v>
      </c>
      <c r="P101" s="143"/>
    </row>
    <row r="102" spans="2:16" ht="18" customHeight="1" x14ac:dyDescent="0.25">
      <c r="B102" s="206" t="s">
        <v>227</v>
      </c>
      <c r="C102" s="211" t="s">
        <v>289</v>
      </c>
      <c r="D102" s="208">
        <v>1</v>
      </c>
      <c r="E102" s="209" t="e">
        <f t="shared" si="30"/>
        <v>#DIV/0!</v>
      </c>
      <c r="F102" s="210"/>
      <c r="H102" s="51"/>
      <c r="K102" s="142" t="s">
        <v>131</v>
      </c>
      <c r="L102" s="143">
        <f>IFERROR(VLOOKUP($B102,base_índices!$A:$L,VLOOKUP(INFRA!K102,base_índices!$A$142:$B$153,2,FALSE),FALSE),0)</f>
        <v>0</v>
      </c>
      <c r="P102" s="143"/>
    </row>
    <row r="103" spans="2:16" s="133" customFormat="1" ht="18" hidden="1" customHeight="1" x14ac:dyDescent="0.25">
      <c r="B103" s="123" t="s">
        <v>220</v>
      </c>
      <c r="C103" s="154" t="s">
        <v>75</v>
      </c>
      <c r="D103" s="155">
        <v>1323.3</v>
      </c>
      <c r="E103" s="150" t="e">
        <f>SUM(L103,N103,P103)/COUNTIF(L103:P103,"&gt;0")</f>
        <v>#DIV/0!</v>
      </c>
      <c r="F103" s="173"/>
      <c r="G103" s="190"/>
      <c r="H103" s="153"/>
      <c r="I103" s="153"/>
      <c r="J103" s="160"/>
      <c r="K103" s="153" t="s">
        <v>131</v>
      </c>
      <c r="L103" s="156">
        <f>IFERROR(VLOOKUP($B103,base_índices!$A:$L,VLOOKUP(INFRA!K103,base_índices!$A$142:$B$153,2,FALSE),FALSE),0)</f>
        <v>0</v>
      </c>
      <c r="M103" s="153"/>
      <c r="N103" s="156"/>
      <c r="O103" s="153"/>
      <c r="P103" s="156"/>
    </row>
    <row r="104" spans="2:16" s="133" customFormat="1" ht="18" customHeight="1" x14ac:dyDescent="0.25">
      <c r="B104" s="144" t="s">
        <v>132</v>
      </c>
      <c r="C104" s="145" t="str">
        <f>CONCATENATE("Custo baseado em ",K104," - ",M104," - ",O104)</f>
        <v xml:space="preserve">Custo baseado em HISTÓRICO DE CUSTO / PADRÃO ATUAL -  - </v>
      </c>
      <c r="D104" s="146">
        <f>2232.5+1323.3</f>
        <v>3555.8</v>
      </c>
      <c r="E104" s="140">
        <f>SUM(L104,N104,P104)/COUNTIF(L104:P104,"&gt;0")</f>
        <v>66</v>
      </c>
      <c r="F104" s="170">
        <f>E104*D104</f>
        <v>234682.80000000002</v>
      </c>
      <c r="G104" s="190"/>
      <c r="H104" s="153"/>
      <c r="I104" s="153"/>
      <c r="J104" s="188"/>
      <c r="K104" s="153" t="s">
        <v>131</v>
      </c>
      <c r="L104" s="156">
        <f>IFERROR(VLOOKUP($B104,base_índices!$A:$L,VLOOKUP(INFRA!K104,base_índices!$A$142:$B$153,2,FALSE),FALSE),0)</f>
        <v>66</v>
      </c>
      <c r="M104" s="153"/>
      <c r="N104" s="156"/>
      <c r="O104" s="153"/>
      <c r="P104" s="156"/>
    </row>
    <row r="105" spans="2:16" s="133" customFormat="1" ht="18" hidden="1" customHeight="1" x14ac:dyDescent="0.25">
      <c r="B105" s="123" t="s">
        <v>53</v>
      </c>
      <c r="C105" s="154" t="str">
        <f t="shared" si="24"/>
        <v xml:space="preserve">Custo baseado em HISTÓRICO DE CUSTO / PADRÃO ATUAL -  - </v>
      </c>
      <c r="D105" s="155">
        <f>base_dados_proj!C57</f>
        <v>332.04</v>
      </c>
      <c r="E105" s="150">
        <f t="shared" ref="E105" si="31">SUM(L105,N105,P105)/COUNTIF(L105:P105,"&gt;0")</f>
        <v>378.66160000000002</v>
      </c>
      <c r="F105" s="173"/>
      <c r="G105" s="190"/>
      <c r="H105" s="153"/>
      <c r="I105" s="153"/>
      <c r="J105" s="157"/>
      <c r="K105" s="142" t="s">
        <v>131</v>
      </c>
      <c r="L105" s="143">
        <f>IFERROR(VLOOKUP($B105,base_índices!$A:$L,VLOOKUP(INFRA!K105,base_índices!$A$142:$B$153,2,FALSE),FALSE),0)</f>
        <v>378.66160000000002</v>
      </c>
      <c r="M105" s="153"/>
      <c r="N105" s="156"/>
      <c r="O105" s="153"/>
      <c r="P105" s="156"/>
    </row>
    <row r="106" spans="2:16" s="133" customFormat="1" ht="18" hidden="1" customHeight="1" x14ac:dyDescent="0.25">
      <c r="B106" s="123" t="s">
        <v>226</v>
      </c>
      <c r="C106" s="154" t="s">
        <v>228</v>
      </c>
      <c r="D106" s="155" t="s">
        <v>230</v>
      </c>
      <c r="E106" s="150" t="s">
        <v>230</v>
      </c>
      <c r="F106" s="173"/>
      <c r="G106" s="190"/>
      <c r="H106" s="163"/>
      <c r="I106" s="163"/>
      <c r="J106" s="163"/>
      <c r="K106" s="142" t="s">
        <v>131</v>
      </c>
      <c r="L106" s="143">
        <f>IFERROR(VLOOKUP($B106,base_índices!$A:$L,VLOOKUP(INFRA!K106,base_índices!$A$142:$B$153,2,FALSE),FALSE),0)</f>
        <v>0</v>
      </c>
      <c r="M106" s="153"/>
      <c r="N106" s="156"/>
      <c r="O106" s="153"/>
      <c r="P106" s="156"/>
    </row>
    <row r="107" spans="2:16" s="137" customFormat="1" ht="18" customHeight="1" x14ac:dyDescent="0.25">
      <c r="B107" s="206" t="s">
        <v>304</v>
      </c>
      <c r="C107" s="211" t="str">
        <f t="shared" ref="C107:C108" si="32">CONCATENATE("Custo baseado em ",K107," - ",M107," - ",O107)</f>
        <v xml:space="preserve">Custo baseado em HISTÓRICO DE CUSTO / PADRÃO ATUAL -  - </v>
      </c>
      <c r="D107" s="212">
        <v>9</v>
      </c>
      <c r="E107" s="213" t="e">
        <f t="shared" ref="E107:E108" si="33">SUM(L107,N107,P107)/COUNTIF(L107:P107,"&gt;0")</f>
        <v>#DIV/0!</v>
      </c>
      <c r="F107" s="214"/>
      <c r="G107" s="189"/>
      <c r="H107" s="147"/>
      <c r="I107" s="147"/>
      <c r="J107" s="149"/>
      <c r="K107" s="142" t="s">
        <v>131</v>
      </c>
      <c r="L107" s="143">
        <f>IFERROR(VLOOKUP($B107,base_índices!$A:$L,VLOOKUP(INFRA!K107,base_índices!$A$142:$B$153,2,FALSE),FALSE),0)</f>
        <v>0</v>
      </c>
      <c r="M107" s="147"/>
      <c r="N107" s="148"/>
      <c r="O107" s="147"/>
      <c r="P107" s="148"/>
    </row>
    <row r="108" spans="2:16" s="137" customFormat="1" ht="18" customHeight="1" x14ac:dyDescent="0.25">
      <c r="B108" s="206" t="s">
        <v>305</v>
      </c>
      <c r="C108" s="211" t="str">
        <f t="shared" si="32"/>
        <v xml:space="preserve">Custo baseado em HISTÓRICO DE CUSTO / PADRÃO ATUAL -  - </v>
      </c>
      <c r="D108" s="212">
        <v>26</v>
      </c>
      <c r="E108" s="213" t="e">
        <f t="shared" si="33"/>
        <v>#DIV/0!</v>
      </c>
      <c r="F108" s="214"/>
      <c r="G108" s="189"/>
      <c r="H108" s="147" t="s">
        <v>131</v>
      </c>
      <c r="I108" s="147">
        <f>IFERROR(VLOOKUP($B108,#REF!,VLOOKUP(#REF!,#REF!,2,FALSE),FALSE),0)</f>
        <v>0</v>
      </c>
      <c r="J108" s="149"/>
      <c r="K108" s="142" t="s">
        <v>131</v>
      </c>
      <c r="L108" s="143">
        <f>IFERROR(VLOOKUP($B108,base_índices!$A:$L,VLOOKUP(INFRA!K108,base_índices!$A$142:$B$153,2,FALSE),FALSE),0)</f>
        <v>0</v>
      </c>
      <c r="M108" s="147"/>
      <c r="N108" s="148"/>
      <c r="O108" s="147"/>
      <c r="P108" s="148"/>
    </row>
    <row r="109" spans="2:16" ht="18" customHeight="1" x14ac:dyDescent="0.25">
      <c r="B109" s="264" t="s">
        <v>19</v>
      </c>
      <c r="C109" s="266" t="s">
        <v>88</v>
      </c>
      <c r="D109" s="267"/>
      <c r="E109" s="268"/>
      <c r="F109" s="165">
        <f>SUM(F111:F114)</f>
        <v>75000</v>
      </c>
      <c r="I109" s="152"/>
      <c r="K109" s="142" t="s">
        <v>131</v>
      </c>
      <c r="L109" s="143">
        <f>IFERROR(VLOOKUP($B109,base_índices!$A:$L,VLOOKUP(INFRA!K109,base_índices!$A$142:$B$153,2,FALSE),FALSE),0)</f>
        <v>0</v>
      </c>
    </row>
    <row r="110" spans="2:16" ht="18" customHeight="1" x14ac:dyDescent="0.25">
      <c r="B110" s="265"/>
      <c r="C110" s="15" t="s">
        <v>87</v>
      </c>
      <c r="D110" s="23" t="s">
        <v>74</v>
      </c>
      <c r="E110" s="16" t="s">
        <v>85</v>
      </c>
      <c r="F110" s="166" t="s">
        <v>86</v>
      </c>
      <c r="I110" s="152"/>
      <c r="K110" s="142" t="s">
        <v>131</v>
      </c>
      <c r="L110" s="143">
        <f>IFERROR(VLOOKUP($B110,base_índices!$A:$L,VLOOKUP(INFRA!K110,base_índices!$A$142:$B$153,2,FALSE),FALSE),0)</f>
        <v>0</v>
      </c>
    </row>
    <row r="111" spans="2:16" ht="18" customHeight="1" x14ac:dyDescent="0.25">
      <c r="B111" s="11" t="s">
        <v>142</v>
      </c>
      <c r="C111" s="127" t="str">
        <f t="shared" si="24"/>
        <v xml:space="preserve">Custo baseado em HISTÓRICO DE CUSTO / PADRÃO ATUAL -  - </v>
      </c>
      <c r="D111" s="138">
        <v>1</v>
      </c>
      <c r="E111" s="132">
        <f t="shared" ref="E111:E114" si="34">SUM(L111,N111,P111)/COUNTIF(L111:P111,"&gt;0")</f>
        <v>25000</v>
      </c>
      <c r="F111" s="168">
        <f t="shared" si="28"/>
        <v>25000</v>
      </c>
      <c r="K111" s="142" t="s">
        <v>131</v>
      </c>
      <c r="L111" s="143">
        <f>IFERROR(VLOOKUP($B111,base_índices!$A:$L,VLOOKUP(INFRA!K111,base_índices!$A$142:$B$153,2,FALSE),FALSE),0)</f>
        <v>25000</v>
      </c>
      <c r="P111" s="143"/>
    </row>
    <row r="112" spans="2:16" ht="18" customHeight="1" x14ac:dyDescent="0.25">
      <c r="B112" s="11" t="s">
        <v>104</v>
      </c>
      <c r="C112" s="127" t="str">
        <f t="shared" si="24"/>
        <v xml:space="preserve">Custo baseado em HISTÓRICO DE CUSTO / PADRÃO ATUAL -  - </v>
      </c>
      <c r="D112" s="138">
        <v>0.5</v>
      </c>
      <c r="E112" s="132">
        <f t="shared" si="34"/>
        <v>60000</v>
      </c>
      <c r="F112" s="168">
        <f t="shared" si="28"/>
        <v>30000</v>
      </c>
      <c r="K112" s="142" t="s">
        <v>131</v>
      </c>
      <c r="L112" s="143">
        <f>IFERROR(VLOOKUP($B112,base_índices!$A:$L,VLOOKUP(INFRA!K112,base_índices!$A$142:$B$153,2,FALSE),FALSE),0)</f>
        <v>60000</v>
      </c>
      <c r="P112" s="143"/>
    </row>
    <row r="113" spans="2:16" ht="18" customHeight="1" x14ac:dyDescent="0.25">
      <c r="B113" s="134" t="s">
        <v>107</v>
      </c>
      <c r="C113" s="135" t="str">
        <f t="shared" si="24"/>
        <v xml:space="preserve">Custo baseado em HISTÓRICO DE CUSTO / PADRÃO ATUAL -  - </v>
      </c>
      <c r="D113" s="139">
        <v>1</v>
      </c>
      <c r="E113" s="136">
        <v>20000</v>
      </c>
      <c r="F113" s="169">
        <f t="shared" si="28"/>
        <v>20000</v>
      </c>
      <c r="H113" s="194"/>
      <c r="K113" s="142" t="s">
        <v>131</v>
      </c>
      <c r="L113" s="143">
        <f>IFERROR(VLOOKUP($B113,base_índices!$A:$L,VLOOKUP(INFRA!K113,base_índices!$A$142:$B$153,2,FALSE),FALSE),0)</f>
        <v>81322.078699999998</v>
      </c>
      <c r="P113" s="143"/>
    </row>
    <row r="114" spans="2:16" ht="18" customHeight="1" x14ac:dyDescent="0.25">
      <c r="B114" s="11" t="s">
        <v>45</v>
      </c>
      <c r="C114" s="127" t="str">
        <f>CONCATENATE("Custo baseado em ",K114," - ",M114," - ",O114)</f>
        <v xml:space="preserve">Custo baseado em HISTÓRICO DE CUSTO / PADRÃO ATUAL -  - </v>
      </c>
      <c r="D114" s="138">
        <f>base_dados_proj!C6</f>
        <v>0</v>
      </c>
      <c r="E114" s="132">
        <f t="shared" si="34"/>
        <v>90</v>
      </c>
      <c r="F114" s="168">
        <f>D114*E114</f>
        <v>0</v>
      </c>
      <c r="K114" s="142" t="s">
        <v>131</v>
      </c>
      <c r="L114" s="143">
        <f>IFERROR(VLOOKUP($B114,base_índices!$A:$L,VLOOKUP(INFRA!K114,base_índices!$A$142:$B$153,2,FALSE),FALSE),0)</f>
        <v>90</v>
      </c>
      <c r="P114" s="143"/>
    </row>
    <row r="115" spans="2:16" ht="18" customHeight="1" x14ac:dyDescent="0.25">
      <c r="B115" s="264" t="s">
        <v>30</v>
      </c>
      <c r="C115" s="266" t="s">
        <v>88</v>
      </c>
      <c r="D115" s="267"/>
      <c r="E115" s="268"/>
      <c r="F115" s="165">
        <f>SUM(F117:F120)</f>
        <v>187000</v>
      </c>
      <c r="K115" s="142" t="s">
        <v>131</v>
      </c>
      <c r="L115" s="143">
        <f>IFERROR(VLOOKUP($B115,base_índices!$A:$L,VLOOKUP(INFRA!K115,base_índices!$A$142:$B$153,2,FALSE),FALSE),0)</f>
        <v>0</v>
      </c>
    </row>
    <row r="116" spans="2:16" ht="18" customHeight="1" x14ac:dyDescent="0.25">
      <c r="B116" s="265"/>
      <c r="C116" s="15" t="s">
        <v>87</v>
      </c>
      <c r="D116" s="23" t="s">
        <v>74</v>
      </c>
      <c r="E116" s="16" t="s">
        <v>85</v>
      </c>
      <c r="F116" s="166" t="s">
        <v>86</v>
      </c>
      <c r="K116" s="142" t="s">
        <v>131</v>
      </c>
      <c r="L116" s="143">
        <f>IFERROR(VLOOKUP($B116,base_índices!$A:$L,VLOOKUP(INFRA!K116,base_índices!$A$142:$B$153,2,FALSE),FALSE),0)</f>
        <v>0</v>
      </c>
    </row>
    <row r="117" spans="2:16" ht="18" customHeight="1" x14ac:dyDescent="0.25">
      <c r="B117" s="13" t="s">
        <v>56</v>
      </c>
      <c r="C117" s="39" t="str">
        <f>CONCATENATE("Custo baseado em ",K117," - ",M117," - ",O117)</f>
        <v xml:space="preserve">Custo baseado em HISTÓRICO DE CUSTO / PADRÃO ATUAL -  - </v>
      </c>
      <c r="D117" s="146">
        <f>base_dados_proj!$C$10</f>
        <v>4</v>
      </c>
      <c r="E117" s="30">
        <f>SUM(L117,N117,P117)/COUNTIF(L117:P117,"&gt;0")</f>
        <v>30000</v>
      </c>
      <c r="F117" s="167">
        <f>D117*E117</f>
        <v>120000</v>
      </c>
      <c r="K117" s="142" t="s">
        <v>131</v>
      </c>
      <c r="L117" s="143">
        <f>IFERROR(VLOOKUP($B117,base_índices!$A:$L,VLOOKUP(INFRA!K117,base_índices!$A$142:$B$153,2,FALSE),FALSE),0)</f>
        <v>30000</v>
      </c>
      <c r="P117" s="143"/>
    </row>
    <row r="118" spans="2:16" ht="18" customHeight="1" x14ac:dyDescent="0.25">
      <c r="B118" s="13" t="s">
        <v>54</v>
      </c>
      <c r="C118" s="39" t="str">
        <f t="shared" si="24"/>
        <v xml:space="preserve">Custo baseado em HISTÓRICO DE CUSTO / PADRÃO ATUAL -  - </v>
      </c>
      <c r="D118" s="146">
        <f>base_dados_proj!$C$10</f>
        <v>4</v>
      </c>
      <c r="E118" s="30">
        <f t="shared" ref="E118:E119" si="35">SUM(L118,N118,P118)/COUNTIF(L118:P118,"&gt;0")</f>
        <v>13000</v>
      </c>
      <c r="F118" s="167">
        <f t="shared" si="28"/>
        <v>52000</v>
      </c>
      <c r="K118" s="142" t="s">
        <v>131</v>
      </c>
      <c r="L118" s="143">
        <f>IFERROR(VLOOKUP($B118,base_índices!$A:$L,VLOOKUP(INFRA!K118,base_índices!$A$142:$B$153,2,FALSE),FALSE),0)</f>
        <v>13000</v>
      </c>
      <c r="P118" s="143"/>
    </row>
    <row r="119" spans="2:16" ht="18" hidden="1" customHeight="1" x14ac:dyDescent="0.25">
      <c r="B119" s="123" t="s">
        <v>55</v>
      </c>
      <c r="C119" s="154" t="str">
        <f t="shared" si="24"/>
        <v xml:space="preserve">Custo baseado em HISTÓRICO DE CUSTO / PADRÃO ATUAL -  - </v>
      </c>
      <c r="D119" s="155">
        <f>base_dados_proj!$C$10</f>
        <v>4</v>
      </c>
      <c r="E119" s="150">
        <f t="shared" si="35"/>
        <v>3600</v>
      </c>
      <c r="F119" s="173"/>
      <c r="K119" s="142" t="s">
        <v>131</v>
      </c>
      <c r="L119" s="143">
        <f>IFERROR(VLOOKUP($B119,base_índices!$A:$L,VLOOKUP(INFRA!K119,base_índices!$A$142:$B$153,2,FALSE),FALSE),0)</f>
        <v>3600</v>
      </c>
      <c r="P119" s="143"/>
    </row>
    <row r="120" spans="2:16" ht="18" customHeight="1" x14ac:dyDescent="0.25">
      <c r="B120" s="13" t="s">
        <v>57</v>
      </c>
      <c r="C120" s="39" t="str">
        <f>CONCATENATE("Custo baseado em ",K120," - ",M120," - ",O120)</f>
        <v xml:space="preserve">Custo baseado em HISTÓRICO DE CUSTO / PADRÃO ATUAL -  - </v>
      </c>
      <c r="D120" s="146">
        <v>1</v>
      </c>
      <c r="E120" s="30">
        <f>SUM(L120,N120,P120)/COUNTIF(L120:P120,"&gt;0")</f>
        <v>15000</v>
      </c>
      <c r="F120" s="167">
        <f>D120*E120</f>
        <v>15000</v>
      </c>
      <c r="K120" s="142" t="s">
        <v>131</v>
      </c>
      <c r="L120" s="143">
        <f>IFERROR(VLOOKUP($B120,base_índices!$A:$L,VLOOKUP(INFRA!K120,base_índices!$A$142:$B$153,2,FALSE),FALSE),0)</f>
        <v>15000</v>
      </c>
      <c r="P120" s="143"/>
    </row>
    <row r="121" spans="2:16" ht="18" customHeight="1" x14ac:dyDescent="0.25">
      <c r="B121" s="131"/>
      <c r="C121" s="131"/>
      <c r="D121" s="22"/>
      <c r="E121" s="131"/>
      <c r="F121" s="50"/>
      <c r="K121" s="20"/>
      <c r="L121" s="20"/>
      <c r="M121" s="20"/>
      <c r="N121" s="20"/>
      <c r="O121" s="20"/>
      <c r="P121" s="20"/>
    </row>
    <row r="122" spans="2:16" ht="18" customHeight="1" x14ac:dyDescent="0.25">
      <c r="B122" s="131"/>
      <c r="C122" s="131"/>
      <c r="D122" s="22"/>
      <c r="E122" s="131"/>
      <c r="F122" s="50"/>
      <c r="K122" s="20"/>
      <c r="L122" s="20"/>
      <c r="M122" s="20"/>
      <c r="N122" s="20"/>
      <c r="O122" s="20"/>
      <c r="P122" s="20"/>
    </row>
    <row r="123" spans="2:16" ht="18" customHeight="1" x14ac:dyDescent="0.25">
      <c r="B123" s="131"/>
      <c r="C123" s="131"/>
      <c r="D123" s="22"/>
      <c r="E123" s="131"/>
      <c r="F123" s="50"/>
      <c r="K123" s="20"/>
      <c r="L123" s="20"/>
      <c r="M123" s="20"/>
      <c r="N123" s="20"/>
      <c r="O123" s="20"/>
      <c r="P123" s="20"/>
    </row>
    <row r="124" spans="2:16" ht="18" customHeight="1" x14ac:dyDescent="0.25">
      <c r="B124" s="131"/>
      <c r="C124" s="131"/>
      <c r="D124" s="22"/>
      <c r="E124" s="49"/>
      <c r="F124" s="50"/>
      <c r="K124" s="20"/>
      <c r="L124" s="20"/>
      <c r="M124" s="20"/>
      <c r="N124" s="20"/>
      <c r="O124" s="20"/>
      <c r="P124" s="20"/>
    </row>
    <row r="125" spans="2:16" ht="18" customHeight="1" x14ac:dyDescent="0.25">
      <c r="B125" s="131"/>
      <c r="C125" s="131"/>
      <c r="D125" s="22"/>
      <c r="E125" s="131"/>
      <c r="F125" s="50"/>
      <c r="K125" s="20"/>
      <c r="L125" s="20"/>
      <c r="M125" s="20"/>
      <c r="N125" s="20"/>
      <c r="O125" s="20"/>
      <c r="P125" s="20"/>
    </row>
    <row r="126" spans="2:16" ht="18" customHeight="1" x14ac:dyDescent="0.25">
      <c r="B126" s="131"/>
      <c r="C126" s="131"/>
      <c r="D126" s="22"/>
      <c r="E126" s="131"/>
      <c r="F126" s="50"/>
      <c r="K126" s="20"/>
      <c r="L126" s="20"/>
      <c r="M126" s="20"/>
      <c r="N126" s="20"/>
      <c r="O126" s="20"/>
      <c r="P126" s="20"/>
    </row>
    <row r="127" spans="2:16" ht="18" customHeight="1" x14ac:dyDescent="0.25">
      <c r="B127" s="131"/>
      <c r="C127" s="50"/>
      <c r="D127" s="22"/>
      <c r="E127" s="131"/>
      <c r="F127" s="50"/>
      <c r="K127" s="20"/>
      <c r="L127" s="20"/>
      <c r="M127" s="20"/>
      <c r="N127" s="20"/>
      <c r="O127" s="20"/>
      <c r="P127" s="20"/>
    </row>
    <row r="128" spans="2:16" ht="18" customHeight="1" x14ac:dyDescent="0.25">
      <c r="B128" s="131"/>
      <c r="C128" s="131"/>
      <c r="D128" s="22"/>
      <c r="E128" s="131"/>
      <c r="F128" s="50"/>
      <c r="K128" s="20"/>
      <c r="L128" s="20"/>
      <c r="M128" s="20"/>
      <c r="N128" s="20"/>
      <c r="O128" s="20"/>
      <c r="P128" s="20"/>
    </row>
    <row r="129" spans="2:16" ht="18" customHeight="1" x14ac:dyDescent="0.25">
      <c r="B129" s="131"/>
      <c r="C129" s="131"/>
      <c r="D129" s="22"/>
      <c r="E129" s="131"/>
      <c r="F129" s="50"/>
      <c r="K129" s="20"/>
      <c r="L129" s="20"/>
      <c r="M129" s="20"/>
      <c r="N129" s="20"/>
      <c r="O129" s="20"/>
      <c r="P129" s="20"/>
    </row>
    <row r="130" spans="2:16" ht="18" customHeight="1" x14ac:dyDescent="0.25">
      <c r="B130" s="131"/>
      <c r="C130" s="131"/>
      <c r="D130" s="22"/>
      <c r="E130" s="131"/>
      <c r="F130" s="50"/>
      <c r="K130" s="20"/>
      <c r="L130" s="20"/>
      <c r="M130" s="20"/>
      <c r="N130" s="20"/>
      <c r="O130" s="20"/>
      <c r="P130" s="20"/>
    </row>
    <row r="131" spans="2:16" ht="18" customHeight="1" x14ac:dyDescent="0.25">
      <c r="B131" s="131"/>
      <c r="C131" s="131"/>
      <c r="D131" s="22"/>
      <c r="E131" s="131"/>
      <c r="F131" s="50"/>
      <c r="K131" s="20"/>
      <c r="L131" s="20"/>
      <c r="M131" s="20"/>
      <c r="N131" s="20"/>
      <c r="O131" s="20"/>
      <c r="P131" s="20"/>
    </row>
    <row r="132" spans="2:16" ht="18" customHeight="1" x14ac:dyDescent="0.25">
      <c r="B132" s="131"/>
      <c r="C132" s="131"/>
      <c r="D132" s="22"/>
      <c r="E132" s="131"/>
      <c r="F132" s="50"/>
      <c r="K132" s="20"/>
      <c r="L132" s="20"/>
      <c r="M132" s="20"/>
      <c r="N132" s="20"/>
      <c r="O132" s="20"/>
      <c r="P132" s="20"/>
    </row>
    <row r="133" spans="2:16" ht="18" customHeight="1" x14ac:dyDescent="0.25">
      <c r="B133" s="131"/>
      <c r="C133" s="131"/>
      <c r="D133" s="22"/>
      <c r="E133" s="131"/>
      <c r="F133" s="50"/>
      <c r="K133" s="20"/>
      <c r="L133" s="20"/>
      <c r="M133" s="20"/>
      <c r="N133" s="20"/>
      <c r="O133" s="20"/>
      <c r="P133" s="20"/>
    </row>
    <row r="134" spans="2:16" ht="18" customHeight="1" x14ac:dyDescent="0.25">
      <c r="B134" s="131"/>
      <c r="C134" s="131"/>
      <c r="D134" s="22"/>
      <c r="E134" s="131"/>
      <c r="F134" s="50"/>
      <c r="K134" s="20"/>
      <c r="L134" s="20"/>
      <c r="M134" s="20"/>
      <c r="N134" s="20"/>
      <c r="O134" s="20"/>
      <c r="P134" s="20"/>
    </row>
    <row r="135" spans="2:16" ht="18" customHeight="1" x14ac:dyDescent="0.25">
      <c r="B135" s="131"/>
      <c r="C135" s="131"/>
      <c r="D135" s="22"/>
      <c r="E135" s="131"/>
      <c r="F135" s="50"/>
      <c r="K135" s="20"/>
      <c r="L135" s="20"/>
      <c r="M135" s="20"/>
      <c r="N135" s="20"/>
      <c r="O135" s="20"/>
      <c r="P135" s="20"/>
    </row>
    <row r="136" spans="2:16" ht="18" customHeight="1" x14ac:dyDescent="0.25">
      <c r="B136" s="131"/>
      <c r="C136" s="131"/>
      <c r="D136" s="22"/>
      <c r="E136" s="131"/>
      <c r="F136" s="50"/>
      <c r="K136" s="20"/>
      <c r="L136" s="20"/>
      <c r="M136" s="20"/>
      <c r="N136" s="20"/>
      <c r="O136" s="20"/>
      <c r="P136" s="20"/>
    </row>
    <row r="137" spans="2:16" ht="18" customHeight="1" x14ac:dyDescent="0.25">
      <c r="B137" s="131"/>
      <c r="C137" s="131"/>
      <c r="D137" s="22"/>
      <c r="E137" s="131"/>
      <c r="F137" s="50"/>
      <c r="K137" s="20"/>
      <c r="L137" s="20"/>
      <c r="M137" s="20"/>
      <c r="N137" s="20"/>
      <c r="O137" s="20"/>
      <c r="P137" s="20"/>
    </row>
    <row r="138" spans="2:16" ht="18" customHeight="1" x14ac:dyDescent="0.25">
      <c r="B138" s="131"/>
      <c r="C138" s="131"/>
      <c r="D138" s="22"/>
      <c r="E138" s="131"/>
      <c r="F138" s="50"/>
      <c r="K138" s="20"/>
      <c r="L138" s="20"/>
      <c r="M138" s="20"/>
      <c r="N138" s="20"/>
      <c r="O138" s="20"/>
      <c r="P138" s="20"/>
    </row>
    <row r="139" spans="2:16" ht="18" customHeight="1" x14ac:dyDescent="0.25">
      <c r="B139" s="131"/>
      <c r="C139" s="131"/>
      <c r="D139" s="22"/>
      <c r="E139" s="131"/>
      <c r="F139" s="50"/>
      <c r="K139" s="20"/>
      <c r="L139" s="20"/>
      <c r="M139" s="20"/>
      <c r="N139" s="20"/>
      <c r="O139" s="20"/>
      <c r="P139" s="20"/>
    </row>
    <row r="140" spans="2:16" ht="18" customHeight="1" x14ac:dyDescent="0.25">
      <c r="B140" s="131"/>
      <c r="C140" s="131"/>
      <c r="D140" s="22"/>
      <c r="E140" s="131"/>
      <c r="F140" s="50"/>
      <c r="K140" s="20"/>
      <c r="L140" s="20"/>
      <c r="M140" s="20"/>
      <c r="N140" s="20"/>
      <c r="O140" s="20"/>
      <c r="P140" s="20"/>
    </row>
    <row r="141" spans="2:16" ht="18" customHeight="1" x14ac:dyDescent="0.25">
      <c r="B141" s="131"/>
      <c r="C141" s="131"/>
      <c r="D141" s="22"/>
      <c r="E141" s="131"/>
      <c r="F141" s="50"/>
      <c r="K141" s="20"/>
      <c r="L141" s="20"/>
      <c r="M141" s="20"/>
      <c r="N141" s="20"/>
      <c r="O141" s="20"/>
      <c r="P141" s="20"/>
    </row>
    <row r="142" spans="2:16" ht="18" customHeight="1" x14ac:dyDescent="0.25">
      <c r="B142" s="131"/>
      <c r="C142" s="131"/>
      <c r="D142" s="22"/>
      <c r="E142" s="131"/>
      <c r="F142" s="50"/>
      <c r="K142" s="20"/>
      <c r="L142" s="20"/>
      <c r="M142" s="20"/>
      <c r="N142" s="20"/>
      <c r="O142" s="20"/>
      <c r="P142" s="20"/>
    </row>
    <row r="143" spans="2:16" ht="18" customHeight="1" x14ac:dyDescent="0.25">
      <c r="B143" s="131"/>
      <c r="C143" s="131"/>
      <c r="D143" s="22"/>
      <c r="E143" s="131"/>
      <c r="F143" s="50"/>
      <c r="K143" s="20"/>
      <c r="L143" s="20"/>
      <c r="M143" s="20"/>
      <c r="N143" s="20"/>
      <c r="O143" s="20"/>
      <c r="P143" s="20"/>
    </row>
    <row r="144" spans="2:16" ht="18" customHeight="1" x14ac:dyDescent="0.25">
      <c r="B144" s="131"/>
      <c r="C144" s="131"/>
      <c r="D144" s="22"/>
      <c r="E144" s="131"/>
      <c r="F144" s="50"/>
      <c r="K144" s="20"/>
      <c r="L144" s="20"/>
      <c r="M144" s="20"/>
      <c r="N144" s="20"/>
      <c r="O144" s="20"/>
      <c r="P144" s="20"/>
    </row>
    <row r="145" spans="2:16" ht="18" customHeight="1" x14ac:dyDescent="0.25">
      <c r="B145" s="131"/>
      <c r="C145" s="131"/>
      <c r="D145" s="22"/>
      <c r="E145" s="131"/>
      <c r="F145" s="50"/>
      <c r="K145" s="20"/>
      <c r="L145" s="20"/>
      <c r="M145" s="20"/>
      <c r="N145" s="20"/>
      <c r="O145" s="20"/>
      <c r="P145" s="20"/>
    </row>
    <row r="146" spans="2:16" ht="18" customHeight="1" x14ac:dyDescent="0.25">
      <c r="B146" s="131"/>
      <c r="C146" s="131"/>
      <c r="D146" s="22"/>
      <c r="E146" s="131"/>
      <c r="F146" s="50"/>
      <c r="K146" s="20"/>
      <c r="L146" s="20"/>
      <c r="M146" s="20"/>
      <c r="N146" s="20"/>
      <c r="O146" s="20"/>
      <c r="P146" s="20"/>
    </row>
    <row r="147" spans="2:16" ht="18" customHeight="1" x14ac:dyDescent="0.25">
      <c r="B147" s="131"/>
      <c r="C147" s="131"/>
      <c r="D147" s="22"/>
      <c r="E147" s="131"/>
      <c r="F147" s="50"/>
      <c r="K147" s="20"/>
      <c r="L147" s="20"/>
      <c r="M147" s="20"/>
      <c r="N147" s="20"/>
      <c r="O147" s="20"/>
      <c r="P147" s="20"/>
    </row>
    <row r="148" spans="2:16" ht="18" customHeight="1" x14ac:dyDescent="0.25">
      <c r="B148" s="131"/>
      <c r="C148" s="131"/>
      <c r="D148" s="22"/>
      <c r="E148" s="131"/>
      <c r="F148" s="50"/>
      <c r="K148" s="20"/>
      <c r="L148" s="20"/>
      <c r="M148" s="20"/>
      <c r="N148" s="20"/>
      <c r="O148" s="20"/>
      <c r="P148" s="20"/>
    </row>
    <row r="149" spans="2:16" ht="18" customHeight="1" x14ac:dyDescent="0.25">
      <c r="B149" s="131"/>
      <c r="C149" s="131"/>
      <c r="D149" s="22"/>
      <c r="E149" s="131"/>
      <c r="F149" s="50"/>
      <c r="K149" s="20"/>
      <c r="L149" s="20"/>
      <c r="M149" s="20"/>
      <c r="N149" s="20"/>
      <c r="O149" s="20"/>
      <c r="P149" s="20"/>
    </row>
    <row r="150" spans="2:16" ht="18" customHeight="1" x14ac:dyDescent="0.25">
      <c r="B150" s="131"/>
      <c r="C150" s="131"/>
      <c r="D150" s="22"/>
      <c r="E150" s="131"/>
      <c r="F150" s="50"/>
      <c r="K150" s="20"/>
      <c r="L150" s="20"/>
      <c r="M150" s="20"/>
      <c r="N150" s="20"/>
      <c r="O150" s="20"/>
      <c r="P150" s="20"/>
    </row>
    <row r="151" spans="2:16" ht="18" customHeight="1" x14ac:dyDescent="0.25">
      <c r="B151" s="131"/>
      <c r="C151" s="131"/>
      <c r="D151" s="22"/>
      <c r="E151" s="131"/>
      <c r="F151" s="50"/>
      <c r="K151" s="20"/>
      <c r="L151" s="20"/>
      <c r="M151" s="20"/>
      <c r="N151" s="20"/>
      <c r="O151" s="20"/>
      <c r="P151" s="20"/>
    </row>
    <row r="152" spans="2:16" ht="18" customHeight="1" x14ac:dyDescent="0.25">
      <c r="B152" s="131"/>
      <c r="C152" s="131"/>
      <c r="D152" s="22"/>
      <c r="E152" s="131"/>
      <c r="F152" s="50"/>
      <c r="K152" s="20"/>
      <c r="L152" s="20"/>
      <c r="M152" s="20"/>
      <c r="N152" s="20"/>
      <c r="O152" s="20"/>
      <c r="P152" s="20"/>
    </row>
    <row r="153" spans="2:16" ht="18" customHeight="1" x14ac:dyDescent="0.25">
      <c r="B153" s="131"/>
      <c r="C153" s="131"/>
      <c r="D153" s="22"/>
      <c r="E153" s="131"/>
      <c r="F153" s="50"/>
      <c r="K153" s="20"/>
      <c r="L153" s="20"/>
      <c r="M153" s="20"/>
      <c r="N153" s="20"/>
      <c r="O153" s="20"/>
      <c r="P153" s="20"/>
    </row>
    <row r="154" spans="2:16" ht="18" customHeight="1" x14ac:dyDescent="0.25">
      <c r="B154" s="131"/>
      <c r="C154" s="131"/>
      <c r="D154" s="22"/>
      <c r="E154" s="131"/>
      <c r="F154" s="50"/>
      <c r="K154" s="20"/>
      <c r="L154" s="20"/>
      <c r="M154" s="20"/>
      <c r="N154" s="20"/>
      <c r="O154" s="20"/>
      <c r="P154" s="20"/>
    </row>
    <row r="155" spans="2:16" ht="18" customHeight="1" x14ac:dyDescent="0.25">
      <c r="B155" s="131"/>
      <c r="C155" s="131"/>
      <c r="D155" s="22"/>
      <c r="E155" s="131"/>
      <c r="F155" s="50"/>
      <c r="K155" s="20"/>
      <c r="L155" s="20"/>
      <c r="M155" s="20"/>
      <c r="N155" s="20"/>
      <c r="O155" s="20"/>
      <c r="P155" s="20"/>
    </row>
    <row r="156" spans="2:16" ht="18" customHeight="1" x14ac:dyDescent="0.25">
      <c r="B156" s="131"/>
      <c r="C156" s="131"/>
      <c r="D156" s="22"/>
      <c r="E156" s="131"/>
      <c r="F156" s="50"/>
      <c r="K156" s="20"/>
      <c r="L156" s="20"/>
      <c r="M156" s="20"/>
      <c r="N156" s="20"/>
      <c r="O156" s="20"/>
      <c r="P156" s="20"/>
    </row>
    <row r="157" spans="2:16" ht="18" customHeight="1" x14ac:dyDescent="0.25">
      <c r="B157" s="131"/>
      <c r="C157" s="131"/>
      <c r="D157" s="22"/>
      <c r="E157" s="131"/>
      <c r="F157" s="50"/>
      <c r="K157" s="20"/>
      <c r="L157" s="20"/>
      <c r="M157" s="20"/>
      <c r="N157" s="20"/>
      <c r="O157" s="20"/>
      <c r="P157" s="20"/>
    </row>
    <row r="158" spans="2:16" ht="18" customHeight="1" x14ac:dyDescent="0.25">
      <c r="B158" s="131"/>
      <c r="C158" s="131"/>
      <c r="D158" s="22"/>
      <c r="E158" s="131"/>
      <c r="F158" s="50"/>
      <c r="K158" s="20"/>
      <c r="L158" s="20"/>
      <c r="M158" s="20"/>
      <c r="N158" s="20"/>
      <c r="O158" s="20"/>
      <c r="P158" s="20"/>
    </row>
    <row r="159" spans="2:16" ht="18" customHeight="1" x14ac:dyDescent="0.25">
      <c r="B159" s="131"/>
      <c r="C159" s="131"/>
      <c r="D159" s="22"/>
      <c r="E159" s="131"/>
      <c r="F159" s="50"/>
      <c r="K159" s="20"/>
      <c r="L159" s="20"/>
      <c r="M159" s="20"/>
      <c r="N159" s="20"/>
      <c r="O159" s="20"/>
      <c r="P159" s="20"/>
    </row>
    <row r="160" spans="2:16" ht="18" customHeight="1" x14ac:dyDescent="0.25">
      <c r="B160" s="131"/>
      <c r="C160" s="131"/>
      <c r="D160" s="22"/>
      <c r="E160" s="131"/>
      <c r="F160" s="50"/>
      <c r="K160" s="20"/>
      <c r="L160" s="20"/>
      <c r="M160" s="20"/>
      <c r="N160" s="20"/>
      <c r="O160" s="20"/>
      <c r="P160" s="20"/>
    </row>
    <row r="161" spans="2:16" ht="18" customHeight="1" x14ac:dyDescent="0.25">
      <c r="B161" s="131"/>
      <c r="C161" s="131"/>
      <c r="D161" s="22"/>
      <c r="E161" s="131"/>
      <c r="F161" s="50"/>
      <c r="K161" s="20"/>
      <c r="L161" s="20"/>
      <c r="M161" s="20"/>
      <c r="N161" s="20"/>
      <c r="O161" s="20"/>
      <c r="P161" s="20"/>
    </row>
    <row r="162" spans="2:16" ht="18" customHeight="1" x14ac:dyDescent="0.25">
      <c r="B162" s="131"/>
      <c r="C162" s="131"/>
      <c r="D162" s="22"/>
      <c r="E162" s="131"/>
      <c r="F162" s="50"/>
      <c r="K162" s="20"/>
      <c r="L162" s="20"/>
      <c r="M162" s="20"/>
      <c r="N162" s="20"/>
      <c r="O162" s="20"/>
      <c r="P162" s="20"/>
    </row>
    <row r="163" spans="2:16" ht="18" customHeight="1" x14ac:dyDescent="0.25">
      <c r="B163" s="131"/>
      <c r="C163" s="131"/>
      <c r="D163" s="22"/>
      <c r="E163" s="131"/>
      <c r="F163" s="50"/>
      <c r="K163" s="20"/>
      <c r="L163" s="20"/>
      <c r="M163" s="20"/>
      <c r="N163" s="20"/>
      <c r="O163" s="20"/>
      <c r="P163" s="20"/>
    </row>
    <row r="164" spans="2:16" ht="18" customHeight="1" x14ac:dyDescent="0.25">
      <c r="B164" s="131"/>
      <c r="C164" s="131"/>
      <c r="D164" s="22"/>
      <c r="E164" s="131"/>
      <c r="F164" s="50"/>
      <c r="K164" s="20"/>
      <c r="L164" s="20"/>
      <c r="M164" s="20"/>
      <c r="N164" s="20"/>
      <c r="O164" s="20"/>
      <c r="P164" s="20"/>
    </row>
    <row r="165" spans="2:16" ht="18" customHeight="1" x14ac:dyDescent="0.25">
      <c r="B165" s="131"/>
      <c r="C165" s="131"/>
      <c r="D165" s="22"/>
      <c r="E165" s="131"/>
      <c r="F165" s="50"/>
      <c r="K165" s="20"/>
      <c r="L165" s="20"/>
      <c r="M165" s="20"/>
      <c r="N165" s="20"/>
      <c r="O165" s="20"/>
      <c r="P165" s="20"/>
    </row>
    <row r="166" spans="2:16" ht="18" customHeight="1" x14ac:dyDescent="0.25">
      <c r="B166" s="131"/>
      <c r="C166" s="131"/>
      <c r="D166" s="22"/>
      <c r="E166" s="131"/>
      <c r="F166" s="50"/>
      <c r="K166" s="20"/>
      <c r="L166" s="20"/>
      <c r="M166" s="20"/>
      <c r="N166" s="20"/>
      <c r="O166" s="20"/>
      <c r="P166" s="20"/>
    </row>
    <row r="167" spans="2:16" ht="18" customHeight="1" x14ac:dyDescent="0.25">
      <c r="B167" s="131"/>
      <c r="C167" s="131"/>
      <c r="D167" s="22"/>
      <c r="E167" s="131"/>
      <c r="F167" s="50"/>
      <c r="K167" s="20"/>
      <c r="L167" s="20"/>
      <c r="M167" s="20"/>
      <c r="N167" s="20"/>
      <c r="O167" s="20"/>
      <c r="P167" s="20"/>
    </row>
    <row r="168" spans="2:16" ht="18" customHeight="1" x14ac:dyDescent="0.25">
      <c r="B168" s="131"/>
      <c r="C168" s="131"/>
      <c r="D168" s="22"/>
      <c r="E168" s="131"/>
      <c r="F168" s="50"/>
      <c r="K168" s="20"/>
      <c r="L168" s="20"/>
      <c r="M168" s="20"/>
      <c r="N168" s="20"/>
      <c r="O168" s="20"/>
      <c r="P168" s="20"/>
    </row>
    <row r="169" spans="2:16" ht="18" customHeight="1" x14ac:dyDescent="0.25">
      <c r="B169" s="131"/>
      <c r="C169" s="131"/>
      <c r="D169" s="22"/>
      <c r="E169" s="131"/>
      <c r="F169" s="50"/>
      <c r="K169" s="20"/>
      <c r="L169" s="20"/>
      <c r="M169" s="20"/>
      <c r="N169" s="20"/>
      <c r="O169" s="20"/>
      <c r="P169" s="20"/>
    </row>
    <row r="170" spans="2:16" ht="18" customHeight="1" x14ac:dyDescent="0.25">
      <c r="B170" s="131"/>
      <c r="C170" s="131"/>
      <c r="D170" s="22"/>
      <c r="E170" s="131"/>
      <c r="F170" s="50"/>
      <c r="K170" s="20"/>
      <c r="L170" s="20"/>
      <c r="M170" s="20"/>
      <c r="N170" s="20"/>
      <c r="O170" s="20"/>
      <c r="P170" s="20"/>
    </row>
    <row r="171" spans="2:16" ht="18" customHeight="1" x14ac:dyDescent="0.25">
      <c r="B171" s="131"/>
      <c r="C171" s="131"/>
      <c r="D171" s="22"/>
      <c r="E171" s="131"/>
      <c r="F171" s="50"/>
      <c r="K171" s="20"/>
      <c r="L171" s="20"/>
      <c r="M171" s="20"/>
      <c r="N171" s="20"/>
      <c r="O171" s="20"/>
      <c r="P171" s="20"/>
    </row>
    <row r="172" spans="2:16" ht="18" customHeight="1" x14ac:dyDescent="0.25">
      <c r="B172" s="131"/>
      <c r="C172" s="131"/>
      <c r="D172" s="22"/>
      <c r="E172" s="131"/>
      <c r="F172" s="50"/>
      <c r="K172" s="20"/>
      <c r="L172" s="20"/>
      <c r="M172" s="20"/>
      <c r="N172" s="20"/>
      <c r="O172" s="20"/>
      <c r="P172" s="20"/>
    </row>
    <row r="173" spans="2:16" ht="18" customHeight="1" x14ac:dyDescent="0.25">
      <c r="B173" s="131"/>
      <c r="C173" s="131"/>
      <c r="D173" s="22"/>
      <c r="E173" s="131"/>
      <c r="F173" s="50"/>
      <c r="K173" s="20"/>
      <c r="L173" s="20"/>
      <c r="M173" s="20"/>
      <c r="N173" s="20"/>
      <c r="O173" s="20"/>
      <c r="P173" s="20"/>
    </row>
    <row r="174" spans="2:16" ht="18" customHeight="1" x14ac:dyDescent="0.25">
      <c r="B174" s="131"/>
      <c r="C174" s="131"/>
      <c r="D174" s="22"/>
      <c r="E174" s="131"/>
      <c r="F174" s="50"/>
      <c r="K174" s="20"/>
      <c r="L174" s="20"/>
      <c r="M174" s="20"/>
      <c r="N174" s="20"/>
      <c r="O174" s="20"/>
      <c r="P174" s="20"/>
    </row>
    <row r="175" spans="2:16" ht="18" customHeight="1" x14ac:dyDescent="0.25">
      <c r="B175" s="131"/>
      <c r="C175" s="131"/>
      <c r="D175" s="22"/>
      <c r="E175" s="131"/>
      <c r="F175" s="50"/>
      <c r="K175" s="20"/>
      <c r="L175" s="20"/>
      <c r="M175" s="20"/>
      <c r="N175" s="20"/>
      <c r="O175" s="20"/>
      <c r="P175" s="20"/>
    </row>
    <row r="176" spans="2:16" ht="18" customHeight="1" x14ac:dyDescent="0.25">
      <c r="B176" s="131"/>
      <c r="C176" s="131"/>
      <c r="D176" s="22"/>
      <c r="E176" s="131"/>
      <c r="F176" s="50"/>
      <c r="K176" s="20"/>
      <c r="L176" s="20"/>
      <c r="M176" s="20"/>
      <c r="N176" s="20"/>
      <c r="O176" s="20"/>
      <c r="P176" s="20"/>
    </row>
    <row r="177" spans="2:16" ht="18" customHeight="1" x14ac:dyDescent="0.25">
      <c r="B177" s="131"/>
      <c r="C177" s="131"/>
      <c r="D177" s="22"/>
      <c r="E177" s="131"/>
      <c r="F177" s="50"/>
      <c r="K177" s="20"/>
      <c r="L177" s="20"/>
      <c r="M177" s="20"/>
      <c r="N177" s="20"/>
      <c r="O177" s="20"/>
      <c r="P177" s="20"/>
    </row>
    <row r="178" spans="2:16" ht="18" customHeight="1" x14ac:dyDescent="0.25">
      <c r="B178" s="131"/>
      <c r="C178" s="131"/>
      <c r="D178" s="22"/>
      <c r="E178" s="131"/>
      <c r="F178" s="50"/>
      <c r="K178" s="20"/>
      <c r="L178" s="20"/>
      <c r="M178" s="20"/>
      <c r="N178" s="20"/>
      <c r="O178" s="20"/>
      <c r="P178" s="20"/>
    </row>
    <row r="179" spans="2:16" ht="18" customHeight="1" x14ac:dyDescent="0.25">
      <c r="B179" s="131"/>
      <c r="C179" s="131"/>
      <c r="D179" s="22"/>
      <c r="E179" s="131"/>
      <c r="F179" s="50"/>
      <c r="K179" s="20"/>
      <c r="L179" s="20"/>
      <c r="M179" s="20"/>
      <c r="N179" s="20"/>
      <c r="O179" s="20"/>
      <c r="P179" s="20"/>
    </row>
    <row r="180" spans="2:16" ht="18" customHeight="1" x14ac:dyDescent="0.25">
      <c r="B180" s="131"/>
      <c r="C180" s="131"/>
      <c r="D180" s="22"/>
      <c r="E180" s="131"/>
      <c r="F180" s="50"/>
      <c r="K180" s="20"/>
      <c r="L180" s="20"/>
      <c r="M180" s="20"/>
      <c r="N180" s="20"/>
      <c r="O180" s="20"/>
      <c r="P180" s="20"/>
    </row>
    <row r="181" spans="2:16" ht="18" customHeight="1" x14ac:dyDescent="0.25">
      <c r="B181" s="131"/>
      <c r="C181" s="131"/>
      <c r="D181" s="22"/>
      <c r="E181" s="131"/>
      <c r="F181" s="50"/>
      <c r="K181" s="20"/>
      <c r="L181" s="20"/>
      <c r="M181" s="20"/>
      <c r="N181" s="20"/>
      <c r="O181" s="20"/>
      <c r="P181" s="20"/>
    </row>
    <row r="182" spans="2:16" ht="18" customHeight="1" x14ac:dyDescent="0.25">
      <c r="B182" s="131"/>
      <c r="C182" s="131"/>
      <c r="D182" s="22"/>
      <c r="E182" s="131"/>
      <c r="F182" s="50"/>
      <c r="K182" s="20"/>
      <c r="L182" s="20"/>
      <c r="M182" s="20"/>
      <c r="N182" s="20"/>
      <c r="O182" s="20"/>
      <c r="P182" s="20"/>
    </row>
    <row r="183" spans="2:16" ht="18" customHeight="1" x14ac:dyDescent="0.25">
      <c r="B183" s="131"/>
      <c r="C183" s="131"/>
      <c r="D183" s="22"/>
      <c r="E183" s="131"/>
      <c r="F183" s="50"/>
      <c r="K183" s="20"/>
      <c r="L183" s="20"/>
      <c r="M183" s="20"/>
      <c r="N183" s="20"/>
      <c r="O183" s="20"/>
      <c r="P183" s="20"/>
    </row>
    <row r="184" spans="2:16" ht="18" customHeight="1" x14ac:dyDescent="0.25">
      <c r="B184" s="131"/>
      <c r="C184" s="131"/>
      <c r="D184" s="22"/>
      <c r="E184" s="131"/>
      <c r="F184" s="50"/>
      <c r="K184" s="20"/>
      <c r="L184" s="20"/>
      <c r="M184" s="20"/>
      <c r="N184" s="20"/>
      <c r="O184" s="20"/>
      <c r="P184" s="20"/>
    </row>
    <row r="185" spans="2:16" ht="18" customHeight="1" x14ac:dyDescent="0.25">
      <c r="B185" s="131"/>
      <c r="C185" s="131"/>
      <c r="D185" s="22"/>
      <c r="E185" s="131"/>
      <c r="F185" s="50"/>
      <c r="K185" s="20"/>
      <c r="L185" s="20"/>
      <c r="M185" s="20"/>
      <c r="N185" s="20"/>
      <c r="O185" s="20"/>
      <c r="P185" s="20"/>
    </row>
    <row r="186" spans="2:16" ht="18" customHeight="1" x14ac:dyDescent="0.25">
      <c r="B186" s="131"/>
      <c r="C186" s="131"/>
      <c r="D186" s="22"/>
      <c r="E186" s="131"/>
      <c r="F186" s="50"/>
      <c r="K186" s="20"/>
      <c r="L186" s="20"/>
      <c r="M186" s="20"/>
      <c r="N186" s="20"/>
      <c r="O186" s="20"/>
      <c r="P186" s="20"/>
    </row>
    <row r="187" spans="2:16" ht="18" customHeight="1" x14ac:dyDescent="0.25">
      <c r="B187" s="131"/>
      <c r="C187" s="131"/>
      <c r="D187" s="22"/>
      <c r="E187" s="131"/>
      <c r="F187" s="50"/>
      <c r="K187" s="20"/>
      <c r="L187" s="20"/>
      <c r="M187" s="20"/>
      <c r="N187" s="20"/>
      <c r="O187" s="20"/>
      <c r="P187" s="20"/>
    </row>
    <row r="188" spans="2:16" ht="18" customHeight="1" x14ac:dyDescent="0.25">
      <c r="B188" s="131"/>
      <c r="C188" s="131"/>
      <c r="D188" s="22"/>
      <c r="E188" s="131"/>
      <c r="F188" s="50"/>
      <c r="K188" s="20"/>
      <c r="L188" s="20"/>
      <c r="M188" s="20"/>
      <c r="N188" s="20"/>
      <c r="O188" s="20"/>
      <c r="P188" s="20"/>
    </row>
    <row r="189" spans="2:16" ht="18" customHeight="1" x14ac:dyDescent="0.25">
      <c r="B189" s="131"/>
      <c r="C189" s="131"/>
      <c r="D189" s="22"/>
      <c r="E189" s="131"/>
      <c r="F189" s="50"/>
      <c r="K189" s="20"/>
      <c r="L189" s="20"/>
      <c r="M189" s="20"/>
      <c r="N189" s="20"/>
      <c r="O189" s="20"/>
      <c r="P189" s="20"/>
    </row>
    <row r="190" spans="2:16" ht="18" customHeight="1" x14ac:dyDescent="0.25">
      <c r="B190" s="131"/>
      <c r="C190" s="131"/>
      <c r="D190" s="22"/>
      <c r="E190" s="131"/>
      <c r="F190" s="50"/>
      <c r="K190" s="20"/>
      <c r="L190" s="20"/>
      <c r="M190" s="20"/>
      <c r="N190" s="20"/>
      <c r="O190" s="20"/>
      <c r="P190" s="20"/>
    </row>
    <row r="191" spans="2:16" ht="18" customHeight="1" x14ac:dyDescent="0.25">
      <c r="B191" s="131"/>
      <c r="C191" s="131"/>
      <c r="D191" s="22"/>
      <c r="E191" s="131"/>
      <c r="F191" s="50"/>
      <c r="K191" s="20"/>
      <c r="L191" s="20"/>
      <c r="M191" s="20"/>
      <c r="N191" s="20"/>
      <c r="O191" s="20"/>
      <c r="P191" s="20"/>
    </row>
    <row r="192" spans="2:16" ht="18" customHeight="1" x14ac:dyDescent="0.25">
      <c r="B192" s="131"/>
      <c r="C192" s="131"/>
      <c r="D192" s="22"/>
      <c r="E192" s="131"/>
      <c r="F192" s="50"/>
      <c r="K192" s="20"/>
      <c r="L192" s="20"/>
      <c r="M192" s="20"/>
      <c r="N192" s="20"/>
      <c r="O192" s="20"/>
      <c r="P192" s="20"/>
    </row>
    <row r="193" spans="2:16" ht="18" customHeight="1" x14ac:dyDescent="0.25">
      <c r="B193" s="131"/>
      <c r="C193" s="131"/>
      <c r="D193" s="22"/>
      <c r="E193" s="131"/>
      <c r="F193" s="50"/>
      <c r="K193" s="20"/>
      <c r="L193" s="20"/>
      <c r="M193" s="20"/>
      <c r="N193" s="20"/>
      <c r="O193" s="20"/>
      <c r="P193" s="20"/>
    </row>
    <row r="194" spans="2:16" ht="18" customHeight="1" x14ac:dyDescent="0.25">
      <c r="B194" s="131"/>
      <c r="C194" s="131"/>
      <c r="D194" s="22"/>
      <c r="E194" s="131"/>
      <c r="F194" s="50"/>
      <c r="K194" s="20"/>
      <c r="L194" s="20"/>
      <c r="M194" s="20"/>
      <c r="N194" s="20"/>
      <c r="O194" s="20"/>
      <c r="P194" s="20"/>
    </row>
    <row r="195" spans="2:16" ht="18" customHeight="1" x14ac:dyDescent="0.25">
      <c r="B195" s="131"/>
      <c r="C195" s="131"/>
      <c r="D195" s="22"/>
      <c r="E195" s="131"/>
      <c r="F195" s="50"/>
      <c r="K195" s="20"/>
      <c r="L195" s="20"/>
      <c r="M195" s="20"/>
      <c r="N195" s="20"/>
      <c r="O195" s="20"/>
      <c r="P195" s="20"/>
    </row>
    <row r="196" spans="2:16" ht="18" customHeight="1" x14ac:dyDescent="0.25">
      <c r="B196" s="131"/>
      <c r="C196" s="131"/>
      <c r="D196" s="22"/>
      <c r="E196" s="131"/>
      <c r="F196" s="50"/>
      <c r="K196" s="20"/>
      <c r="L196" s="20"/>
      <c r="M196" s="20"/>
      <c r="N196" s="20"/>
      <c r="O196" s="20"/>
      <c r="P196" s="20"/>
    </row>
    <row r="197" spans="2:16" ht="18" customHeight="1" x14ac:dyDescent="0.25">
      <c r="B197" s="131"/>
      <c r="C197" s="131"/>
      <c r="D197" s="22"/>
      <c r="E197" s="131"/>
      <c r="F197" s="50"/>
      <c r="K197" s="20"/>
      <c r="L197" s="20"/>
      <c r="M197" s="20"/>
      <c r="N197" s="20"/>
      <c r="O197" s="20"/>
      <c r="P197" s="20"/>
    </row>
    <row r="198" spans="2:16" ht="18" customHeight="1" x14ac:dyDescent="0.25">
      <c r="B198" s="131"/>
      <c r="C198" s="131"/>
      <c r="D198" s="22"/>
      <c r="E198" s="131"/>
      <c r="F198" s="50"/>
      <c r="K198" s="20"/>
      <c r="L198" s="20"/>
      <c r="M198" s="20"/>
      <c r="N198" s="20"/>
      <c r="O198" s="20"/>
      <c r="P198" s="20"/>
    </row>
    <row r="199" spans="2:16" ht="18" customHeight="1" x14ac:dyDescent="0.25">
      <c r="B199" s="131"/>
      <c r="C199" s="131"/>
      <c r="D199" s="22"/>
      <c r="E199" s="131"/>
      <c r="F199" s="50"/>
      <c r="K199" s="20"/>
      <c r="L199" s="20"/>
      <c r="M199" s="20"/>
      <c r="N199" s="20"/>
      <c r="O199" s="20"/>
      <c r="P199" s="20"/>
    </row>
    <row r="200" spans="2:16" ht="18" customHeight="1" x14ac:dyDescent="0.25">
      <c r="B200" s="131"/>
      <c r="C200" s="131"/>
      <c r="D200" s="22"/>
      <c r="E200" s="131"/>
      <c r="F200" s="50"/>
      <c r="K200" s="20"/>
      <c r="L200" s="20"/>
      <c r="M200" s="20"/>
      <c r="N200" s="20"/>
      <c r="O200" s="20"/>
      <c r="P200" s="20"/>
    </row>
    <row r="201" spans="2:16" ht="18" customHeight="1" x14ac:dyDescent="0.25">
      <c r="B201" s="131"/>
      <c r="C201" s="131"/>
      <c r="D201" s="22"/>
      <c r="E201" s="131"/>
      <c r="F201" s="50"/>
      <c r="K201" s="20"/>
      <c r="L201" s="20"/>
      <c r="M201" s="20"/>
      <c r="N201" s="20"/>
      <c r="O201" s="20"/>
      <c r="P201" s="20"/>
    </row>
    <row r="202" spans="2:16" ht="18" customHeight="1" x14ac:dyDescent="0.25">
      <c r="B202" s="131"/>
      <c r="C202" s="131"/>
      <c r="D202" s="22"/>
      <c r="E202" s="131"/>
      <c r="F202" s="50"/>
      <c r="K202" s="20"/>
      <c r="L202" s="20"/>
      <c r="M202" s="20"/>
      <c r="N202" s="20"/>
      <c r="O202" s="20"/>
      <c r="P202" s="20"/>
    </row>
    <row r="203" spans="2:16" ht="18" customHeight="1" x14ac:dyDescent="0.25">
      <c r="B203" s="131"/>
      <c r="C203" s="131"/>
      <c r="D203" s="22"/>
      <c r="E203" s="131"/>
      <c r="F203" s="50"/>
      <c r="K203" s="20"/>
      <c r="L203" s="20"/>
      <c r="M203" s="20"/>
      <c r="N203" s="20"/>
      <c r="O203" s="20"/>
      <c r="P203" s="20"/>
    </row>
    <row r="204" spans="2:16" ht="18" customHeight="1" x14ac:dyDescent="0.25">
      <c r="B204" s="131"/>
      <c r="C204" s="131"/>
      <c r="D204" s="22"/>
      <c r="E204" s="131"/>
      <c r="F204" s="50"/>
      <c r="K204" s="20"/>
      <c r="L204" s="20"/>
      <c r="M204" s="20"/>
      <c r="N204" s="20"/>
      <c r="O204" s="20"/>
      <c r="P204" s="20"/>
    </row>
    <row r="205" spans="2:16" ht="18" customHeight="1" x14ac:dyDescent="0.25">
      <c r="B205" s="131"/>
      <c r="C205" s="131"/>
      <c r="D205" s="22"/>
      <c r="E205" s="131"/>
      <c r="F205" s="50"/>
      <c r="K205" s="20"/>
      <c r="L205" s="20"/>
      <c r="M205" s="20"/>
      <c r="N205" s="20"/>
      <c r="O205" s="20"/>
      <c r="P205" s="20"/>
    </row>
    <row r="206" spans="2:16" ht="18" customHeight="1" x14ac:dyDescent="0.25">
      <c r="B206" s="131"/>
      <c r="C206" s="131"/>
      <c r="D206" s="22"/>
      <c r="E206" s="131"/>
      <c r="F206" s="50"/>
      <c r="K206" s="20"/>
      <c r="L206" s="20"/>
      <c r="M206" s="20"/>
      <c r="N206" s="20"/>
      <c r="O206" s="20"/>
      <c r="P206" s="20"/>
    </row>
    <row r="207" spans="2:16" ht="18" customHeight="1" x14ac:dyDescent="0.25">
      <c r="B207" s="131"/>
      <c r="C207" s="131"/>
      <c r="D207" s="22"/>
      <c r="E207" s="131"/>
      <c r="F207" s="50"/>
      <c r="K207" s="20"/>
      <c r="L207" s="20"/>
      <c r="M207" s="20"/>
      <c r="N207" s="20"/>
      <c r="O207" s="20"/>
      <c r="P207" s="20"/>
    </row>
    <row r="208" spans="2:16" ht="18" customHeight="1" x14ac:dyDescent="0.25">
      <c r="B208" s="131"/>
      <c r="C208" s="131"/>
      <c r="D208" s="22"/>
      <c r="E208" s="131"/>
      <c r="F208" s="50"/>
      <c r="K208" s="20"/>
      <c r="L208" s="20"/>
      <c r="M208" s="20"/>
      <c r="N208" s="20"/>
      <c r="O208" s="20"/>
      <c r="P208" s="20"/>
    </row>
    <row r="209" spans="2:16" ht="18" customHeight="1" x14ac:dyDescent="0.25">
      <c r="B209" s="131"/>
      <c r="C209" s="131"/>
      <c r="D209" s="22"/>
      <c r="E209" s="131"/>
      <c r="F209" s="50"/>
      <c r="K209" s="20"/>
      <c r="L209" s="20"/>
      <c r="M209" s="20"/>
      <c r="N209" s="20"/>
      <c r="O209" s="20"/>
      <c r="P209" s="20"/>
    </row>
    <row r="210" spans="2:16" ht="18" customHeight="1" x14ac:dyDescent="0.25">
      <c r="B210" s="131"/>
      <c r="C210" s="131"/>
      <c r="D210" s="22"/>
      <c r="E210" s="131"/>
      <c r="F210" s="50"/>
      <c r="K210" s="20"/>
      <c r="L210" s="20"/>
      <c r="M210" s="20"/>
      <c r="N210" s="20"/>
      <c r="O210" s="20"/>
      <c r="P210" s="20"/>
    </row>
    <row r="211" spans="2:16" ht="18" customHeight="1" x14ac:dyDescent="0.25">
      <c r="B211" s="131"/>
      <c r="C211" s="131"/>
      <c r="D211" s="22"/>
      <c r="E211" s="131"/>
      <c r="F211" s="50"/>
      <c r="K211" s="20"/>
      <c r="L211" s="20"/>
      <c r="M211" s="20"/>
      <c r="N211" s="20"/>
      <c r="O211" s="20"/>
      <c r="P211" s="20"/>
    </row>
    <row r="212" spans="2:16" ht="18" customHeight="1" x14ac:dyDescent="0.25">
      <c r="B212" s="131"/>
      <c r="C212" s="131"/>
      <c r="D212" s="22"/>
      <c r="E212" s="131"/>
      <c r="F212" s="50"/>
      <c r="K212" s="20"/>
      <c r="L212" s="20"/>
      <c r="M212" s="20"/>
      <c r="N212" s="20"/>
      <c r="O212" s="20"/>
      <c r="P212" s="20"/>
    </row>
    <row r="213" spans="2:16" ht="18" customHeight="1" x14ac:dyDescent="0.25">
      <c r="B213" s="131"/>
      <c r="C213" s="131"/>
      <c r="D213" s="22"/>
      <c r="E213" s="131"/>
      <c r="F213" s="50"/>
      <c r="K213" s="20"/>
      <c r="L213" s="20"/>
      <c r="M213" s="20"/>
      <c r="N213" s="20"/>
      <c r="O213" s="20"/>
      <c r="P213" s="20"/>
    </row>
    <row r="214" spans="2:16" ht="18" customHeight="1" x14ac:dyDescent="0.25">
      <c r="B214" s="131"/>
      <c r="C214" s="131"/>
      <c r="D214" s="22"/>
      <c r="E214" s="131"/>
      <c r="F214" s="50"/>
      <c r="K214" s="20"/>
      <c r="L214" s="20"/>
      <c r="M214" s="20"/>
      <c r="N214" s="20"/>
      <c r="O214" s="20"/>
      <c r="P214" s="20"/>
    </row>
    <row r="215" spans="2:16" ht="18" customHeight="1" x14ac:dyDescent="0.25">
      <c r="B215" s="131"/>
      <c r="C215" s="131"/>
      <c r="D215" s="22"/>
      <c r="E215" s="131"/>
      <c r="F215" s="50"/>
      <c r="K215" s="20"/>
      <c r="L215" s="20"/>
      <c r="M215" s="20"/>
      <c r="N215" s="20"/>
      <c r="O215" s="20"/>
      <c r="P215" s="20"/>
    </row>
    <row r="216" spans="2:16" ht="18" customHeight="1" x14ac:dyDescent="0.25">
      <c r="B216" s="131"/>
      <c r="C216" s="131"/>
      <c r="D216" s="22"/>
      <c r="E216" s="131"/>
      <c r="F216" s="50"/>
      <c r="K216" s="20"/>
      <c r="L216" s="20"/>
      <c r="M216" s="20"/>
      <c r="N216" s="20"/>
      <c r="O216" s="20"/>
      <c r="P216" s="20"/>
    </row>
    <row r="217" spans="2:16" ht="18" customHeight="1" x14ac:dyDescent="0.25">
      <c r="B217" s="131"/>
      <c r="C217" s="131"/>
      <c r="D217" s="22"/>
      <c r="E217" s="131"/>
      <c r="F217" s="50"/>
      <c r="K217" s="20"/>
      <c r="L217" s="20"/>
      <c r="M217" s="20"/>
      <c r="N217" s="20"/>
      <c r="O217" s="20"/>
      <c r="P217" s="20"/>
    </row>
    <row r="218" spans="2:16" ht="18" customHeight="1" x14ac:dyDescent="0.25">
      <c r="B218" s="131"/>
      <c r="C218" s="131"/>
      <c r="D218" s="22"/>
      <c r="E218" s="131"/>
      <c r="F218" s="50"/>
      <c r="K218" s="20"/>
      <c r="L218" s="20"/>
      <c r="M218" s="20"/>
      <c r="N218" s="20"/>
      <c r="O218" s="20"/>
      <c r="P218" s="20"/>
    </row>
    <row r="219" spans="2:16" ht="18" customHeight="1" x14ac:dyDescent="0.25">
      <c r="B219" s="131"/>
      <c r="C219" s="131"/>
      <c r="D219" s="22"/>
      <c r="E219" s="131"/>
      <c r="F219" s="50"/>
      <c r="K219" s="20"/>
      <c r="L219" s="20"/>
      <c r="M219" s="20"/>
      <c r="N219" s="20"/>
      <c r="O219" s="20"/>
      <c r="P219" s="20"/>
    </row>
    <row r="220" spans="2:16" ht="18" customHeight="1" x14ac:dyDescent="0.25">
      <c r="B220" s="131"/>
      <c r="C220" s="131"/>
      <c r="D220" s="22"/>
      <c r="E220" s="131"/>
      <c r="F220" s="50"/>
      <c r="K220" s="20"/>
      <c r="L220" s="20"/>
      <c r="M220" s="20"/>
      <c r="N220" s="20"/>
      <c r="O220" s="20"/>
      <c r="P220" s="20"/>
    </row>
    <row r="221" spans="2:16" ht="18" customHeight="1" x14ac:dyDescent="0.25">
      <c r="B221" s="131"/>
      <c r="C221" s="131"/>
      <c r="D221" s="22"/>
      <c r="E221" s="131"/>
      <c r="F221" s="50"/>
      <c r="K221" s="20"/>
      <c r="L221" s="20"/>
      <c r="M221" s="20"/>
      <c r="N221" s="20"/>
      <c r="O221" s="20"/>
      <c r="P221" s="20"/>
    </row>
    <row r="222" spans="2:16" ht="18" customHeight="1" x14ac:dyDescent="0.25">
      <c r="B222" s="131"/>
      <c r="C222" s="131"/>
      <c r="D222" s="22"/>
      <c r="E222" s="131"/>
      <c r="F222" s="50"/>
      <c r="K222" s="20"/>
      <c r="L222" s="20"/>
      <c r="M222" s="20"/>
      <c r="N222" s="20"/>
      <c r="O222" s="20"/>
      <c r="P222" s="20"/>
    </row>
    <row r="223" spans="2:16" ht="18" customHeight="1" x14ac:dyDescent="0.25">
      <c r="B223" s="131"/>
      <c r="C223" s="131"/>
      <c r="D223" s="22"/>
      <c r="E223" s="131"/>
      <c r="F223" s="50"/>
      <c r="K223" s="20"/>
      <c r="L223" s="20"/>
      <c r="M223" s="20"/>
      <c r="N223" s="20"/>
      <c r="O223" s="20"/>
      <c r="P223" s="20"/>
    </row>
    <row r="224" spans="2:16" ht="18" customHeight="1" x14ac:dyDescent="0.25">
      <c r="B224" s="131"/>
      <c r="C224" s="131"/>
      <c r="D224" s="22"/>
      <c r="E224" s="131"/>
      <c r="F224" s="50"/>
      <c r="K224" s="20"/>
      <c r="L224" s="20"/>
      <c r="M224" s="20"/>
      <c r="N224" s="20"/>
      <c r="O224" s="20"/>
      <c r="P224" s="20"/>
    </row>
    <row r="225" spans="2:16" ht="18" customHeight="1" x14ac:dyDescent="0.25">
      <c r="B225" s="131"/>
      <c r="C225" s="131"/>
      <c r="D225" s="22"/>
      <c r="E225" s="131"/>
      <c r="F225" s="50"/>
      <c r="K225" s="20"/>
      <c r="L225" s="20"/>
      <c r="M225" s="20"/>
      <c r="N225" s="20"/>
      <c r="O225" s="20"/>
      <c r="P225" s="20"/>
    </row>
    <row r="226" spans="2:16" ht="18" customHeight="1" x14ac:dyDescent="0.25">
      <c r="B226" s="131"/>
      <c r="C226" s="131"/>
      <c r="D226" s="22"/>
      <c r="E226" s="131"/>
      <c r="F226" s="50"/>
      <c r="K226" s="20"/>
      <c r="L226" s="20"/>
      <c r="M226" s="20"/>
      <c r="N226" s="20"/>
      <c r="O226" s="20"/>
      <c r="P226" s="20"/>
    </row>
    <row r="227" spans="2:16" ht="18" customHeight="1" x14ac:dyDescent="0.25">
      <c r="B227" s="131"/>
      <c r="C227" s="131"/>
      <c r="D227" s="22"/>
      <c r="E227" s="131"/>
      <c r="F227" s="50"/>
      <c r="K227" s="20"/>
      <c r="L227" s="20"/>
      <c r="M227" s="20"/>
      <c r="N227" s="20"/>
      <c r="O227" s="20"/>
      <c r="P227" s="20"/>
    </row>
    <row r="228" spans="2:16" ht="18" customHeight="1" x14ac:dyDescent="0.25">
      <c r="B228" s="131"/>
      <c r="C228" s="131"/>
      <c r="D228" s="22"/>
      <c r="E228" s="131"/>
      <c r="F228" s="50"/>
      <c r="K228" s="20"/>
      <c r="L228" s="20"/>
      <c r="M228" s="20"/>
      <c r="N228" s="20"/>
      <c r="O228" s="20"/>
      <c r="P228" s="20"/>
    </row>
    <row r="229" spans="2:16" ht="18" customHeight="1" x14ac:dyDescent="0.25">
      <c r="B229" s="131"/>
      <c r="C229" s="131"/>
      <c r="D229" s="22"/>
      <c r="E229" s="131"/>
      <c r="F229" s="50"/>
      <c r="K229" s="20"/>
      <c r="L229" s="20"/>
      <c r="M229" s="20"/>
      <c r="N229" s="20"/>
      <c r="O229" s="20"/>
      <c r="P229" s="20"/>
    </row>
    <row r="230" spans="2:16" ht="18" customHeight="1" x14ac:dyDescent="0.25">
      <c r="B230" s="131"/>
      <c r="C230" s="131"/>
      <c r="D230" s="22"/>
      <c r="E230" s="131"/>
      <c r="F230" s="50"/>
      <c r="K230" s="20"/>
      <c r="L230" s="20"/>
      <c r="M230" s="20"/>
      <c r="N230" s="20"/>
      <c r="O230" s="20"/>
      <c r="P230" s="20"/>
    </row>
    <row r="231" spans="2:16" ht="18" customHeight="1" x14ac:dyDescent="0.25">
      <c r="B231" s="131"/>
      <c r="C231" s="131"/>
      <c r="D231" s="22"/>
      <c r="E231" s="131"/>
      <c r="F231" s="50"/>
      <c r="K231" s="20"/>
      <c r="L231" s="20"/>
      <c r="M231" s="20"/>
      <c r="N231" s="20"/>
      <c r="O231" s="20"/>
      <c r="P231" s="20"/>
    </row>
    <row r="232" spans="2:16" ht="18" customHeight="1" x14ac:dyDescent="0.25">
      <c r="B232" s="131"/>
      <c r="C232" s="131"/>
      <c r="D232" s="22"/>
      <c r="E232" s="131"/>
      <c r="F232" s="50"/>
      <c r="K232" s="20"/>
      <c r="L232" s="20"/>
      <c r="M232" s="20"/>
      <c r="N232" s="20"/>
      <c r="O232" s="20"/>
      <c r="P232" s="20"/>
    </row>
    <row r="233" spans="2:16" ht="18" customHeight="1" x14ac:dyDescent="0.25">
      <c r="B233" s="131"/>
      <c r="C233" s="131"/>
      <c r="D233" s="22"/>
      <c r="E233" s="131"/>
      <c r="F233" s="50"/>
      <c r="K233" s="20"/>
      <c r="L233" s="20"/>
      <c r="M233" s="20"/>
      <c r="N233" s="20"/>
      <c r="O233" s="20"/>
      <c r="P233" s="20"/>
    </row>
    <row r="234" spans="2:16" ht="18" customHeight="1" x14ac:dyDescent="0.25">
      <c r="B234" s="131"/>
      <c r="C234" s="131"/>
      <c r="D234" s="22"/>
      <c r="E234" s="131"/>
      <c r="F234" s="50"/>
      <c r="K234" s="20"/>
      <c r="L234" s="20"/>
      <c r="M234" s="20"/>
      <c r="N234" s="20"/>
      <c r="O234" s="20"/>
      <c r="P234" s="20"/>
    </row>
    <row r="235" spans="2:16" ht="18" customHeight="1" x14ac:dyDescent="0.25">
      <c r="B235" s="131"/>
      <c r="C235" s="131"/>
      <c r="D235" s="22"/>
      <c r="E235" s="131"/>
      <c r="F235" s="50"/>
      <c r="K235" s="20"/>
      <c r="L235" s="20"/>
      <c r="M235" s="20"/>
      <c r="N235" s="20"/>
      <c r="O235" s="20"/>
      <c r="P235" s="20"/>
    </row>
    <row r="236" spans="2:16" ht="18" customHeight="1" x14ac:dyDescent="0.25">
      <c r="B236" s="131"/>
      <c r="C236" s="131"/>
      <c r="D236" s="22"/>
      <c r="E236" s="131"/>
      <c r="F236" s="50"/>
      <c r="K236" s="20"/>
      <c r="L236" s="20"/>
      <c r="M236" s="20"/>
      <c r="N236" s="20"/>
      <c r="O236" s="20"/>
      <c r="P236" s="20"/>
    </row>
    <row r="237" spans="2:16" ht="18" customHeight="1" x14ac:dyDescent="0.25">
      <c r="B237" s="131"/>
      <c r="C237" s="131"/>
      <c r="D237" s="22"/>
      <c r="E237" s="131"/>
      <c r="F237" s="50"/>
      <c r="K237" s="20"/>
      <c r="L237" s="20"/>
      <c r="M237" s="20"/>
      <c r="N237" s="20"/>
      <c r="O237" s="20"/>
      <c r="P237" s="20"/>
    </row>
    <row r="238" spans="2:16" ht="18" customHeight="1" x14ac:dyDescent="0.25">
      <c r="B238" s="131"/>
      <c r="C238" s="131"/>
      <c r="D238" s="22"/>
      <c r="E238" s="131"/>
      <c r="F238" s="50"/>
      <c r="K238" s="20"/>
      <c r="L238" s="20"/>
      <c r="M238" s="20"/>
      <c r="N238" s="20"/>
      <c r="O238" s="20"/>
      <c r="P238" s="20"/>
    </row>
    <row r="239" spans="2:16" ht="18" customHeight="1" x14ac:dyDescent="0.25">
      <c r="B239" s="131"/>
      <c r="C239" s="131"/>
      <c r="D239" s="22"/>
      <c r="E239" s="131"/>
      <c r="F239" s="50"/>
      <c r="K239" s="20"/>
      <c r="L239" s="20"/>
      <c r="M239" s="20"/>
      <c r="N239" s="20"/>
      <c r="O239" s="20"/>
      <c r="P239" s="20"/>
    </row>
    <row r="240" spans="2:16" ht="18" customHeight="1" x14ac:dyDescent="0.25">
      <c r="B240" s="131"/>
      <c r="C240" s="131"/>
      <c r="D240" s="22"/>
      <c r="E240" s="131"/>
      <c r="F240" s="50"/>
      <c r="K240" s="20"/>
      <c r="L240" s="20"/>
      <c r="M240" s="20"/>
      <c r="N240" s="20"/>
      <c r="O240" s="20"/>
      <c r="P240" s="20"/>
    </row>
    <row r="241" spans="2:16" ht="18" customHeight="1" x14ac:dyDescent="0.25">
      <c r="B241" s="131"/>
      <c r="C241" s="131"/>
      <c r="D241" s="22"/>
      <c r="E241" s="131"/>
      <c r="F241" s="50"/>
      <c r="K241" s="20"/>
      <c r="L241" s="20"/>
      <c r="M241" s="20"/>
      <c r="N241" s="20"/>
      <c r="O241" s="20"/>
      <c r="P241" s="20"/>
    </row>
    <row r="242" spans="2:16" ht="18" customHeight="1" x14ac:dyDescent="0.25">
      <c r="B242" s="131"/>
      <c r="C242" s="131"/>
      <c r="D242" s="22"/>
      <c r="E242" s="131"/>
      <c r="F242" s="50"/>
      <c r="K242" s="20"/>
      <c r="L242" s="20"/>
      <c r="M242" s="20"/>
      <c r="N242" s="20"/>
      <c r="O242" s="20"/>
      <c r="P242" s="20"/>
    </row>
    <row r="243" spans="2:16" ht="18" customHeight="1" x14ac:dyDescent="0.25">
      <c r="B243" s="131"/>
      <c r="C243" s="131"/>
      <c r="D243" s="22"/>
      <c r="E243" s="131"/>
      <c r="F243" s="50"/>
      <c r="K243" s="20"/>
      <c r="L243" s="20"/>
      <c r="M243" s="20"/>
      <c r="N243" s="20"/>
      <c r="O243" s="20"/>
      <c r="P243" s="20"/>
    </row>
    <row r="244" spans="2:16" ht="18" customHeight="1" x14ac:dyDescent="0.25">
      <c r="B244" s="131"/>
      <c r="C244" s="131"/>
      <c r="D244" s="22"/>
      <c r="E244" s="131"/>
      <c r="F244" s="50"/>
      <c r="K244" s="20"/>
      <c r="L244" s="20"/>
      <c r="M244" s="20"/>
      <c r="N244" s="20"/>
      <c r="O244" s="20"/>
      <c r="P244" s="20"/>
    </row>
    <row r="245" spans="2:16" ht="18" customHeight="1" x14ac:dyDescent="0.25">
      <c r="B245" s="131"/>
      <c r="C245" s="131"/>
      <c r="D245" s="22"/>
      <c r="E245" s="131"/>
      <c r="F245" s="50"/>
      <c r="K245" s="20"/>
      <c r="L245" s="20"/>
      <c r="M245" s="20"/>
      <c r="N245" s="20"/>
      <c r="O245" s="20"/>
      <c r="P245" s="20"/>
    </row>
    <row r="246" spans="2:16" ht="18" customHeight="1" x14ac:dyDescent="0.25">
      <c r="B246" s="131"/>
      <c r="C246" s="131"/>
      <c r="D246" s="22"/>
      <c r="E246" s="131"/>
      <c r="F246" s="50"/>
      <c r="K246" s="20"/>
      <c r="L246" s="20"/>
      <c r="M246" s="20"/>
      <c r="N246" s="20"/>
      <c r="O246" s="20"/>
      <c r="P246" s="20"/>
    </row>
    <row r="247" spans="2:16" ht="18" customHeight="1" x14ac:dyDescent="0.25">
      <c r="B247" s="131"/>
      <c r="C247" s="131"/>
      <c r="D247" s="22"/>
      <c r="E247" s="131"/>
      <c r="F247" s="50"/>
      <c r="K247" s="20"/>
      <c r="L247" s="20"/>
      <c r="M247" s="20"/>
      <c r="N247" s="20"/>
      <c r="O247" s="20"/>
      <c r="P247" s="20"/>
    </row>
    <row r="248" spans="2:16" ht="18" customHeight="1" x14ac:dyDescent="0.25">
      <c r="B248" s="131"/>
      <c r="C248" s="131"/>
      <c r="D248" s="22"/>
      <c r="E248" s="131"/>
      <c r="F248" s="50"/>
      <c r="K248" s="20"/>
      <c r="L248" s="20"/>
      <c r="M248" s="20"/>
      <c r="N248" s="20"/>
      <c r="O248" s="20"/>
      <c r="P248" s="20"/>
    </row>
    <row r="249" spans="2:16" ht="18" customHeight="1" x14ac:dyDescent="0.25">
      <c r="B249" s="131"/>
      <c r="C249" s="131"/>
      <c r="D249" s="22"/>
      <c r="E249" s="131"/>
      <c r="F249" s="50"/>
      <c r="K249" s="20"/>
      <c r="L249" s="20"/>
      <c r="M249" s="20"/>
      <c r="N249" s="20"/>
      <c r="O249" s="20"/>
      <c r="P249" s="20"/>
    </row>
    <row r="250" spans="2:16" ht="18" customHeight="1" x14ac:dyDescent="0.25">
      <c r="B250" s="131"/>
      <c r="C250" s="131"/>
      <c r="D250" s="22"/>
      <c r="E250" s="131"/>
      <c r="F250" s="50"/>
      <c r="K250" s="20"/>
      <c r="L250" s="20"/>
      <c r="M250" s="20"/>
      <c r="N250" s="20"/>
      <c r="O250" s="20"/>
      <c r="P250" s="20"/>
    </row>
    <row r="251" spans="2:16" ht="18" customHeight="1" x14ac:dyDescent="0.25">
      <c r="B251" s="131"/>
      <c r="C251" s="131"/>
      <c r="D251" s="22"/>
      <c r="E251" s="131"/>
      <c r="F251" s="50"/>
      <c r="K251" s="20"/>
      <c r="L251" s="20"/>
      <c r="M251" s="20"/>
      <c r="N251" s="20"/>
      <c r="O251" s="20"/>
      <c r="P251" s="20"/>
    </row>
    <row r="252" spans="2:16" ht="18" customHeight="1" x14ac:dyDescent="0.25">
      <c r="B252" s="131"/>
      <c r="C252" s="131"/>
      <c r="D252" s="22"/>
      <c r="E252" s="131"/>
      <c r="F252" s="50"/>
      <c r="K252" s="20"/>
      <c r="L252" s="20"/>
      <c r="M252" s="20"/>
      <c r="N252" s="20"/>
      <c r="O252" s="20"/>
      <c r="P252" s="20"/>
    </row>
    <row r="253" spans="2:16" ht="18" customHeight="1" x14ac:dyDescent="0.25">
      <c r="B253" s="131"/>
      <c r="C253" s="131"/>
      <c r="D253" s="22"/>
      <c r="E253" s="131"/>
      <c r="F253" s="50"/>
      <c r="K253" s="20"/>
      <c r="L253" s="20"/>
      <c r="M253" s="20"/>
      <c r="N253" s="20"/>
      <c r="O253" s="20"/>
      <c r="P253" s="20"/>
    </row>
    <row r="254" spans="2:16" ht="18" customHeight="1" x14ac:dyDescent="0.25">
      <c r="B254" s="131"/>
      <c r="C254" s="131"/>
      <c r="D254" s="22"/>
      <c r="E254" s="131"/>
      <c r="F254" s="50"/>
      <c r="K254" s="20"/>
      <c r="L254" s="20"/>
      <c r="M254" s="20"/>
      <c r="N254" s="20"/>
      <c r="O254" s="20"/>
      <c r="P254" s="20"/>
    </row>
    <row r="255" spans="2:16" ht="18" customHeight="1" x14ac:dyDescent="0.25">
      <c r="B255" s="131"/>
      <c r="C255" s="131"/>
      <c r="D255" s="22"/>
      <c r="E255" s="131"/>
      <c r="F255" s="50"/>
      <c r="K255" s="20"/>
      <c r="L255" s="20"/>
      <c r="M255" s="20"/>
      <c r="N255" s="20"/>
      <c r="O255" s="20"/>
      <c r="P255" s="20"/>
    </row>
    <row r="256" spans="2:16" ht="18" customHeight="1" x14ac:dyDescent="0.25">
      <c r="B256" s="131"/>
      <c r="C256" s="131"/>
      <c r="D256" s="22"/>
      <c r="E256" s="131"/>
      <c r="F256" s="50"/>
      <c r="K256" s="20"/>
      <c r="L256" s="20"/>
      <c r="M256" s="20"/>
      <c r="N256" s="20"/>
      <c r="O256" s="20"/>
      <c r="P256" s="20"/>
    </row>
    <row r="257" spans="2:16" ht="18" customHeight="1" x14ac:dyDescent="0.25">
      <c r="B257" s="131"/>
      <c r="C257" s="131"/>
      <c r="D257" s="22"/>
      <c r="E257" s="131"/>
      <c r="F257" s="50"/>
      <c r="K257" s="20"/>
      <c r="L257" s="20"/>
      <c r="M257" s="20"/>
      <c r="N257" s="20"/>
      <c r="O257" s="20"/>
      <c r="P257" s="20"/>
    </row>
    <row r="258" spans="2:16" ht="18" customHeight="1" x14ac:dyDescent="0.25">
      <c r="B258" s="131"/>
      <c r="C258" s="131"/>
      <c r="D258" s="22"/>
      <c r="E258" s="131"/>
      <c r="F258" s="50"/>
      <c r="K258" s="20"/>
      <c r="L258" s="20"/>
      <c r="M258" s="20"/>
      <c r="N258" s="20"/>
      <c r="O258" s="20"/>
      <c r="P258" s="20"/>
    </row>
    <row r="259" spans="2:16" ht="18" customHeight="1" x14ac:dyDescent="0.25">
      <c r="B259" s="131"/>
      <c r="C259" s="131"/>
      <c r="D259" s="22"/>
      <c r="E259" s="131"/>
      <c r="F259" s="50"/>
      <c r="K259" s="20"/>
      <c r="L259" s="20"/>
      <c r="M259" s="20"/>
      <c r="N259" s="20"/>
      <c r="O259" s="20"/>
      <c r="P259" s="20"/>
    </row>
    <row r="260" spans="2:16" ht="18" customHeight="1" x14ac:dyDescent="0.25">
      <c r="B260" s="131"/>
      <c r="C260" s="131"/>
      <c r="D260" s="22"/>
      <c r="E260" s="131"/>
      <c r="F260" s="50"/>
      <c r="K260" s="20"/>
      <c r="L260" s="20"/>
      <c r="M260" s="20"/>
      <c r="N260" s="20"/>
      <c r="O260" s="20"/>
      <c r="P260" s="20"/>
    </row>
    <row r="261" spans="2:16" ht="18" customHeight="1" x14ac:dyDescent="0.25">
      <c r="B261" s="131"/>
      <c r="C261" s="131"/>
      <c r="D261" s="22"/>
      <c r="E261" s="131"/>
      <c r="F261" s="50"/>
      <c r="K261" s="20"/>
      <c r="L261" s="20"/>
      <c r="M261" s="20"/>
      <c r="N261" s="20"/>
      <c r="O261" s="20"/>
      <c r="P261" s="20"/>
    </row>
    <row r="262" spans="2:16" ht="18" customHeight="1" x14ac:dyDescent="0.25">
      <c r="B262" s="131"/>
      <c r="C262" s="131"/>
      <c r="D262" s="22"/>
      <c r="E262" s="131"/>
      <c r="F262" s="50"/>
      <c r="K262" s="20"/>
      <c r="L262" s="20"/>
      <c r="M262" s="20"/>
      <c r="N262" s="20"/>
      <c r="O262" s="20"/>
      <c r="P262" s="20"/>
    </row>
    <row r="263" spans="2:16" ht="18" customHeight="1" x14ac:dyDescent="0.25">
      <c r="B263" s="131"/>
      <c r="C263" s="131"/>
      <c r="D263" s="22"/>
      <c r="E263" s="131"/>
      <c r="F263" s="50"/>
      <c r="K263" s="20"/>
      <c r="L263" s="20"/>
      <c r="M263" s="20"/>
      <c r="N263" s="20"/>
      <c r="O263" s="20"/>
      <c r="P263" s="20"/>
    </row>
    <row r="264" spans="2:16" ht="18" customHeight="1" x14ac:dyDescent="0.25">
      <c r="B264" s="131"/>
      <c r="C264" s="131"/>
      <c r="D264" s="22"/>
      <c r="E264" s="131"/>
      <c r="F264" s="50"/>
      <c r="K264" s="20"/>
      <c r="L264" s="20"/>
      <c r="M264" s="20"/>
      <c r="N264" s="20"/>
      <c r="O264" s="20"/>
      <c r="P264" s="20"/>
    </row>
    <row r="265" spans="2:16" ht="18" customHeight="1" x14ac:dyDescent="0.25">
      <c r="B265" s="131"/>
      <c r="C265" s="131"/>
      <c r="D265" s="22"/>
      <c r="E265" s="131"/>
      <c r="F265" s="50"/>
      <c r="K265" s="20"/>
      <c r="L265" s="20"/>
      <c r="M265" s="20"/>
      <c r="N265" s="20"/>
      <c r="O265" s="20"/>
      <c r="P265" s="20"/>
    </row>
    <row r="266" spans="2:16" ht="18" customHeight="1" x14ac:dyDescent="0.25">
      <c r="B266" s="131"/>
      <c r="C266" s="131"/>
      <c r="D266" s="22"/>
      <c r="E266" s="131"/>
      <c r="F266" s="50"/>
      <c r="K266" s="20"/>
      <c r="L266" s="20"/>
      <c r="M266" s="20"/>
      <c r="N266" s="20"/>
      <c r="O266" s="20"/>
      <c r="P266" s="20"/>
    </row>
    <row r="267" spans="2:16" ht="18" customHeight="1" x14ac:dyDescent="0.25">
      <c r="B267" s="131"/>
      <c r="C267" s="131"/>
      <c r="D267" s="22"/>
      <c r="E267" s="131"/>
      <c r="F267" s="50"/>
      <c r="K267" s="20"/>
      <c r="L267" s="20"/>
      <c r="M267" s="20"/>
      <c r="N267" s="20"/>
      <c r="O267" s="20"/>
      <c r="P267" s="20"/>
    </row>
    <row r="268" spans="2:16" ht="18" customHeight="1" x14ac:dyDescent="0.25">
      <c r="B268" s="131"/>
      <c r="C268" s="131"/>
      <c r="D268" s="22"/>
      <c r="E268" s="131"/>
      <c r="F268" s="50"/>
      <c r="K268" s="20"/>
      <c r="L268" s="20"/>
      <c r="M268" s="20"/>
      <c r="N268" s="20"/>
      <c r="O268" s="20"/>
      <c r="P268" s="20"/>
    </row>
    <row r="269" spans="2:16" ht="18" customHeight="1" x14ac:dyDescent="0.25">
      <c r="B269" s="131"/>
      <c r="C269" s="131"/>
      <c r="D269" s="22"/>
      <c r="E269" s="131"/>
      <c r="F269" s="50"/>
      <c r="K269" s="20"/>
      <c r="L269" s="20"/>
      <c r="M269" s="20"/>
      <c r="N269" s="20"/>
      <c r="O269" s="20"/>
      <c r="P269" s="20"/>
    </row>
    <row r="270" spans="2:16" ht="18" customHeight="1" x14ac:dyDescent="0.25">
      <c r="B270" s="131"/>
      <c r="C270" s="131"/>
      <c r="D270" s="22"/>
      <c r="E270" s="131"/>
      <c r="F270" s="50"/>
      <c r="K270" s="20"/>
      <c r="L270" s="20"/>
      <c r="M270" s="20"/>
      <c r="N270" s="20"/>
      <c r="O270" s="20"/>
      <c r="P270" s="20"/>
    </row>
    <row r="271" spans="2:16" ht="18" customHeight="1" x14ac:dyDescent="0.25">
      <c r="B271" s="131"/>
      <c r="C271" s="131"/>
      <c r="D271" s="22"/>
      <c r="E271" s="131"/>
      <c r="F271" s="50"/>
      <c r="K271" s="20"/>
      <c r="L271" s="20"/>
      <c r="M271" s="20"/>
      <c r="N271" s="20"/>
      <c r="O271" s="20"/>
      <c r="P271" s="20"/>
    </row>
    <row r="272" spans="2:16" ht="18" customHeight="1" x14ac:dyDescent="0.25">
      <c r="B272" s="131"/>
      <c r="C272" s="131"/>
      <c r="D272" s="22"/>
      <c r="E272" s="131"/>
      <c r="F272" s="50"/>
      <c r="K272" s="20"/>
      <c r="L272" s="20"/>
      <c r="M272" s="20"/>
      <c r="N272" s="20"/>
      <c r="O272" s="20"/>
      <c r="P272" s="20"/>
    </row>
    <row r="273" spans="2:16" ht="18" customHeight="1" x14ac:dyDescent="0.25">
      <c r="B273" s="131"/>
      <c r="C273" s="131"/>
      <c r="D273" s="22"/>
      <c r="E273" s="131"/>
      <c r="F273" s="50"/>
      <c r="K273" s="20"/>
      <c r="L273" s="20"/>
      <c r="M273" s="20"/>
      <c r="N273" s="20"/>
      <c r="O273" s="20"/>
      <c r="P273" s="20"/>
    </row>
    <row r="274" spans="2:16" ht="18" customHeight="1" x14ac:dyDescent="0.25">
      <c r="B274" s="131"/>
      <c r="C274" s="131"/>
      <c r="D274" s="22"/>
      <c r="E274" s="131"/>
      <c r="F274" s="50"/>
      <c r="K274" s="20"/>
      <c r="L274" s="20"/>
      <c r="M274" s="20"/>
      <c r="N274" s="20"/>
      <c r="O274" s="20"/>
      <c r="P274" s="20"/>
    </row>
    <row r="275" spans="2:16" ht="18" customHeight="1" x14ac:dyDescent="0.25">
      <c r="B275" s="131"/>
      <c r="C275" s="131"/>
      <c r="D275" s="22"/>
      <c r="E275" s="131"/>
      <c r="F275" s="50"/>
      <c r="K275" s="20"/>
      <c r="L275" s="20"/>
      <c r="M275" s="20"/>
      <c r="N275" s="20"/>
      <c r="O275" s="20"/>
      <c r="P275" s="20"/>
    </row>
    <row r="276" spans="2:16" ht="18" customHeight="1" x14ac:dyDescent="0.25">
      <c r="B276" s="131"/>
      <c r="C276" s="131"/>
      <c r="D276" s="22"/>
      <c r="E276" s="131"/>
      <c r="F276" s="50"/>
      <c r="K276" s="20"/>
      <c r="L276" s="20"/>
      <c r="M276" s="20"/>
      <c r="N276" s="20"/>
      <c r="O276" s="20"/>
      <c r="P276" s="20"/>
    </row>
    <row r="277" spans="2:16" ht="18" customHeight="1" x14ac:dyDescent="0.25">
      <c r="B277" s="131"/>
      <c r="C277" s="131"/>
      <c r="D277" s="22"/>
      <c r="E277" s="131"/>
      <c r="F277" s="50"/>
      <c r="K277" s="20"/>
      <c r="L277" s="20"/>
      <c r="M277" s="20"/>
      <c r="N277" s="20"/>
      <c r="O277" s="20"/>
      <c r="P277" s="20"/>
    </row>
    <row r="278" spans="2:16" ht="18" customHeight="1" x14ac:dyDescent="0.25">
      <c r="B278" s="131"/>
      <c r="C278" s="131"/>
      <c r="D278" s="22"/>
      <c r="E278" s="131"/>
      <c r="F278" s="50"/>
      <c r="K278" s="20"/>
      <c r="L278" s="20"/>
      <c r="M278" s="20"/>
      <c r="N278" s="20"/>
      <c r="O278" s="20"/>
      <c r="P278" s="20"/>
    </row>
    <row r="279" spans="2:16" ht="18" customHeight="1" x14ac:dyDescent="0.25">
      <c r="B279" s="131"/>
      <c r="C279" s="131"/>
      <c r="D279" s="22"/>
      <c r="E279" s="131"/>
      <c r="F279" s="50"/>
      <c r="K279" s="20"/>
      <c r="L279" s="20"/>
      <c r="M279" s="20"/>
      <c r="N279" s="20"/>
      <c r="O279" s="20"/>
      <c r="P279" s="20"/>
    </row>
    <row r="280" spans="2:16" ht="18" customHeight="1" x14ac:dyDescent="0.25">
      <c r="B280" s="131"/>
      <c r="C280" s="131"/>
      <c r="D280" s="22"/>
      <c r="E280" s="131"/>
      <c r="F280" s="50"/>
      <c r="K280" s="20"/>
      <c r="L280" s="20"/>
      <c r="M280" s="20"/>
      <c r="N280" s="20"/>
      <c r="O280" s="20"/>
      <c r="P280" s="20"/>
    </row>
    <row r="281" spans="2:16" ht="18" customHeight="1" x14ac:dyDescent="0.25">
      <c r="B281" s="131"/>
      <c r="C281" s="131"/>
      <c r="D281" s="22"/>
      <c r="E281" s="131"/>
      <c r="F281" s="50"/>
      <c r="K281" s="20"/>
      <c r="L281" s="20"/>
      <c r="M281" s="20"/>
      <c r="N281" s="20"/>
      <c r="O281" s="20"/>
      <c r="P281" s="20"/>
    </row>
    <row r="282" spans="2:16" ht="18" customHeight="1" x14ac:dyDescent="0.25">
      <c r="B282" s="131"/>
      <c r="C282" s="131"/>
      <c r="D282" s="22"/>
      <c r="E282" s="131"/>
      <c r="F282" s="50"/>
      <c r="K282" s="20"/>
      <c r="L282" s="20"/>
      <c r="M282" s="20"/>
      <c r="N282" s="20"/>
      <c r="O282" s="20"/>
      <c r="P282" s="20"/>
    </row>
    <row r="283" spans="2:16" ht="18" customHeight="1" x14ac:dyDescent="0.25">
      <c r="B283" s="131"/>
      <c r="C283" s="131"/>
      <c r="D283" s="22"/>
      <c r="E283" s="131"/>
      <c r="F283" s="50"/>
      <c r="K283" s="20"/>
      <c r="L283" s="20"/>
      <c r="M283" s="20"/>
      <c r="N283" s="20"/>
      <c r="O283" s="20"/>
      <c r="P283" s="20"/>
    </row>
    <row r="284" spans="2:16" ht="18" customHeight="1" x14ac:dyDescent="0.25">
      <c r="B284" s="131"/>
      <c r="C284" s="131"/>
      <c r="D284" s="22"/>
      <c r="E284" s="131"/>
      <c r="F284" s="50"/>
      <c r="K284" s="20"/>
      <c r="L284" s="20"/>
      <c r="M284" s="20"/>
      <c r="N284" s="20"/>
      <c r="O284" s="20"/>
      <c r="P284" s="20"/>
    </row>
    <row r="285" spans="2:16" ht="18" customHeight="1" x14ac:dyDescent="0.25">
      <c r="B285" s="131"/>
      <c r="C285" s="131"/>
      <c r="D285" s="22"/>
      <c r="E285" s="131"/>
      <c r="F285" s="50"/>
      <c r="K285" s="20"/>
      <c r="L285" s="20"/>
      <c r="M285" s="20"/>
      <c r="N285" s="20"/>
      <c r="O285" s="20"/>
      <c r="P285" s="20"/>
    </row>
    <row r="286" spans="2:16" ht="18" customHeight="1" x14ac:dyDescent="0.25">
      <c r="B286" s="131"/>
      <c r="C286" s="131"/>
      <c r="D286" s="22"/>
      <c r="E286" s="131"/>
      <c r="F286" s="50"/>
      <c r="K286" s="20"/>
      <c r="L286" s="20"/>
      <c r="M286" s="20"/>
      <c r="N286" s="20"/>
      <c r="O286" s="20"/>
      <c r="P286" s="20"/>
    </row>
    <row r="287" spans="2:16" ht="18" customHeight="1" x14ac:dyDescent="0.25">
      <c r="B287" s="131"/>
      <c r="C287" s="131"/>
      <c r="D287" s="22"/>
      <c r="E287" s="131"/>
      <c r="F287" s="50"/>
      <c r="K287" s="20"/>
      <c r="L287" s="20"/>
      <c r="M287" s="20"/>
      <c r="N287" s="20"/>
      <c r="O287" s="20"/>
      <c r="P287" s="20"/>
    </row>
    <row r="288" spans="2:16" ht="18" customHeight="1" x14ac:dyDescent="0.25">
      <c r="B288" s="131"/>
      <c r="C288" s="131"/>
      <c r="D288" s="22"/>
      <c r="E288" s="131"/>
      <c r="F288" s="50"/>
      <c r="K288" s="20"/>
      <c r="L288" s="20"/>
      <c r="M288" s="20"/>
      <c r="N288" s="20"/>
      <c r="O288" s="20"/>
      <c r="P288" s="20"/>
    </row>
    <row r="289" spans="2:16" ht="18" customHeight="1" x14ac:dyDescent="0.25">
      <c r="B289" s="131"/>
      <c r="C289" s="131"/>
      <c r="D289" s="22"/>
      <c r="E289" s="131"/>
      <c r="F289" s="50"/>
      <c r="K289" s="20"/>
      <c r="L289" s="20"/>
      <c r="M289" s="20"/>
      <c r="N289" s="20"/>
      <c r="O289" s="20"/>
      <c r="P289" s="20"/>
    </row>
    <row r="290" spans="2:16" ht="18" customHeight="1" x14ac:dyDescent="0.25">
      <c r="B290" s="131"/>
      <c r="C290" s="131"/>
      <c r="D290" s="22"/>
      <c r="E290" s="131"/>
      <c r="F290" s="50"/>
      <c r="K290" s="20"/>
      <c r="L290" s="20"/>
      <c r="M290" s="20"/>
      <c r="N290" s="20"/>
      <c r="O290" s="20"/>
      <c r="P290" s="20"/>
    </row>
    <row r="291" spans="2:16" ht="18" customHeight="1" x14ac:dyDescent="0.25">
      <c r="B291" s="131"/>
      <c r="C291" s="131"/>
      <c r="D291" s="22"/>
      <c r="E291" s="131"/>
      <c r="F291" s="50"/>
      <c r="K291" s="20"/>
      <c r="L291" s="20"/>
      <c r="M291" s="20"/>
      <c r="N291" s="20"/>
      <c r="O291" s="20"/>
      <c r="P291" s="20"/>
    </row>
    <row r="292" spans="2:16" ht="18" customHeight="1" x14ac:dyDescent="0.25">
      <c r="B292" s="131"/>
      <c r="C292" s="131"/>
      <c r="D292" s="22"/>
      <c r="E292" s="131"/>
      <c r="F292" s="50"/>
      <c r="K292" s="20"/>
      <c r="L292" s="20"/>
      <c r="M292" s="20"/>
      <c r="N292" s="20"/>
      <c r="O292" s="20"/>
      <c r="P292" s="20"/>
    </row>
    <row r="293" spans="2:16" ht="18" customHeight="1" x14ac:dyDescent="0.25">
      <c r="B293" s="131"/>
      <c r="C293" s="131"/>
      <c r="D293" s="22"/>
      <c r="E293" s="131"/>
      <c r="F293" s="50"/>
      <c r="K293" s="20"/>
      <c r="L293" s="20"/>
      <c r="M293" s="20"/>
      <c r="N293" s="20"/>
      <c r="O293" s="20"/>
      <c r="P293" s="20"/>
    </row>
    <row r="294" spans="2:16" ht="18" customHeight="1" x14ac:dyDescent="0.25">
      <c r="B294" s="131"/>
      <c r="C294" s="131"/>
      <c r="D294" s="22"/>
      <c r="E294" s="131"/>
      <c r="F294" s="50"/>
      <c r="K294" s="20"/>
      <c r="L294" s="20"/>
      <c r="M294" s="20"/>
      <c r="N294" s="20"/>
      <c r="O294" s="20"/>
      <c r="P294" s="20"/>
    </row>
    <row r="295" spans="2:16" ht="18" customHeight="1" x14ac:dyDescent="0.25">
      <c r="B295" s="131"/>
      <c r="C295" s="131"/>
      <c r="D295" s="22"/>
      <c r="E295" s="131"/>
      <c r="F295" s="50"/>
      <c r="K295" s="20"/>
      <c r="L295" s="20"/>
      <c r="M295" s="20"/>
      <c r="N295" s="20"/>
      <c r="O295" s="20"/>
      <c r="P295" s="20"/>
    </row>
    <row r="296" spans="2:16" ht="18" customHeight="1" x14ac:dyDescent="0.25">
      <c r="B296" s="131"/>
      <c r="C296" s="131"/>
      <c r="D296" s="22"/>
      <c r="E296" s="131"/>
      <c r="F296" s="50"/>
      <c r="K296" s="20"/>
      <c r="L296" s="20"/>
      <c r="M296" s="20"/>
      <c r="N296" s="20"/>
      <c r="O296" s="20"/>
      <c r="P296" s="20"/>
    </row>
    <row r="297" spans="2:16" ht="18" customHeight="1" x14ac:dyDescent="0.25">
      <c r="B297" s="131"/>
      <c r="C297" s="131"/>
      <c r="D297" s="22"/>
      <c r="E297" s="131"/>
      <c r="F297" s="50"/>
      <c r="K297" s="20"/>
      <c r="L297" s="20"/>
      <c r="M297" s="20"/>
      <c r="N297" s="20"/>
      <c r="O297" s="20"/>
      <c r="P297" s="20"/>
    </row>
    <row r="298" spans="2:16" ht="18" customHeight="1" x14ac:dyDescent="0.25">
      <c r="B298" s="131"/>
      <c r="C298" s="131"/>
      <c r="D298" s="22"/>
      <c r="E298" s="131"/>
      <c r="F298" s="50"/>
      <c r="K298" s="20"/>
      <c r="L298" s="20"/>
      <c r="M298" s="20"/>
      <c r="N298" s="20"/>
      <c r="O298" s="20"/>
      <c r="P298" s="20"/>
    </row>
    <row r="299" spans="2:16" ht="18" customHeight="1" x14ac:dyDescent="0.25">
      <c r="B299" s="131"/>
      <c r="C299" s="131"/>
      <c r="D299" s="22"/>
      <c r="E299" s="131"/>
      <c r="F299" s="50"/>
      <c r="K299" s="20"/>
      <c r="L299" s="20"/>
      <c r="M299" s="20"/>
      <c r="N299" s="20"/>
      <c r="O299" s="20"/>
      <c r="P299" s="20"/>
    </row>
    <row r="300" spans="2:16" ht="18" customHeight="1" x14ac:dyDescent="0.25">
      <c r="B300" s="131"/>
      <c r="C300" s="131"/>
      <c r="D300" s="22"/>
      <c r="E300" s="131"/>
      <c r="F300" s="50"/>
      <c r="K300" s="20"/>
      <c r="L300" s="20"/>
      <c r="M300" s="20"/>
      <c r="N300" s="20"/>
      <c r="O300" s="20"/>
      <c r="P300" s="20"/>
    </row>
    <row r="301" spans="2:16" ht="18" customHeight="1" x14ac:dyDescent="0.25">
      <c r="B301" s="131"/>
      <c r="C301" s="131"/>
      <c r="D301" s="22"/>
      <c r="E301" s="131"/>
      <c r="F301" s="50"/>
      <c r="K301" s="20"/>
      <c r="L301" s="20"/>
      <c r="M301" s="20"/>
      <c r="N301" s="20"/>
      <c r="O301" s="20"/>
      <c r="P301" s="20"/>
    </row>
    <row r="302" spans="2:16" ht="18" customHeight="1" x14ac:dyDescent="0.25">
      <c r="B302" s="131"/>
      <c r="C302" s="131"/>
      <c r="D302" s="22"/>
      <c r="E302" s="131"/>
      <c r="F302" s="50"/>
      <c r="K302" s="20"/>
      <c r="L302" s="20"/>
      <c r="M302" s="20"/>
      <c r="N302" s="20"/>
      <c r="O302" s="20"/>
      <c r="P302" s="20"/>
    </row>
    <row r="303" spans="2:16" ht="18" customHeight="1" x14ac:dyDescent="0.25">
      <c r="B303" s="131"/>
      <c r="C303" s="131"/>
      <c r="D303" s="22"/>
      <c r="E303" s="131"/>
      <c r="F303" s="50"/>
      <c r="K303" s="20"/>
      <c r="L303" s="20"/>
      <c r="M303" s="20"/>
      <c r="N303" s="20"/>
      <c r="O303" s="20"/>
      <c r="P303" s="20"/>
    </row>
    <row r="304" spans="2:16" ht="18" customHeight="1" x14ac:dyDescent="0.25">
      <c r="B304" s="131"/>
      <c r="C304" s="131"/>
      <c r="D304" s="22"/>
      <c r="E304" s="131"/>
      <c r="F304" s="50"/>
      <c r="K304" s="20"/>
      <c r="L304" s="20"/>
      <c r="M304" s="20"/>
      <c r="N304" s="20"/>
      <c r="O304" s="20"/>
      <c r="P304" s="20"/>
    </row>
    <row r="305" spans="2:16" ht="18" customHeight="1" x14ac:dyDescent="0.25">
      <c r="B305" s="131"/>
      <c r="C305" s="131"/>
      <c r="D305" s="22"/>
      <c r="E305" s="131"/>
      <c r="F305" s="50"/>
      <c r="K305" s="20"/>
      <c r="L305" s="20"/>
      <c r="M305" s="20"/>
      <c r="N305" s="20"/>
      <c r="O305" s="20"/>
      <c r="P305" s="20"/>
    </row>
    <row r="306" spans="2:16" ht="18" customHeight="1" x14ac:dyDescent="0.25">
      <c r="B306" s="131"/>
      <c r="C306" s="131"/>
      <c r="D306" s="22"/>
      <c r="E306" s="131"/>
      <c r="F306" s="50"/>
      <c r="K306" s="20"/>
      <c r="L306" s="20"/>
      <c r="M306" s="20"/>
      <c r="N306" s="20"/>
      <c r="O306" s="20"/>
      <c r="P306" s="20"/>
    </row>
    <row r="307" spans="2:16" ht="18" customHeight="1" x14ac:dyDescent="0.25">
      <c r="B307" s="131"/>
      <c r="C307" s="131"/>
      <c r="D307" s="22"/>
      <c r="E307" s="131"/>
      <c r="F307" s="50"/>
      <c r="K307" s="20"/>
      <c r="L307" s="20"/>
      <c r="M307" s="20"/>
      <c r="N307" s="20"/>
      <c r="O307" s="20"/>
      <c r="P307" s="20"/>
    </row>
    <row r="308" spans="2:16" ht="18" customHeight="1" x14ac:dyDescent="0.25">
      <c r="B308" s="131"/>
      <c r="C308" s="131"/>
      <c r="D308" s="22"/>
      <c r="E308" s="131"/>
      <c r="F308" s="50"/>
      <c r="K308" s="20"/>
      <c r="L308" s="20"/>
      <c r="M308" s="20"/>
      <c r="N308" s="20"/>
      <c r="O308" s="20"/>
      <c r="P308" s="20"/>
    </row>
    <row r="309" spans="2:16" ht="18" customHeight="1" x14ac:dyDescent="0.25">
      <c r="B309" s="131"/>
      <c r="C309" s="131"/>
      <c r="D309" s="22"/>
      <c r="E309" s="131"/>
      <c r="F309" s="50"/>
      <c r="K309" s="20"/>
      <c r="L309" s="20"/>
      <c r="M309" s="20"/>
      <c r="N309" s="20"/>
      <c r="O309" s="20"/>
      <c r="P309" s="20"/>
    </row>
    <row r="310" spans="2:16" ht="18" customHeight="1" x14ac:dyDescent="0.25">
      <c r="B310" s="131"/>
      <c r="C310" s="131"/>
      <c r="D310" s="22"/>
      <c r="E310" s="131"/>
      <c r="F310" s="50"/>
      <c r="K310" s="20"/>
      <c r="L310" s="20"/>
      <c r="M310" s="20"/>
      <c r="N310" s="20"/>
      <c r="O310" s="20"/>
      <c r="P310" s="20"/>
    </row>
    <row r="311" spans="2:16" ht="18" customHeight="1" x14ac:dyDescent="0.25">
      <c r="B311" s="131"/>
      <c r="C311" s="131"/>
      <c r="D311" s="22"/>
      <c r="E311" s="131"/>
      <c r="F311" s="50"/>
      <c r="K311" s="20"/>
      <c r="L311" s="20"/>
      <c r="M311" s="20"/>
      <c r="N311" s="20"/>
      <c r="O311" s="20"/>
      <c r="P311" s="20"/>
    </row>
    <row r="312" spans="2:16" ht="18" customHeight="1" x14ac:dyDescent="0.25">
      <c r="B312" s="131"/>
      <c r="C312" s="131"/>
      <c r="D312" s="22"/>
      <c r="E312" s="131"/>
      <c r="F312" s="50"/>
      <c r="K312" s="20"/>
      <c r="L312" s="20"/>
      <c r="M312" s="20"/>
      <c r="N312" s="20"/>
      <c r="O312" s="20"/>
      <c r="P312" s="20"/>
    </row>
    <row r="313" spans="2:16" ht="18" customHeight="1" x14ac:dyDescent="0.25">
      <c r="B313" s="131"/>
      <c r="C313" s="131"/>
      <c r="D313" s="22"/>
      <c r="E313" s="131"/>
      <c r="F313" s="50"/>
      <c r="K313" s="20"/>
      <c r="L313" s="20"/>
      <c r="M313" s="20"/>
      <c r="N313" s="20"/>
      <c r="O313" s="20"/>
      <c r="P313" s="20"/>
    </row>
    <row r="314" spans="2:16" ht="18" customHeight="1" x14ac:dyDescent="0.25">
      <c r="B314" s="131"/>
      <c r="C314" s="131"/>
      <c r="D314" s="22"/>
      <c r="E314" s="131"/>
      <c r="F314" s="50"/>
      <c r="K314" s="20"/>
      <c r="L314" s="20"/>
      <c r="M314" s="20"/>
      <c r="N314" s="20"/>
      <c r="O314" s="20"/>
      <c r="P314" s="20"/>
    </row>
    <row r="315" spans="2:16" ht="18" customHeight="1" x14ac:dyDescent="0.25">
      <c r="B315" s="131"/>
      <c r="C315" s="131"/>
      <c r="D315" s="22"/>
      <c r="E315" s="131"/>
      <c r="F315" s="50"/>
      <c r="K315" s="20"/>
      <c r="L315" s="20"/>
      <c r="M315" s="20"/>
      <c r="N315" s="20"/>
      <c r="O315" s="20"/>
      <c r="P315" s="20"/>
    </row>
    <row r="316" spans="2:16" ht="18" customHeight="1" x14ac:dyDescent="0.25">
      <c r="B316" s="131"/>
      <c r="C316" s="131"/>
      <c r="D316" s="22"/>
      <c r="E316" s="131"/>
      <c r="F316" s="50"/>
      <c r="K316" s="20"/>
      <c r="L316" s="20"/>
      <c r="M316" s="20"/>
      <c r="N316" s="20"/>
      <c r="O316" s="20"/>
      <c r="P316" s="20"/>
    </row>
    <row r="317" spans="2:16" ht="18" customHeight="1" x14ac:dyDescent="0.25">
      <c r="B317" s="131"/>
      <c r="C317" s="131"/>
      <c r="D317" s="22"/>
      <c r="E317" s="131"/>
      <c r="F317" s="50"/>
      <c r="K317" s="20"/>
      <c r="L317" s="20"/>
      <c r="M317" s="20"/>
      <c r="N317" s="20"/>
      <c r="O317" s="20"/>
      <c r="P317" s="20"/>
    </row>
    <row r="318" spans="2:16" ht="18" customHeight="1" x14ac:dyDescent="0.25">
      <c r="B318" s="131"/>
      <c r="C318" s="131"/>
      <c r="D318" s="22"/>
      <c r="E318" s="131"/>
      <c r="F318" s="50"/>
      <c r="K318" s="20"/>
      <c r="L318" s="20"/>
      <c r="M318" s="20"/>
      <c r="N318" s="20"/>
      <c r="O318" s="20"/>
      <c r="P318" s="20"/>
    </row>
    <row r="319" spans="2:16" ht="18" customHeight="1" x14ac:dyDescent="0.25">
      <c r="B319" s="131"/>
      <c r="C319" s="131"/>
      <c r="D319" s="22"/>
      <c r="E319" s="131"/>
      <c r="F319" s="50"/>
      <c r="K319" s="20"/>
      <c r="L319" s="20"/>
      <c r="M319" s="20"/>
      <c r="N319" s="20"/>
      <c r="O319" s="20"/>
      <c r="P319" s="20"/>
    </row>
    <row r="320" spans="2:16" ht="18" customHeight="1" x14ac:dyDescent="0.25">
      <c r="B320" s="131"/>
      <c r="C320" s="131"/>
      <c r="D320" s="22"/>
      <c r="E320" s="131"/>
      <c r="F320" s="50"/>
      <c r="K320" s="20"/>
      <c r="L320" s="20"/>
      <c r="M320" s="20"/>
      <c r="N320" s="20"/>
      <c r="O320" s="20"/>
      <c r="P320" s="20"/>
    </row>
    <row r="321" spans="2:16" ht="18" customHeight="1" x14ac:dyDescent="0.25">
      <c r="B321" s="131"/>
      <c r="C321" s="131"/>
      <c r="D321" s="22"/>
      <c r="E321" s="131"/>
      <c r="F321" s="50"/>
      <c r="K321" s="20"/>
      <c r="L321" s="20"/>
      <c r="M321" s="20"/>
      <c r="N321" s="20"/>
      <c r="O321" s="20"/>
      <c r="P321" s="20"/>
    </row>
    <row r="322" spans="2:16" ht="18" customHeight="1" x14ac:dyDescent="0.25">
      <c r="B322" s="131"/>
      <c r="C322" s="131"/>
      <c r="D322" s="22"/>
      <c r="E322" s="131"/>
      <c r="F322" s="50"/>
      <c r="K322" s="20"/>
      <c r="L322" s="20"/>
      <c r="M322" s="20"/>
      <c r="N322" s="20"/>
      <c r="O322" s="20"/>
      <c r="P322" s="20"/>
    </row>
    <row r="323" spans="2:16" ht="18" customHeight="1" x14ac:dyDescent="0.25">
      <c r="B323" s="131"/>
      <c r="C323" s="131"/>
      <c r="D323" s="22"/>
      <c r="E323" s="131"/>
      <c r="F323" s="50"/>
      <c r="K323" s="20"/>
      <c r="L323" s="20"/>
      <c r="M323" s="20"/>
      <c r="N323" s="20"/>
      <c r="O323" s="20"/>
      <c r="P323" s="20"/>
    </row>
    <row r="324" spans="2:16" ht="18" customHeight="1" x14ac:dyDescent="0.25">
      <c r="B324" s="131"/>
      <c r="C324" s="131"/>
      <c r="D324" s="22"/>
      <c r="E324" s="131"/>
      <c r="F324" s="50"/>
      <c r="K324" s="20"/>
      <c r="L324" s="20"/>
      <c r="M324" s="20"/>
      <c r="N324" s="20"/>
      <c r="O324" s="20"/>
      <c r="P324" s="20"/>
    </row>
    <row r="325" spans="2:16" ht="18" customHeight="1" x14ac:dyDescent="0.25">
      <c r="B325" s="131"/>
      <c r="C325" s="131"/>
      <c r="D325" s="22"/>
      <c r="E325" s="131"/>
      <c r="F325" s="50"/>
      <c r="K325" s="20"/>
      <c r="L325" s="20"/>
      <c r="M325" s="20"/>
      <c r="N325" s="20"/>
      <c r="O325" s="20"/>
      <c r="P325" s="20"/>
    </row>
    <row r="326" spans="2:16" ht="18" customHeight="1" x14ac:dyDescent="0.25">
      <c r="B326" s="131"/>
      <c r="C326" s="131"/>
      <c r="D326" s="22"/>
      <c r="E326" s="131"/>
      <c r="F326" s="50"/>
      <c r="K326" s="20"/>
      <c r="L326" s="20"/>
      <c r="M326" s="20"/>
      <c r="N326" s="20"/>
      <c r="O326" s="20"/>
      <c r="P326" s="20"/>
    </row>
    <row r="327" spans="2:16" ht="18" customHeight="1" x14ac:dyDescent="0.25">
      <c r="B327" s="131"/>
      <c r="C327" s="131"/>
      <c r="D327" s="22"/>
      <c r="E327" s="131"/>
      <c r="F327" s="50"/>
      <c r="K327" s="20"/>
      <c r="L327" s="20"/>
      <c r="M327" s="20"/>
      <c r="N327" s="20"/>
      <c r="O327" s="20"/>
      <c r="P327" s="20"/>
    </row>
    <row r="328" spans="2:16" ht="18" customHeight="1" x14ac:dyDescent="0.25">
      <c r="B328" s="131"/>
      <c r="C328" s="131"/>
      <c r="D328" s="22"/>
      <c r="E328" s="131"/>
      <c r="F328" s="50"/>
      <c r="K328" s="20"/>
      <c r="L328" s="20"/>
      <c r="M328" s="20"/>
      <c r="N328" s="20"/>
      <c r="O328" s="20"/>
      <c r="P328" s="20"/>
    </row>
    <row r="329" spans="2:16" ht="18" customHeight="1" x14ac:dyDescent="0.25">
      <c r="B329" s="131"/>
      <c r="C329" s="131"/>
      <c r="D329" s="22"/>
      <c r="E329" s="131"/>
      <c r="F329" s="50"/>
      <c r="K329" s="20"/>
      <c r="L329" s="20"/>
      <c r="M329" s="20"/>
      <c r="N329" s="20"/>
      <c r="O329" s="20"/>
      <c r="P329" s="20"/>
    </row>
    <row r="330" spans="2:16" ht="18" customHeight="1" x14ac:dyDescent="0.25">
      <c r="B330" s="131"/>
      <c r="C330" s="131"/>
      <c r="D330" s="22"/>
      <c r="E330" s="131"/>
      <c r="F330" s="50"/>
      <c r="K330" s="20"/>
      <c r="L330" s="20"/>
      <c r="M330" s="20"/>
      <c r="N330" s="20"/>
      <c r="O330" s="20"/>
      <c r="P330" s="20"/>
    </row>
    <row r="331" spans="2:16" ht="18" customHeight="1" x14ac:dyDescent="0.25">
      <c r="B331" s="131"/>
      <c r="C331" s="131"/>
      <c r="D331" s="22"/>
      <c r="E331" s="131"/>
      <c r="F331" s="50"/>
      <c r="K331" s="20"/>
      <c r="L331" s="20"/>
      <c r="M331" s="20"/>
      <c r="N331" s="20"/>
      <c r="O331" s="20"/>
      <c r="P331" s="20"/>
    </row>
    <row r="332" spans="2:16" ht="18" customHeight="1" x14ac:dyDescent="0.25">
      <c r="B332" s="131"/>
      <c r="C332" s="131"/>
      <c r="D332" s="22"/>
      <c r="E332" s="131"/>
      <c r="F332" s="50"/>
      <c r="K332" s="20"/>
      <c r="L332" s="20"/>
      <c r="M332" s="20"/>
      <c r="N332" s="20"/>
      <c r="O332" s="20"/>
      <c r="P332" s="20"/>
    </row>
    <row r="333" spans="2:16" ht="18" customHeight="1" x14ac:dyDescent="0.25">
      <c r="B333" s="131"/>
      <c r="C333" s="131"/>
      <c r="D333" s="22"/>
      <c r="E333" s="131"/>
      <c r="F333" s="50"/>
      <c r="K333" s="20"/>
      <c r="L333" s="20"/>
      <c r="M333" s="20"/>
      <c r="N333" s="20"/>
      <c r="O333" s="20"/>
      <c r="P333" s="20"/>
    </row>
    <row r="334" spans="2:16" ht="18" customHeight="1" x14ac:dyDescent="0.25">
      <c r="B334" s="131"/>
      <c r="C334" s="131"/>
      <c r="D334" s="22"/>
      <c r="E334" s="131"/>
      <c r="F334" s="50"/>
      <c r="K334" s="20"/>
      <c r="L334" s="20"/>
      <c r="M334" s="20"/>
      <c r="N334" s="20"/>
      <c r="O334" s="20"/>
      <c r="P334" s="20"/>
    </row>
    <row r="335" spans="2:16" ht="18" customHeight="1" x14ac:dyDescent="0.25">
      <c r="B335" s="131"/>
      <c r="C335" s="131"/>
      <c r="D335" s="22"/>
      <c r="E335" s="131"/>
      <c r="F335" s="50"/>
      <c r="K335" s="20"/>
      <c r="L335" s="20"/>
      <c r="M335" s="20"/>
      <c r="N335" s="20"/>
      <c r="O335" s="20"/>
      <c r="P335" s="20"/>
    </row>
    <row r="336" spans="2:16" ht="18" customHeight="1" x14ac:dyDescent="0.25">
      <c r="B336" s="131"/>
      <c r="C336" s="131"/>
      <c r="D336" s="22"/>
      <c r="E336" s="131"/>
      <c r="F336" s="50"/>
      <c r="K336" s="20"/>
      <c r="L336" s="20"/>
      <c r="M336" s="20"/>
      <c r="N336" s="20"/>
      <c r="O336" s="20"/>
      <c r="P336" s="20"/>
    </row>
    <row r="337" spans="2:16" ht="18" customHeight="1" x14ac:dyDescent="0.25">
      <c r="B337" s="131"/>
      <c r="C337" s="131"/>
      <c r="D337" s="22"/>
      <c r="E337" s="131"/>
      <c r="F337" s="50"/>
      <c r="K337" s="20"/>
      <c r="L337" s="20"/>
      <c r="M337" s="20"/>
      <c r="N337" s="20"/>
      <c r="O337" s="20"/>
      <c r="P337" s="20"/>
    </row>
    <row r="338" spans="2:16" ht="18" customHeight="1" x14ac:dyDescent="0.25">
      <c r="B338" s="131"/>
      <c r="C338" s="131"/>
      <c r="D338" s="22"/>
      <c r="E338" s="131"/>
      <c r="F338" s="50"/>
      <c r="K338" s="20"/>
      <c r="L338" s="20"/>
      <c r="M338" s="20"/>
      <c r="N338" s="20"/>
      <c r="O338" s="20"/>
      <c r="P338" s="20"/>
    </row>
    <row r="339" spans="2:16" ht="18" customHeight="1" x14ac:dyDescent="0.25">
      <c r="B339" s="131"/>
      <c r="C339" s="131"/>
      <c r="D339" s="22"/>
      <c r="E339" s="131"/>
      <c r="F339" s="50"/>
      <c r="K339" s="20"/>
      <c r="L339" s="20"/>
      <c r="M339" s="20"/>
      <c r="N339" s="20"/>
      <c r="O339" s="20"/>
      <c r="P339" s="20"/>
    </row>
    <row r="340" spans="2:16" ht="18" customHeight="1" x14ac:dyDescent="0.25">
      <c r="B340" s="131"/>
      <c r="C340" s="131"/>
      <c r="D340" s="22"/>
      <c r="E340" s="131"/>
      <c r="F340" s="50"/>
      <c r="K340" s="20"/>
      <c r="L340" s="20"/>
      <c r="M340" s="20"/>
      <c r="N340" s="20"/>
      <c r="O340" s="20"/>
      <c r="P340" s="20"/>
    </row>
    <row r="341" spans="2:16" ht="18" customHeight="1" x14ac:dyDescent="0.25">
      <c r="B341" s="131"/>
      <c r="C341" s="131"/>
      <c r="D341" s="22"/>
      <c r="E341" s="131"/>
      <c r="F341" s="50"/>
      <c r="K341" s="20"/>
      <c r="L341" s="20"/>
      <c r="M341" s="20"/>
      <c r="N341" s="20"/>
      <c r="O341" s="20"/>
      <c r="P341" s="20"/>
    </row>
  </sheetData>
  <mergeCells count="37">
    <mergeCell ref="B5:C7"/>
    <mergeCell ref="D7:E7"/>
    <mergeCell ref="C1:F1"/>
    <mergeCell ref="B2:E2"/>
    <mergeCell ref="B3:C3"/>
    <mergeCell ref="D3:E3"/>
    <mergeCell ref="B4:C4"/>
    <mergeCell ref="B59:B60"/>
    <mergeCell ref="B9:B10"/>
    <mergeCell ref="C9:E9"/>
    <mergeCell ref="B23:B24"/>
    <mergeCell ref="C23:E23"/>
    <mergeCell ref="B26:B27"/>
    <mergeCell ref="C26:E26"/>
    <mergeCell ref="B40:B41"/>
    <mergeCell ref="C40:E40"/>
    <mergeCell ref="B43:B44"/>
    <mergeCell ref="B46:B47"/>
    <mergeCell ref="C46:E46"/>
    <mergeCell ref="B95:B96"/>
    <mergeCell ref="C95:E95"/>
    <mergeCell ref="B67:B68"/>
    <mergeCell ref="C67:E67"/>
    <mergeCell ref="B72:B73"/>
    <mergeCell ref="C72:E72"/>
    <mergeCell ref="B76:B77"/>
    <mergeCell ref="C76:E76"/>
    <mergeCell ref="B82:B83"/>
    <mergeCell ref="C82:E82"/>
    <mergeCell ref="B85:B86"/>
    <mergeCell ref="B89:B90"/>
    <mergeCell ref="C89:E89"/>
    <mergeCell ref="B98:B99"/>
    <mergeCell ref="B109:B110"/>
    <mergeCell ref="C109:E109"/>
    <mergeCell ref="B115:B116"/>
    <mergeCell ref="C115:E115"/>
  </mergeCells>
  <pageMargins left="0.511811024" right="0.511811024" top="0.78740157499999996" bottom="0.78740157499999996" header="0.31496062000000002" footer="0.31496062000000002"/>
  <pageSetup paperSize="9"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base_índices!$A$142:$A$153</xm:f>
          </x14:formula1>
          <xm:sqref>K11:K120</xm:sqref>
        </x14:dataValidation>
        <x14:dataValidation type="list" showInputMessage="1" showErrorMessage="1">
          <x14:formula1>
            <xm:f>base_índices!#REF!</xm:f>
          </x14:formula1>
          <xm:sqref>O84:O86 M84:M86</xm:sqref>
        </x14:dataValidation>
        <x14:dataValidation type="list" allowBlank="1" showInputMessage="1" showErrorMessage="1">
          <x14:formula1>
            <xm:f>base_índices!$A:$A</xm:f>
          </x14:formula1>
          <xm:sqref>B117:B120 B78:B81 B111:B114 B342:B1048576 B69:B71 B91:B94 B61:B66 B74:B75 B11:B22 B42:B43 B36:B39 B45 B88 B28:B34 B48:B59 B97:B98 B100:B105 B107:B108</xm:sqref>
        </x14:dataValidation>
        <x14:dataValidation type="list" showInputMessage="1" showErrorMessage="1">
          <x14:formula1>
            <xm:f>base_índices!$A$142:$A$150</xm:f>
          </x14:formula1>
          <xm:sqref>O109:O120 O11:O34 M109:M120 O61:O83 M36:M59 M11:M34 O36:O59 M61:M83 O87:O106 M87:M106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showGridLines="0" zoomScaleNormal="100" workbookViewId="0">
      <selection activeCell="A96" sqref="A96:XFD96"/>
    </sheetView>
  </sheetViews>
  <sheetFormatPr defaultColWidth="9.140625" defaultRowHeight="18" customHeight="1" x14ac:dyDescent="0.25"/>
  <cols>
    <col min="1" max="1" width="2.140625" style="10" customWidth="1"/>
    <col min="2" max="2" width="50.7109375" style="11" customWidth="1"/>
    <col min="3" max="3" width="64" style="6" customWidth="1"/>
    <col min="4" max="4" width="9.7109375" style="24" customWidth="1"/>
    <col min="5" max="5" width="15" style="12" customWidth="1"/>
    <col min="6" max="6" width="15" style="168" customWidth="1"/>
    <col min="7" max="7" width="15.28515625" style="189" hidden="1" customWidth="1"/>
    <col min="8" max="8" width="14.42578125" style="152" hidden="1" customWidth="1"/>
    <col min="9" max="9" width="12.28515625" style="141" hidden="1" customWidth="1"/>
    <col min="10" max="10" width="2.85546875" style="141" hidden="1" customWidth="1"/>
    <col min="11" max="11" width="30.42578125" style="32" hidden="1" customWidth="1"/>
    <col min="12" max="12" width="13.7109375" style="33" hidden="1" customWidth="1"/>
    <col min="13" max="13" width="13.7109375" style="32" hidden="1" customWidth="1"/>
    <col min="14" max="14" width="13.7109375" style="33" hidden="1" customWidth="1"/>
    <col min="15" max="15" width="13.7109375" style="32" hidden="1" customWidth="1"/>
    <col min="16" max="16" width="1.85546875" style="65" hidden="1" customWidth="1"/>
    <col min="17" max="18" width="13.7109375" style="10" hidden="1" customWidth="1"/>
    <col min="19" max="16384" width="9.140625" style="10"/>
  </cols>
  <sheetData>
    <row r="1" spans="1:16" ht="17.25" customHeight="1" x14ac:dyDescent="0.25">
      <c r="B1" s="14"/>
      <c r="C1" s="284"/>
      <c r="D1" s="284"/>
      <c r="E1" s="284"/>
      <c r="F1" s="284"/>
    </row>
    <row r="2" spans="1:16" ht="45.75" customHeight="1" x14ac:dyDescent="0.25">
      <c r="B2" s="285" t="s">
        <v>190</v>
      </c>
      <c r="C2" s="286"/>
      <c r="D2" s="286"/>
      <c r="E2" s="286"/>
      <c r="F2" s="164" t="s">
        <v>366</v>
      </c>
    </row>
    <row r="3" spans="1:16" ht="17.25" customHeight="1" x14ac:dyDescent="0.25">
      <c r="A3" s="32"/>
      <c r="B3" s="292" t="str">
        <f>base_dados_proj!B2</f>
        <v>CLUBE - VÁRZEA GRANDE</v>
      </c>
      <c r="C3" s="293"/>
      <c r="D3" s="293"/>
      <c r="E3" s="293"/>
      <c r="F3" s="294"/>
      <c r="L3" s="32"/>
    </row>
    <row r="4" spans="1:16" ht="17.25" customHeight="1" x14ac:dyDescent="0.25">
      <c r="A4" s="32"/>
      <c r="B4" s="295" t="s">
        <v>420</v>
      </c>
      <c r="C4" s="296"/>
      <c r="D4" s="296"/>
      <c r="E4" s="296"/>
      <c r="F4" s="297"/>
      <c r="G4" s="248" t="s">
        <v>368</v>
      </c>
      <c r="H4" s="248" t="s">
        <v>369</v>
      </c>
      <c r="L4" s="32"/>
    </row>
    <row r="5" spans="1:16" ht="17.25" customHeight="1" x14ac:dyDescent="0.25">
      <c r="A5" s="32"/>
      <c r="B5" s="281" t="str">
        <f>base_dados_proj!B3</f>
        <v xml:space="preserve">GINCO CLUBE </v>
      </c>
      <c r="C5" s="281"/>
      <c r="D5" s="240"/>
      <c r="E5" s="48" t="s">
        <v>89</v>
      </c>
      <c r="F5" s="175">
        <f>SUM($F$7,$F$20,$F$24,$F$38,$F$42,$F$58,$F$65,F70,$F$89,$F$96,$F$108)</f>
        <v>11543734.537203824</v>
      </c>
      <c r="G5" s="175">
        <f>SUM(G7:G112)</f>
        <v>6141388.8542318353</v>
      </c>
      <c r="H5" s="175">
        <f>SUM(H7:H112)</f>
        <v>5402345.6829719879</v>
      </c>
      <c r="L5" s="32"/>
    </row>
    <row r="6" spans="1:16" ht="10.5" customHeight="1" x14ac:dyDescent="0.25">
      <c r="A6" s="32"/>
      <c r="B6" s="9"/>
      <c r="C6" s="10"/>
      <c r="D6" s="22"/>
      <c r="E6" s="10"/>
      <c r="F6" s="116"/>
      <c r="K6" s="20"/>
      <c r="L6" s="20"/>
      <c r="M6" s="20"/>
      <c r="N6" s="20"/>
      <c r="O6" s="20"/>
      <c r="P6" s="20"/>
    </row>
    <row r="7" spans="1:16" ht="18" customHeight="1" x14ac:dyDescent="0.25">
      <c r="B7" s="264" t="s">
        <v>78</v>
      </c>
      <c r="C7" s="266" t="s">
        <v>88</v>
      </c>
      <c r="D7" s="267"/>
      <c r="E7" s="268"/>
      <c r="F7" s="165">
        <f>SUM(F9:F19)</f>
        <v>245420</v>
      </c>
      <c r="G7" s="195"/>
      <c r="M7" s="32" t="s">
        <v>321</v>
      </c>
    </row>
    <row r="8" spans="1:16" ht="18" customHeight="1" x14ac:dyDescent="0.25">
      <c r="B8" s="265" t="s">
        <v>78</v>
      </c>
      <c r="C8" s="15" t="s">
        <v>87</v>
      </c>
      <c r="D8" s="23" t="s">
        <v>74</v>
      </c>
      <c r="E8" s="16" t="s">
        <v>85</v>
      </c>
      <c r="F8" s="166" t="s">
        <v>86</v>
      </c>
    </row>
    <row r="9" spans="1:16" s="137" customFormat="1" ht="18" customHeight="1" x14ac:dyDescent="0.25">
      <c r="B9" s="144" t="s">
        <v>62</v>
      </c>
      <c r="C9" s="145" t="str">
        <f t="shared" ref="C9" si="0">CONCATENATE("Custo baseado em ",K9," - ",M9," - ",O9)</f>
        <v xml:space="preserve">Custo baseado em HISTÓRICO DE CUSTO / PADRÃO ATUAL -  - </v>
      </c>
      <c r="D9" s="146">
        <v>12</v>
      </c>
      <c r="E9" s="140">
        <f>SUM(L9,N9,P9)/COUNTIF(L9:P9,"&gt;0")</f>
        <v>2000</v>
      </c>
      <c r="F9" s="234">
        <f>E9*D9</f>
        <v>24000</v>
      </c>
      <c r="G9" s="66">
        <f>F9</f>
        <v>24000</v>
      </c>
      <c r="H9" s="237">
        <f>F9-G9</f>
        <v>0</v>
      </c>
      <c r="I9" s="149"/>
      <c r="J9" s="149"/>
      <c r="K9" s="147" t="s">
        <v>131</v>
      </c>
      <c r="L9" s="148">
        <f>IFERROR(VLOOKUP($B9,base_índices!$A:$L,VLOOKUP(APRESENTAÇÃO!K9,base_índices!$A$142:$B$153,2,FALSE),FALSE),0)</f>
        <v>2000</v>
      </c>
      <c r="M9" s="147"/>
      <c r="N9" s="148"/>
      <c r="O9" s="147"/>
      <c r="P9" s="148"/>
    </row>
    <row r="10" spans="1:16" s="137" customFormat="1" ht="18" customHeight="1" x14ac:dyDescent="0.25">
      <c r="B10" s="134" t="s">
        <v>63</v>
      </c>
      <c r="C10" s="135" t="str">
        <f t="shared" ref="C10:C17" si="1">CONCATENATE("Custo baseado em ",K10," - ",M10," - ",O10)</f>
        <v xml:space="preserve">Custo baseado em HISTÓRICO DE CUSTO / PADRÃO ATUAL -  - </v>
      </c>
      <c r="D10" s="139">
        <v>12</v>
      </c>
      <c r="E10" s="136">
        <f t="shared" ref="E10:E17" si="2">SUM(L10,N10,P10)/COUNTIF(L10:P10,"&gt;0")</f>
        <v>289</v>
      </c>
      <c r="F10" s="234">
        <f t="shared" ref="F10:F18" si="3">E10*D10</f>
        <v>3468</v>
      </c>
      <c r="G10" s="66">
        <f t="shared" ref="G10:G19" si="4">F10</f>
        <v>3468</v>
      </c>
      <c r="H10" s="237">
        <f t="shared" ref="H10:H64" si="5">F10-G10</f>
        <v>0</v>
      </c>
      <c r="I10" s="149"/>
      <c r="J10" s="149"/>
      <c r="K10" s="147" t="s">
        <v>131</v>
      </c>
      <c r="L10" s="148">
        <f>IFERROR(VLOOKUP($B10,base_índices!$A:$L,VLOOKUP(APRESENTAÇÃO!K10,base_índices!$A$142:$B$153,2,FALSE),FALSE),0)</f>
        <v>289</v>
      </c>
      <c r="M10" s="147"/>
      <c r="N10" s="148"/>
      <c r="O10" s="147"/>
      <c r="P10" s="148"/>
    </row>
    <row r="11" spans="1:16" s="133" customFormat="1" ht="18" customHeight="1" x14ac:dyDescent="0.25">
      <c r="B11" s="134" t="s">
        <v>61</v>
      </c>
      <c r="C11" s="135" t="str">
        <f t="shared" si="1"/>
        <v xml:space="preserve">Custo baseado em HISTÓRICO DE CUSTO / PADRÃO ATUAL -  - </v>
      </c>
      <c r="D11" s="139">
        <f>base_dados_proj!$C$9</f>
        <v>20</v>
      </c>
      <c r="E11" s="136">
        <f t="shared" si="2"/>
        <v>850</v>
      </c>
      <c r="F11" s="234">
        <f>D11*E11</f>
        <v>17000</v>
      </c>
      <c r="G11" s="66">
        <f t="shared" si="4"/>
        <v>17000</v>
      </c>
      <c r="H11" s="237">
        <f t="shared" si="5"/>
        <v>0</v>
      </c>
      <c r="I11" s="157"/>
      <c r="J11" s="157"/>
      <c r="K11" s="153" t="s">
        <v>131</v>
      </c>
      <c r="L11" s="156">
        <f>IFERROR(VLOOKUP($B11,base_índices!$A:$L,VLOOKUP(APRESENTAÇÃO!K11,base_índices!$A$142:$B$153,2,FALSE),FALSE),0)</f>
        <v>850</v>
      </c>
      <c r="M11" s="153"/>
      <c r="N11" s="156"/>
      <c r="O11" s="153"/>
      <c r="P11" s="156"/>
    </row>
    <row r="12" spans="1:16" s="133" customFormat="1" ht="18" customHeight="1" x14ac:dyDescent="0.25">
      <c r="B12" s="134" t="s">
        <v>278</v>
      </c>
      <c r="C12" s="135" t="str">
        <f t="shared" ref="C12" si="6">CONCATENATE("Custo baseado em ",K12," - ",M12," - ",O12)</f>
        <v xml:space="preserve">Custo baseado em HISTÓRICO DE CUSTO / PADRÃO ATUAL -  - </v>
      </c>
      <c r="D12" s="139">
        <v>1</v>
      </c>
      <c r="E12" s="136">
        <f t="shared" ref="E12" si="7">SUM(L12,N12,P12)/COUNTIF(L12:P12,"&gt;0")</f>
        <v>5000</v>
      </c>
      <c r="F12" s="234">
        <f>D12*E12</f>
        <v>5000</v>
      </c>
      <c r="G12" s="66">
        <f t="shared" si="4"/>
        <v>5000</v>
      </c>
      <c r="H12" s="237">
        <f t="shared" si="5"/>
        <v>0</v>
      </c>
      <c r="I12" s="157"/>
      <c r="J12" s="157"/>
      <c r="K12" s="153" t="s">
        <v>131</v>
      </c>
      <c r="L12" s="156">
        <f>IFERROR(VLOOKUP($B12,base_índices!$A:$L,VLOOKUP(APRESENTAÇÃO!K12,base_índices!$A$142:$B$153,2,FALSE),FALSE),0)</f>
        <v>5000</v>
      </c>
      <c r="M12" s="153"/>
      <c r="N12" s="156"/>
      <c r="O12" s="153"/>
      <c r="P12" s="156"/>
    </row>
    <row r="13" spans="1:16" s="137" customFormat="1" ht="18" customHeight="1" x14ac:dyDescent="0.25">
      <c r="B13" s="134" t="s">
        <v>292</v>
      </c>
      <c r="C13" s="135" t="str">
        <f t="shared" si="1"/>
        <v xml:space="preserve">Custo baseado em HISTÓRICO DE CUSTO / PADRÃO ATUAL -  - </v>
      </c>
      <c r="D13" s="139">
        <v>6</v>
      </c>
      <c r="E13" s="136">
        <f t="shared" si="2"/>
        <v>300</v>
      </c>
      <c r="F13" s="234">
        <f t="shared" si="3"/>
        <v>1800</v>
      </c>
      <c r="G13" s="66">
        <f t="shared" si="4"/>
        <v>1800</v>
      </c>
      <c r="H13" s="237">
        <f t="shared" si="5"/>
        <v>0</v>
      </c>
      <c r="I13" s="149"/>
      <c r="J13" s="149"/>
      <c r="K13" s="147" t="s">
        <v>131</v>
      </c>
      <c r="L13" s="148">
        <f>IFERROR(VLOOKUP($B13,base_índices!$A:$L,VLOOKUP(APRESENTAÇÃO!K13,base_índices!$A$142:$B$153,2,FALSE),FALSE),0)</f>
        <v>300</v>
      </c>
      <c r="M13" s="147"/>
      <c r="N13" s="148"/>
      <c r="O13" s="147"/>
      <c r="P13" s="148"/>
    </row>
    <row r="14" spans="1:16" s="137" customFormat="1" ht="18" customHeight="1" x14ac:dyDescent="0.25">
      <c r="B14" s="134" t="s">
        <v>64</v>
      </c>
      <c r="C14" s="135" t="str">
        <f t="shared" ref="C14" si="8">CONCATENATE("Custo baseado em ",K14," - ",M14," - ",O14)</f>
        <v xml:space="preserve">Custo baseado em HISTÓRICO DE CUSTO / PADRÃO ATUAL -  - </v>
      </c>
      <c r="D14" s="139">
        <v>0.5</v>
      </c>
      <c r="E14" s="136">
        <f t="shared" ref="E14:E15" si="9">SUM(L14,N14,P14)/COUNTIF(L14:P14,"&gt;0")</f>
        <v>2000</v>
      </c>
      <c r="F14" s="234">
        <f t="shared" si="3"/>
        <v>1000</v>
      </c>
      <c r="G14" s="66">
        <f t="shared" si="4"/>
        <v>1000</v>
      </c>
      <c r="H14" s="237">
        <f t="shared" si="5"/>
        <v>0</v>
      </c>
      <c r="I14" s="149"/>
      <c r="J14" s="149"/>
      <c r="K14" s="147" t="s">
        <v>131</v>
      </c>
      <c r="L14" s="148">
        <f>IFERROR(VLOOKUP($B14,base_índices!$A:$L,VLOOKUP(APRESENTAÇÃO!K14,base_índices!$A$142:$B$153,2,FALSE),FALSE),0)</f>
        <v>2000</v>
      </c>
      <c r="M14" s="147"/>
      <c r="N14" s="148"/>
      <c r="O14" s="147"/>
      <c r="P14" s="148"/>
    </row>
    <row r="15" spans="1:16" s="137" customFormat="1" ht="18" customHeight="1" x14ac:dyDescent="0.25">
      <c r="B15" s="134" t="s">
        <v>60</v>
      </c>
      <c r="C15" s="135" t="str">
        <f t="shared" si="1"/>
        <v xml:space="preserve">Custo baseado em HISTÓRICO DE CUSTO / PADRÃO ATUAL -  - </v>
      </c>
      <c r="D15" s="139">
        <v>6</v>
      </c>
      <c r="E15" s="136">
        <f t="shared" si="9"/>
        <v>792</v>
      </c>
      <c r="F15" s="234">
        <f t="shared" si="3"/>
        <v>4752</v>
      </c>
      <c r="G15" s="66">
        <f t="shared" si="4"/>
        <v>4752</v>
      </c>
      <c r="H15" s="237">
        <f t="shared" si="5"/>
        <v>0</v>
      </c>
      <c r="I15" s="149"/>
      <c r="J15" s="149"/>
      <c r="K15" s="147" t="s">
        <v>131</v>
      </c>
      <c r="L15" s="148">
        <f>IFERROR(VLOOKUP($B15,base_índices!$A:$L,VLOOKUP(APRESENTAÇÃO!K15,base_índices!$A$142:$B$153,2,FALSE),FALSE),0)</f>
        <v>792</v>
      </c>
      <c r="M15" s="147"/>
      <c r="N15" s="148"/>
      <c r="O15" s="147"/>
      <c r="P15" s="148"/>
    </row>
    <row r="16" spans="1:16" s="137" customFormat="1" ht="18" customHeight="1" x14ac:dyDescent="0.25">
      <c r="B16" s="134" t="s">
        <v>70</v>
      </c>
      <c r="C16" s="135" t="str">
        <f t="shared" si="1"/>
        <v xml:space="preserve">Custo baseado em HISTÓRICO DE CUSTO / PADRÃO ATUAL -  - </v>
      </c>
      <c r="D16" s="139">
        <v>12</v>
      </c>
      <c r="E16" s="136">
        <f t="shared" si="2"/>
        <v>1200</v>
      </c>
      <c r="F16" s="234">
        <f t="shared" si="3"/>
        <v>14400</v>
      </c>
      <c r="G16" s="66">
        <f t="shared" si="4"/>
        <v>14400</v>
      </c>
      <c r="H16" s="237">
        <f t="shared" si="5"/>
        <v>0</v>
      </c>
      <c r="I16" s="149"/>
      <c r="J16" s="149"/>
      <c r="K16" s="147" t="s">
        <v>131</v>
      </c>
      <c r="L16" s="148">
        <f>IFERROR(VLOOKUP($B16,base_índices!$A:$L,VLOOKUP(APRESENTAÇÃO!K16,base_índices!$A$142:$B$153,2,FALSE),FALSE),0)</f>
        <v>1200</v>
      </c>
      <c r="M16" s="147"/>
      <c r="N16" s="148"/>
      <c r="O16" s="147"/>
      <c r="P16" s="148"/>
    </row>
    <row r="17" spans="2:16" s="137" customFormat="1" ht="18" customHeight="1" x14ac:dyDescent="0.25">
      <c r="B17" s="134" t="s">
        <v>293</v>
      </c>
      <c r="C17" s="135" t="str">
        <f t="shared" si="1"/>
        <v xml:space="preserve">Custo baseado em HISTÓRICO DE CUSTO / PADRÃO ATUAL -  - </v>
      </c>
      <c r="D17" s="139">
        <v>12</v>
      </c>
      <c r="E17" s="136">
        <f t="shared" si="2"/>
        <v>12000</v>
      </c>
      <c r="F17" s="234">
        <f t="shared" si="3"/>
        <v>144000</v>
      </c>
      <c r="G17" s="66">
        <f t="shared" si="4"/>
        <v>144000</v>
      </c>
      <c r="H17" s="237">
        <f t="shared" si="5"/>
        <v>0</v>
      </c>
      <c r="I17" s="149"/>
      <c r="J17" s="149"/>
      <c r="K17" s="147" t="s">
        <v>131</v>
      </c>
      <c r="L17" s="148">
        <f>IFERROR(VLOOKUP($B17,base_índices!$A:$L,VLOOKUP(APRESENTAÇÃO!K17,base_índices!$A$142:$B$153,2,FALSE),FALSE),0)</f>
        <v>12000</v>
      </c>
      <c r="M17" s="147"/>
      <c r="N17" s="148"/>
      <c r="O17" s="147"/>
      <c r="P17" s="148"/>
    </row>
    <row r="18" spans="2:16" s="137" customFormat="1" ht="18" customHeight="1" x14ac:dyDescent="0.25">
      <c r="B18" s="144" t="s">
        <v>295</v>
      </c>
      <c r="C18" s="145" t="str">
        <f t="shared" ref="C18" si="10">CONCATENATE("Custo baseado em ",K18," - ",M18," - ",O18)</f>
        <v xml:space="preserve">Custo baseado em HISTÓRICO DE CUSTO / PADRÃO ATUAL -  - </v>
      </c>
      <c r="D18" s="146">
        <v>5</v>
      </c>
      <c r="E18" s="140">
        <v>6000</v>
      </c>
      <c r="F18" s="234">
        <f t="shared" si="3"/>
        <v>30000</v>
      </c>
      <c r="G18" s="66">
        <f t="shared" si="4"/>
        <v>30000</v>
      </c>
      <c r="H18" s="237">
        <f t="shared" si="5"/>
        <v>0</v>
      </c>
      <c r="I18" s="149"/>
      <c r="J18" s="149"/>
      <c r="K18" s="147" t="s">
        <v>131</v>
      </c>
      <c r="L18" s="148">
        <f>IFERROR(VLOOKUP($B18,base_índices!$A:$L,VLOOKUP(APRESENTAÇÃO!K18,base_índices!$A$142:$B$153,2,FALSE),FALSE),0)</f>
        <v>6000</v>
      </c>
      <c r="M18" s="147"/>
      <c r="N18" s="148"/>
      <c r="O18" s="147"/>
      <c r="P18" s="148"/>
    </row>
    <row r="19" spans="2:16" s="133" customFormat="1" ht="18" hidden="1" customHeight="1" x14ac:dyDescent="0.25">
      <c r="B19" s="219" t="s">
        <v>69</v>
      </c>
      <c r="C19" s="220" t="str">
        <f>CONCATENATE("Custo baseado em ",K19," - ",M19," - ",O19)</f>
        <v xml:space="preserve">Custo baseado em HISTÓRICO DE CUSTO / PADRÃO ATUAL -  - </v>
      </c>
      <c r="D19" s="221">
        <v>1</v>
      </c>
      <c r="E19" s="223">
        <f>SUM(L19,N19,P19)/COUNTIF(L19:P19,"&gt;0")</f>
        <v>22537</v>
      </c>
      <c r="F19" s="150"/>
      <c r="G19" s="66">
        <f t="shared" si="4"/>
        <v>0</v>
      </c>
      <c r="H19" s="237">
        <f t="shared" si="5"/>
        <v>0</v>
      </c>
      <c r="I19" s="157"/>
      <c r="J19" s="157"/>
      <c r="K19" s="153" t="s">
        <v>131</v>
      </c>
      <c r="L19" s="156">
        <f>IFERROR(VLOOKUP($B19,base_índices!$A:$L,VLOOKUP(APRESENTAÇÃO!K19,base_índices!$A$142:$B$153,2,FALSE),FALSE),0)</f>
        <v>22537</v>
      </c>
      <c r="M19" s="153"/>
      <c r="N19" s="156"/>
      <c r="O19" s="153"/>
      <c r="P19" s="156"/>
    </row>
    <row r="20" spans="2:16" ht="18" customHeight="1" x14ac:dyDescent="0.25">
      <c r="B20" s="264" t="s">
        <v>79</v>
      </c>
      <c r="C20" s="266" t="s">
        <v>88</v>
      </c>
      <c r="D20" s="267"/>
      <c r="E20" s="268"/>
      <c r="F20" s="235">
        <f>SUM(F22:F23)</f>
        <v>83257.399999999994</v>
      </c>
      <c r="G20" s="66"/>
      <c r="H20" s="237"/>
      <c r="K20" s="142" t="s">
        <v>131</v>
      </c>
      <c r="L20" s="143">
        <f>IFERROR(VLOOKUP($B20,base_índices!$A:$R,VLOOKUP(APRESENTAÇÃO!K20,base_índices!$A$142:$B$158,2,FALSE),FALSE),0)</f>
        <v>0</v>
      </c>
    </row>
    <row r="21" spans="2:16" ht="18" customHeight="1" x14ac:dyDescent="0.25">
      <c r="B21" s="265" t="s">
        <v>78</v>
      </c>
      <c r="C21" s="15" t="s">
        <v>87</v>
      </c>
      <c r="D21" s="23" t="s">
        <v>74</v>
      </c>
      <c r="E21" s="16" t="s">
        <v>85</v>
      </c>
      <c r="F21" s="166" t="s">
        <v>86</v>
      </c>
      <c r="H21" s="237"/>
      <c r="K21" s="142" t="s">
        <v>131</v>
      </c>
      <c r="L21" s="143">
        <f>IFERROR(VLOOKUP($B21,base_índices!$A:$R,VLOOKUP(APRESENTAÇÃO!K21,base_índices!$A$142:$B$158,2,FALSE),FALSE),0)</f>
        <v>0</v>
      </c>
    </row>
    <row r="22" spans="2:16" s="137" customFormat="1" ht="18" customHeight="1" x14ac:dyDescent="0.25">
      <c r="B22" s="144" t="s">
        <v>103</v>
      </c>
      <c r="C22" s="145" t="str">
        <f t="shared" ref="C22" si="11">CONCATENATE("Custo baseado em ",K22," - ",M22," - ",O22)</f>
        <v xml:space="preserve">Custo baseado em HISTÓRICO DE CUSTO / PADRÃO ATUAL -  - </v>
      </c>
      <c r="D22" s="146">
        <f>base_dados_proj!C15</f>
        <v>200</v>
      </c>
      <c r="E22" s="140">
        <f t="shared" ref="E22" si="12">SUM(L22,N22,P22)/COUNTIF(L22:P22,"&gt;0")</f>
        <v>202.45840000000001</v>
      </c>
      <c r="F22" s="140">
        <f t="shared" ref="F22" si="13">E22*D22</f>
        <v>40491.68</v>
      </c>
      <c r="G22" s="66"/>
      <c r="H22" s="237">
        <f t="shared" si="5"/>
        <v>40491.68</v>
      </c>
      <c r="I22" s="149"/>
      <c r="J22" s="149"/>
      <c r="K22" s="147" t="s">
        <v>131</v>
      </c>
      <c r="L22" s="148">
        <f>IFERROR(VLOOKUP($B22,base_índices!$A:$L,VLOOKUP(APRESENTAÇÃO!K22,base_índices!$A$142:$B$153,2,FALSE),FALSE),0)</f>
        <v>202.45840000000001</v>
      </c>
      <c r="M22" s="147"/>
      <c r="N22" s="148"/>
      <c r="O22" s="147"/>
      <c r="P22" s="148"/>
    </row>
    <row r="23" spans="2:16" s="137" customFormat="1" ht="18" customHeight="1" x14ac:dyDescent="0.25">
      <c r="B23" s="144" t="s">
        <v>388</v>
      </c>
      <c r="C23" s="145" t="str">
        <f t="shared" ref="C23" si="14">CONCATENATE("Custo baseado em ",K23," - ",M23," - ",O23)</f>
        <v xml:space="preserve">Custo baseado em HISTÓRICO DE CUSTO / PADRÃO ATUAL -  - </v>
      </c>
      <c r="D23" s="146">
        <f>base_dados_proj!C13</f>
        <v>200</v>
      </c>
      <c r="E23" s="140">
        <f t="shared" ref="E23" si="15">SUM(L23,N23,P23)/COUNTIF(L23:P23,"&gt;0")</f>
        <v>213.82859999999999</v>
      </c>
      <c r="F23" s="140">
        <f t="shared" ref="F23" si="16">E23*D23</f>
        <v>42765.72</v>
      </c>
      <c r="G23" s="66"/>
      <c r="H23" s="237">
        <f t="shared" si="5"/>
        <v>42765.72</v>
      </c>
      <c r="I23" s="149"/>
      <c r="J23" s="149"/>
      <c r="K23" s="147" t="s">
        <v>131</v>
      </c>
      <c r="L23" s="148">
        <f>IFERROR(VLOOKUP($B23,base_índices!$A:$L,VLOOKUP(APRESENTAÇÃO!K23,base_índices!$A$142:$B$153,2,FALSE),FALSE),0)</f>
        <v>213.82859999999999</v>
      </c>
      <c r="M23" s="147"/>
      <c r="N23" s="148"/>
      <c r="O23" s="147"/>
      <c r="P23" s="148"/>
    </row>
    <row r="24" spans="2:16" s="17" customFormat="1" ht="18" customHeight="1" x14ac:dyDescent="0.25">
      <c r="B24" s="274" t="s">
        <v>76</v>
      </c>
      <c r="C24" s="276" t="s">
        <v>88</v>
      </c>
      <c r="D24" s="277"/>
      <c r="E24" s="278"/>
      <c r="F24" s="171">
        <f>SUM(F26:F37)</f>
        <v>100000</v>
      </c>
      <c r="G24" s="189"/>
      <c r="H24" s="237"/>
      <c r="I24" s="141"/>
      <c r="J24" s="141"/>
      <c r="K24" s="142" t="s">
        <v>131</v>
      </c>
      <c r="L24" s="143">
        <f>IFERROR(VLOOKUP($B24,base_índices!$A:$R,VLOOKUP(APRESENTAÇÃO!K24,base_índices!$A$142:$B$158,2,FALSE),FALSE),0)</f>
        <v>0</v>
      </c>
      <c r="M24" s="32"/>
      <c r="N24" s="33"/>
      <c r="O24" s="32"/>
      <c r="P24" s="65"/>
    </row>
    <row r="25" spans="2:16" s="17" customFormat="1" ht="18" customHeight="1" x14ac:dyDescent="0.25">
      <c r="B25" s="275" t="s">
        <v>78</v>
      </c>
      <c r="C25" s="25" t="s">
        <v>87</v>
      </c>
      <c r="D25" s="26" t="s">
        <v>74</v>
      </c>
      <c r="E25" s="27" t="s">
        <v>85</v>
      </c>
      <c r="F25" s="172" t="s">
        <v>86</v>
      </c>
      <c r="G25" s="189"/>
      <c r="H25" s="237"/>
      <c r="I25" s="141"/>
      <c r="J25" s="141"/>
      <c r="K25" s="142" t="s">
        <v>131</v>
      </c>
      <c r="L25" s="143">
        <f>IFERROR(VLOOKUP($B25,base_índices!$A:$R,VLOOKUP(APRESENTAÇÃO!K25,base_índices!$A$142:$B$158,2,FALSE),FALSE),0)</f>
        <v>0</v>
      </c>
      <c r="M25" s="32"/>
      <c r="N25" s="33"/>
      <c r="O25" s="32"/>
      <c r="P25" s="65"/>
    </row>
    <row r="26" spans="2:16" s="137" customFormat="1" ht="18" hidden="1" customHeight="1" x14ac:dyDescent="0.25">
      <c r="B26" s="134" t="s">
        <v>34</v>
      </c>
      <c r="C26" s="135" t="str">
        <f t="shared" ref="C26" si="17">CONCATENATE("Custo baseado em ",K26," - ",M26," - ",O26)</f>
        <v xml:space="preserve">Custo baseado em HISTÓRICO DE CUSTO / PADRÃO ATUAL -  - </v>
      </c>
      <c r="D26" s="139">
        <f>base_dados_proj!E22+base_dados_proj!C25</f>
        <v>0</v>
      </c>
      <c r="E26" s="136">
        <f t="shared" ref="E26:E30" si="18">SUM(L26,N26,P26)/COUNTIF(L26:P26,"&gt;0")</f>
        <v>2.2397999999999998</v>
      </c>
      <c r="F26" s="170">
        <f>D26*E26</f>
        <v>0</v>
      </c>
      <c r="G26" s="66"/>
      <c r="H26" s="237">
        <f t="shared" si="5"/>
        <v>0</v>
      </c>
      <c r="I26" s="149"/>
      <c r="J26" s="149"/>
      <c r="K26" s="142" t="s">
        <v>131</v>
      </c>
      <c r="L26" s="143">
        <f>IFERROR(VLOOKUP($B26,base_índices!$A:$R,VLOOKUP(APRESENTAÇÃO!K26,base_índices!$A$142:$B$158,2,FALSE),FALSE),0)</f>
        <v>2.2397999999999998</v>
      </c>
      <c r="M26" s="147"/>
      <c r="N26" s="148"/>
      <c r="O26" s="147"/>
      <c r="P26" s="148"/>
    </row>
    <row r="27" spans="2:16" s="137" customFormat="1" ht="18" hidden="1" customHeight="1" x14ac:dyDescent="0.25">
      <c r="B27" s="144" t="s">
        <v>122</v>
      </c>
      <c r="C27" s="145" t="str">
        <f>CONCATENATE("Custo baseado em ",K27," - ",M27," - ",O27)</f>
        <v xml:space="preserve">Custo baseado em HISTÓRICO DE CUSTO / PADRÃO ATUAL -  - </v>
      </c>
      <c r="D27" s="139">
        <f>D26</f>
        <v>0</v>
      </c>
      <c r="E27" s="140">
        <f t="shared" si="18"/>
        <v>12.8893</v>
      </c>
      <c r="F27" s="170">
        <f>D27*E27</f>
        <v>0</v>
      </c>
      <c r="G27" s="66"/>
      <c r="H27" s="237">
        <f t="shared" si="5"/>
        <v>0</v>
      </c>
      <c r="I27" s="149"/>
      <c r="J27" s="149"/>
      <c r="K27" s="142" t="s">
        <v>131</v>
      </c>
      <c r="L27" s="143">
        <f>IFERROR(VLOOKUP($B27,base_índices!$A:$R,VLOOKUP(APRESENTAÇÃO!K27,base_índices!$A$142:$B$158,2,FALSE),FALSE),0)</f>
        <v>12.8893</v>
      </c>
      <c r="M27" s="147"/>
      <c r="N27" s="148"/>
      <c r="O27" s="147"/>
      <c r="P27" s="148"/>
    </row>
    <row r="28" spans="2:16" s="137" customFormat="1" ht="18" hidden="1" customHeight="1" x14ac:dyDescent="0.25">
      <c r="B28" s="144" t="s">
        <v>125</v>
      </c>
      <c r="C28" s="145" t="str">
        <f>CONCATENATE("Custo baseado em ",K28," - ",M28," - ",O28)</f>
        <v xml:space="preserve">Custo baseado em HISTÓRICO DE CUSTO / PADRÃO ATUAL -  - </v>
      </c>
      <c r="D28" s="146">
        <f>base_dados_proj!C18</f>
        <v>0</v>
      </c>
      <c r="E28" s="140">
        <f t="shared" si="18"/>
        <v>65</v>
      </c>
      <c r="F28" s="186"/>
      <c r="G28" s="66"/>
      <c r="H28" s="237">
        <f t="shared" si="5"/>
        <v>0</v>
      </c>
      <c r="I28" s="141"/>
      <c r="J28" s="151"/>
      <c r="K28" s="142" t="s">
        <v>131</v>
      </c>
      <c r="L28" s="143">
        <f>IFERROR(VLOOKUP($B28,base_índices!$A:$R,VLOOKUP(APRESENTAÇÃO!K28,base_índices!$A$142:$B$158,2,FALSE),FALSE),0)</f>
        <v>65</v>
      </c>
      <c r="M28" s="147"/>
      <c r="N28" s="148"/>
      <c r="O28" s="147"/>
      <c r="P28" s="148"/>
    </row>
    <row r="29" spans="2:16" s="131" customFormat="1" ht="18" hidden="1" customHeight="1" x14ac:dyDescent="0.25">
      <c r="B29" s="13" t="s">
        <v>38</v>
      </c>
      <c r="C29" s="39" t="str">
        <f t="shared" ref="C29:C30" si="19">CONCATENATE("Custo baseado em ",K29," - ",M29," - ",O29)</f>
        <v xml:space="preserve">Custo baseado em HISTÓRICO DE CUSTO / PADRÃO ATUAL -  - </v>
      </c>
      <c r="D29" s="31">
        <f>base_dados_proj!C21</f>
        <v>0</v>
      </c>
      <c r="E29" s="30">
        <f t="shared" si="18"/>
        <v>69.5428</v>
      </c>
      <c r="F29" s="185"/>
      <c r="G29" s="189"/>
      <c r="H29" s="237">
        <f t="shared" si="5"/>
        <v>0</v>
      </c>
      <c r="I29" s="141"/>
      <c r="J29" s="141"/>
      <c r="K29" s="142" t="s">
        <v>131</v>
      </c>
      <c r="L29" s="143">
        <f>IFERROR(VLOOKUP($B29,base_índices!$A:$R,VLOOKUP(APRESENTAÇÃO!K29,base_índices!$A$142:$B$158,2,FALSE),FALSE),0)</f>
        <v>69.5428</v>
      </c>
      <c r="M29" s="142"/>
      <c r="N29" s="143"/>
      <c r="O29" s="142"/>
      <c r="P29" s="143"/>
    </row>
    <row r="30" spans="2:16" s="131" customFormat="1" ht="18" hidden="1" customHeight="1" x14ac:dyDescent="0.25">
      <c r="B30" s="118" t="s">
        <v>141</v>
      </c>
      <c r="C30" s="39" t="str">
        <f t="shared" si="19"/>
        <v xml:space="preserve">Custo baseado em HISTÓRICO DE CUSTO / PADRÃO ATUAL -  - </v>
      </c>
      <c r="D30" s="31">
        <f>base_dados_proj!C20</f>
        <v>0</v>
      </c>
      <c r="E30" s="30">
        <f t="shared" si="18"/>
        <v>67.252899999999997</v>
      </c>
      <c r="F30" s="185"/>
      <c r="G30" s="189"/>
      <c r="H30" s="237">
        <f t="shared" si="5"/>
        <v>0</v>
      </c>
      <c r="I30" s="141"/>
      <c r="J30" s="151"/>
      <c r="K30" s="142" t="s">
        <v>131</v>
      </c>
      <c r="L30" s="143">
        <f>IFERROR(VLOOKUP($B30,base_índices!$A:$R,VLOOKUP(APRESENTAÇÃO!K30,base_índices!$A$142:$B$158,2,FALSE),FALSE),0)</f>
        <v>67.252899999999997</v>
      </c>
      <c r="M30" s="142"/>
      <c r="N30" s="143"/>
      <c r="O30" s="142"/>
      <c r="P30" s="143"/>
    </row>
    <row r="31" spans="2:16" s="131" customFormat="1" ht="18" hidden="1" customHeight="1" x14ac:dyDescent="0.25">
      <c r="B31" s="144" t="s">
        <v>110</v>
      </c>
      <c r="C31" s="145" t="s">
        <v>75</v>
      </c>
      <c r="D31" s="146">
        <v>1</v>
      </c>
      <c r="E31" s="140" t="e">
        <f>#REF!</f>
        <v>#REF!</v>
      </c>
      <c r="F31" s="186"/>
      <c r="G31" s="191"/>
      <c r="H31" s="237">
        <f t="shared" si="5"/>
        <v>0</v>
      </c>
      <c r="I31" s="178"/>
      <c r="J31" s="151"/>
      <c r="K31" s="142" t="s">
        <v>131</v>
      </c>
      <c r="L31" s="143">
        <f>IFERROR(VLOOKUP($B31,base_índices!$A:$R,VLOOKUP(APRESENTAÇÃO!K31,base_índices!$A$142:$B$158,2,FALSE),FALSE),0)</f>
        <v>0</v>
      </c>
      <c r="M31" s="142"/>
      <c r="N31" s="143"/>
      <c r="O31" s="142"/>
      <c r="P31" s="143"/>
    </row>
    <row r="32" spans="2:16" s="137" customFormat="1" ht="18" hidden="1" customHeight="1" x14ac:dyDescent="0.25">
      <c r="B32" s="144" t="s">
        <v>123</v>
      </c>
      <c r="C32" s="145" t="str">
        <f>CONCATENATE("Custo baseado em ",K32," - ",M32," - ",O32)</f>
        <v xml:space="preserve">Custo baseado em HISTÓRICO DE CUSTO / PADRÃO ATUAL -  - </v>
      </c>
      <c r="D32" s="146">
        <f>base_dados_proj!C18</f>
        <v>0</v>
      </c>
      <c r="E32" s="140" t="e">
        <f>SUM(L32,N32,P32)/COUNTIF(L32:P32,"&gt;0")</f>
        <v>#DIV/0!</v>
      </c>
      <c r="F32" s="186"/>
      <c r="G32" s="66"/>
      <c r="H32" s="237">
        <f t="shared" si="5"/>
        <v>0</v>
      </c>
      <c r="I32" s="160"/>
      <c r="K32" s="142" t="s">
        <v>131</v>
      </c>
      <c r="L32" s="143">
        <f>IFERROR(VLOOKUP($B32,base_índices!$A:$R,VLOOKUP(APRESENTAÇÃO!K32,base_índices!$A$142:$B$158,2,FALSE),FALSE),0)</f>
        <v>0</v>
      </c>
      <c r="M32" s="147"/>
      <c r="N32" s="148"/>
      <c r="O32" s="147"/>
      <c r="P32" s="148"/>
    </row>
    <row r="33" spans="2:16" s="179" customFormat="1" ht="20.100000000000001" customHeight="1" x14ac:dyDescent="0.25">
      <c r="B33" s="233" t="s">
        <v>312</v>
      </c>
      <c r="C33" s="145" t="str">
        <f t="shared" ref="C33" si="20">CONCATENATE("Custo baseado em ",K33," - ",M33," - ",O33)</f>
        <v xml:space="preserve">Custo baseado em HISTÓRICO DE CUSTO / PADRÃO ATUAL -  - </v>
      </c>
      <c r="D33" s="146">
        <v>1</v>
      </c>
      <c r="E33" s="140">
        <v>100000</v>
      </c>
      <c r="F33" s="170">
        <f>E33*D33</f>
        <v>100000</v>
      </c>
      <c r="G33" s="192">
        <f>F33</f>
        <v>100000</v>
      </c>
      <c r="H33" s="237">
        <f t="shared" si="5"/>
        <v>0</v>
      </c>
      <c r="I33" s="180"/>
      <c r="J33" s="180"/>
      <c r="K33" s="142" t="s">
        <v>131</v>
      </c>
      <c r="L33" s="143">
        <f>IFERROR(VLOOKUP($B33,base_índices!$A:$R,VLOOKUP(APRESENTAÇÃO!K33,base_índices!$A$142:$B$158,2,FALSE),FALSE),0)</f>
        <v>0</v>
      </c>
      <c r="M33" s="9"/>
      <c r="N33" s="143"/>
      <c r="O33" s="9"/>
      <c r="P33" s="143"/>
    </row>
    <row r="34" spans="2:16" s="133" customFormat="1" ht="18" hidden="1" customHeight="1" x14ac:dyDescent="0.25">
      <c r="B34" s="144" t="s">
        <v>301</v>
      </c>
      <c r="C34" s="145" t="str">
        <f>CONCATENATE("Custo baseado em ",K34," - ",M34," - ",O34)</f>
        <v xml:space="preserve">Custo baseado em HISTÓRICO DE CUSTO / PADRÃO ATUAL -  - </v>
      </c>
      <c r="D34" s="146">
        <f>base_dados_proj!C24</f>
        <v>0</v>
      </c>
      <c r="E34" s="140">
        <f>SUM(L34,N34,P34)/COUNTIF(L34:P34,"&gt;0")</f>
        <v>1083.0071</v>
      </c>
      <c r="F34" s="186"/>
      <c r="G34" s="190"/>
      <c r="H34" s="237">
        <f t="shared" si="5"/>
        <v>0</v>
      </c>
      <c r="I34" s="157"/>
      <c r="J34" s="157"/>
      <c r="K34" s="142" t="s">
        <v>131</v>
      </c>
      <c r="L34" s="143">
        <f>IFERROR(VLOOKUP($B34,base_índices!$A:$R,VLOOKUP(APRESENTAÇÃO!K34,base_índices!$A$142:$B$158,2,FALSE),FALSE),0)</f>
        <v>1083.0071</v>
      </c>
      <c r="M34" s="153"/>
      <c r="N34" s="156"/>
      <c r="O34" s="153"/>
      <c r="P34" s="156"/>
    </row>
    <row r="35" spans="2:16" ht="18" hidden="1" customHeight="1" x14ac:dyDescent="0.25">
      <c r="B35" s="11" t="s">
        <v>132</v>
      </c>
      <c r="C35" s="6" t="str">
        <f>CONCATENATE("Custo baseado em ",K35," - ",M35," - ",O35)</f>
        <v xml:space="preserve">Custo baseado em HISTÓRICO DE CUSTO / PADRÃO ATUAL -  - </v>
      </c>
      <c r="D35" s="31">
        <f>base_dados_proj!C25</f>
        <v>0</v>
      </c>
      <c r="E35" s="12">
        <f>SUM(L35,N35,P35)/COUNTIF(L35:P35,"&gt;0")</f>
        <v>66</v>
      </c>
      <c r="F35" s="168">
        <f>D35*E35</f>
        <v>0</v>
      </c>
      <c r="G35" s="190"/>
      <c r="H35" s="237">
        <f t="shared" si="5"/>
        <v>0</v>
      </c>
      <c r="K35" s="142" t="s">
        <v>131</v>
      </c>
      <c r="L35" s="143">
        <f>IFERROR(VLOOKUP($B35,base_índices!$A:$R,VLOOKUP(APRESENTAÇÃO!K35,base_índices!$A$142:$B$158,2,FALSE),FALSE),0)</f>
        <v>66</v>
      </c>
      <c r="P35" s="33"/>
    </row>
    <row r="36" spans="2:16" ht="18" hidden="1" customHeight="1" x14ac:dyDescent="0.25">
      <c r="B36" s="11" t="s">
        <v>42</v>
      </c>
      <c r="C36" s="6" t="str">
        <f t="shared" ref="C36" si="21">CONCATENATE("Custo baseado em ",K36," - ",M36," - ",O36)</f>
        <v xml:space="preserve">Custo baseado em HISTÓRICO DE CUSTO / PADRÃO ATUAL -  - </v>
      </c>
      <c r="D36" s="31">
        <f>base_dados_proj!C22</f>
        <v>0</v>
      </c>
      <c r="E36" s="12">
        <f t="shared" ref="E36" si="22">SUM(L36,N36,P36)/COUNTIF(L36:P36,"&gt;0")</f>
        <v>10.5</v>
      </c>
      <c r="F36" s="168">
        <f t="shared" ref="F36" si="23">D36*E36</f>
        <v>0</v>
      </c>
      <c r="H36" s="237">
        <f t="shared" si="5"/>
        <v>0</v>
      </c>
      <c r="K36" s="142" t="s">
        <v>131</v>
      </c>
      <c r="L36" s="143">
        <f>IFERROR(VLOOKUP($B36,base_índices!$A:$R,VLOOKUP(APRESENTAÇÃO!K36,base_índices!$A$142:$B$158,2,FALSE),FALSE),0)</f>
        <v>10.5</v>
      </c>
      <c r="P36" s="33"/>
    </row>
    <row r="37" spans="2:16" s="131" customFormat="1" ht="18" hidden="1" customHeight="1" x14ac:dyDescent="0.25">
      <c r="B37" s="11" t="s">
        <v>302</v>
      </c>
      <c r="C37" s="127" t="str">
        <f t="shared" ref="C37" si="24">CONCATENATE("Custo baseado em ",K37," - ",M37," - ",O37)</f>
        <v xml:space="preserve">Custo baseado em HISTÓRICO DE CUSTO / PADRÃO ATUAL -  - </v>
      </c>
      <c r="D37" s="31">
        <f>base_dados_proj!C24</f>
        <v>0</v>
      </c>
      <c r="E37" s="132">
        <f t="shared" ref="E37" si="25">SUM(L37,N37,P37)/COUNTIF(L37:P37,"&gt;0")</f>
        <v>29.432500000000001</v>
      </c>
      <c r="F37" s="168">
        <f t="shared" ref="F37" si="26">D37*E37</f>
        <v>0</v>
      </c>
      <c r="G37" s="189"/>
      <c r="H37" s="237">
        <f t="shared" si="5"/>
        <v>0</v>
      </c>
      <c r="I37" s="141"/>
      <c r="J37" s="141"/>
      <c r="K37" s="142" t="s">
        <v>131</v>
      </c>
      <c r="L37" s="143">
        <f>IFERROR(VLOOKUP($B37,base_índices!$A:$R,VLOOKUP(APRESENTAÇÃO!K37,base_índices!$A$142:$B$158,2,FALSE),FALSE),0)</f>
        <v>29.432500000000001</v>
      </c>
      <c r="M37" s="142"/>
      <c r="N37" s="143"/>
      <c r="O37" s="142"/>
      <c r="P37" s="143"/>
    </row>
    <row r="38" spans="2:16" ht="18" customHeight="1" x14ac:dyDescent="0.25">
      <c r="B38" s="264" t="s">
        <v>80</v>
      </c>
      <c r="C38" s="266" t="s">
        <v>88</v>
      </c>
      <c r="D38" s="267"/>
      <c r="E38" s="268"/>
      <c r="F38" s="165">
        <f>SUM(F40:F41)</f>
        <v>127724.48354399999</v>
      </c>
      <c r="H38" s="237"/>
      <c r="K38" s="142" t="s">
        <v>131</v>
      </c>
      <c r="L38" s="143">
        <f>IFERROR(VLOOKUP($B38,base_índices!$A:$R,VLOOKUP(APRESENTAÇÃO!K38,base_índices!$A$142:$B$158,2,FALSE),FALSE),0)</f>
        <v>0</v>
      </c>
    </row>
    <row r="39" spans="2:16" ht="18" customHeight="1" x14ac:dyDescent="0.25">
      <c r="B39" s="265" t="s">
        <v>78</v>
      </c>
      <c r="C39" s="15" t="s">
        <v>87</v>
      </c>
      <c r="D39" s="23" t="s">
        <v>74</v>
      </c>
      <c r="E39" s="16" t="s">
        <v>85</v>
      </c>
      <c r="F39" s="166" t="s">
        <v>86</v>
      </c>
      <c r="H39" s="237"/>
      <c r="K39" s="142" t="s">
        <v>131</v>
      </c>
      <c r="L39" s="143">
        <f>IFERROR(VLOOKUP($B39,base_índices!$A:$R,VLOOKUP(APRESENTAÇÃO!K39,base_índices!$A$142:$B$158,2,FALSE),FALSE),0)</f>
        <v>0</v>
      </c>
    </row>
    <row r="40" spans="2:16" ht="18" customHeight="1" x14ac:dyDescent="0.25">
      <c r="B40" s="13" t="s">
        <v>34</v>
      </c>
      <c r="C40" s="39" t="str">
        <f t="shared" ref="C40" si="27">CONCATENATE("Custo baseado em ",K40," - ",M40," - ",O40)</f>
        <v xml:space="preserve">Custo baseado em HISTÓRICO DE CUSTO / PADRÃO ATUAL -  - </v>
      </c>
      <c r="D40" s="31">
        <f>base_dados_proj!C7-base_dados_proj!E7</f>
        <v>42765.53</v>
      </c>
      <c r="E40" s="30">
        <f t="shared" ref="E40:E41" si="28">SUM(L40,N40,P40)/COUNTIF(L40:P40,"&gt;0")</f>
        <v>2.2397999999999998</v>
      </c>
      <c r="F40" s="167">
        <f>D40*E40</f>
        <v>95786.234093999985</v>
      </c>
      <c r="G40" s="189">
        <f>F40</f>
        <v>95786.234093999985</v>
      </c>
      <c r="H40" s="237">
        <f t="shared" si="5"/>
        <v>0</v>
      </c>
      <c r="K40" s="142" t="s">
        <v>131</v>
      </c>
      <c r="L40" s="143">
        <f>IFERROR(VLOOKUP($B40,base_índices!$A:$R,VLOOKUP(APRESENTAÇÃO!K40,base_índices!$A$142:$B$158,2,FALSE),FALSE),0)</f>
        <v>2.2397999999999998</v>
      </c>
      <c r="P40" s="33"/>
    </row>
    <row r="41" spans="2:16" s="131" customFormat="1" ht="18" customHeight="1" x14ac:dyDescent="0.25">
      <c r="B41" s="144" t="s">
        <v>392</v>
      </c>
      <c r="C41" s="145" t="str">
        <f t="shared" ref="C41" si="29">CONCATENATE("Custo baseado em ",K41," - ",M41," - ",O41)</f>
        <v xml:space="preserve">Custo baseado em HISTÓRICO DE CUSTO / PADRÃO ATUAL -  - </v>
      </c>
      <c r="D41" s="146">
        <v>0.5</v>
      </c>
      <c r="E41" s="140">
        <f t="shared" si="28"/>
        <v>63876.498899999999</v>
      </c>
      <c r="F41" s="170">
        <f>D41*E41</f>
        <v>31938.249449999999</v>
      </c>
      <c r="G41" s="189"/>
      <c r="H41" s="237">
        <f t="shared" si="5"/>
        <v>31938.249449999999</v>
      </c>
      <c r="I41" s="141"/>
      <c r="J41" s="141"/>
      <c r="K41" s="142" t="s">
        <v>131</v>
      </c>
      <c r="L41" s="143">
        <f>IFERROR(VLOOKUP($B41,base_índices!$A:$R,VLOOKUP(APRESENTAÇÃO!K41,base_índices!$A$142:$B$158,2,FALSE),FALSE),0)</f>
        <v>63876.498899999999</v>
      </c>
      <c r="M41" s="142"/>
      <c r="N41" s="143"/>
      <c r="O41" s="142"/>
      <c r="P41" s="143"/>
    </row>
    <row r="42" spans="2:16" ht="18" customHeight="1" x14ac:dyDescent="0.25">
      <c r="B42" s="264" t="s">
        <v>81</v>
      </c>
      <c r="C42" s="266" t="s">
        <v>88</v>
      </c>
      <c r="D42" s="267"/>
      <c r="E42" s="268"/>
      <c r="F42" s="165">
        <f>SUM(F44:F57)</f>
        <v>1956929.817424</v>
      </c>
      <c r="H42" s="237"/>
      <c r="K42" s="142" t="s">
        <v>131</v>
      </c>
      <c r="L42" s="143">
        <f>IFERROR(VLOOKUP($B42,base_índices!$A:$R,VLOOKUP(APRESENTAÇÃO!K42,base_índices!$A$142:$B$158,2,FALSE),FALSE),0)</f>
        <v>0</v>
      </c>
    </row>
    <row r="43" spans="2:16" ht="18" customHeight="1" x14ac:dyDescent="0.25">
      <c r="B43" s="265" t="s">
        <v>78</v>
      </c>
      <c r="C43" s="15" t="s">
        <v>87</v>
      </c>
      <c r="D43" s="23" t="s">
        <v>74</v>
      </c>
      <c r="E43" s="16" t="s">
        <v>85</v>
      </c>
      <c r="F43" s="166" t="s">
        <v>86</v>
      </c>
      <c r="H43" s="237"/>
      <c r="K43" s="142" t="s">
        <v>131</v>
      </c>
      <c r="L43" s="143">
        <f>IFERROR(VLOOKUP($B43,base_índices!$A:$R,VLOOKUP(APRESENTAÇÃO!K43,base_índices!$A$142:$B$158,2,FALSE),FALSE),0)</f>
        <v>0</v>
      </c>
    </row>
    <row r="44" spans="2:16" s="19" customFormat="1" ht="18" customHeight="1" x14ac:dyDescent="0.25">
      <c r="B44" s="144" t="s">
        <v>120</v>
      </c>
      <c r="C44" s="145" t="str">
        <f>CONCATENATE("Custo baseado em ",K44," - ",M44," - ",O44)</f>
        <v xml:space="preserve">Custo baseado em HISTÓRICO DE CUSTO / PADRÃO ATUAL -  - </v>
      </c>
      <c r="D44" s="146">
        <f>base_dados_proj!C7-base_dados_proj!E7</f>
        <v>42765.53</v>
      </c>
      <c r="E44" s="140">
        <f t="shared" ref="E44:E49" si="30">SUM(L44,N44,P44)/COUNTIF(L44:P44,"&gt;0")</f>
        <v>5.0438000000000001</v>
      </c>
      <c r="F44" s="170">
        <f>D44*E44</f>
        <v>215700.780214</v>
      </c>
      <c r="G44" s="66">
        <f>F44/2</f>
        <v>107850.390107</v>
      </c>
      <c r="H44" s="237">
        <f t="shared" si="5"/>
        <v>107850.390107</v>
      </c>
      <c r="I44" s="149"/>
      <c r="J44" s="149"/>
      <c r="K44" s="142" t="s">
        <v>131</v>
      </c>
      <c r="L44" s="143">
        <f>IFERROR(VLOOKUP($B44,base_índices!$A:$R,VLOOKUP(APRESENTAÇÃO!K44,base_índices!$A$142:$B$158,2,FALSE),FALSE),0)</f>
        <v>5.0438000000000001</v>
      </c>
      <c r="M44" s="35"/>
      <c r="N44" s="36"/>
      <c r="O44" s="35"/>
      <c r="P44" s="36"/>
    </row>
    <row r="45" spans="2:16" s="19" customFormat="1" ht="18" customHeight="1" x14ac:dyDescent="0.25">
      <c r="B45" s="144" t="s">
        <v>125</v>
      </c>
      <c r="C45" s="145" t="str">
        <f>CONCATENATE("Custo baseado em ",K45," - ",M45," - ",O45)</f>
        <v xml:space="preserve">Custo baseado em HISTÓRICO DE CUSTO / PADRÃO ATUAL -  - </v>
      </c>
      <c r="D45" s="146">
        <f>base_dados_proj!C28</f>
        <v>6872.22</v>
      </c>
      <c r="E45" s="140">
        <f t="shared" si="30"/>
        <v>65</v>
      </c>
      <c r="F45" s="170">
        <f t="shared" ref="F45" si="31">D45*E45</f>
        <v>446694.3</v>
      </c>
      <c r="G45" s="66">
        <f>(F45/5011.36)*3013</f>
        <v>268567.79914035311</v>
      </c>
      <c r="H45" s="237">
        <f t="shared" si="5"/>
        <v>178126.50085964688</v>
      </c>
      <c r="I45" s="141"/>
      <c r="J45" s="151"/>
      <c r="K45" s="142" t="s">
        <v>131</v>
      </c>
      <c r="L45" s="143">
        <f>IFERROR(VLOOKUP($B45,base_índices!$A:$R,VLOOKUP(APRESENTAÇÃO!K45,base_índices!$A$142:$B$158,2,FALSE),FALSE),0)</f>
        <v>65</v>
      </c>
      <c r="M45" s="35"/>
      <c r="N45" s="36"/>
      <c r="O45" s="35"/>
      <c r="P45" s="36"/>
    </row>
    <row r="46" spans="2:16" s="137" customFormat="1" ht="18" customHeight="1" x14ac:dyDescent="0.25">
      <c r="B46" s="144" t="s">
        <v>114</v>
      </c>
      <c r="C46" s="145" t="str">
        <f>CONCATENATE("Custo baseado em ",K46," - ",M46," - ",O46)</f>
        <v xml:space="preserve">Custo baseado em HISTÓRICO DE CUSTO / PADRÃO ATUAL -  - </v>
      </c>
      <c r="D46" s="146">
        <v>401.27</v>
      </c>
      <c r="E46" s="140">
        <f t="shared" si="30"/>
        <v>180.51240000000001</v>
      </c>
      <c r="F46" s="170">
        <f>D46*E46</f>
        <v>72434.210747999998</v>
      </c>
      <c r="G46" s="66">
        <f>F46/2</f>
        <v>36217.105373999999</v>
      </c>
      <c r="H46" s="237">
        <f t="shared" si="5"/>
        <v>36217.105373999999</v>
      </c>
      <c r="I46" s="141"/>
      <c r="J46" s="141"/>
      <c r="K46" s="142" t="s">
        <v>131</v>
      </c>
      <c r="L46" s="143">
        <f>IFERROR(VLOOKUP($B46,base_índices!$A:$R,VLOOKUP(APRESENTAÇÃO!K46,base_índices!$A$142:$B$158,2,FALSE),FALSE),0)</f>
        <v>180.51240000000001</v>
      </c>
      <c r="M46" s="147"/>
      <c r="N46" s="148"/>
      <c r="O46" s="147"/>
      <c r="P46" s="148"/>
    </row>
    <row r="47" spans="2:16" s="133" customFormat="1" ht="18" customHeight="1" x14ac:dyDescent="0.25">
      <c r="B47" s="144" t="s">
        <v>39</v>
      </c>
      <c r="C47" s="145" t="str">
        <f>CONCATENATE("Custo baseado em ",K47," - ",M47," - ",O47)</f>
        <v xml:space="preserve">Custo baseado em HISTÓRICO DE CUSTO / PADRÃO ATUAL -  - </v>
      </c>
      <c r="D47" s="146">
        <v>401.27</v>
      </c>
      <c r="E47" s="140">
        <f>SUM(L47,N47,P47)/COUNTIF(L47:P47,"&gt;0")</f>
        <v>69.065600000000003</v>
      </c>
      <c r="F47" s="170">
        <f>D47*E47</f>
        <v>27713.953312000001</v>
      </c>
      <c r="G47" s="66">
        <f>F47/2</f>
        <v>13856.976656000001</v>
      </c>
      <c r="H47" s="237">
        <f t="shared" si="5"/>
        <v>13856.976656000001</v>
      </c>
      <c r="I47" s="157"/>
      <c r="J47" s="160"/>
      <c r="K47" s="142" t="s">
        <v>131</v>
      </c>
      <c r="L47" s="143">
        <f>IFERROR(VLOOKUP($B47,base_índices!$A:$R,VLOOKUP(APRESENTAÇÃO!K47,base_índices!$A$142:$B$158,2,FALSE),FALSE),0)</f>
        <v>69.065600000000003</v>
      </c>
      <c r="M47" s="153"/>
      <c r="N47" s="156"/>
      <c r="O47" s="153"/>
      <c r="P47" s="156"/>
    </row>
    <row r="48" spans="2:16" ht="18" customHeight="1" x14ac:dyDescent="0.25">
      <c r="B48" s="144" t="s">
        <v>38</v>
      </c>
      <c r="C48" s="145" t="str">
        <f t="shared" ref="C48:C49" si="32">CONCATENATE("Custo baseado em ",K48," - ",M48," - ",O48)</f>
        <v xml:space="preserve">Custo baseado em HISTÓRICO DE CUSTO / PADRÃO ATUAL -  - </v>
      </c>
      <c r="D48" s="146">
        <f>base_dados_proj!C31</f>
        <v>1405.6</v>
      </c>
      <c r="E48" s="140">
        <f t="shared" si="30"/>
        <v>69.5428</v>
      </c>
      <c r="F48" s="170">
        <f>D48*E48</f>
        <v>97749.359679999994</v>
      </c>
      <c r="G48" s="189">
        <f>(F48/5011.36)*3013.4</f>
        <v>58778.040384189517</v>
      </c>
      <c r="H48" s="237">
        <f t="shared" si="5"/>
        <v>38971.319295810477</v>
      </c>
      <c r="K48" s="142" t="s">
        <v>131</v>
      </c>
      <c r="L48" s="143">
        <f>IFERROR(VLOOKUP($B48,base_índices!$A:$R,VLOOKUP(APRESENTAÇÃO!K48,base_índices!$A$142:$B$158,2,FALSE),FALSE),0)</f>
        <v>69.5428</v>
      </c>
      <c r="P48" s="33"/>
    </row>
    <row r="49" spans="2:16" ht="18" customHeight="1" x14ac:dyDescent="0.25">
      <c r="B49" s="230" t="s">
        <v>141</v>
      </c>
      <c r="C49" s="39" t="str">
        <f t="shared" si="32"/>
        <v xml:space="preserve">Custo baseado em HISTÓRICO DE CUSTO / PADRÃO ATUAL -  - </v>
      </c>
      <c r="D49" s="31">
        <f>base_dados_proj!C30</f>
        <v>1475.8799999999999</v>
      </c>
      <c r="E49" s="30">
        <f t="shared" si="30"/>
        <v>67.252899999999997</v>
      </c>
      <c r="F49" s="167">
        <f>D49*E49</f>
        <v>99257.21005199998</v>
      </c>
      <c r="G49" s="189">
        <f>(F49/5011.36)*3013.4</f>
        <v>59684.731643844541</v>
      </c>
      <c r="H49" s="237">
        <f t="shared" si="5"/>
        <v>39572.478408155439</v>
      </c>
      <c r="J49" s="151"/>
      <c r="K49" s="142" t="s">
        <v>131</v>
      </c>
      <c r="L49" s="143">
        <f>IFERROR(VLOOKUP($B49,base_índices!$A:$R,VLOOKUP(APRESENTAÇÃO!K49,base_índices!$A$142:$B$158,2,FALSE),FALSE),0)</f>
        <v>67.252899999999997</v>
      </c>
      <c r="P49" s="33"/>
    </row>
    <row r="50" spans="2:16" s="131" customFormat="1" ht="18" customHeight="1" x14ac:dyDescent="0.25">
      <c r="B50" s="144" t="s">
        <v>110</v>
      </c>
      <c r="C50" s="145" t="s">
        <v>75</v>
      </c>
      <c r="D50" s="146">
        <v>1</v>
      </c>
      <c r="E50" s="140">
        <f>'Pavimentação Interna'!B28</f>
        <v>617951.40948000003</v>
      </c>
      <c r="F50" s="170">
        <f>(D50*E50)</f>
        <v>617951.40948000003</v>
      </c>
      <c r="G50" s="191">
        <f>(F50/5011.36)*3013.4</f>
        <v>371582.71952664194</v>
      </c>
      <c r="H50" s="237">
        <f t="shared" si="5"/>
        <v>246368.68995335809</v>
      </c>
      <c r="I50" s="178"/>
      <c r="J50" s="151"/>
      <c r="K50" s="142" t="s">
        <v>131</v>
      </c>
      <c r="L50" s="143">
        <f>IFERROR(VLOOKUP($B50,base_índices!$A:$R,VLOOKUP(APRESENTAÇÃO!K50,base_índices!$A$142:$B$158,2,FALSE),FALSE),0)</f>
        <v>0</v>
      </c>
      <c r="M50" s="142"/>
      <c r="N50" s="143"/>
      <c r="O50" s="142"/>
      <c r="P50" s="143"/>
    </row>
    <row r="51" spans="2:16" ht="18" hidden="1" customHeight="1" x14ac:dyDescent="0.25">
      <c r="B51" s="13" t="s">
        <v>37</v>
      </c>
      <c r="C51" s="39" t="str">
        <f>CONCATENATE("Custo baseado em ",K51," - ",M51," - ",O51)</f>
        <v xml:space="preserve">Custo baseado em HISTÓRICO DE CUSTO / PADRÃO ATUAL -  - </v>
      </c>
      <c r="D51" s="31"/>
      <c r="E51" s="30">
        <f t="shared" ref="E51" si="33">SUM(L51,N51,P51)/COUNTIF(L51:P51,"&gt;0")</f>
        <v>13000</v>
      </c>
      <c r="F51" s="167">
        <f>D51*E51</f>
        <v>0</v>
      </c>
      <c r="G51" s="189">
        <f>F51/2</f>
        <v>0</v>
      </c>
      <c r="H51" s="237">
        <f t="shared" si="5"/>
        <v>0</v>
      </c>
      <c r="I51" s="151"/>
      <c r="J51" s="151"/>
      <c r="K51" s="142" t="s">
        <v>131</v>
      </c>
      <c r="L51" s="143">
        <f>IFERROR(VLOOKUP($B51,base_índices!$A:$R,VLOOKUP(APRESENTAÇÃO!K51,base_índices!$A$142:$B$158,2,FALSE),FALSE),0)</f>
        <v>13000</v>
      </c>
      <c r="P51" s="33"/>
    </row>
    <row r="52" spans="2:16" s="131" customFormat="1" ht="20.100000000000001" hidden="1" customHeight="1" x14ac:dyDescent="0.25">
      <c r="B52" s="230" t="s">
        <v>299</v>
      </c>
      <c r="C52" s="39" t="str">
        <f t="shared" ref="C52" si="34">CONCATENATE("Custo baseado em ",K52," - ",M52," - ",O52)</f>
        <v xml:space="preserve">Custo baseado em HISTÓRICO DE CUSTO / PADRÃO ATUAL -  - </v>
      </c>
      <c r="D52" s="31"/>
      <c r="E52" s="30">
        <f t="shared" ref="E52" si="35">SUM(L52,N52,P52)/COUNTIF(L52:P52,"&gt;0")</f>
        <v>22559.398099999999</v>
      </c>
      <c r="F52" s="167">
        <f t="shared" ref="F52" si="36">D52*E52</f>
        <v>0</v>
      </c>
      <c r="G52" s="189">
        <f>F52/2</f>
        <v>0</v>
      </c>
      <c r="H52" s="237">
        <f t="shared" si="5"/>
        <v>0</v>
      </c>
      <c r="I52" s="141"/>
      <c r="J52" s="141"/>
      <c r="K52" s="142" t="s">
        <v>131</v>
      </c>
      <c r="L52" s="143">
        <f>IFERROR(VLOOKUP($B52,base_índices!$A:$R,VLOOKUP(APRESENTAÇÃO!K52,base_índices!$A$142:$B$158,2,FALSE),FALSE),0)</f>
        <v>22559.398099999999</v>
      </c>
      <c r="M52" s="152"/>
      <c r="N52" s="193"/>
      <c r="O52" s="152"/>
      <c r="P52" s="193"/>
    </row>
    <row r="53" spans="2:16" s="19" customFormat="1" ht="18" customHeight="1" x14ac:dyDescent="0.25">
      <c r="B53" s="144" t="s">
        <v>274</v>
      </c>
      <c r="C53" s="145" t="str">
        <f>CONCATENATE("Custo baseado em ",K53," - ",M53," -",O53)</f>
        <v>Custo baseado em HISTÓRICO DE CUSTO / PADRÃO ATUAL -  -</v>
      </c>
      <c r="D53" s="146">
        <f>D45*2</f>
        <v>13744.44</v>
      </c>
      <c r="E53" s="140">
        <f>SUM(L53,N53,P53)/COUNTIF(L53:P53,"&gt;0")</f>
        <v>2.5842999999999998</v>
      </c>
      <c r="F53" s="170">
        <f t="shared" ref="F53" si="37">D53*E53</f>
        <v>35519.756291999998</v>
      </c>
      <c r="G53" s="66">
        <f>F53/2</f>
        <v>17759.878145999999</v>
      </c>
      <c r="H53" s="237">
        <f t="shared" si="5"/>
        <v>17759.878145999999</v>
      </c>
      <c r="I53" s="160"/>
      <c r="J53" s="137"/>
      <c r="K53" s="142" t="s">
        <v>131</v>
      </c>
      <c r="L53" s="143">
        <f>IFERROR(VLOOKUP($B53,base_índices!$A:$R,VLOOKUP(APRESENTAÇÃO!K53,base_índices!$A$142:$B$158,2,FALSE),FALSE),0)</f>
        <v>2.5842999999999998</v>
      </c>
      <c r="M53" s="35"/>
      <c r="N53" s="36"/>
      <c r="O53" s="35"/>
      <c r="P53" s="36"/>
    </row>
    <row r="54" spans="2:16" s="19" customFormat="1" ht="18" customHeight="1" x14ac:dyDescent="0.25">
      <c r="B54" s="144" t="s">
        <v>127</v>
      </c>
      <c r="C54" s="145" t="str">
        <f>CONCATENATE("Custo baseado em ",K54," - ",M54," - ",O54)</f>
        <v xml:space="preserve">Custo baseado em HISTÓRICO DE CUSTO / PADRÃO ATUAL -  - </v>
      </c>
      <c r="D54" s="146">
        <f>base_dados_proj!C28</f>
        <v>6872.22</v>
      </c>
      <c r="E54" s="140">
        <f>SUM(L54,N54,P54)/COUNTIF(L54:P54,"&gt;0")</f>
        <v>33.3093</v>
      </c>
      <c r="F54" s="170">
        <f>D54*E54</f>
        <v>228908.837646</v>
      </c>
      <c r="G54" s="66">
        <f>F54/2</f>
        <v>114454.418823</v>
      </c>
      <c r="H54" s="237">
        <f t="shared" si="5"/>
        <v>114454.418823</v>
      </c>
      <c r="I54" s="141"/>
      <c r="J54" s="151"/>
      <c r="K54" s="142" t="s">
        <v>131</v>
      </c>
      <c r="L54" s="143">
        <f>IFERROR(VLOOKUP($B54,base_índices!$A:$R,VLOOKUP(APRESENTAÇÃO!K54,base_índices!$A$142:$B$158,2,FALSE),FALSE),0)</f>
        <v>33.3093</v>
      </c>
      <c r="M54" s="35"/>
      <c r="N54" s="36"/>
      <c r="O54" s="35"/>
      <c r="P54" s="36"/>
    </row>
    <row r="55" spans="2:16" s="137" customFormat="1" ht="18" hidden="1" customHeight="1" x14ac:dyDescent="0.25">
      <c r="B55" s="144" t="s">
        <v>275</v>
      </c>
      <c r="C55" s="145" t="str">
        <f t="shared" ref="C55" si="38">CONCATENATE("Custo baseado em ",K55," - ",M55," - ",O55)</f>
        <v xml:space="preserve">Custo baseado em HISTÓRICO DE CUSTO / PADRÃO ATUAL -  - </v>
      </c>
      <c r="D55" s="146">
        <f>base_dados_proj!C6</f>
        <v>0</v>
      </c>
      <c r="E55" s="140">
        <f t="shared" ref="E55:E56" si="39">SUM(L55,N55,P55)/COUNTIF(L55:P55,"&gt;0")</f>
        <v>215.49809999999999</v>
      </c>
      <c r="F55" s="170">
        <f>D55*E55</f>
        <v>0</v>
      </c>
      <c r="G55" s="66"/>
      <c r="H55" s="237">
        <f t="shared" si="5"/>
        <v>0</v>
      </c>
      <c r="I55" s="141"/>
      <c r="J55" s="151"/>
      <c r="K55" s="142" t="s">
        <v>131</v>
      </c>
      <c r="L55" s="143">
        <f>IFERROR(VLOOKUP($B55,base_índices!$A:$R,VLOOKUP(APRESENTAÇÃO!K55,base_índices!$A$142:$B$158,2,FALSE),FALSE),0)</f>
        <v>215.49809999999999</v>
      </c>
      <c r="M55" s="147"/>
      <c r="N55" s="148"/>
      <c r="O55" s="147"/>
      <c r="P55" s="148"/>
    </row>
    <row r="56" spans="2:16" s="137" customFormat="1" ht="18" hidden="1" customHeight="1" x14ac:dyDescent="0.25">
      <c r="B56" s="144" t="s">
        <v>297</v>
      </c>
      <c r="C56" s="145" t="str">
        <f t="shared" ref="C56" si="40">CONCATENATE("Custo baseado em ",K56," - ",M56," - ",O56)</f>
        <v xml:space="preserve">Custo baseado em HISTÓRICO DE CUSTO / PADRÃO ATUAL -  - </v>
      </c>
      <c r="D56" s="146">
        <f>base_dados_proj!C6</f>
        <v>0</v>
      </c>
      <c r="E56" s="140" t="e">
        <f t="shared" si="39"/>
        <v>#DIV/0!</v>
      </c>
      <c r="F56" s="170"/>
      <c r="G56" s="66"/>
      <c r="H56" s="237">
        <f t="shared" si="5"/>
        <v>0</v>
      </c>
      <c r="I56" s="141"/>
      <c r="J56" s="151"/>
      <c r="K56" s="142" t="s">
        <v>131</v>
      </c>
      <c r="L56" s="143">
        <f>IFERROR(VLOOKUP($B56,base_índices!$A:$R,VLOOKUP(APRESENTAÇÃO!K56,base_índices!$A$142:$B$158,2,FALSE),FALSE),0)</f>
        <v>0</v>
      </c>
      <c r="M56" s="147"/>
      <c r="N56" s="148"/>
      <c r="O56" s="147"/>
      <c r="P56" s="148"/>
    </row>
    <row r="57" spans="2:16" s="137" customFormat="1" ht="18" customHeight="1" x14ac:dyDescent="0.25">
      <c r="B57" s="144" t="s">
        <v>128</v>
      </c>
      <c r="C57" s="145" t="str">
        <f>CONCATENATE("Custo baseado em ",K57," - ",M57," - ",O57)</f>
        <v xml:space="preserve">Custo baseado em HISTÓRICO DE CUSTO / PADRÃO ATUAL -  - </v>
      </c>
      <c r="D57" s="146">
        <v>1</v>
      </c>
      <c r="E57" s="140">
        <v>115000</v>
      </c>
      <c r="F57" s="170">
        <f>E57*D57</f>
        <v>115000</v>
      </c>
      <c r="G57" s="236">
        <f>F57</f>
        <v>115000</v>
      </c>
      <c r="H57" s="237">
        <f t="shared" si="5"/>
        <v>0</v>
      </c>
      <c r="I57" s="149"/>
      <c r="K57" s="142" t="s">
        <v>131</v>
      </c>
      <c r="L57" s="143">
        <f>IFERROR(VLOOKUP($B57,base_índices!$A:$R,VLOOKUP(APRESENTAÇÃO!K57,base_índices!$A$142:$B$158,2,FALSE),FALSE),0)</f>
        <v>0</v>
      </c>
      <c r="M57" s="147"/>
      <c r="N57" s="148"/>
      <c r="O57" s="147"/>
      <c r="P57" s="148"/>
    </row>
    <row r="58" spans="2:16" ht="18" customHeight="1" x14ac:dyDescent="0.25">
      <c r="B58" s="264" t="s">
        <v>82</v>
      </c>
      <c r="C58" s="266" t="s">
        <v>88</v>
      </c>
      <c r="D58" s="267"/>
      <c r="E58" s="268"/>
      <c r="F58" s="165">
        <f>SUM(F60:F64)</f>
        <v>549198.93308699992</v>
      </c>
      <c r="H58" s="237"/>
      <c r="K58" s="142" t="s">
        <v>131</v>
      </c>
      <c r="L58" s="143">
        <f>IFERROR(VLOOKUP($B58,base_índices!$A:$R,VLOOKUP(APRESENTAÇÃO!K58,base_índices!$A$142:$B$158,2,FALSE),FALSE),0)</f>
        <v>0</v>
      </c>
    </row>
    <row r="59" spans="2:16" ht="18" customHeight="1" x14ac:dyDescent="0.25">
      <c r="B59" s="265" t="s">
        <v>78</v>
      </c>
      <c r="C59" s="15" t="s">
        <v>87</v>
      </c>
      <c r="D59" s="23" t="s">
        <v>74</v>
      </c>
      <c r="E59" s="16" t="s">
        <v>85</v>
      </c>
      <c r="F59" s="166" t="s">
        <v>86</v>
      </c>
      <c r="H59" s="237"/>
      <c r="K59" s="142" t="s">
        <v>131</v>
      </c>
      <c r="L59" s="143">
        <f>IFERROR(VLOOKUP($B59,base_índices!$A:$R,VLOOKUP(APRESENTAÇÃO!K59,base_índices!$A$142:$B$158,2,FALSE),FALSE),0)</f>
        <v>0</v>
      </c>
    </row>
    <row r="60" spans="2:16" s="131" customFormat="1" ht="18" customHeight="1" x14ac:dyDescent="0.25">
      <c r="B60" s="144" t="s">
        <v>330</v>
      </c>
      <c r="C60" s="145" t="str">
        <f t="shared" ref="C60:C63" si="41">CONCATENATE("Custo baseado em ",K60," - ",M60," - ",O60)</f>
        <v xml:space="preserve">Custo baseado em HISTÓRICO DE CUSTO / PADRÃO ATUAL -  - </v>
      </c>
      <c r="D60" s="146">
        <f>base_dados_proj!C36</f>
        <v>167.43</v>
      </c>
      <c r="E60" s="140">
        <v>708.4</v>
      </c>
      <c r="F60" s="170">
        <f t="shared" ref="F60" si="42">D60*E60</f>
        <v>118607.412</v>
      </c>
      <c r="G60" s="190">
        <f>F60</f>
        <v>118607.412</v>
      </c>
      <c r="H60" s="237">
        <f t="shared" si="5"/>
        <v>0</v>
      </c>
      <c r="I60" s="141"/>
      <c r="J60" s="141"/>
      <c r="K60" s="142" t="s">
        <v>131</v>
      </c>
      <c r="L60" s="143">
        <f>IFERROR(VLOOKUP($B60,base_índices!$A:$R,VLOOKUP(APRESENTAÇÃO!K60,base_índices!$A$142:$B$158,2,FALSE),FALSE),0)</f>
        <v>0</v>
      </c>
      <c r="M60" s="142"/>
      <c r="N60" s="143"/>
      <c r="O60" s="142"/>
      <c r="P60" s="143"/>
    </row>
    <row r="61" spans="2:16" s="137" customFormat="1" ht="18" customHeight="1" x14ac:dyDescent="0.25">
      <c r="B61" s="144" t="s">
        <v>41</v>
      </c>
      <c r="C61" s="145" t="str">
        <f t="shared" si="41"/>
        <v xml:space="preserve">Custo baseado em HISTÓRICO DE CUSTO / PADRÃO ATUAL -  - </v>
      </c>
      <c r="D61" s="146">
        <f>base_dados_proj!C35</f>
        <v>572.03</v>
      </c>
      <c r="E61" s="140">
        <f t="shared" ref="E61" si="43">SUM(L61,N61,P61)/COUNTIF(L61:P61,"&gt;0")</f>
        <v>752.74289999999996</v>
      </c>
      <c r="F61" s="170">
        <f>D61*E61</f>
        <v>430591.52108699997</v>
      </c>
      <c r="G61" s="66">
        <f>F61</f>
        <v>430591.52108699997</v>
      </c>
      <c r="H61" s="237"/>
      <c r="I61" s="141"/>
      <c r="J61" s="151"/>
      <c r="K61" s="142" t="s">
        <v>131</v>
      </c>
      <c r="L61" s="143">
        <f>IFERROR(VLOOKUP($B61,base_índices!$A:$R,VLOOKUP(APRESENTAÇÃO!K61,base_índices!$A$142:$B$158,2,FALSE),FALSE),0)</f>
        <v>752.74289999999996</v>
      </c>
      <c r="M61" s="147"/>
      <c r="N61" s="148"/>
      <c r="O61" s="147"/>
      <c r="P61" s="148"/>
    </row>
    <row r="62" spans="2:16" s="131" customFormat="1" ht="18" hidden="1" customHeight="1" x14ac:dyDescent="0.25">
      <c r="B62" s="144" t="s">
        <v>330</v>
      </c>
      <c r="C62" s="145" t="str">
        <f>CONCATENATE("Custo baseado em ",K62," - ",M62," - Faseamento",O62)</f>
        <v>Custo baseado em HISTÓRICO DE CUSTO / PADRÃO ATUAL -  - Faseamento</v>
      </c>
      <c r="D62" s="146"/>
      <c r="E62" s="140">
        <v>708.4</v>
      </c>
      <c r="F62" s="170">
        <f t="shared" ref="F62" si="44">D62*E62</f>
        <v>0</v>
      </c>
      <c r="G62" s="190">
        <f>F62</f>
        <v>0</v>
      </c>
      <c r="H62" s="237">
        <f t="shared" si="5"/>
        <v>0</v>
      </c>
      <c r="I62" s="141"/>
      <c r="J62" s="141"/>
      <c r="K62" s="142" t="s">
        <v>131</v>
      </c>
      <c r="L62" s="143">
        <f>IFERROR(VLOOKUP($B62,base_índices!$A:$R,VLOOKUP(APRESENTAÇÃO!K62,base_índices!$A$142:$B$158,2,FALSE),FALSE),0)</f>
        <v>0</v>
      </c>
      <c r="M62" s="142"/>
      <c r="N62" s="143"/>
      <c r="O62" s="142"/>
      <c r="P62" s="143"/>
    </row>
    <row r="63" spans="2:16" s="133" customFormat="1" ht="18" hidden="1" customHeight="1" x14ac:dyDescent="0.25">
      <c r="B63" s="134" t="s">
        <v>291</v>
      </c>
      <c r="C63" s="135" t="str">
        <f t="shared" si="41"/>
        <v xml:space="preserve">Custo baseado em HISTÓRICO DE CUSTO / PADRÃO ATUAL -  - </v>
      </c>
      <c r="D63" s="139">
        <f>base_dados_proj!E37</f>
        <v>0</v>
      </c>
      <c r="E63" s="140" t="e">
        <f t="shared" ref="E63" si="45">SUM(L63,N63,P63)/COUNTIF(L63:P63,"&gt;0")</f>
        <v>#DIV/0!</v>
      </c>
      <c r="F63" s="169"/>
      <c r="G63" s="190">
        <f>F63</f>
        <v>0</v>
      </c>
      <c r="H63" s="237">
        <f t="shared" si="5"/>
        <v>0</v>
      </c>
      <c r="I63" s="157"/>
      <c r="J63" s="157"/>
      <c r="K63" s="142" t="s">
        <v>131</v>
      </c>
      <c r="L63" s="143">
        <f>IFERROR(VLOOKUP($B63,base_índices!$A:$R,VLOOKUP(APRESENTAÇÃO!K63,base_índices!$A$142:$B$158,2,FALSE),FALSE),0)</f>
        <v>0</v>
      </c>
      <c r="M63" s="153"/>
      <c r="N63" s="156"/>
      <c r="O63" s="153"/>
      <c r="P63" s="156"/>
    </row>
    <row r="64" spans="2:16" s="133" customFormat="1" ht="18" hidden="1" customHeight="1" x14ac:dyDescent="0.25">
      <c r="B64" s="134" t="s">
        <v>117</v>
      </c>
      <c r="C64" s="135" t="str">
        <f t="shared" ref="C64" si="46">CONCATENATE("Custo baseado em ",K64," - ",M64," - ",O64)</f>
        <v xml:space="preserve">Custo baseado em HISTÓRICO DE CUSTO / PADRÃO ATUAL -  - </v>
      </c>
      <c r="D64" s="139">
        <f>base_dados_proj!C37</f>
        <v>0</v>
      </c>
      <c r="E64" s="136">
        <f t="shared" ref="E64" si="47">SUM(L64,N64,P64)/COUNTIF(L64:P64,"&gt;0")</f>
        <v>470</v>
      </c>
      <c r="F64" s="169">
        <f t="shared" ref="F64" si="48">D64*E64</f>
        <v>0</v>
      </c>
      <c r="G64" s="190">
        <f>F64</f>
        <v>0</v>
      </c>
      <c r="H64" s="237">
        <f t="shared" si="5"/>
        <v>0</v>
      </c>
      <c r="I64" s="157"/>
      <c r="J64" s="157"/>
      <c r="K64" s="142" t="s">
        <v>131</v>
      </c>
      <c r="L64" s="143">
        <f>IFERROR(VLOOKUP($B64,base_índices!$A:$R,VLOOKUP(APRESENTAÇÃO!K64,base_índices!$A$142:$B$158,2,FALSE),FALSE),0)</f>
        <v>470</v>
      </c>
      <c r="M64" s="153"/>
      <c r="N64" s="156"/>
      <c r="O64" s="153"/>
      <c r="P64" s="156"/>
    </row>
    <row r="65" spans="2:16" ht="18" customHeight="1" x14ac:dyDescent="0.25">
      <c r="B65" s="264" t="s">
        <v>83</v>
      </c>
      <c r="C65" s="266" t="s">
        <v>88</v>
      </c>
      <c r="D65" s="267"/>
      <c r="E65" s="268"/>
      <c r="F65" s="165">
        <f>SUM(F67:F69)</f>
        <v>504163.24752500001</v>
      </c>
      <c r="H65" s="237"/>
      <c r="K65" s="142" t="s">
        <v>131</v>
      </c>
      <c r="L65" s="143">
        <f>IFERROR(VLOOKUP($B65,base_índices!$A:$R,VLOOKUP(APRESENTAÇÃO!K65,base_índices!$A$142:$B$158,2,FALSE),FALSE),0)</f>
        <v>0</v>
      </c>
    </row>
    <row r="66" spans="2:16" ht="18" customHeight="1" x14ac:dyDescent="0.25">
      <c r="B66" s="265" t="s">
        <v>78</v>
      </c>
      <c r="C66" s="15" t="s">
        <v>87</v>
      </c>
      <c r="D66" s="23" t="s">
        <v>74</v>
      </c>
      <c r="E66" s="16" t="s">
        <v>85</v>
      </c>
      <c r="F66" s="166" t="s">
        <v>86</v>
      </c>
      <c r="H66" s="237"/>
      <c r="K66" s="142" t="s">
        <v>131</v>
      </c>
      <c r="L66" s="143">
        <f>IFERROR(VLOOKUP($B66,base_índices!$A:$R,VLOOKUP(APRESENTAÇÃO!K66,base_índices!$A$142:$B$158,2,FALSE),FALSE),0)</f>
        <v>0</v>
      </c>
    </row>
    <row r="67" spans="2:16" ht="18" customHeight="1" x14ac:dyDescent="0.25">
      <c r="B67" s="144" t="s">
        <v>44</v>
      </c>
      <c r="C67" s="145" t="str">
        <f>CONCATENATE("Custo baseado em ",K67," - ",M67," - ","")</f>
        <v xml:space="preserve">Custo baseado em HISTÓRICO DE CUSTO / PADRÃO ATUAL -  - </v>
      </c>
      <c r="D67" s="146">
        <f>base_dados_proj!C7</f>
        <v>47283.25</v>
      </c>
      <c r="E67" s="140">
        <f>SUM(L67,N67,P67)/COUNTIF(L67:P67,"&gt;0")</f>
        <v>1.9397</v>
      </c>
      <c r="F67" s="170">
        <f>D67*E67</f>
        <v>91715.320024999994</v>
      </c>
      <c r="G67" s="189">
        <f>F67*0.75</f>
        <v>68786.490018749988</v>
      </c>
      <c r="H67" s="237">
        <f t="shared" ref="H67:H112" si="49">F67-G67</f>
        <v>22928.830006250006</v>
      </c>
      <c r="K67" s="142" t="s">
        <v>131</v>
      </c>
      <c r="L67" s="143">
        <f>IFERROR(VLOOKUP($B67,base_índices!$A:$R,VLOOKUP(APRESENTAÇÃO!K67,base_índices!$A$142:$B$158,2,FALSE),FALSE),0)</f>
        <v>1.9397</v>
      </c>
      <c r="P67" s="33"/>
    </row>
    <row r="68" spans="2:16" ht="18" customHeight="1" x14ac:dyDescent="0.25">
      <c r="B68" s="144" t="s">
        <v>42</v>
      </c>
      <c r="C68" s="145" t="str">
        <f t="shared" ref="C68:C69" si="50">CONCATENATE("Custo baseado em ",K68," - ",M68," - ",O68)</f>
        <v xml:space="preserve">Custo baseado em HISTÓRICO DE CUSTO / PADRÃO ATUAL -  - </v>
      </c>
      <c r="D68" s="146">
        <f>base_dados_proj!C39</f>
        <v>39280.754999999997</v>
      </c>
      <c r="E68" s="140">
        <f>SUM(L68,N68,P68)/COUNTIF(L68:P68,"&gt;0")</f>
        <v>10.5</v>
      </c>
      <c r="F68" s="170">
        <f t="shared" ref="F68" si="51">D68*E68</f>
        <v>412447.92749999999</v>
      </c>
      <c r="G68" s="189">
        <f>F68</f>
        <v>412447.92749999999</v>
      </c>
      <c r="H68" s="237">
        <f t="shared" si="49"/>
        <v>0</v>
      </c>
      <c r="K68" s="142" t="s">
        <v>131</v>
      </c>
      <c r="L68" s="143">
        <f>IFERROR(VLOOKUP($B68,base_índices!$A:$R,VLOOKUP(APRESENTAÇÃO!K68,base_índices!$A$142:$B$158,2,FALSE),FALSE),0)</f>
        <v>10.5</v>
      </c>
      <c r="P68" s="33"/>
    </row>
    <row r="69" spans="2:16" s="133" customFormat="1" ht="18" hidden="1" customHeight="1" x14ac:dyDescent="0.25">
      <c r="B69" s="123" t="s">
        <v>43</v>
      </c>
      <c r="C69" s="154" t="str">
        <f t="shared" si="50"/>
        <v xml:space="preserve">Custo baseado em HISTÓRICO DE CUSTO / PADRÃO ATUAL -  - </v>
      </c>
      <c r="D69" s="155">
        <f>base_dados_proj!C40</f>
        <v>0</v>
      </c>
      <c r="E69" s="150">
        <f>SUM(L69,N69,P69)/COUNTIF(L69:P69,"&gt;0")*1.03</f>
        <v>1.4377769999999999</v>
      </c>
      <c r="F69" s="173"/>
      <c r="G69" s="190"/>
      <c r="H69" s="237">
        <f t="shared" si="49"/>
        <v>0</v>
      </c>
      <c r="I69" s="162"/>
      <c r="J69" s="157"/>
      <c r="K69" s="153" t="s">
        <v>131</v>
      </c>
      <c r="L69" s="156">
        <f>IFERROR(VLOOKUP($B69,base_índices!$A:$R,VLOOKUP(APRESENTAÇÃO!K69,base_índices!$A$142:$B$158,2,FALSE),FALSE),0)</f>
        <v>1.3958999999999999</v>
      </c>
      <c r="M69" s="153"/>
      <c r="N69" s="156"/>
      <c r="O69" s="153"/>
      <c r="P69" s="156"/>
    </row>
    <row r="70" spans="2:16" ht="18" customHeight="1" x14ac:dyDescent="0.25">
      <c r="B70" s="269" t="s">
        <v>12</v>
      </c>
      <c r="C70" s="266" t="s">
        <v>88</v>
      </c>
      <c r="D70" s="267"/>
      <c r="E70" s="268"/>
      <c r="F70" s="165">
        <f>SUM(F72:F88)</f>
        <v>5742430.2022738243</v>
      </c>
      <c r="H70" s="237"/>
      <c r="I70" s="151"/>
      <c r="K70" s="142" t="s">
        <v>131</v>
      </c>
      <c r="L70" s="143">
        <f>IFERROR(VLOOKUP($B70,base_índices!$A:$R,VLOOKUP(APRESENTAÇÃO!K70,base_índices!$A$142:$B$158,2,FALSE),FALSE),0)</f>
        <v>0</v>
      </c>
    </row>
    <row r="71" spans="2:16" s="19" customFormat="1" ht="18" customHeight="1" x14ac:dyDescent="0.25">
      <c r="B71" s="265"/>
      <c r="C71" s="119" t="s">
        <v>87</v>
      </c>
      <c r="D71" s="120" t="s">
        <v>74</v>
      </c>
      <c r="E71" s="121" t="s">
        <v>85</v>
      </c>
      <c r="F71" s="174" t="s">
        <v>86</v>
      </c>
      <c r="G71" s="189"/>
      <c r="H71" s="237"/>
      <c r="I71" s="151"/>
      <c r="J71" s="151"/>
      <c r="K71" s="142" t="s">
        <v>131</v>
      </c>
      <c r="L71" s="143">
        <f>IFERROR(VLOOKUP($B71,base_índices!$A:$R,VLOOKUP(APRESENTAÇÃO!K71,base_índices!$A$142:$B$158,2,FALSE),FALSE),0)</f>
        <v>0</v>
      </c>
      <c r="M71" s="35"/>
      <c r="N71" s="36"/>
      <c r="O71" s="35"/>
      <c r="P71" s="66"/>
    </row>
    <row r="72" spans="2:16" s="131" customFormat="1" ht="18" customHeight="1" x14ac:dyDescent="0.25">
      <c r="B72" s="262" t="s">
        <v>361</v>
      </c>
      <c r="C72" s="145" t="s">
        <v>202</v>
      </c>
      <c r="D72" s="146">
        <f>165.17+194.45</f>
        <v>359.62</v>
      </c>
      <c r="E72" s="140">
        <v>3566.36315837852</v>
      </c>
      <c r="F72" s="170">
        <f>E72*D72</f>
        <v>1282535.5190160833</v>
      </c>
      <c r="G72" s="193">
        <f>F72</f>
        <v>1282535.5190160833</v>
      </c>
      <c r="H72" s="237">
        <f t="shared" si="49"/>
        <v>0</v>
      </c>
      <c r="I72" s="51"/>
      <c r="J72" s="38"/>
      <c r="K72" s="142" t="s">
        <v>131</v>
      </c>
      <c r="L72" s="143">
        <f>IFERROR(VLOOKUP($B72,base_índices!$A:$R,VLOOKUP(APRESENTAÇÃO!K72,base_índices!$A$142:$B$158,2,FALSE),FALSE),0)</f>
        <v>0</v>
      </c>
      <c r="M72" s="142"/>
      <c r="N72" s="143"/>
      <c r="O72" s="142"/>
      <c r="P72" s="143"/>
    </row>
    <row r="73" spans="2:16" s="131" customFormat="1" ht="18" customHeight="1" x14ac:dyDescent="0.25">
      <c r="B73" s="303"/>
      <c r="C73" s="145" t="s">
        <v>362</v>
      </c>
      <c r="D73" s="146">
        <f>96.8+D72</f>
        <v>456.42</v>
      </c>
      <c r="E73" s="140">
        <v>450</v>
      </c>
      <c r="F73" s="170">
        <f>E73*D73</f>
        <v>205389</v>
      </c>
      <c r="G73" s="193">
        <f t="shared" ref="G73:G87" si="52">F73</f>
        <v>205389</v>
      </c>
      <c r="H73" s="237">
        <f t="shared" si="49"/>
        <v>0</v>
      </c>
      <c r="I73" s="51"/>
      <c r="J73" s="38"/>
      <c r="K73" s="142" t="s">
        <v>131</v>
      </c>
      <c r="L73" s="143">
        <f>IFERROR(VLOOKUP($B73,base_índices!$A:$R,VLOOKUP(APRESENTAÇÃO!K73,base_índices!$A$142:$B$158,2,FALSE),FALSE),0)</f>
        <v>0</v>
      </c>
      <c r="M73" s="142"/>
      <c r="N73" s="143"/>
      <c r="O73" s="142"/>
      <c r="P73" s="143"/>
    </row>
    <row r="74" spans="2:16" ht="18" customHeight="1" x14ac:dyDescent="0.25">
      <c r="B74" s="232" t="s">
        <v>322</v>
      </c>
      <c r="C74" s="145" t="s">
        <v>202</v>
      </c>
      <c r="D74" s="146">
        <v>273.35000000000002</v>
      </c>
      <c r="E74" s="140">
        <f>E72</f>
        <v>3566.36315837852</v>
      </c>
      <c r="F74" s="170">
        <f>D74*E74</f>
        <v>974865.36934276856</v>
      </c>
      <c r="G74" s="193"/>
      <c r="H74" s="237">
        <f t="shared" si="49"/>
        <v>974865.36934276856</v>
      </c>
      <c r="I74" s="34"/>
      <c r="J74" s="38"/>
      <c r="K74" s="142" t="s">
        <v>131</v>
      </c>
      <c r="L74" s="143">
        <f>IFERROR(VLOOKUP($B74,base_índices!$A:$R,VLOOKUP(APRESENTAÇÃO!K74,base_índices!$A$142:$B$158,2,FALSE),FALSE),0)</f>
        <v>0</v>
      </c>
      <c r="P74" s="33"/>
    </row>
    <row r="75" spans="2:16" s="131" customFormat="1" ht="18" customHeight="1" x14ac:dyDescent="0.25">
      <c r="B75" s="231" t="s">
        <v>323</v>
      </c>
      <c r="C75" s="145" t="s">
        <v>324</v>
      </c>
      <c r="D75" s="146">
        <v>62.04</v>
      </c>
      <c r="E75" s="140">
        <f t="shared" ref="E75:E78" si="53">F75/D75</f>
        <v>4476.7949709864615</v>
      </c>
      <c r="F75" s="170">
        <f>257167*1.08</f>
        <v>277740.36000000004</v>
      </c>
      <c r="G75" s="193">
        <f t="shared" si="52"/>
        <v>277740.36000000004</v>
      </c>
      <c r="H75" s="237">
        <f t="shared" si="49"/>
        <v>0</v>
      </c>
      <c r="I75" s="34"/>
      <c r="J75" s="38"/>
      <c r="K75" s="142" t="s">
        <v>131</v>
      </c>
      <c r="L75" s="143">
        <f>IFERROR(VLOOKUP($B75,base_índices!$A:$R,VLOOKUP(APRESENTAÇÃO!K75,base_índices!$A$142:$B$158,2,FALSE),FALSE),0)</f>
        <v>0</v>
      </c>
      <c r="M75" s="142"/>
      <c r="N75" s="143"/>
      <c r="O75" s="142"/>
      <c r="P75" s="143"/>
    </row>
    <row r="76" spans="2:16" s="131" customFormat="1" ht="18" customHeight="1" x14ac:dyDescent="0.25">
      <c r="B76" s="231" t="s">
        <v>325</v>
      </c>
      <c r="C76" s="145" t="s">
        <v>324</v>
      </c>
      <c r="D76" s="146">
        <v>62.04</v>
      </c>
      <c r="E76" s="140">
        <f t="shared" si="53"/>
        <v>4476.7949709864615</v>
      </c>
      <c r="F76" s="170">
        <f t="shared" ref="F76:F79" si="54">257167*1.08</f>
        <v>277740.36000000004</v>
      </c>
      <c r="G76" s="193"/>
      <c r="H76" s="237">
        <f t="shared" si="49"/>
        <v>277740.36000000004</v>
      </c>
      <c r="I76" s="34"/>
      <c r="J76" s="38"/>
      <c r="K76" s="142" t="s">
        <v>131</v>
      </c>
      <c r="L76" s="143">
        <f>IFERROR(VLOOKUP($B76,base_índices!$A:$R,VLOOKUP(APRESENTAÇÃO!K76,base_índices!$A$142:$B$158,2,FALSE),FALSE),0)</f>
        <v>0</v>
      </c>
      <c r="M76" s="142"/>
      <c r="N76" s="143"/>
      <c r="O76" s="142"/>
      <c r="P76" s="143"/>
    </row>
    <row r="77" spans="2:16" s="131" customFormat="1" ht="18" customHeight="1" x14ac:dyDescent="0.25">
      <c r="B77" s="231" t="s">
        <v>326</v>
      </c>
      <c r="C77" s="145" t="s">
        <v>324</v>
      </c>
      <c r="D77" s="146">
        <v>62.04</v>
      </c>
      <c r="E77" s="140">
        <f t="shared" si="53"/>
        <v>4476.7949709864615</v>
      </c>
      <c r="F77" s="170">
        <f t="shared" si="54"/>
        <v>277740.36000000004</v>
      </c>
      <c r="G77" s="193"/>
      <c r="H77" s="237">
        <f t="shared" si="49"/>
        <v>277740.36000000004</v>
      </c>
      <c r="I77" s="34"/>
      <c r="J77" s="38"/>
      <c r="K77" s="142" t="s">
        <v>131</v>
      </c>
      <c r="L77" s="143">
        <f>IFERROR(VLOOKUP($B77,base_índices!$A:$R,VLOOKUP(APRESENTAÇÃO!K77,base_índices!$A$142:$B$158,2,FALSE),FALSE),0)</f>
        <v>0</v>
      </c>
      <c r="M77" s="142"/>
      <c r="N77" s="143"/>
      <c r="O77" s="142"/>
      <c r="P77" s="143"/>
    </row>
    <row r="78" spans="2:16" s="131" customFormat="1" ht="18" customHeight="1" x14ac:dyDescent="0.25">
      <c r="B78" s="231" t="s">
        <v>327</v>
      </c>
      <c r="C78" s="145" t="s">
        <v>324</v>
      </c>
      <c r="D78" s="146">
        <v>62.04</v>
      </c>
      <c r="E78" s="140">
        <f t="shared" si="53"/>
        <v>4476.7949709864615</v>
      </c>
      <c r="F78" s="170">
        <f t="shared" si="54"/>
        <v>277740.36000000004</v>
      </c>
      <c r="G78" s="193"/>
      <c r="H78" s="237">
        <f t="shared" si="49"/>
        <v>277740.36000000004</v>
      </c>
      <c r="I78" s="34"/>
      <c r="J78" s="38"/>
      <c r="K78" s="142" t="s">
        <v>131</v>
      </c>
      <c r="L78" s="143">
        <f>IFERROR(VLOOKUP($B78,base_índices!$A:$R,VLOOKUP(APRESENTAÇÃO!K78,base_índices!$A$142:$B$158,2,FALSE),FALSE),0)</f>
        <v>0</v>
      </c>
      <c r="M78" s="142"/>
      <c r="N78" s="143"/>
      <c r="O78" s="142"/>
      <c r="P78" s="143"/>
    </row>
    <row r="79" spans="2:16" s="131" customFormat="1" ht="18" customHeight="1" x14ac:dyDescent="0.25">
      <c r="B79" s="231" t="s">
        <v>350</v>
      </c>
      <c r="C79" s="145" t="s">
        <v>324</v>
      </c>
      <c r="D79" s="146">
        <v>62.04</v>
      </c>
      <c r="E79" s="140">
        <f t="shared" ref="E79" si="55">F79/D79</f>
        <v>4476.7949709864615</v>
      </c>
      <c r="F79" s="170">
        <f t="shared" si="54"/>
        <v>277740.36000000004</v>
      </c>
      <c r="G79" s="193"/>
      <c r="H79" s="237">
        <f t="shared" si="49"/>
        <v>277740.36000000004</v>
      </c>
      <c r="I79" s="34"/>
      <c r="J79" s="38"/>
      <c r="K79" s="142" t="s">
        <v>131</v>
      </c>
      <c r="L79" s="143">
        <f>IFERROR(VLOOKUP($B79,base_índices!$A:$R,VLOOKUP(APRESENTAÇÃO!K79,base_índices!$A$142:$B$158,2,FALSE),FALSE),0)</f>
        <v>0</v>
      </c>
      <c r="M79" s="142"/>
      <c r="N79" s="143"/>
      <c r="O79" s="142"/>
      <c r="P79" s="143"/>
    </row>
    <row r="80" spans="2:16" s="131" customFormat="1" ht="18" customHeight="1" x14ac:dyDescent="0.25">
      <c r="B80" s="262" t="s">
        <v>338</v>
      </c>
      <c r="C80" s="145" t="s">
        <v>349</v>
      </c>
      <c r="D80" s="146">
        <f>527.38+228.34+23.56+136.54+110.88</f>
        <v>1026.6999999999998</v>
      </c>
      <c r="E80" s="140">
        <f>580*1.1</f>
        <v>638</v>
      </c>
      <c r="F80" s="170">
        <f>D80*E80</f>
        <v>655034.59999999986</v>
      </c>
      <c r="G80" s="193">
        <f t="shared" si="52"/>
        <v>655034.59999999986</v>
      </c>
      <c r="H80" s="237">
        <f t="shared" si="49"/>
        <v>0</v>
      </c>
      <c r="I80" s="34"/>
      <c r="J80" s="38"/>
      <c r="K80" s="142" t="s">
        <v>131</v>
      </c>
      <c r="L80" s="143">
        <f>IFERROR(VLOOKUP($B80,base_índices!$A:$R,VLOOKUP(APRESENTAÇÃO!K80,base_índices!$A$142:$B$158,2,FALSE),FALSE),0)</f>
        <v>0</v>
      </c>
      <c r="M80" s="142"/>
      <c r="N80" s="143"/>
      <c r="O80" s="142"/>
      <c r="P80" s="143"/>
    </row>
    <row r="81" spans="2:18" s="131" customFormat="1" ht="18" customHeight="1" x14ac:dyDescent="0.25">
      <c r="B81" s="303"/>
      <c r="C81" s="145" t="s">
        <v>364</v>
      </c>
      <c r="D81" s="146">
        <f>174.85+154.74</f>
        <v>329.59000000000003</v>
      </c>
      <c r="E81" s="140">
        <v>115</v>
      </c>
      <c r="F81" s="170">
        <f>E81*D81</f>
        <v>37902.850000000006</v>
      </c>
      <c r="G81" s="193">
        <f t="shared" si="52"/>
        <v>37902.850000000006</v>
      </c>
      <c r="H81" s="237">
        <f t="shared" si="49"/>
        <v>0</v>
      </c>
      <c r="I81" s="34"/>
      <c r="J81" s="38"/>
      <c r="K81" s="142"/>
      <c r="L81" s="143"/>
      <c r="M81" s="142"/>
      <c r="N81" s="143"/>
      <c r="O81" s="142"/>
      <c r="P81" s="143"/>
    </row>
    <row r="82" spans="2:18" s="131" customFormat="1" ht="18" customHeight="1" x14ac:dyDescent="0.25">
      <c r="B82" s="303"/>
      <c r="C82" s="145" t="s">
        <v>367</v>
      </c>
      <c r="D82" s="146">
        <v>2</v>
      </c>
      <c r="E82" s="140">
        <v>19000</v>
      </c>
      <c r="F82" s="170">
        <f>D82*E82</f>
        <v>38000</v>
      </c>
      <c r="G82" s="193">
        <f t="shared" si="52"/>
        <v>38000</v>
      </c>
      <c r="H82" s="237">
        <f t="shared" si="49"/>
        <v>0</v>
      </c>
      <c r="I82" s="34"/>
      <c r="J82" s="38"/>
      <c r="K82" s="142" t="s">
        <v>131</v>
      </c>
      <c r="L82" s="143">
        <f>IFERROR(VLOOKUP($B82,base_índices!$A:$R,VLOOKUP(APRESENTAÇÃO!K82,base_índices!$A$142:$B$158,2,FALSE),FALSE),0)</f>
        <v>0</v>
      </c>
      <c r="M82" s="142"/>
      <c r="N82" s="143"/>
      <c r="O82" s="142"/>
      <c r="P82" s="143"/>
    </row>
    <row r="83" spans="2:18" s="131" customFormat="1" ht="18" customHeight="1" x14ac:dyDescent="0.25">
      <c r="B83" s="303"/>
      <c r="C83" s="145" t="s">
        <v>345</v>
      </c>
      <c r="D83" s="146">
        <f>128.14+82.245+105.99</f>
        <v>316.375</v>
      </c>
      <c r="E83" s="140">
        <v>109.64</v>
      </c>
      <c r="F83" s="170">
        <f>D83*E83</f>
        <v>34687.355000000003</v>
      </c>
      <c r="G83" s="193">
        <f t="shared" si="52"/>
        <v>34687.355000000003</v>
      </c>
      <c r="H83" s="237">
        <f t="shared" si="49"/>
        <v>0</v>
      </c>
      <c r="I83" s="34"/>
      <c r="J83" s="38"/>
      <c r="K83" s="142" t="s">
        <v>131</v>
      </c>
      <c r="L83" s="143">
        <f>IFERROR(VLOOKUP($B83,base_índices!$A:$R,VLOOKUP(APRESENTAÇÃO!K83,base_índices!$A$142:$B$158,2,FALSE),FALSE),0)</f>
        <v>0</v>
      </c>
      <c r="M83" s="142"/>
      <c r="N83" s="143"/>
      <c r="O83" s="142"/>
      <c r="P83" s="143"/>
    </row>
    <row r="84" spans="2:18" s="131" customFormat="1" ht="18" customHeight="1" x14ac:dyDescent="0.25">
      <c r="B84" s="303"/>
      <c r="C84" s="145" t="s">
        <v>346</v>
      </c>
      <c r="D84" s="146">
        <f>128.14</f>
        <v>128.13999999999999</v>
      </c>
      <c r="E84" s="140">
        <v>507</v>
      </c>
      <c r="F84" s="170">
        <f>D84*E84</f>
        <v>64966.979999999996</v>
      </c>
      <c r="G84" s="193">
        <f t="shared" si="52"/>
        <v>64966.979999999996</v>
      </c>
      <c r="H84" s="237">
        <f t="shared" si="49"/>
        <v>0</v>
      </c>
      <c r="I84" s="34"/>
      <c r="J84" s="38"/>
      <c r="K84" s="142" t="s">
        <v>131</v>
      </c>
      <c r="L84" s="143">
        <f>IFERROR(VLOOKUP($B84,base_índices!$A:$R,VLOOKUP(APRESENTAÇÃO!K84,base_índices!$A$142:$B$158,2,FALSE),FALSE),0)</f>
        <v>0</v>
      </c>
      <c r="M84" s="142"/>
      <c r="N84" s="143"/>
      <c r="O84" s="142"/>
      <c r="P84" s="143"/>
    </row>
    <row r="85" spans="2:18" s="131" customFormat="1" ht="18" customHeight="1" x14ac:dyDescent="0.25">
      <c r="B85" s="263"/>
      <c r="C85" s="145" t="s">
        <v>347</v>
      </c>
      <c r="D85" s="146">
        <v>1</v>
      </c>
      <c r="E85" s="140">
        <f>(193000+11800+(2*3400)+20000+7000)+20000</f>
        <v>258600</v>
      </c>
      <c r="F85" s="170">
        <f>D85*E85</f>
        <v>258600</v>
      </c>
      <c r="G85" s="193">
        <f t="shared" si="52"/>
        <v>258600</v>
      </c>
      <c r="H85" s="237">
        <f t="shared" si="49"/>
        <v>0</v>
      </c>
      <c r="I85" s="34"/>
      <c r="J85" s="38"/>
      <c r="K85" s="142" t="s">
        <v>131</v>
      </c>
      <c r="L85" s="143">
        <f>IFERROR(VLOOKUP($B85,base_índices!$A:$R,VLOOKUP(APRESENTAÇÃO!K85,base_índices!$A$142:$B$158,2,FALSE),FALSE),0)</f>
        <v>0</v>
      </c>
      <c r="M85" s="142"/>
      <c r="N85" s="143">
        <f>193000</f>
        <v>193000</v>
      </c>
      <c r="O85" s="142"/>
      <c r="Q85" s="148">
        <v>193000</v>
      </c>
      <c r="R85" s="131" t="s">
        <v>380</v>
      </c>
    </row>
    <row r="86" spans="2:18" s="131" customFormat="1" ht="18.75" customHeight="1" x14ac:dyDescent="0.25">
      <c r="B86" s="232" t="s">
        <v>331</v>
      </c>
      <c r="C86" s="145" t="s">
        <v>324</v>
      </c>
      <c r="D86" s="146">
        <v>101.67</v>
      </c>
      <c r="E86" s="140">
        <v>3664.9820882755248</v>
      </c>
      <c r="F86" s="170">
        <f>E86*D86</f>
        <v>372618.72891497263</v>
      </c>
      <c r="G86" s="193">
        <f t="shared" si="52"/>
        <v>372618.72891497263</v>
      </c>
      <c r="H86" s="237">
        <f t="shared" si="49"/>
        <v>0</v>
      </c>
      <c r="I86" s="34"/>
      <c r="J86" s="38"/>
      <c r="K86" s="142" t="s">
        <v>131</v>
      </c>
      <c r="L86" s="143">
        <f>IFERROR(VLOOKUP($B86,base_índices!$A:$R,VLOOKUP(APRESENTAÇÃO!K86,base_índices!$A$142:$B$158,2,FALSE),FALSE),0)</f>
        <v>0</v>
      </c>
      <c r="M86" s="142"/>
      <c r="N86" s="143"/>
      <c r="O86" s="142"/>
      <c r="Q86" s="148">
        <v>11800</v>
      </c>
      <c r="R86" s="131" t="s">
        <v>381</v>
      </c>
    </row>
    <row r="87" spans="2:18" s="131" customFormat="1" ht="18" customHeight="1" x14ac:dyDescent="0.25">
      <c r="B87" s="232" t="s">
        <v>47</v>
      </c>
      <c r="C87" s="145" t="s">
        <v>202</v>
      </c>
      <c r="D87" s="146">
        <v>69.88</v>
      </c>
      <c r="E87" s="140">
        <f>F87/D87</f>
        <v>2563.3657698912425</v>
      </c>
      <c r="F87" s="170">
        <v>179128</v>
      </c>
      <c r="G87" s="193">
        <f t="shared" si="52"/>
        <v>179128</v>
      </c>
      <c r="H87" s="237">
        <f t="shared" si="49"/>
        <v>0</v>
      </c>
      <c r="I87" s="142"/>
      <c r="J87" s="143">
        <f>IFERROR(VLOOKUP($B87,#REF!,VLOOKUP(#REF!,#REF!,2,FALSE),FALSE),0)</f>
        <v>0</v>
      </c>
      <c r="K87" s="142" t="s">
        <v>131</v>
      </c>
      <c r="L87" s="143">
        <f>IFERROR(VLOOKUP($B87,base_índices!$A:$R,VLOOKUP(APRESENTAÇÃO!K87,base_índices!$A$142:$B$158,2,FALSE),FALSE),0)</f>
        <v>0</v>
      </c>
      <c r="M87" s="142"/>
      <c r="N87" s="143"/>
      <c r="Q87" s="239">
        <v>3400</v>
      </c>
      <c r="R87" s="131" t="s">
        <v>382</v>
      </c>
    </row>
    <row r="88" spans="2:18" s="131" customFormat="1" ht="18" customHeight="1" x14ac:dyDescent="0.25">
      <c r="B88" s="231" t="s">
        <v>236</v>
      </c>
      <c r="C88" s="145" t="s">
        <v>237</v>
      </c>
      <c r="D88" s="146">
        <v>1</v>
      </c>
      <c r="E88" s="140">
        <v>250000</v>
      </c>
      <c r="F88" s="170">
        <f>E88*D88</f>
        <v>250000</v>
      </c>
      <c r="G88" s="193"/>
      <c r="H88" s="237">
        <f t="shared" si="49"/>
        <v>250000</v>
      </c>
      <c r="I88" s="34"/>
      <c r="J88" s="38"/>
      <c r="K88" s="142" t="s">
        <v>131</v>
      </c>
      <c r="L88" s="143">
        <f>IFERROR(VLOOKUP($B88,base_índices!$A:$R,VLOOKUP(APRESENTAÇÃO!K88,base_índices!$A$142:$B$158,2,FALSE),FALSE),0)</f>
        <v>0</v>
      </c>
      <c r="M88" s="142"/>
      <c r="N88" s="143"/>
      <c r="O88" s="142"/>
      <c r="Q88" s="239">
        <v>20000</v>
      </c>
      <c r="R88" s="148" t="s">
        <v>383</v>
      </c>
    </row>
    <row r="89" spans="2:18" ht="18" customHeight="1" x14ac:dyDescent="0.25">
      <c r="B89" s="264" t="s">
        <v>84</v>
      </c>
      <c r="C89" s="266" t="s">
        <v>88</v>
      </c>
      <c r="D89" s="267"/>
      <c r="E89" s="268"/>
      <c r="F89" s="165">
        <f>SUM(F91:F95)</f>
        <v>1651964.2127999999</v>
      </c>
      <c r="H89" s="237"/>
      <c r="I89" s="34"/>
      <c r="J89" s="38"/>
      <c r="K89" s="142" t="s">
        <v>131</v>
      </c>
      <c r="L89" s="143">
        <f>IFERROR(VLOOKUP($B89,base_índices!$A:$R,VLOOKUP(APRESENTAÇÃO!K89,base_índices!$A$142:$B$158,2,FALSE),FALSE),0)</f>
        <v>0</v>
      </c>
      <c r="Q89" s="66">
        <v>7000</v>
      </c>
      <c r="R89" s="10" t="s">
        <v>384</v>
      </c>
    </row>
    <row r="90" spans="2:18" s="19" customFormat="1" ht="18" customHeight="1" x14ac:dyDescent="0.25">
      <c r="B90" s="265"/>
      <c r="C90" s="25" t="s">
        <v>87</v>
      </c>
      <c r="D90" s="26" t="s">
        <v>74</v>
      </c>
      <c r="E90" s="27" t="s">
        <v>85</v>
      </c>
      <c r="F90" s="172" t="s">
        <v>86</v>
      </c>
      <c r="G90" s="66"/>
      <c r="H90" s="237"/>
      <c r="I90" s="64"/>
      <c r="J90" s="149"/>
      <c r="K90" s="142" t="s">
        <v>131</v>
      </c>
      <c r="L90" s="143">
        <f>IFERROR(VLOOKUP($B90,base_índices!$A:$R,VLOOKUP(APRESENTAÇÃO!K90,base_índices!$A$142:$B$158,2,FALSE),FALSE),0)</f>
        <v>0</v>
      </c>
      <c r="M90" s="35"/>
      <c r="N90" s="36"/>
      <c r="O90" s="35"/>
      <c r="Q90" s="66">
        <f>SUM(Q85:Q89)</f>
        <v>235200</v>
      </c>
      <c r="R90" s="19" t="s">
        <v>385</v>
      </c>
    </row>
    <row r="91" spans="2:18" s="137" customFormat="1" ht="18" customHeight="1" x14ac:dyDescent="0.25">
      <c r="B91" s="144" t="s">
        <v>48</v>
      </c>
      <c r="C91" s="145" t="str">
        <f>CONCATENATE("Custo baseado em ",K91," - ",M91," - ",O91)</f>
        <v xml:space="preserve">Custo baseado em HISTÓRICO DE CUSTO / PADRÃO ATUAL -  - </v>
      </c>
      <c r="D91" s="146">
        <f>base_dados_proj!C43</f>
        <v>1</v>
      </c>
      <c r="E91" s="140">
        <f t="shared" ref="E91:E95" si="56">SUM(L91,N91,P91)/COUNTIF(L91:P91,"&gt;0")</f>
        <v>264380.63</v>
      </c>
      <c r="F91" s="170">
        <f>D91*E91</f>
        <v>264380.63</v>
      </c>
      <c r="G91" s="66"/>
      <c r="H91" s="237">
        <f t="shared" si="49"/>
        <v>264380.63</v>
      </c>
      <c r="I91" s="64"/>
      <c r="J91" s="149"/>
      <c r="K91" s="147" t="s">
        <v>131</v>
      </c>
      <c r="L91" s="148">
        <f>IFERROR(VLOOKUP($B91,base_índices!$A:$R,VLOOKUP(APRESENTAÇÃO!K91,base_índices!$A$142:$B$158,2,FALSE),FALSE),0)</f>
        <v>264380.63</v>
      </c>
      <c r="M91" s="147"/>
      <c r="N91" s="148"/>
      <c r="O91" s="147"/>
      <c r="P91" s="148"/>
    </row>
    <row r="92" spans="2:18" s="137" customFormat="1" ht="18" customHeight="1" x14ac:dyDescent="0.25">
      <c r="B92" s="144" t="s">
        <v>419</v>
      </c>
      <c r="C92" s="145" t="str">
        <f>CONCATENATE("Custo baseado em ",K92," - ",M92," - ",O92)</f>
        <v xml:space="preserve">Custo baseado em HISTÓRICO DE CUSTO / PADRÃO ATUAL -  - </v>
      </c>
      <c r="D92" s="146">
        <v>1</v>
      </c>
      <c r="E92" s="140">
        <f t="shared" si="56"/>
        <v>200000</v>
      </c>
      <c r="F92" s="170">
        <f>E92*D92</f>
        <v>200000</v>
      </c>
      <c r="G92" s="66"/>
      <c r="H92" s="237">
        <f t="shared" si="49"/>
        <v>200000</v>
      </c>
      <c r="I92" s="64"/>
      <c r="J92" s="149"/>
      <c r="K92" s="147" t="s">
        <v>131</v>
      </c>
      <c r="L92" s="148">
        <f>IFERROR(VLOOKUP($B92,base_índices!$A:$R,VLOOKUP(APRESENTAÇÃO!K92,base_índices!$A$142:$B$158,2,FALSE),FALSE),0)</f>
        <v>200000</v>
      </c>
      <c r="M92" s="147"/>
      <c r="N92" s="148"/>
      <c r="O92" s="147"/>
      <c r="P92" s="148"/>
    </row>
    <row r="93" spans="2:18" s="19" customFormat="1" ht="18" customHeight="1" x14ac:dyDescent="0.25">
      <c r="B93" s="144" t="s">
        <v>50</v>
      </c>
      <c r="C93" s="145" t="str">
        <f>CONCATENATE("Custo baseado em ",K93," - ",M93," - ",O93)</f>
        <v xml:space="preserve">Custo baseado em HISTÓRICO DE CUSTO / PADRÃO ATUAL -  - </v>
      </c>
      <c r="D93" s="146">
        <f>base_dados_proj!C45</f>
        <v>2</v>
      </c>
      <c r="E93" s="140">
        <f t="shared" si="56"/>
        <v>205791.79139999999</v>
      </c>
      <c r="F93" s="170">
        <f>(D93*E93)-I93</f>
        <v>411583.58279999997</v>
      </c>
      <c r="G93" s="66"/>
      <c r="H93" s="237">
        <f t="shared" si="49"/>
        <v>411583.58279999997</v>
      </c>
      <c r="I93" s="64"/>
      <c r="J93" s="149"/>
      <c r="K93" s="142" t="s">
        <v>131</v>
      </c>
      <c r="L93" s="143">
        <f>IFERROR(VLOOKUP($B93,base_índices!$A:$R,VLOOKUP(APRESENTAÇÃO!K93,base_índices!$A$142:$B$158,2,FALSE),FALSE),0)</f>
        <v>205791.79139999999</v>
      </c>
      <c r="M93" s="35"/>
      <c r="N93" s="36"/>
      <c r="O93" s="35"/>
      <c r="P93" s="36"/>
    </row>
    <row r="94" spans="2:18" s="19" customFormat="1" ht="18" customHeight="1" x14ac:dyDescent="0.25">
      <c r="B94" s="144" t="s">
        <v>49</v>
      </c>
      <c r="C94" s="145" t="str">
        <f>CONCATENATE("Custo baseado em ",K94," - ",M94," - ",O94)</f>
        <v xml:space="preserve">Custo baseado em HISTÓRICO DE CUSTO / PADRÃO ATUAL -  - </v>
      </c>
      <c r="D94" s="146">
        <f>base_dados_proj!C46</f>
        <v>2</v>
      </c>
      <c r="E94" s="140">
        <f t="shared" si="56"/>
        <v>160000</v>
      </c>
      <c r="F94" s="170">
        <f>(D94*E94)-I94</f>
        <v>320000</v>
      </c>
      <c r="G94" s="66"/>
      <c r="H94" s="237">
        <f t="shared" si="49"/>
        <v>320000</v>
      </c>
      <c r="I94" s="64"/>
      <c r="J94" s="137"/>
      <c r="K94" s="142" t="s">
        <v>131</v>
      </c>
      <c r="L94" s="143">
        <f>IFERROR(VLOOKUP($B94,base_índices!$A:$R,VLOOKUP(APRESENTAÇÃO!K94,base_índices!$A$142:$B$158,2,FALSE),FALSE),0)</f>
        <v>160000</v>
      </c>
      <c r="M94" s="35"/>
      <c r="N94" s="36"/>
      <c r="O94" s="35"/>
      <c r="P94" s="36"/>
    </row>
    <row r="95" spans="2:18" s="137" customFormat="1" ht="18" customHeight="1" x14ac:dyDescent="0.25">
      <c r="B95" s="144" t="s">
        <v>336</v>
      </c>
      <c r="C95" s="145" t="str">
        <f>CONCATENATE("Custo baseado em ",K95," - ",M95," - ",O95)</f>
        <v xml:space="preserve">Custo baseado em HISTÓRICO DE CUSTO / PADRÃO ATUAL -  - </v>
      </c>
      <c r="D95" s="146">
        <f>base_dados_proj!C47</f>
        <v>2</v>
      </c>
      <c r="E95" s="140">
        <f t="shared" si="56"/>
        <v>228000</v>
      </c>
      <c r="F95" s="170">
        <f>(D95*E95)-I95</f>
        <v>456000</v>
      </c>
      <c r="G95" s="66"/>
      <c r="H95" s="237">
        <f t="shared" si="49"/>
        <v>456000</v>
      </c>
      <c r="I95" s="64"/>
      <c r="K95" s="142" t="s">
        <v>131</v>
      </c>
      <c r="L95" s="143">
        <f>IFERROR(VLOOKUP($B95,base_índices!$A:$R,VLOOKUP(APRESENTAÇÃO!K95,base_índices!$A$142:$B$158,2,FALSE),FALSE),0)</f>
        <v>228000</v>
      </c>
      <c r="M95" s="147"/>
      <c r="N95" s="148"/>
      <c r="O95" s="147"/>
      <c r="P95" s="148"/>
    </row>
    <row r="96" spans="2:18" ht="18" customHeight="1" x14ac:dyDescent="0.25">
      <c r="B96" s="264" t="s">
        <v>28</v>
      </c>
      <c r="C96" s="266" t="s">
        <v>88</v>
      </c>
      <c r="D96" s="267"/>
      <c r="E96" s="268"/>
      <c r="F96" s="165">
        <f>SUM(F98:F107)</f>
        <v>512646.24055000005</v>
      </c>
      <c r="G96" s="66"/>
      <c r="H96" s="237"/>
      <c r="I96" s="37"/>
      <c r="K96" s="142" t="s">
        <v>131</v>
      </c>
      <c r="L96" s="143">
        <f>IFERROR(VLOOKUP($B96,base_índices!$A:$R,VLOOKUP(APRESENTAÇÃO!K96,base_índices!$A$142:$B$158,2,FALSE),FALSE),0)</f>
        <v>0</v>
      </c>
    </row>
    <row r="97" spans="2:16" ht="18" customHeight="1" x14ac:dyDescent="0.25">
      <c r="B97" s="265"/>
      <c r="C97" s="15" t="s">
        <v>87</v>
      </c>
      <c r="D97" s="23" t="s">
        <v>74</v>
      </c>
      <c r="E97" s="16" t="s">
        <v>85</v>
      </c>
      <c r="F97" s="166" t="s">
        <v>86</v>
      </c>
      <c r="H97" s="237"/>
      <c r="I97" s="37"/>
      <c r="K97" s="142" t="s">
        <v>131</v>
      </c>
      <c r="L97" s="143">
        <f>IFERROR(VLOOKUP($B97,base_índices!$A:$R,VLOOKUP(APRESENTAÇÃO!K97,base_índices!$A$142:$B$158,2,FALSE),FALSE),0)</f>
        <v>0</v>
      </c>
    </row>
    <row r="98" spans="2:16" s="131" customFormat="1" ht="18" hidden="1" customHeight="1" x14ac:dyDescent="0.25">
      <c r="B98" s="123" t="s">
        <v>229</v>
      </c>
      <c r="C98" s="154" t="str">
        <f>CONCATENATE("Custo baseado em ",K98," - ",M98," - ",O98)</f>
        <v xml:space="preserve">Custo baseado em HISTÓRICO DE CUSTO / PADRÃO ATUAL -  - </v>
      </c>
      <c r="D98" s="155">
        <f>base_dados_proj!C51</f>
        <v>0</v>
      </c>
      <c r="E98" s="150" t="e">
        <f>SUM(L98,N98,P98)/COUNTIF(L98:P98,"&gt;0")</f>
        <v>#DIV/0!</v>
      </c>
      <c r="F98" s="173"/>
      <c r="G98" s="189"/>
      <c r="H98" s="237">
        <f t="shared" si="49"/>
        <v>0</v>
      </c>
      <c r="I98" s="152"/>
      <c r="J98" s="151"/>
      <c r="K98" s="142" t="s">
        <v>131</v>
      </c>
      <c r="L98" s="143">
        <f>IFERROR(VLOOKUP($B98,base_índices!$A:$R,VLOOKUP(APRESENTAÇÃO!K98,base_índices!$A$142:$B$158,2,FALSE),FALSE),0)</f>
        <v>0</v>
      </c>
      <c r="M98" s="142"/>
      <c r="N98" s="143"/>
      <c r="O98" s="142"/>
      <c r="P98" s="143"/>
    </row>
    <row r="99" spans="2:16" s="131" customFormat="1" ht="18" customHeight="1" x14ac:dyDescent="0.25">
      <c r="B99" s="262" t="s">
        <v>276</v>
      </c>
      <c r="C99" s="145" t="str">
        <f>CONCATENATE("Custo baseado em ",K99," - ",M99," - ",O99)</f>
        <v xml:space="preserve">Custo baseado em HISTÓRICO DE CUSTO / PADRÃO ATUAL -  - </v>
      </c>
      <c r="D99" s="146">
        <v>12</v>
      </c>
      <c r="E99" s="140">
        <f>SUM(L99,N99,P99)/COUNTIF(L99:P99,"&gt;0")</f>
        <v>1027.4322999999999</v>
      </c>
      <c r="F99" s="170">
        <f>E99*D99</f>
        <v>12329.187599999999</v>
      </c>
      <c r="G99" s="189">
        <f>F99</f>
        <v>12329.187599999999</v>
      </c>
      <c r="H99" s="237">
        <f t="shared" si="49"/>
        <v>0</v>
      </c>
      <c r="I99" s="152"/>
      <c r="J99" s="151"/>
      <c r="K99" s="142" t="s">
        <v>131</v>
      </c>
      <c r="L99" s="143">
        <f>IFERROR(VLOOKUP($B99,base_índices!$A:$R,VLOOKUP(APRESENTAÇÃO!K99,base_índices!$A$142:$B$158,2,FALSE),FALSE),0)</f>
        <v>1027.4322999999999</v>
      </c>
      <c r="M99" s="142"/>
      <c r="N99" s="143"/>
      <c r="O99" s="142"/>
      <c r="P99" s="143"/>
    </row>
    <row r="100" spans="2:16" s="131" customFormat="1" ht="18" customHeight="1" x14ac:dyDescent="0.25">
      <c r="B100" s="263"/>
      <c r="C100" s="145" t="str">
        <f>CONCATENATE("Custo baseado em ",K100," - ",M100," - ",O100)</f>
        <v xml:space="preserve">Custo baseado em HISTÓRICO DE CUSTO / PADRÃO ATUAL -  - </v>
      </c>
      <c r="D100" s="146">
        <v>4</v>
      </c>
      <c r="E100" s="140">
        <f>E99</f>
        <v>1027.4322999999999</v>
      </c>
      <c r="F100" s="170">
        <f>E100*D100</f>
        <v>4109.7291999999998</v>
      </c>
      <c r="G100" s="189">
        <f>F100</f>
        <v>4109.7291999999998</v>
      </c>
      <c r="H100" s="237">
        <f t="shared" si="49"/>
        <v>0</v>
      </c>
      <c r="I100" s="152"/>
      <c r="J100" s="151"/>
      <c r="K100" s="142" t="s">
        <v>131</v>
      </c>
      <c r="L100" s="143">
        <f>IFERROR(VLOOKUP($B100,base_índices!$A:$R,VLOOKUP(APRESENTAÇÃO!K100,base_índices!$A$142:$B$158,2,FALSE),FALSE),0)</f>
        <v>0</v>
      </c>
      <c r="M100" s="142"/>
      <c r="N100" s="143"/>
      <c r="O100" s="142"/>
      <c r="P100" s="143"/>
    </row>
    <row r="101" spans="2:16" s="131" customFormat="1" ht="18" hidden="1" customHeight="1" x14ac:dyDescent="0.25">
      <c r="B101" s="123" t="s">
        <v>118</v>
      </c>
      <c r="C101" s="224" t="s">
        <v>282</v>
      </c>
      <c r="D101" s="155">
        <f>base_dados_proj!C61</f>
        <v>0</v>
      </c>
      <c r="E101" s="150">
        <f>((13470+29900+17900+36900+54660)+15000+(112.83*567.51))*1.35</f>
        <v>313013.90695500001</v>
      </c>
      <c r="F101" s="173"/>
      <c r="G101" s="189"/>
      <c r="H101" s="237">
        <f t="shared" si="49"/>
        <v>0</v>
      </c>
      <c r="I101" s="152"/>
      <c r="J101" s="151"/>
      <c r="K101" s="142" t="s">
        <v>131</v>
      </c>
      <c r="L101" s="143">
        <f>IFERROR(VLOOKUP($B101,base_índices!$A:$R,VLOOKUP(APRESENTAÇÃO!K101,base_índices!$A$142:$B$158,2,FALSE),FALSE),0)</f>
        <v>0</v>
      </c>
      <c r="M101" s="142"/>
      <c r="N101" s="143"/>
      <c r="O101" s="142"/>
      <c r="P101" s="143"/>
    </row>
    <row r="102" spans="2:16" s="131" customFormat="1" ht="18" hidden="1" customHeight="1" x14ac:dyDescent="0.25">
      <c r="B102" s="123" t="s">
        <v>277</v>
      </c>
      <c r="C102" s="154" t="s">
        <v>289</v>
      </c>
      <c r="D102" s="155">
        <v>1</v>
      </c>
      <c r="E102" s="150" t="e">
        <f t="shared" ref="E102" si="57">SUM(L102,N102,P102)/COUNTIF(L102:P102,"&gt;0")</f>
        <v>#DIV/0!</v>
      </c>
      <c r="F102" s="173"/>
      <c r="G102" s="189"/>
      <c r="H102" s="237">
        <f t="shared" si="49"/>
        <v>0</v>
      </c>
      <c r="I102" s="141"/>
      <c r="J102" s="141"/>
      <c r="K102" s="142" t="s">
        <v>131</v>
      </c>
      <c r="L102" s="143">
        <f>IFERROR(VLOOKUP($B102,base_índices!$A:$R,VLOOKUP(APRESENTAÇÃO!K102,base_índices!$A$142:$B$158,2,FALSE),FALSE),0)</f>
        <v>0</v>
      </c>
      <c r="M102" s="142"/>
      <c r="N102" s="143"/>
      <c r="O102" s="142"/>
      <c r="P102" s="143"/>
    </row>
    <row r="103" spans="2:16" s="131" customFormat="1" ht="18" hidden="1" customHeight="1" x14ac:dyDescent="0.25">
      <c r="B103" s="123" t="s">
        <v>227</v>
      </c>
      <c r="C103" s="154" t="s">
        <v>289</v>
      </c>
      <c r="D103" s="155">
        <v>1</v>
      </c>
      <c r="E103" s="150" t="e">
        <f t="shared" ref="E103" si="58">SUM(L103,N103,P103)/COUNTIF(L103:P103,"&gt;0")</f>
        <v>#DIV/0!</v>
      </c>
      <c r="F103" s="173"/>
      <c r="G103" s="189"/>
      <c r="H103" s="237">
        <f t="shared" si="49"/>
        <v>0</v>
      </c>
      <c r="I103" s="141"/>
      <c r="J103" s="141"/>
      <c r="K103" s="142" t="s">
        <v>131</v>
      </c>
      <c r="L103" s="143">
        <f>IFERROR(VLOOKUP($B103,base_índices!$A:$R,VLOOKUP(APRESENTAÇÃO!K103,base_índices!$A$142:$B$158,2,FALSE),FALSE),0)</f>
        <v>0</v>
      </c>
      <c r="M103" s="142"/>
      <c r="N103" s="143"/>
      <c r="O103" s="142"/>
      <c r="P103" s="143"/>
    </row>
    <row r="104" spans="2:16" s="133" customFormat="1" ht="18" customHeight="1" x14ac:dyDescent="0.25">
      <c r="B104" s="144" t="s">
        <v>132</v>
      </c>
      <c r="C104" s="145" t="str">
        <f>CONCATENATE("Custo baseado em ",K104," - ",M104," - ",O104)</f>
        <v xml:space="preserve">Custo baseado em HISTÓRICO DE CUSTO / PADRÃO ATUAL -  - </v>
      </c>
      <c r="D104" s="146">
        <f>base_dados_proj!C58</f>
        <v>4759.41</v>
      </c>
      <c r="E104" s="140">
        <f>SUM(L104,N104,P104)/COUNTIF(L104:P104,"&gt;0")</f>
        <v>66</v>
      </c>
      <c r="F104" s="170">
        <f>E104*D104</f>
        <v>314121.06</v>
      </c>
      <c r="G104" s="190"/>
      <c r="H104" s="237">
        <f t="shared" si="49"/>
        <v>314121.06</v>
      </c>
      <c r="I104" s="153"/>
      <c r="J104" s="188"/>
      <c r="K104" s="142" t="s">
        <v>131</v>
      </c>
      <c r="L104" s="143">
        <f>IFERROR(VLOOKUP($B104,base_índices!$A:$R,VLOOKUP(APRESENTAÇÃO!K104,base_índices!$A$142:$B$158,2,FALSE),FALSE),0)</f>
        <v>66</v>
      </c>
      <c r="M104" s="153"/>
      <c r="N104" s="156"/>
      <c r="O104" s="153"/>
      <c r="P104" s="156"/>
    </row>
    <row r="105" spans="2:16" s="133" customFormat="1" ht="18" customHeight="1" x14ac:dyDescent="0.25">
      <c r="B105" s="144" t="s">
        <v>412</v>
      </c>
      <c r="C105" s="145" t="str">
        <f>CONCATENATE("Custo baseado em ",K105," - ",M105," - ",O105)</f>
        <v xml:space="preserve">Custo baseado em HISTÓRICO DE CUSTO / PADRÃO ATUAL -  - </v>
      </c>
      <c r="D105" s="146">
        <f>base_dados_proj!C64</f>
        <v>1540.65</v>
      </c>
      <c r="E105" s="140">
        <f>70.5*1.35</f>
        <v>95.175000000000011</v>
      </c>
      <c r="F105" s="170">
        <f>E105*D105</f>
        <v>146631.36375000002</v>
      </c>
      <c r="G105" s="190"/>
      <c r="H105" s="237">
        <f t="shared" si="49"/>
        <v>146631.36375000002</v>
      </c>
      <c r="I105" s="153"/>
      <c r="J105" s="188"/>
      <c r="K105" s="142" t="s">
        <v>131</v>
      </c>
      <c r="L105" s="143">
        <f>IFERROR(VLOOKUP($B105,base_índices!$A:$R,VLOOKUP(APRESENTAÇÃO!K105,base_índices!$A$142:$B$158,2,FALSE),FALSE),0)</f>
        <v>227.82</v>
      </c>
      <c r="M105" s="153"/>
      <c r="N105" s="156"/>
      <c r="O105" s="153"/>
      <c r="P105" s="156"/>
    </row>
    <row r="106" spans="2:16" s="133" customFormat="1" ht="18" hidden="1" customHeight="1" x14ac:dyDescent="0.25">
      <c r="B106" s="123" t="s">
        <v>335</v>
      </c>
      <c r="C106" s="154" t="s">
        <v>351</v>
      </c>
      <c r="D106" s="155"/>
      <c r="E106" s="150">
        <v>85</v>
      </c>
      <c r="F106" s="173">
        <f>E106*D106</f>
        <v>0</v>
      </c>
      <c r="G106" s="190">
        <f>F106/5*1</f>
        <v>0</v>
      </c>
      <c r="H106" s="237">
        <f t="shared" si="49"/>
        <v>0</v>
      </c>
      <c r="I106" s="153"/>
      <c r="J106" s="188"/>
      <c r="K106" s="142" t="s">
        <v>131</v>
      </c>
      <c r="L106" s="143">
        <f>IFERROR(VLOOKUP($B106,base_índices!$A:$R,VLOOKUP(APRESENTAÇÃO!K106,base_índices!$A$142:$B$158,2,FALSE),FALSE),0)</f>
        <v>0</v>
      </c>
      <c r="M106" s="153"/>
      <c r="N106" s="156"/>
      <c r="O106" s="153"/>
      <c r="P106" s="156"/>
    </row>
    <row r="107" spans="2:16" s="133" customFormat="1" ht="18.75" customHeight="1" x14ac:dyDescent="0.25">
      <c r="B107" s="144" t="s">
        <v>329</v>
      </c>
      <c r="C107" s="145" t="s">
        <v>348</v>
      </c>
      <c r="D107" s="146">
        <f>base_dados_proj!C62</f>
        <v>545.46</v>
      </c>
      <c r="E107" s="140">
        <v>65</v>
      </c>
      <c r="F107" s="170">
        <f t="shared" ref="F107" si="59">E107*D107</f>
        <v>35454.9</v>
      </c>
      <c r="G107" s="190">
        <f>F107</f>
        <v>35454.9</v>
      </c>
      <c r="H107" s="237">
        <f t="shared" si="49"/>
        <v>0</v>
      </c>
      <c r="I107" s="153"/>
      <c r="J107" s="188"/>
      <c r="K107" s="142" t="s">
        <v>131</v>
      </c>
      <c r="L107" s="143">
        <f>IFERROR(VLOOKUP($B107,base_índices!$A:$R,VLOOKUP(APRESENTAÇÃO!K107,base_índices!$A$142:$B$158,2,FALSE),FALSE),0)</f>
        <v>0</v>
      </c>
      <c r="M107" s="153"/>
      <c r="N107" s="156"/>
      <c r="O107" s="153"/>
      <c r="P107" s="156"/>
    </row>
    <row r="108" spans="2:16" ht="18" customHeight="1" x14ac:dyDescent="0.25">
      <c r="B108" s="264" t="s">
        <v>19</v>
      </c>
      <c r="C108" s="266" t="s">
        <v>88</v>
      </c>
      <c r="D108" s="267"/>
      <c r="E108" s="268"/>
      <c r="F108" s="165">
        <f>SUM(F110:F112)</f>
        <v>70000</v>
      </c>
      <c r="H108" s="237"/>
      <c r="I108" s="152"/>
      <c r="K108" s="142" t="s">
        <v>131</v>
      </c>
      <c r="L108" s="143">
        <f>IFERROR(VLOOKUP($B108,base_índices!$A:$R,VLOOKUP(APRESENTAÇÃO!K108,base_índices!$A$142:$B$158,2,FALSE),FALSE),0)</f>
        <v>0</v>
      </c>
    </row>
    <row r="109" spans="2:16" ht="18" customHeight="1" x14ac:dyDescent="0.25">
      <c r="B109" s="265"/>
      <c r="C109" s="15" t="s">
        <v>87</v>
      </c>
      <c r="D109" s="23" t="s">
        <v>74</v>
      </c>
      <c r="E109" s="16" t="s">
        <v>85</v>
      </c>
      <c r="F109" s="166" t="s">
        <v>86</v>
      </c>
      <c r="H109" s="237"/>
      <c r="I109" s="152"/>
      <c r="K109" s="142" t="s">
        <v>131</v>
      </c>
      <c r="L109" s="143">
        <f>IFERROR(VLOOKUP($B109,base_índices!$A:$R,VLOOKUP(APRESENTAÇÃO!K109,base_índices!$A$142:$B$158,2,FALSE),FALSE),0)</f>
        <v>0</v>
      </c>
    </row>
    <row r="110" spans="2:16" ht="18" customHeight="1" x14ac:dyDescent="0.25">
      <c r="B110" s="13" t="s">
        <v>142</v>
      </c>
      <c r="C110" s="39" t="str">
        <f>CONCATENATE("Custo baseado em ",K110," - ",M110," - ",O110)</f>
        <v xml:space="preserve">Custo baseado em HISTÓRICO DE CUSTO / PADRÃO ATUAL -  - </v>
      </c>
      <c r="D110" s="31">
        <v>1</v>
      </c>
      <c r="E110" s="30">
        <f t="shared" ref="E110:E112" si="60">SUM(L110,N110,P110)/COUNTIF(L110:P110,"&gt;0")</f>
        <v>25000</v>
      </c>
      <c r="F110" s="167">
        <f>D110*E110</f>
        <v>25000</v>
      </c>
      <c r="G110" s="189">
        <f>F110</f>
        <v>25000</v>
      </c>
      <c r="H110" s="237">
        <f t="shared" si="49"/>
        <v>0</v>
      </c>
      <c r="K110" s="142" t="s">
        <v>131</v>
      </c>
      <c r="L110" s="143">
        <f>IFERROR(VLOOKUP($B110,base_índices!$A:$R,VLOOKUP(APRESENTAÇÃO!K110,base_índices!$A$142:$B$158,2,FALSE),FALSE),0)</f>
        <v>25000</v>
      </c>
      <c r="P110" s="33"/>
    </row>
    <row r="111" spans="2:16" ht="18" customHeight="1" x14ac:dyDescent="0.25">
      <c r="B111" s="13" t="s">
        <v>104</v>
      </c>
      <c r="C111" s="39" t="str">
        <f>CONCATENATE("Custo baseado em ",K111," - ",M111," - ",O111)</f>
        <v xml:space="preserve">Custo baseado em HISTÓRICO DE CUSTO / PADRÃO ATUAL -  - </v>
      </c>
      <c r="D111" s="31">
        <v>0.75</v>
      </c>
      <c r="E111" s="30">
        <f t="shared" si="60"/>
        <v>60000</v>
      </c>
      <c r="F111" s="167">
        <f>D111*E111</f>
        <v>45000</v>
      </c>
      <c r="G111" s="189">
        <f>F111/2</f>
        <v>22500</v>
      </c>
      <c r="H111" s="237">
        <f t="shared" si="49"/>
        <v>22500</v>
      </c>
      <c r="K111" s="142" t="s">
        <v>131</v>
      </c>
      <c r="L111" s="143">
        <f>IFERROR(VLOOKUP($B111,base_índices!$A:$R,VLOOKUP(APRESENTAÇÃO!K111,base_índices!$A$142:$B$158,2,FALSE),FALSE),0)</f>
        <v>60000</v>
      </c>
      <c r="P111" s="33"/>
    </row>
    <row r="112" spans="2:16" s="133" customFormat="1" ht="18" hidden="1" customHeight="1" x14ac:dyDescent="0.25">
      <c r="B112" s="219" t="s">
        <v>45</v>
      </c>
      <c r="C112" s="220" t="str">
        <f>CONCATENATE("Custo baseado em ",K112," - ",M112," - ",O112)</f>
        <v xml:space="preserve">Custo baseado em HISTÓRICO DE CUSTO / PADRÃO ATUAL -  - </v>
      </c>
      <c r="D112" s="221">
        <f>base_dados_proj!C6</f>
        <v>0</v>
      </c>
      <c r="E112" s="30">
        <f t="shared" si="60"/>
        <v>90</v>
      </c>
      <c r="F112" s="222">
        <f>D112*E112</f>
        <v>0</v>
      </c>
      <c r="G112" s="190"/>
      <c r="H112" s="237">
        <f t="shared" si="49"/>
        <v>0</v>
      </c>
      <c r="I112" s="157"/>
      <c r="J112" s="157"/>
      <c r="K112" s="142" t="s">
        <v>131</v>
      </c>
      <c r="L112" s="143">
        <f>IFERROR(VLOOKUP($B112,base_índices!$A:$R,VLOOKUP(APRESENTAÇÃO!K112,base_índices!$A$142:$B$158,2,FALSE),FALSE),0)</f>
        <v>90</v>
      </c>
      <c r="M112" s="153"/>
      <c r="N112" s="156"/>
      <c r="O112" s="153"/>
      <c r="P112" s="156"/>
    </row>
    <row r="113" spans="2:16" ht="18" hidden="1" customHeight="1" x14ac:dyDescent="0.25">
      <c r="B113" s="241" t="s">
        <v>424</v>
      </c>
      <c r="C113" s="39" t="s">
        <v>423</v>
      </c>
      <c r="D113" s="31">
        <v>1</v>
      </c>
      <c r="E113" s="30">
        <v>2000</v>
      </c>
      <c r="F113" s="167"/>
      <c r="G113" s="151"/>
      <c r="H113" s="151"/>
      <c r="K113" s="142" t="s">
        <v>131</v>
      </c>
      <c r="L113" s="143">
        <f>IFERROR(VLOOKUP($B113,base_índices!$A:$R,VLOOKUP(APRESENTAÇÃO!K113,base_índices!$A$142:$B$158,2,FALSE),FALSE),0)</f>
        <v>0</v>
      </c>
      <c r="M113" s="20"/>
      <c r="N113" s="20"/>
      <c r="O113" s="20"/>
      <c r="P113" s="20"/>
    </row>
    <row r="114" spans="2:16" ht="18" hidden="1" customHeight="1" x14ac:dyDescent="0.25">
      <c r="B114" s="298" t="s">
        <v>425</v>
      </c>
      <c r="C114" s="300" t="s">
        <v>88</v>
      </c>
      <c r="D114" s="301"/>
      <c r="E114" s="302"/>
      <c r="F114" s="243">
        <f>SUM(F116:F121)</f>
        <v>0</v>
      </c>
      <c r="G114" s="141"/>
      <c r="H114" s="131"/>
      <c r="K114" s="142" t="s">
        <v>131</v>
      </c>
      <c r="L114" s="143">
        <f>IFERROR(VLOOKUP($B114,base_índices!$A:$R,VLOOKUP(APRESENTAÇÃO!K114,base_índices!$A$142:$B$158,2,FALSE),FALSE),0)</f>
        <v>0</v>
      </c>
      <c r="M114" s="20"/>
      <c r="N114" s="20"/>
      <c r="O114" s="20"/>
      <c r="P114" s="20"/>
    </row>
    <row r="115" spans="2:16" ht="18" hidden="1" customHeight="1" x14ac:dyDescent="0.25">
      <c r="B115" s="299"/>
      <c r="C115" s="244" t="s">
        <v>87</v>
      </c>
      <c r="D115" s="245" t="s">
        <v>74</v>
      </c>
      <c r="E115" s="246" t="s">
        <v>85</v>
      </c>
      <c r="F115" s="247" t="s">
        <v>86</v>
      </c>
      <c r="G115" s="141"/>
      <c r="H115" s="141"/>
      <c r="K115" s="142" t="s">
        <v>131</v>
      </c>
      <c r="L115" s="143">
        <f>IFERROR(VLOOKUP($B115,base_índices!$A:$R,VLOOKUP(APRESENTAÇÃO!K115,base_índices!$A$142:$B$158,2,FALSE),FALSE),0)</f>
        <v>0</v>
      </c>
      <c r="M115" s="20"/>
      <c r="N115" s="20"/>
      <c r="O115" s="20"/>
      <c r="P115" s="20"/>
    </row>
    <row r="116" spans="2:16" ht="18" hidden="1" customHeight="1" x14ac:dyDescent="0.25">
      <c r="B116" s="13" t="s">
        <v>421</v>
      </c>
      <c r="C116" s="145" t="str">
        <f>CONCATENATE("Custo baseado em ",J116," - FLORAIS DO PARQUE ",L116," - ",N116)</f>
        <v xml:space="preserve">Custo baseado em  - FLORAIS DO PARQUE 0 - </v>
      </c>
      <c r="D116" s="31">
        <v>1</v>
      </c>
      <c r="E116" s="30">
        <v>1497</v>
      </c>
      <c r="F116" s="167"/>
      <c r="G116" s="141"/>
      <c r="H116" s="151"/>
      <c r="K116" s="142" t="s">
        <v>131</v>
      </c>
      <c r="L116" s="143">
        <f>IFERROR(VLOOKUP($B116,base_índices!$A:$R,VLOOKUP(APRESENTAÇÃO!K116,base_índices!$A$142:$B$158,2,FALSE),FALSE),0)</f>
        <v>0</v>
      </c>
      <c r="M116" s="20"/>
      <c r="N116" s="20"/>
      <c r="O116" s="20"/>
      <c r="P116" s="20"/>
    </row>
    <row r="117" spans="2:16" ht="18" hidden="1" customHeight="1" x14ac:dyDescent="0.25">
      <c r="B117" s="123" t="s">
        <v>426</v>
      </c>
      <c r="C117" s="154" t="str">
        <f>CONCATENATE("Custo baseado em ",J117," - FLORAIS DO PARQUE ",L117," - ",N117)</f>
        <v xml:space="preserve">Custo baseado em  - FLORAIS DO PARQUE 0 - </v>
      </c>
      <c r="D117" s="155">
        <v>50</v>
      </c>
      <c r="E117" s="150">
        <v>550</v>
      </c>
      <c r="F117" s="173"/>
      <c r="G117" s="141"/>
      <c r="H117" s="151"/>
      <c r="K117" s="142" t="s">
        <v>131</v>
      </c>
      <c r="L117" s="143">
        <f>IFERROR(VLOOKUP($B117,base_índices!$A:$R,VLOOKUP(APRESENTAÇÃO!K117,base_índices!$A$142:$B$158,2,FALSE),FALSE),0)</f>
        <v>0</v>
      </c>
      <c r="M117" s="20"/>
      <c r="N117" s="20"/>
      <c r="O117" s="20"/>
      <c r="P117" s="20"/>
    </row>
    <row r="118" spans="2:16" ht="18" hidden="1" customHeight="1" x14ac:dyDescent="0.25">
      <c r="B118" s="144" t="s">
        <v>427</v>
      </c>
      <c r="C118" s="145" t="str">
        <f>CONCATENATE("Custo baseado em ",J118," - ORÇ INTEGRAL SEG ",L118," - ",N118)</f>
        <v xml:space="preserve">Custo baseado em  - ORÇ INTEGRAL SEG 0 - </v>
      </c>
      <c r="D118" s="146">
        <v>3</v>
      </c>
      <c r="E118" s="140">
        <v>15536.92</v>
      </c>
      <c r="F118" s="167"/>
      <c r="G118" s="151"/>
      <c r="H118" s="242" t="s">
        <v>428</v>
      </c>
      <c r="K118" s="142" t="s">
        <v>131</v>
      </c>
      <c r="L118" s="143">
        <f>IFERROR(VLOOKUP($B118,base_índices!$A:$R,VLOOKUP(APRESENTAÇÃO!K118,base_índices!$A$142:$B$158,2,FALSE),FALSE),0)</f>
        <v>0</v>
      </c>
      <c r="M118" s="20"/>
      <c r="N118" s="20"/>
      <c r="O118" s="20"/>
      <c r="P118" s="20"/>
    </row>
    <row r="119" spans="2:16" ht="18" hidden="1" customHeight="1" x14ac:dyDescent="0.25">
      <c r="B119" s="241" t="s">
        <v>422</v>
      </c>
      <c r="C119" s="39" t="s">
        <v>423</v>
      </c>
      <c r="D119" s="31">
        <v>6</v>
      </c>
      <c r="E119" s="30">
        <v>500</v>
      </c>
      <c r="F119" s="167"/>
      <c r="G119" s="141"/>
      <c r="H119" s="151"/>
      <c r="K119" s="142" t="s">
        <v>131</v>
      </c>
      <c r="L119" s="143">
        <f>IFERROR(VLOOKUP($B119,base_índices!$A:$R,VLOOKUP(APRESENTAÇÃO!K119,base_índices!$A$142:$B$158,2,FALSE),FALSE),0)</f>
        <v>0</v>
      </c>
      <c r="M119" s="20"/>
      <c r="N119" s="20"/>
      <c r="O119" s="20"/>
      <c r="P119" s="20"/>
    </row>
    <row r="120" spans="2:16" ht="18" hidden="1" customHeight="1" x14ac:dyDescent="0.25">
      <c r="B120" s="144" t="s">
        <v>429</v>
      </c>
      <c r="C120" s="145" t="str">
        <f>CONCATENATE("Custo baseado em ",J120," - ORÇ INTEGRAL SEG ",L120," - ",N120)</f>
        <v xml:space="preserve">Custo baseado em  - ORÇ INTEGRAL SEG 0 - </v>
      </c>
      <c r="D120" s="146">
        <v>3</v>
      </c>
      <c r="E120" s="140">
        <v>4363.09</v>
      </c>
      <c r="F120" s="167"/>
      <c r="G120" s="151"/>
      <c r="H120" s="151"/>
      <c r="K120" s="142" t="s">
        <v>131</v>
      </c>
      <c r="L120" s="143">
        <f>IFERROR(VLOOKUP($B120,base_índices!$A:$R,VLOOKUP(APRESENTAÇÃO!K120,base_índices!$A$142:$B$158,2,FALSE),FALSE),0)</f>
        <v>0</v>
      </c>
      <c r="M120" s="20"/>
      <c r="N120" s="20"/>
      <c r="O120" s="20"/>
      <c r="P120" s="20"/>
    </row>
    <row r="121" spans="2:16" ht="18" hidden="1" customHeight="1" x14ac:dyDescent="0.25">
      <c r="B121" s="13" t="s">
        <v>111</v>
      </c>
      <c r="C121" s="39" t="str">
        <f>CONCATENATE("Custo baseado em ",J121," - ",L121," - ",N121)</f>
        <v xml:space="preserve">Custo baseado em  - 400 - </v>
      </c>
      <c r="D121" s="146">
        <v>50</v>
      </c>
      <c r="E121" s="30">
        <f>SUM(K121,M121,O121)/COUNTIF(K121:O121,"&gt;0")</f>
        <v>0</v>
      </c>
      <c r="F121" s="167"/>
      <c r="G121" s="141"/>
      <c r="H121" s="141"/>
      <c r="K121" s="142" t="s">
        <v>131</v>
      </c>
      <c r="L121" s="143">
        <f>IFERROR(VLOOKUP($B121,base_índices!$A:$R,VLOOKUP(APRESENTAÇÃO!K121,base_índices!$A$142:$B$158,2,FALSE),FALSE),0)</f>
        <v>400</v>
      </c>
      <c r="M121" s="20"/>
      <c r="N121" s="20"/>
      <c r="O121" s="20"/>
      <c r="P121" s="20"/>
    </row>
    <row r="122" spans="2:16" ht="18" customHeight="1" x14ac:dyDescent="0.25">
      <c r="B122" s="10"/>
      <c r="C122" s="10"/>
      <c r="D122" s="22"/>
      <c r="E122" s="10"/>
      <c r="F122" s="50"/>
      <c r="K122" s="142" t="s">
        <v>131</v>
      </c>
      <c r="L122" s="143">
        <f>IFERROR(VLOOKUP($B122,base_índices!$A:$R,VLOOKUP(APRESENTAÇÃO!K122,base_índices!$A$142:$B$158,2,FALSE),FALSE),0)</f>
        <v>0</v>
      </c>
      <c r="M122" s="20"/>
      <c r="N122" s="20"/>
      <c r="O122" s="20"/>
      <c r="P122" s="20"/>
    </row>
    <row r="123" spans="2:16" ht="18" customHeight="1" x14ac:dyDescent="0.25">
      <c r="B123" s="10"/>
      <c r="C123" s="10"/>
      <c r="D123" s="22"/>
      <c r="E123" s="10"/>
      <c r="F123" s="50"/>
      <c r="K123" s="142" t="s">
        <v>131</v>
      </c>
      <c r="L123" s="143">
        <f>IFERROR(VLOOKUP($B123,base_índices!$A:$R,VLOOKUP(APRESENTAÇÃO!K123,base_índices!$A$142:$B$158,2,FALSE),FALSE),0)</f>
        <v>0</v>
      </c>
      <c r="M123" s="20"/>
      <c r="N123" s="20"/>
      <c r="O123" s="20"/>
      <c r="P123" s="20"/>
    </row>
    <row r="124" spans="2:16" ht="18" customHeight="1" x14ac:dyDescent="0.25">
      <c r="B124" s="10"/>
      <c r="C124" s="10"/>
      <c r="D124" s="22"/>
      <c r="E124" s="10"/>
      <c r="F124" s="50"/>
      <c r="K124" s="20"/>
      <c r="L124" s="20"/>
      <c r="M124" s="20"/>
      <c r="N124" s="20"/>
      <c r="O124" s="20"/>
      <c r="P124" s="20"/>
    </row>
    <row r="125" spans="2:16" ht="18" customHeight="1" x14ac:dyDescent="0.25">
      <c r="B125" s="10"/>
      <c r="C125" s="10"/>
      <c r="D125" s="22"/>
      <c r="E125" s="10"/>
      <c r="F125" s="50"/>
      <c r="K125" s="20"/>
      <c r="L125" s="20"/>
      <c r="M125" s="20"/>
      <c r="N125" s="20"/>
      <c r="O125" s="20"/>
      <c r="P125" s="20"/>
    </row>
    <row r="126" spans="2:16" ht="18" customHeight="1" x14ac:dyDescent="0.25">
      <c r="B126" s="10"/>
      <c r="C126" s="10"/>
      <c r="D126" s="22"/>
      <c r="E126" s="10"/>
      <c r="F126" s="50"/>
      <c r="K126" s="20"/>
      <c r="L126" s="20"/>
      <c r="M126" s="20"/>
      <c r="N126" s="20"/>
      <c r="O126" s="20"/>
      <c r="P126" s="20"/>
    </row>
    <row r="127" spans="2:16" ht="18" customHeight="1" x14ac:dyDescent="0.25">
      <c r="B127" s="10"/>
      <c r="C127" s="10"/>
      <c r="D127" s="22"/>
      <c r="E127" s="10"/>
      <c r="F127" s="50"/>
      <c r="K127" s="20"/>
      <c r="L127" s="20"/>
      <c r="M127" s="20"/>
      <c r="N127" s="20"/>
      <c r="O127" s="20"/>
      <c r="P127" s="20"/>
    </row>
    <row r="128" spans="2:16" ht="18" customHeight="1" x14ac:dyDescent="0.25">
      <c r="B128" s="10"/>
      <c r="C128" s="10"/>
      <c r="D128" s="22"/>
      <c r="E128" s="10"/>
      <c r="F128" s="50"/>
      <c r="K128" s="20"/>
      <c r="L128" s="20"/>
      <c r="M128" s="20"/>
      <c r="N128" s="20"/>
      <c r="O128" s="20"/>
      <c r="P128" s="20"/>
    </row>
    <row r="129" spans="2:16" ht="18" customHeight="1" x14ac:dyDescent="0.25">
      <c r="B129" s="10"/>
      <c r="C129" s="10"/>
      <c r="D129" s="22"/>
      <c r="E129" s="10"/>
      <c r="F129" s="50"/>
      <c r="K129" s="20"/>
      <c r="L129" s="20"/>
      <c r="M129" s="20"/>
      <c r="N129" s="20"/>
      <c r="O129" s="20"/>
      <c r="P129" s="20"/>
    </row>
    <row r="130" spans="2:16" ht="18" customHeight="1" x14ac:dyDescent="0.25">
      <c r="B130" s="10"/>
      <c r="C130" s="10"/>
      <c r="D130" s="22"/>
      <c r="E130" s="10"/>
      <c r="F130" s="50"/>
      <c r="K130" s="20"/>
      <c r="L130" s="20"/>
      <c r="M130" s="20"/>
      <c r="N130" s="20"/>
      <c r="O130" s="20"/>
      <c r="P130" s="20"/>
    </row>
    <row r="131" spans="2:16" ht="18" customHeight="1" x14ac:dyDescent="0.25">
      <c r="B131" s="10"/>
      <c r="C131" s="10"/>
      <c r="D131" s="22"/>
      <c r="E131" s="10"/>
      <c r="F131" s="50"/>
      <c r="K131" s="20"/>
      <c r="L131" s="20"/>
      <c r="M131" s="20"/>
      <c r="N131" s="20"/>
      <c r="O131" s="20"/>
      <c r="P131" s="20"/>
    </row>
    <row r="132" spans="2:16" ht="18" customHeight="1" x14ac:dyDescent="0.25">
      <c r="B132" s="10"/>
      <c r="C132" s="10"/>
      <c r="D132" s="22"/>
      <c r="E132" s="10"/>
      <c r="F132" s="50"/>
      <c r="K132" s="20"/>
      <c r="L132" s="20"/>
      <c r="M132" s="20"/>
      <c r="N132" s="20"/>
      <c r="O132" s="20"/>
      <c r="P132" s="20"/>
    </row>
    <row r="133" spans="2:16" ht="18" customHeight="1" x14ac:dyDescent="0.25">
      <c r="B133" s="10"/>
      <c r="C133" s="10"/>
      <c r="D133" s="22"/>
      <c r="E133" s="10"/>
      <c r="F133" s="50"/>
      <c r="K133" s="20"/>
      <c r="L133" s="20"/>
      <c r="M133" s="20"/>
      <c r="N133" s="20"/>
      <c r="O133" s="20"/>
      <c r="P133" s="20"/>
    </row>
    <row r="134" spans="2:16" ht="18" customHeight="1" x14ac:dyDescent="0.25">
      <c r="B134" s="10"/>
      <c r="C134" s="10"/>
      <c r="D134" s="22"/>
      <c r="E134" s="10"/>
      <c r="F134" s="50"/>
      <c r="K134" s="20"/>
      <c r="L134" s="20"/>
      <c r="M134" s="20"/>
      <c r="N134" s="20"/>
      <c r="O134" s="20"/>
      <c r="P134" s="20"/>
    </row>
    <row r="135" spans="2:16" ht="18" customHeight="1" x14ac:dyDescent="0.25">
      <c r="B135" s="10"/>
      <c r="C135" s="10"/>
      <c r="D135" s="22"/>
      <c r="E135" s="10"/>
      <c r="F135" s="50"/>
      <c r="K135" s="20"/>
      <c r="L135" s="20"/>
      <c r="M135" s="20"/>
      <c r="N135" s="20"/>
      <c r="O135" s="20"/>
      <c r="P135" s="20"/>
    </row>
    <row r="136" spans="2:16" ht="18" customHeight="1" x14ac:dyDescent="0.25">
      <c r="B136" s="10"/>
      <c r="C136" s="10"/>
      <c r="D136" s="22"/>
      <c r="E136" s="10"/>
      <c r="F136" s="50"/>
      <c r="K136" s="20"/>
      <c r="L136" s="20"/>
      <c r="M136" s="20"/>
      <c r="N136" s="20"/>
      <c r="O136" s="20"/>
      <c r="P136" s="20"/>
    </row>
    <row r="137" spans="2:16" ht="18" customHeight="1" x14ac:dyDescent="0.25">
      <c r="B137" s="10"/>
      <c r="C137" s="10"/>
      <c r="D137" s="22"/>
      <c r="E137" s="10"/>
      <c r="F137" s="50"/>
      <c r="K137" s="20"/>
      <c r="L137" s="20"/>
      <c r="M137" s="20"/>
      <c r="N137" s="20"/>
      <c r="O137" s="20"/>
      <c r="P137" s="20"/>
    </row>
    <row r="138" spans="2:16" ht="18" customHeight="1" x14ac:dyDescent="0.25">
      <c r="B138" s="10"/>
      <c r="C138" s="10"/>
      <c r="D138" s="22"/>
      <c r="E138" s="10"/>
      <c r="F138" s="50"/>
      <c r="K138" s="20"/>
      <c r="L138" s="20"/>
      <c r="M138" s="20"/>
      <c r="N138" s="20"/>
      <c r="O138" s="20"/>
      <c r="P138" s="20"/>
    </row>
    <row r="139" spans="2:16" ht="18" customHeight="1" x14ac:dyDescent="0.25">
      <c r="B139" s="10"/>
      <c r="C139" s="10"/>
      <c r="D139" s="22"/>
      <c r="E139" s="10"/>
      <c r="F139" s="50"/>
      <c r="K139" s="20"/>
      <c r="L139" s="20"/>
      <c r="M139" s="20"/>
      <c r="N139" s="20"/>
      <c r="O139" s="20"/>
      <c r="P139" s="20"/>
    </row>
    <row r="140" spans="2:16" ht="18" customHeight="1" x14ac:dyDescent="0.25">
      <c r="B140" s="10"/>
      <c r="C140" s="10"/>
      <c r="D140" s="22"/>
      <c r="E140" s="10"/>
      <c r="F140" s="50"/>
      <c r="K140" s="20"/>
      <c r="L140" s="20"/>
      <c r="M140" s="20"/>
      <c r="N140" s="20"/>
      <c r="O140" s="20"/>
      <c r="P140" s="20"/>
    </row>
    <row r="141" spans="2:16" ht="18" customHeight="1" x14ac:dyDescent="0.25">
      <c r="B141" s="10"/>
      <c r="C141" s="10"/>
      <c r="D141" s="22"/>
      <c r="E141" s="10"/>
      <c r="F141" s="50"/>
      <c r="K141" s="20"/>
      <c r="L141" s="20"/>
      <c r="M141" s="20"/>
      <c r="N141" s="20"/>
      <c r="O141" s="20"/>
      <c r="P141" s="20"/>
    </row>
    <row r="142" spans="2:16" ht="18" customHeight="1" x14ac:dyDescent="0.25">
      <c r="B142" s="10"/>
      <c r="C142" s="10"/>
      <c r="D142" s="22"/>
      <c r="E142" s="10"/>
      <c r="F142" s="50"/>
      <c r="K142" s="20"/>
      <c r="L142" s="20"/>
      <c r="M142" s="20"/>
      <c r="N142" s="20"/>
      <c r="O142" s="20"/>
      <c r="P142" s="20"/>
    </row>
    <row r="143" spans="2:16" ht="18" customHeight="1" x14ac:dyDescent="0.25">
      <c r="B143" s="10"/>
      <c r="C143" s="10"/>
      <c r="D143" s="22"/>
      <c r="E143" s="10"/>
      <c r="F143" s="50"/>
      <c r="K143" s="20"/>
      <c r="L143" s="20"/>
      <c r="M143" s="20"/>
      <c r="N143" s="20"/>
      <c r="O143" s="20"/>
      <c r="P143" s="20"/>
    </row>
    <row r="144" spans="2:16" ht="18" customHeight="1" x14ac:dyDescent="0.25">
      <c r="B144" s="10"/>
      <c r="C144" s="10"/>
      <c r="D144" s="22"/>
      <c r="E144" s="10"/>
      <c r="F144" s="50"/>
      <c r="K144" s="20"/>
      <c r="L144" s="20"/>
      <c r="M144" s="20"/>
      <c r="N144" s="20"/>
      <c r="O144" s="20"/>
      <c r="P144" s="20"/>
    </row>
    <row r="145" spans="2:16" ht="18" customHeight="1" x14ac:dyDescent="0.25">
      <c r="B145" s="10"/>
      <c r="C145" s="10"/>
      <c r="D145" s="22"/>
      <c r="E145" s="10"/>
      <c r="F145" s="50"/>
      <c r="K145" s="20"/>
      <c r="L145" s="20"/>
      <c r="M145" s="20"/>
      <c r="N145" s="20"/>
      <c r="O145" s="20"/>
      <c r="P145" s="20"/>
    </row>
    <row r="146" spans="2:16" ht="18" customHeight="1" x14ac:dyDescent="0.25">
      <c r="B146" s="10"/>
      <c r="C146" s="10"/>
      <c r="D146" s="22"/>
      <c r="E146" s="10"/>
      <c r="F146" s="50"/>
      <c r="K146" s="20"/>
      <c r="L146" s="20"/>
      <c r="M146" s="20"/>
      <c r="N146" s="20"/>
      <c r="O146" s="20"/>
      <c r="P146" s="20"/>
    </row>
    <row r="147" spans="2:16" ht="18" customHeight="1" x14ac:dyDescent="0.25">
      <c r="B147" s="10"/>
      <c r="C147" s="10"/>
      <c r="D147" s="22"/>
      <c r="E147" s="10"/>
      <c r="F147" s="50"/>
      <c r="K147" s="20"/>
      <c r="L147" s="20"/>
      <c r="M147" s="20"/>
      <c r="N147" s="20"/>
      <c r="O147" s="20"/>
      <c r="P147" s="20"/>
    </row>
    <row r="148" spans="2:16" ht="18" customHeight="1" x14ac:dyDescent="0.25">
      <c r="B148" s="10"/>
      <c r="C148" s="10"/>
      <c r="D148" s="22"/>
      <c r="E148" s="10"/>
      <c r="F148" s="50"/>
      <c r="K148" s="20"/>
      <c r="L148" s="20"/>
      <c r="M148" s="20"/>
      <c r="N148" s="20"/>
      <c r="O148" s="20"/>
      <c r="P148" s="20"/>
    </row>
    <row r="149" spans="2:16" ht="18" customHeight="1" x14ac:dyDescent="0.25">
      <c r="B149" s="10"/>
      <c r="C149" s="10"/>
      <c r="D149" s="22"/>
      <c r="E149" s="10"/>
      <c r="F149" s="50"/>
      <c r="K149" s="20"/>
      <c r="L149" s="20"/>
      <c r="M149" s="20"/>
      <c r="N149" s="20"/>
      <c r="O149" s="20"/>
      <c r="P149" s="20"/>
    </row>
    <row r="150" spans="2:16" ht="18" customHeight="1" x14ac:dyDescent="0.25">
      <c r="B150" s="10"/>
      <c r="C150" s="10"/>
      <c r="D150" s="22"/>
      <c r="E150" s="10"/>
      <c r="F150" s="50"/>
      <c r="K150" s="20"/>
      <c r="L150" s="20"/>
      <c r="M150" s="20"/>
      <c r="N150" s="20"/>
      <c r="O150" s="20"/>
      <c r="P150" s="20"/>
    </row>
    <row r="151" spans="2:16" ht="18" customHeight="1" x14ac:dyDescent="0.25">
      <c r="B151" s="10"/>
      <c r="C151" s="10"/>
      <c r="D151" s="22"/>
      <c r="E151" s="10"/>
      <c r="F151" s="50"/>
      <c r="K151" s="20"/>
      <c r="L151" s="20"/>
      <c r="M151" s="20"/>
      <c r="N151" s="20"/>
      <c r="O151" s="20"/>
      <c r="P151" s="20"/>
    </row>
    <row r="152" spans="2:16" ht="18" customHeight="1" x14ac:dyDescent="0.25">
      <c r="B152" s="10"/>
      <c r="C152" s="10"/>
      <c r="D152" s="22"/>
      <c r="E152" s="10"/>
      <c r="F152" s="50"/>
      <c r="K152" s="20"/>
      <c r="L152" s="20"/>
      <c r="M152" s="20"/>
      <c r="N152" s="20"/>
      <c r="O152" s="20"/>
      <c r="P152" s="20"/>
    </row>
    <row r="153" spans="2:16" ht="18" customHeight="1" x14ac:dyDescent="0.25">
      <c r="B153" s="10"/>
      <c r="C153" s="10"/>
      <c r="D153" s="22"/>
      <c r="E153" s="10"/>
      <c r="F153" s="50"/>
      <c r="K153" s="20"/>
      <c r="L153" s="20"/>
      <c r="M153" s="20"/>
      <c r="N153" s="20"/>
      <c r="O153" s="20"/>
      <c r="P153" s="20"/>
    </row>
    <row r="154" spans="2:16" ht="18" customHeight="1" x14ac:dyDescent="0.25">
      <c r="B154" s="10"/>
      <c r="C154" s="10"/>
      <c r="D154" s="22"/>
      <c r="E154" s="10"/>
      <c r="F154" s="50"/>
      <c r="K154" s="20"/>
      <c r="L154" s="20"/>
      <c r="M154" s="20"/>
      <c r="N154" s="20"/>
      <c r="O154" s="20"/>
      <c r="P154" s="20"/>
    </row>
    <row r="155" spans="2:16" ht="18" customHeight="1" x14ac:dyDescent="0.25">
      <c r="B155" s="10"/>
      <c r="C155" s="10"/>
      <c r="D155" s="22"/>
      <c r="E155" s="10"/>
      <c r="F155" s="50"/>
      <c r="K155" s="20"/>
      <c r="L155" s="20"/>
      <c r="M155" s="20"/>
      <c r="N155" s="20"/>
      <c r="O155" s="20"/>
      <c r="P155" s="20"/>
    </row>
    <row r="156" spans="2:16" ht="18" customHeight="1" x14ac:dyDescent="0.25">
      <c r="B156" s="10"/>
      <c r="C156" s="10"/>
      <c r="D156" s="22"/>
      <c r="E156" s="10"/>
      <c r="F156" s="50"/>
      <c r="K156" s="20"/>
      <c r="L156" s="20"/>
      <c r="M156" s="20"/>
      <c r="N156" s="20"/>
      <c r="O156" s="20"/>
      <c r="P156" s="20"/>
    </row>
    <row r="157" spans="2:16" ht="18" customHeight="1" x14ac:dyDescent="0.25">
      <c r="B157" s="10"/>
      <c r="C157" s="10"/>
      <c r="D157" s="22"/>
      <c r="E157" s="10"/>
      <c r="F157" s="50"/>
      <c r="K157" s="20"/>
      <c r="L157" s="20"/>
      <c r="M157" s="20"/>
      <c r="N157" s="20"/>
      <c r="O157" s="20"/>
      <c r="P157" s="20"/>
    </row>
    <row r="158" spans="2:16" ht="18" customHeight="1" x14ac:dyDescent="0.25">
      <c r="B158" s="10"/>
      <c r="C158" s="10"/>
      <c r="D158" s="22"/>
      <c r="E158" s="10"/>
      <c r="F158" s="50"/>
      <c r="K158" s="20"/>
      <c r="L158" s="20"/>
      <c r="M158" s="20"/>
      <c r="N158" s="20"/>
      <c r="O158" s="20"/>
      <c r="P158" s="20"/>
    </row>
    <row r="159" spans="2:16" ht="18" customHeight="1" x14ac:dyDescent="0.25">
      <c r="B159" s="10"/>
      <c r="C159" s="10"/>
      <c r="D159" s="22"/>
      <c r="E159" s="10"/>
      <c r="F159" s="50"/>
      <c r="K159" s="20"/>
      <c r="L159" s="20"/>
      <c r="M159" s="20"/>
      <c r="N159" s="20"/>
      <c r="O159" s="20"/>
      <c r="P159" s="20"/>
    </row>
    <row r="160" spans="2:16" ht="18" customHeight="1" x14ac:dyDescent="0.25">
      <c r="B160" s="10"/>
      <c r="C160" s="10"/>
      <c r="D160" s="22"/>
      <c r="E160" s="10"/>
      <c r="F160" s="50"/>
      <c r="K160" s="20"/>
      <c r="L160" s="20"/>
      <c r="M160" s="20"/>
      <c r="N160" s="20"/>
      <c r="O160" s="20"/>
      <c r="P160" s="20"/>
    </row>
    <row r="161" spans="2:16" ht="18" customHeight="1" x14ac:dyDescent="0.25">
      <c r="B161" s="10"/>
      <c r="C161" s="10"/>
      <c r="D161" s="22"/>
      <c r="E161" s="10"/>
      <c r="F161" s="50"/>
      <c r="K161" s="20"/>
      <c r="L161" s="20"/>
      <c r="M161" s="20"/>
      <c r="N161" s="20"/>
      <c r="O161" s="20"/>
      <c r="P161" s="20"/>
    </row>
    <row r="162" spans="2:16" ht="18" customHeight="1" x14ac:dyDescent="0.25">
      <c r="B162" s="10"/>
      <c r="C162" s="10"/>
      <c r="D162" s="22"/>
      <c r="E162" s="10"/>
      <c r="F162" s="50"/>
      <c r="K162" s="20"/>
      <c r="L162" s="20"/>
      <c r="M162" s="20"/>
      <c r="N162" s="20"/>
      <c r="O162" s="20"/>
      <c r="P162" s="20"/>
    </row>
    <row r="163" spans="2:16" ht="18" customHeight="1" x14ac:dyDescent="0.25">
      <c r="B163" s="10"/>
      <c r="C163" s="10"/>
      <c r="D163" s="22"/>
      <c r="E163" s="10"/>
      <c r="F163" s="50"/>
      <c r="K163" s="20"/>
      <c r="L163" s="20"/>
      <c r="M163" s="20"/>
      <c r="N163" s="20"/>
      <c r="O163" s="20"/>
      <c r="P163" s="20"/>
    </row>
    <row r="164" spans="2:16" ht="18" customHeight="1" x14ac:dyDescent="0.25">
      <c r="B164" s="10"/>
      <c r="C164" s="10"/>
      <c r="D164" s="22"/>
      <c r="E164" s="10"/>
      <c r="F164" s="50"/>
      <c r="K164" s="20"/>
      <c r="L164" s="20"/>
      <c r="M164" s="20"/>
      <c r="N164" s="20"/>
      <c r="O164" s="20"/>
      <c r="P164" s="20"/>
    </row>
    <row r="165" spans="2:16" ht="18" customHeight="1" x14ac:dyDescent="0.25">
      <c r="B165" s="10"/>
      <c r="C165" s="10"/>
      <c r="D165" s="22"/>
      <c r="E165" s="10"/>
      <c r="F165" s="50"/>
      <c r="K165" s="20"/>
      <c r="L165" s="20"/>
      <c r="M165" s="20"/>
      <c r="N165" s="20"/>
      <c r="O165" s="20"/>
      <c r="P165" s="20"/>
    </row>
    <row r="166" spans="2:16" ht="18" customHeight="1" x14ac:dyDescent="0.25">
      <c r="B166" s="10"/>
      <c r="C166" s="10"/>
      <c r="D166" s="22"/>
      <c r="E166" s="10"/>
      <c r="F166" s="50"/>
      <c r="K166" s="20"/>
      <c r="L166" s="20"/>
      <c r="M166" s="20"/>
      <c r="N166" s="20"/>
      <c r="O166" s="20"/>
      <c r="P166" s="20"/>
    </row>
    <row r="167" spans="2:16" ht="18" customHeight="1" x14ac:dyDescent="0.25">
      <c r="B167" s="10"/>
      <c r="C167" s="10"/>
      <c r="D167" s="22"/>
      <c r="E167" s="10"/>
      <c r="F167" s="50"/>
      <c r="K167" s="20"/>
      <c r="L167" s="20"/>
      <c r="M167" s="20"/>
      <c r="N167" s="20"/>
      <c r="O167" s="20"/>
      <c r="P167" s="20"/>
    </row>
    <row r="168" spans="2:16" ht="18" customHeight="1" x14ac:dyDescent="0.25">
      <c r="B168" s="10"/>
      <c r="C168" s="10"/>
      <c r="D168" s="22"/>
      <c r="E168" s="10"/>
      <c r="F168" s="50"/>
      <c r="K168" s="20"/>
      <c r="L168" s="20"/>
      <c r="M168" s="20"/>
      <c r="N168" s="20"/>
      <c r="O168" s="20"/>
      <c r="P168" s="20"/>
    </row>
    <row r="169" spans="2:16" ht="18" customHeight="1" x14ac:dyDescent="0.25">
      <c r="B169" s="10"/>
      <c r="C169" s="10"/>
      <c r="D169" s="22"/>
      <c r="E169" s="10"/>
      <c r="F169" s="50"/>
      <c r="K169" s="20"/>
      <c r="L169" s="20"/>
      <c r="M169" s="20"/>
      <c r="N169" s="20"/>
      <c r="O169" s="20"/>
      <c r="P169" s="20"/>
    </row>
    <row r="170" spans="2:16" ht="18" customHeight="1" x14ac:dyDescent="0.25">
      <c r="B170" s="10"/>
      <c r="C170" s="10"/>
      <c r="D170" s="22"/>
      <c r="E170" s="10"/>
      <c r="F170" s="50"/>
      <c r="K170" s="20"/>
      <c r="L170" s="20"/>
      <c r="M170" s="20"/>
      <c r="N170" s="20"/>
      <c r="O170" s="20"/>
      <c r="P170" s="20"/>
    </row>
    <row r="171" spans="2:16" ht="18" customHeight="1" x14ac:dyDescent="0.25">
      <c r="B171" s="10"/>
      <c r="C171" s="10"/>
      <c r="D171" s="22"/>
      <c r="E171" s="10"/>
      <c r="F171" s="50"/>
      <c r="K171" s="20"/>
      <c r="L171" s="20"/>
      <c r="M171" s="20"/>
      <c r="N171" s="20"/>
      <c r="O171" s="20"/>
      <c r="P171" s="20"/>
    </row>
    <row r="172" spans="2:16" ht="18" customHeight="1" x14ac:dyDescent="0.25">
      <c r="B172" s="10"/>
      <c r="C172" s="10"/>
      <c r="D172" s="22"/>
      <c r="E172" s="10"/>
      <c r="F172" s="50"/>
      <c r="K172" s="20"/>
      <c r="L172" s="20"/>
      <c r="M172" s="20"/>
      <c r="N172" s="20"/>
      <c r="O172" s="20"/>
      <c r="P172" s="20"/>
    </row>
    <row r="173" spans="2:16" ht="18" customHeight="1" x14ac:dyDescent="0.25">
      <c r="B173" s="10"/>
      <c r="C173" s="10"/>
      <c r="D173" s="22"/>
      <c r="E173" s="10"/>
      <c r="F173" s="50"/>
      <c r="K173" s="20"/>
      <c r="L173" s="20"/>
      <c r="M173" s="20"/>
      <c r="N173" s="20"/>
      <c r="O173" s="20"/>
      <c r="P173" s="20"/>
    </row>
    <row r="174" spans="2:16" ht="18" customHeight="1" x14ac:dyDescent="0.25">
      <c r="B174" s="10"/>
      <c r="C174" s="10"/>
      <c r="D174" s="22"/>
      <c r="E174" s="10"/>
      <c r="F174" s="50"/>
      <c r="K174" s="20"/>
      <c r="L174" s="20"/>
      <c r="M174" s="20"/>
      <c r="N174" s="20"/>
      <c r="O174" s="20"/>
      <c r="P174" s="20"/>
    </row>
    <row r="175" spans="2:16" ht="18" customHeight="1" x14ac:dyDescent="0.25">
      <c r="B175" s="10"/>
      <c r="C175" s="10"/>
      <c r="D175" s="22"/>
      <c r="E175" s="10"/>
      <c r="F175" s="50"/>
      <c r="K175" s="20"/>
      <c r="L175" s="20"/>
      <c r="M175" s="20"/>
      <c r="N175" s="20"/>
      <c r="O175" s="20"/>
      <c r="P175" s="20"/>
    </row>
    <row r="176" spans="2:16" ht="18" customHeight="1" x14ac:dyDescent="0.25">
      <c r="B176" s="10"/>
      <c r="C176" s="10"/>
      <c r="D176" s="22"/>
      <c r="E176" s="10"/>
      <c r="F176" s="50"/>
      <c r="K176" s="20"/>
      <c r="L176" s="20"/>
      <c r="M176" s="20"/>
      <c r="N176" s="20"/>
      <c r="O176" s="20"/>
      <c r="P176" s="20"/>
    </row>
    <row r="177" spans="2:16" ht="18" customHeight="1" x14ac:dyDescent="0.25">
      <c r="B177" s="10"/>
      <c r="C177" s="10"/>
      <c r="D177" s="22"/>
      <c r="E177" s="10"/>
      <c r="F177" s="50"/>
      <c r="K177" s="20"/>
      <c r="L177" s="20"/>
      <c r="M177" s="20"/>
      <c r="N177" s="20"/>
      <c r="O177" s="20"/>
      <c r="P177" s="20"/>
    </row>
    <row r="178" spans="2:16" ht="18" customHeight="1" x14ac:dyDescent="0.25">
      <c r="B178" s="10"/>
      <c r="C178" s="10"/>
      <c r="D178" s="22"/>
      <c r="E178" s="10"/>
      <c r="F178" s="50"/>
      <c r="K178" s="20"/>
      <c r="L178" s="20"/>
      <c r="M178" s="20"/>
      <c r="N178" s="20"/>
      <c r="O178" s="20"/>
      <c r="P178" s="20"/>
    </row>
    <row r="179" spans="2:16" ht="18" customHeight="1" x14ac:dyDescent="0.25">
      <c r="B179" s="10"/>
      <c r="C179" s="10"/>
      <c r="D179" s="22"/>
      <c r="E179" s="10"/>
      <c r="F179" s="50"/>
      <c r="K179" s="20"/>
      <c r="L179" s="20"/>
      <c r="M179" s="20"/>
      <c r="N179" s="20"/>
      <c r="O179" s="20"/>
      <c r="P179" s="20"/>
    </row>
    <row r="180" spans="2:16" ht="18" customHeight="1" x14ac:dyDescent="0.25">
      <c r="B180" s="10"/>
      <c r="C180" s="10"/>
      <c r="D180" s="22"/>
      <c r="E180" s="10"/>
      <c r="F180" s="50"/>
      <c r="K180" s="20"/>
      <c r="L180" s="20"/>
      <c r="M180" s="20"/>
      <c r="N180" s="20"/>
      <c r="O180" s="20"/>
      <c r="P180" s="20"/>
    </row>
    <row r="181" spans="2:16" ht="18" customHeight="1" x14ac:dyDescent="0.25">
      <c r="B181" s="10"/>
      <c r="C181" s="10"/>
      <c r="D181" s="22"/>
      <c r="E181" s="10"/>
      <c r="F181" s="50"/>
      <c r="K181" s="20"/>
      <c r="L181" s="20"/>
      <c r="M181" s="20"/>
      <c r="N181" s="20"/>
      <c r="O181" s="20"/>
      <c r="P181" s="20"/>
    </row>
    <row r="182" spans="2:16" ht="18" customHeight="1" x14ac:dyDescent="0.25">
      <c r="B182" s="10"/>
      <c r="C182" s="10"/>
      <c r="D182" s="22"/>
      <c r="E182" s="10"/>
      <c r="F182" s="50"/>
      <c r="K182" s="20"/>
      <c r="L182" s="20"/>
      <c r="M182" s="20"/>
      <c r="N182" s="20"/>
      <c r="O182" s="20"/>
      <c r="P182" s="20"/>
    </row>
    <row r="183" spans="2:16" ht="18" customHeight="1" x14ac:dyDescent="0.25">
      <c r="B183" s="10"/>
      <c r="C183" s="10"/>
      <c r="D183" s="22"/>
      <c r="E183" s="10"/>
      <c r="F183" s="50"/>
      <c r="K183" s="20"/>
      <c r="L183" s="20"/>
      <c r="M183" s="20"/>
      <c r="N183" s="20"/>
      <c r="O183" s="20"/>
      <c r="P183" s="20"/>
    </row>
    <row r="184" spans="2:16" ht="18" customHeight="1" x14ac:dyDescent="0.25">
      <c r="B184" s="10"/>
      <c r="C184" s="10"/>
      <c r="D184" s="22"/>
      <c r="E184" s="10"/>
      <c r="F184" s="50"/>
      <c r="K184" s="20"/>
      <c r="L184" s="20"/>
      <c r="M184" s="20"/>
      <c r="N184" s="20"/>
      <c r="O184" s="20"/>
      <c r="P184" s="20"/>
    </row>
    <row r="185" spans="2:16" ht="18" customHeight="1" x14ac:dyDescent="0.25">
      <c r="B185" s="10"/>
      <c r="C185" s="10"/>
      <c r="D185" s="22"/>
      <c r="E185" s="10"/>
      <c r="F185" s="50"/>
      <c r="K185" s="20"/>
      <c r="L185" s="20"/>
      <c r="M185" s="20"/>
      <c r="N185" s="20"/>
      <c r="O185" s="20"/>
      <c r="P185" s="20"/>
    </row>
    <row r="186" spans="2:16" ht="18" customHeight="1" x14ac:dyDescent="0.25">
      <c r="B186" s="10"/>
      <c r="C186" s="10"/>
      <c r="D186" s="22"/>
      <c r="E186" s="10"/>
      <c r="F186" s="50"/>
      <c r="K186" s="20"/>
      <c r="L186" s="20"/>
      <c r="M186" s="20"/>
      <c r="N186" s="20"/>
      <c r="O186" s="20"/>
      <c r="P186" s="20"/>
    </row>
    <row r="187" spans="2:16" ht="18" customHeight="1" x14ac:dyDescent="0.25">
      <c r="B187" s="10"/>
      <c r="C187" s="10"/>
      <c r="D187" s="22"/>
      <c r="E187" s="10"/>
      <c r="F187" s="50"/>
      <c r="K187" s="20"/>
      <c r="L187" s="20"/>
      <c r="M187" s="20"/>
      <c r="N187" s="20"/>
      <c r="O187" s="20"/>
      <c r="P187" s="20"/>
    </row>
    <row r="188" spans="2:16" ht="18" customHeight="1" x14ac:dyDescent="0.25">
      <c r="B188" s="10"/>
      <c r="C188" s="10"/>
      <c r="D188" s="22"/>
      <c r="E188" s="10"/>
      <c r="F188" s="50"/>
      <c r="K188" s="20"/>
      <c r="L188" s="20"/>
      <c r="M188" s="20"/>
      <c r="N188" s="20"/>
      <c r="O188" s="20"/>
      <c r="P188" s="20"/>
    </row>
    <row r="189" spans="2:16" ht="18" customHeight="1" x14ac:dyDescent="0.25">
      <c r="B189" s="10"/>
      <c r="C189" s="10"/>
      <c r="D189" s="22"/>
      <c r="E189" s="10"/>
      <c r="F189" s="50"/>
      <c r="K189" s="20"/>
      <c r="L189" s="20"/>
      <c r="M189" s="20"/>
      <c r="N189" s="20"/>
      <c r="O189" s="20"/>
      <c r="P189" s="20"/>
    </row>
    <row r="190" spans="2:16" ht="18" customHeight="1" x14ac:dyDescent="0.25">
      <c r="B190" s="10"/>
      <c r="C190" s="10"/>
      <c r="D190" s="22"/>
      <c r="E190" s="10"/>
      <c r="F190" s="50"/>
      <c r="K190" s="20"/>
      <c r="L190" s="20"/>
      <c r="M190" s="20"/>
      <c r="N190" s="20"/>
      <c r="O190" s="20"/>
      <c r="P190" s="20"/>
    </row>
    <row r="191" spans="2:16" ht="18" customHeight="1" x14ac:dyDescent="0.25">
      <c r="B191" s="10"/>
      <c r="C191" s="10"/>
      <c r="D191" s="22"/>
      <c r="E191" s="10"/>
      <c r="F191" s="50"/>
      <c r="K191" s="20"/>
      <c r="L191" s="20"/>
      <c r="M191" s="20"/>
      <c r="N191" s="20"/>
      <c r="O191" s="20"/>
      <c r="P191" s="20"/>
    </row>
    <row r="192" spans="2:16" ht="18" customHeight="1" x14ac:dyDescent="0.25">
      <c r="B192" s="10"/>
      <c r="C192" s="10"/>
      <c r="D192" s="22"/>
      <c r="E192" s="10"/>
      <c r="F192" s="50"/>
      <c r="K192" s="20"/>
      <c r="L192" s="20"/>
      <c r="M192" s="20"/>
      <c r="N192" s="20"/>
      <c r="O192" s="20"/>
      <c r="P192" s="20"/>
    </row>
    <row r="193" spans="2:16" ht="18" customHeight="1" x14ac:dyDescent="0.25">
      <c r="B193" s="10"/>
      <c r="C193" s="10"/>
      <c r="D193" s="22"/>
      <c r="E193" s="10"/>
      <c r="F193" s="50"/>
      <c r="K193" s="20"/>
      <c r="L193" s="20"/>
      <c r="M193" s="20"/>
      <c r="N193" s="20"/>
      <c r="O193" s="20"/>
      <c r="P193" s="20"/>
    </row>
    <row r="194" spans="2:16" ht="18" customHeight="1" x14ac:dyDescent="0.25">
      <c r="B194" s="10"/>
      <c r="C194" s="10"/>
      <c r="D194" s="22"/>
      <c r="E194" s="10"/>
      <c r="F194" s="50"/>
      <c r="K194" s="20"/>
      <c r="L194" s="20"/>
      <c r="M194" s="20"/>
      <c r="N194" s="20"/>
      <c r="O194" s="20"/>
      <c r="P194" s="20"/>
    </row>
    <row r="195" spans="2:16" ht="18" customHeight="1" x14ac:dyDescent="0.25">
      <c r="B195" s="10"/>
      <c r="C195" s="10"/>
      <c r="D195" s="22"/>
      <c r="E195" s="10"/>
      <c r="F195" s="50"/>
      <c r="K195" s="20"/>
      <c r="L195" s="20"/>
      <c r="M195" s="20"/>
      <c r="N195" s="20"/>
      <c r="O195" s="20"/>
      <c r="P195" s="20"/>
    </row>
    <row r="196" spans="2:16" ht="18" customHeight="1" x14ac:dyDescent="0.25">
      <c r="B196" s="10"/>
      <c r="C196" s="10"/>
      <c r="D196" s="22"/>
      <c r="E196" s="10"/>
      <c r="F196" s="50"/>
      <c r="K196" s="20"/>
      <c r="L196" s="20"/>
      <c r="M196" s="20"/>
      <c r="N196" s="20"/>
      <c r="O196" s="20"/>
      <c r="P196" s="20"/>
    </row>
    <row r="197" spans="2:16" ht="18" customHeight="1" x14ac:dyDescent="0.25">
      <c r="B197" s="10"/>
      <c r="C197" s="10"/>
      <c r="D197" s="22"/>
      <c r="E197" s="10"/>
      <c r="F197" s="50"/>
      <c r="K197" s="20"/>
      <c r="L197" s="20"/>
      <c r="M197" s="20"/>
      <c r="N197" s="20"/>
      <c r="O197" s="20"/>
      <c r="P197" s="20"/>
    </row>
    <row r="198" spans="2:16" ht="18" customHeight="1" x14ac:dyDescent="0.25">
      <c r="B198" s="10"/>
      <c r="C198" s="10"/>
      <c r="D198" s="22"/>
      <c r="E198" s="10"/>
      <c r="F198" s="50"/>
      <c r="K198" s="20"/>
      <c r="L198" s="20"/>
      <c r="M198" s="20"/>
      <c r="N198" s="20"/>
      <c r="O198" s="20"/>
      <c r="P198" s="20"/>
    </row>
    <row r="199" spans="2:16" ht="18" customHeight="1" x14ac:dyDescent="0.25">
      <c r="B199" s="10"/>
      <c r="C199" s="10"/>
      <c r="D199" s="22"/>
      <c r="E199" s="10"/>
      <c r="F199" s="50"/>
      <c r="K199" s="20"/>
      <c r="L199" s="20"/>
      <c r="M199" s="20"/>
      <c r="N199" s="20"/>
      <c r="O199" s="20"/>
      <c r="P199" s="20"/>
    </row>
    <row r="200" spans="2:16" ht="18" customHeight="1" x14ac:dyDescent="0.25">
      <c r="B200" s="10"/>
      <c r="C200" s="10"/>
      <c r="D200" s="22"/>
      <c r="E200" s="10"/>
      <c r="F200" s="50"/>
      <c r="K200" s="20"/>
      <c r="L200" s="20"/>
      <c r="M200" s="20"/>
      <c r="N200" s="20"/>
      <c r="O200" s="20"/>
      <c r="P200" s="20"/>
    </row>
    <row r="201" spans="2:16" ht="18" customHeight="1" x14ac:dyDescent="0.25">
      <c r="B201" s="10"/>
      <c r="C201" s="10"/>
      <c r="D201" s="22"/>
      <c r="E201" s="10"/>
      <c r="F201" s="50"/>
      <c r="K201" s="20"/>
      <c r="L201" s="20"/>
      <c r="M201" s="20"/>
      <c r="N201" s="20"/>
      <c r="O201" s="20"/>
      <c r="P201" s="20"/>
    </row>
    <row r="202" spans="2:16" ht="18" customHeight="1" x14ac:dyDescent="0.25">
      <c r="B202" s="10"/>
      <c r="C202" s="10"/>
      <c r="D202" s="22"/>
      <c r="E202" s="10"/>
      <c r="F202" s="50"/>
      <c r="K202" s="20"/>
      <c r="L202" s="20"/>
      <c r="M202" s="20"/>
      <c r="N202" s="20"/>
      <c r="O202" s="20"/>
      <c r="P202" s="20"/>
    </row>
    <row r="203" spans="2:16" ht="18" customHeight="1" x14ac:dyDescent="0.25">
      <c r="B203" s="10"/>
      <c r="C203" s="10"/>
      <c r="D203" s="22"/>
      <c r="E203" s="10"/>
      <c r="F203" s="50"/>
      <c r="K203" s="20"/>
      <c r="L203" s="20"/>
      <c r="M203" s="20"/>
      <c r="N203" s="20"/>
      <c r="O203" s="20"/>
      <c r="P203" s="20"/>
    </row>
    <row r="204" spans="2:16" ht="18" customHeight="1" x14ac:dyDescent="0.25">
      <c r="B204" s="10"/>
      <c r="C204" s="10"/>
      <c r="D204" s="22"/>
      <c r="E204" s="10"/>
      <c r="F204" s="50"/>
      <c r="K204" s="20"/>
      <c r="L204" s="20"/>
      <c r="M204" s="20"/>
      <c r="N204" s="20"/>
      <c r="O204" s="20"/>
      <c r="P204" s="20"/>
    </row>
    <row r="205" spans="2:16" ht="18" customHeight="1" x14ac:dyDescent="0.25">
      <c r="B205" s="10"/>
      <c r="C205" s="10"/>
      <c r="D205" s="22"/>
      <c r="E205" s="10"/>
      <c r="F205" s="50"/>
      <c r="K205" s="20"/>
      <c r="L205" s="20"/>
      <c r="M205" s="20"/>
      <c r="N205" s="20"/>
      <c r="O205" s="20"/>
      <c r="P205" s="20"/>
    </row>
    <row r="206" spans="2:16" ht="18" customHeight="1" x14ac:dyDescent="0.25">
      <c r="B206" s="10"/>
      <c r="C206" s="10"/>
      <c r="D206" s="22"/>
      <c r="E206" s="10"/>
      <c r="F206" s="50"/>
      <c r="K206" s="20"/>
      <c r="L206" s="20"/>
      <c r="M206" s="20"/>
      <c r="N206" s="20"/>
      <c r="O206" s="20"/>
      <c r="P206" s="20"/>
    </row>
    <row r="207" spans="2:16" ht="18" customHeight="1" x14ac:dyDescent="0.25">
      <c r="B207" s="10"/>
      <c r="C207" s="10"/>
      <c r="D207" s="22"/>
      <c r="E207" s="10"/>
      <c r="F207" s="50"/>
      <c r="K207" s="20"/>
      <c r="L207" s="20"/>
      <c r="M207" s="20"/>
      <c r="N207" s="20"/>
      <c r="O207" s="20"/>
      <c r="P207" s="20"/>
    </row>
    <row r="208" spans="2:16" ht="18" customHeight="1" x14ac:dyDescent="0.25">
      <c r="B208" s="10"/>
      <c r="C208" s="10"/>
      <c r="D208" s="22"/>
      <c r="E208" s="10"/>
      <c r="F208" s="50"/>
      <c r="K208" s="20"/>
      <c r="L208" s="20"/>
      <c r="M208" s="20"/>
      <c r="N208" s="20"/>
      <c r="O208" s="20"/>
      <c r="P208" s="20"/>
    </row>
    <row r="209" spans="2:16" ht="18" customHeight="1" x14ac:dyDescent="0.25">
      <c r="B209" s="10"/>
      <c r="C209" s="10"/>
      <c r="D209" s="22"/>
      <c r="E209" s="10"/>
      <c r="F209" s="50"/>
      <c r="K209" s="20"/>
      <c r="L209" s="20"/>
      <c r="M209" s="20"/>
      <c r="N209" s="20"/>
      <c r="O209" s="20"/>
      <c r="P209" s="20"/>
    </row>
    <row r="210" spans="2:16" ht="18" customHeight="1" x14ac:dyDescent="0.25">
      <c r="B210" s="10"/>
      <c r="C210" s="10"/>
      <c r="D210" s="22"/>
      <c r="E210" s="10"/>
      <c r="F210" s="50"/>
      <c r="K210" s="20"/>
      <c r="L210" s="20"/>
      <c r="M210" s="20"/>
      <c r="N210" s="20"/>
      <c r="O210" s="20"/>
      <c r="P210" s="20"/>
    </row>
    <row r="211" spans="2:16" ht="18" customHeight="1" x14ac:dyDescent="0.25">
      <c r="B211" s="10"/>
      <c r="C211" s="10"/>
      <c r="D211" s="22"/>
      <c r="E211" s="10"/>
      <c r="F211" s="50"/>
      <c r="K211" s="20"/>
      <c r="L211" s="20"/>
      <c r="M211" s="20"/>
      <c r="N211" s="20"/>
      <c r="O211" s="20"/>
      <c r="P211" s="20"/>
    </row>
    <row r="212" spans="2:16" ht="18" customHeight="1" x14ac:dyDescent="0.25">
      <c r="B212" s="10"/>
      <c r="C212" s="10"/>
      <c r="D212" s="22"/>
      <c r="E212" s="10"/>
      <c r="F212" s="50"/>
      <c r="K212" s="20"/>
      <c r="L212" s="20"/>
      <c r="M212" s="20"/>
      <c r="N212" s="20"/>
      <c r="O212" s="20"/>
      <c r="P212" s="20"/>
    </row>
    <row r="213" spans="2:16" ht="18" customHeight="1" x14ac:dyDescent="0.25">
      <c r="B213" s="10"/>
      <c r="C213" s="10"/>
      <c r="D213" s="22"/>
      <c r="E213" s="10"/>
      <c r="F213" s="50"/>
      <c r="K213" s="20"/>
      <c r="L213" s="20"/>
      <c r="M213" s="20"/>
      <c r="N213" s="20"/>
      <c r="O213" s="20"/>
      <c r="P213" s="20"/>
    </row>
    <row r="214" spans="2:16" ht="18" customHeight="1" x14ac:dyDescent="0.25">
      <c r="B214" s="10"/>
      <c r="C214" s="10"/>
      <c r="D214" s="22"/>
      <c r="E214" s="10"/>
      <c r="F214" s="50"/>
      <c r="K214" s="20"/>
      <c r="L214" s="20"/>
      <c r="M214" s="20"/>
      <c r="N214" s="20"/>
      <c r="O214" s="20"/>
      <c r="P214" s="20"/>
    </row>
    <row r="215" spans="2:16" ht="18" customHeight="1" x14ac:dyDescent="0.25">
      <c r="B215" s="10"/>
      <c r="C215" s="10"/>
      <c r="D215" s="22"/>
      <c r="E215" s="10"/>
      <c r="F215" s="50"/>
      <c r="K215" s="20"/>
      <c r="L215" s="20"/>
      <c r="M215" s="20"/>
      <c r="N215" s="20"/>
      <c r="O215" s="20"/>
      <c r="P215" s="20"/>
    </row>
    <row r="216" spans="2:16" ht="18" customHeight="1" x14ac:dyDescent="0.25">
      <c r="B216" s="10"/>
      <c r="C216" s="10"/>
      <c r="D216" s="22"/>
      <c r="E216" s="10"/>
      <c r="F216" s="50"/>
      <c r="K216" s="20"/>
      <c r="L216" s="20"/>
      <c r="M216" s="20"/>
      <c r="N216" s="20"/>
      <c r="O216" s="20"/>
      <c r="P216" s="20"/>
    </row>
    <row r="217" spans="2:16" ht="18" customHeight="1" x14ac:dyDescent="0.25">
      <c r="B217" s="10"/>
      <c r="C217" s="10"/>
      <c r="D217" s="22"/>
      <c r="E217" s="10"/>
      <c r="F217" s="50"/>
      <c r="K217" s="20"/>
      <c r="L217" s="20"/>
      <c r="M217" s="20"/>
      <c r="N217" s="20"/>
      <c r="O217" s="20"/>
      <c r="P217" s="20"/>
    </row>
    <row r="218" spans="2:16" ht="18" customHeight="1" x14ac:dyDescent="0.25">
      <c r="B218" s="10"/>
      <c r="C218" s="10"/>
      <c r="D218" s="22"/>
      <c r="E218" s="10"/>
      <c r="F218" s="50"/>
      <c r="K218" s="20"/>
      <c r="L218" s="20"/>
      <c r="M218" s="20"/>
      <c r="N218" s="20"/>
      <c r="O218" s="20"/>
      <c r="P218" s="20"/>
    </row>
    <row r="219" spans="2:16" ht="18" customHeight="1" x14ac:dyDescent="0.25">
      <c r="B219" s="10"/>
      <c r="C219" s="10"/>
      <c r="D219" s="22"/>
      <c r="E219" s="10"/>
      <c r="F219" s="50"/>
      <c r="K219" s="20"/>
      <c r="L219" s="20"/>
      <c r="M219" s="20"/>
      <c r="N219" s="20"/>
      <c r="O219" s="20"/>
      <c r="P219" s="20"/>
    </row>
    <row r="220" spans="2:16" ht="18" customHeight="1" x14ac:dyDescent="0.25">
      <c r="B220" s="10"/>
      <c r="C220" s="10"/>
      <c r="D220" s="22"/>
      <c r="E220" s="10"/>
      <c r="F220" s="50"/>
      <c r="K220" s="20"/>
      <c r="L220" s="20"/>
      <c r="M220" s="20"/>
      <c r="N220" s="20"/>
      <c r="O220" s="20"/>
      <c r="P220" s="20"/>
    </row>
    <row r="221" spans="2:16" ht="18" customHeight="1" x14ac:dyDescent="0.25">
      <c r="B221" s="10"/>
      <c r="C221" s="10"/>
      <c r="D221" s="22"/>
      <c r="E221" s="10"/>
      <c r="F221" s="50"/>
      <c r="K221" s="20"/>
      <c r="L221" s="20"/>
      <c r="M221" s="20"/>
      <c r="N221" s="20"/>
      <c r="O221" s="20"/>
      <c r="P221" s="20"/>
    </row>
    <row r="222" spans="2:16" ht="18" customHeight="1" x14ac:dyDescent="0.25">
      <c r="B222" s="10"/>
      <c r="C222" s="10"/>
      <c r="D222" s="22"/>
      <c r="E222" s="10"/>
      <c r="F222" s="50"/>
      <c r="K222" s="20"/>
      <c r="L222" s="20"/>
      <c r="M222" s="20"/>
      <c r="N222" s="20"/>
      <c r="O222" s="20"/>
      <c r="P222" s="20"/>
    </row>
    <row r="223" spans="2:16" ht="18" customHeight="1" x14ac:dyDescent="0.25">
      <c r="B223" s="10"/>
      <c r="C223" s="10"/>
      <c r="D223" s="22"/>
      <c r="E223" s="10"/>
      <c r="F223" s="50"/>
      <c r="K223" s="20"/>
      <c r="L223" s="20"/>
      <c r="M223" s="20"/>
      <c r="N223" s="20"/>
      <c r="O223" s="20"/>
      <c r="P223" s="20"/>
    </row>
    <row r="224" spans="2:16" ht="18" customHeight="1" x14ac:dyDescent="0.25">
      <c r="B224" s="10"/>
      <c r="C224" s="10"/>
      <c r="D224" s="22"/>
      <c r="E224" s="10"/>
      <c r="F224" s="50"/>
      <c r="K224" s="20"/>
      <c r="L224" s="20"/>
      <c r="M224" s="20"/>
      <c r="N224" s="20"/>
      <c r="O224" s="20"/>
      <c r="P224" s="20"/>
    </row>
    <row r="225" spans="2:16" ht="18" customHeight="1" x14ac:dyDescent="0.25">
      <c r="B225" s="10"/>
      <c r="C225" s="10"/>
      <c r="D225" s="22"/>
      <c r="E225" s="10"/>
      <c r="F225" s="50"/>
      <c r="K225" s="20"/>
      <c r="L225" s="20"/>
      <c r="M225" s="20"/>
      <c r="N225" s="20"/>
      <c r="O225" s="20"/>
      <c r="P225" s="20"/>
    </row>
    <row r="226" spans="2:16" ht="18" customHeight="1" x14ac:dyDescent="0.25">
      <c r="B226" s="10"/>
      <c r="C226" s="10"/>
      <c r="D226" s="22"/>
      <c r="E226" s="10"/>
      <c r="F226" s="50"/>
      <c r="K226" s="20"/>
      <c r="L226" s="20"/>
      <c r="M226" s="20"/>
      <c r="N226" s="20"/>
      <c r="O226" s="20"/>
      <c r="P226" s="20"/>
    </row>
    <row r="227" spans="2:16" ht="18" customHeight="1" x14ac:dyDescent="0.25">
      <c r="B227" s="10"/>
      <c r="C227" s="10"/>
      <c r="D227" s="22"/>
      <c r="E227" s="10"/>
      <c r="F227" s="50"/>
      <c r="K227" s="20"/>
      <c r="L227" s="20"/>
      <c r="M227" s="20"/>
      <c r="N227" s="20"/>
      <c r="O227" s="20"/>
      <c r="P227" s="20"/>
    </row>
    <row r="228" spans="2:16" ht="18" customHeight="1" x14ac:dyDescent="0.25">
      <c r="B228" s="10"/>
      <c r="C228" s="10"/>
      <c r="D228" s="22"/>
      <c r="E228" s="10"/>
      <c r="F228" s="50"/>
      <c r="K228" s="20"/>
      <c r="L228" s="20"/>
      <c r="M228" s="20"/>
      <c r="N228" s="20"/>
      <c r="O228" s="20"/>
      <c r="P228" s="20"/>
    </row>
    <row r="229" spans="2:16" ht="18" customHeight="1" x14ac:dyDescent="0.25">
      <c r="B229" s="10"/>
      <c r="C229" s="10"/>
      <c r="D229" s="22"/>
      <c r="E229" s="10"/>
      <c r="F229" s="50"/>
      <c r="K229" s="20"/>
      <c r="L229" s="20"/>
      <c r="M229" s="20"/>
      <c r="N229" s="20"/>
      <c r="O229" s="20"/>
      <c r="P229" s="20"/>
    </row>
    <row r="230" spans="2:16" ht="18" customHeight="1" x14ac:dyDescent="0.25">
      <c r="B230" s="10"/>
      <c r="C230" s="10"/>
      <c r="D230" s="22"/>
      <c r="E230" s="10"/>
      <c r="F230" s="50"/>
      <c r="K230" s="20"/>
      <c r="L230" s="20"/>
      <c r="M230" s="20"/>
      <c r="N230" s="20"/>
      <c r="O230" s="20"/>
      <c r="P230" s="20"/>
    </row>
    <row r="231" spans="2:16" ht="18" customHeight="1" x14ac:dyDescent="0.25">
      <c r="B231" s="10"/>
      <c r="C231" s="10"/>
      <c r="D231" s="22"/>
      <c r="E231" s="10"/>
      <c r="F231" s="50"/>
      <c r="K231" s="20"/>
      <c r="L231" s="20"/>
      <c r="M231" s="20"/>
      <c r="N231" s="20"/>
      <c r="O231" s="20"/>
      <c r="P231" s="20"/>
    </row>
    <row r="232" spans="2:16" ht="18" customHeight="1" x14ac:dyDescent="0.25">
      <c r="B232" s="10"/>
      <c r="C232" s="10"/>
      <c r="D232" s="22"/>
      <c r="E232" s="10"/>
      <c r="F232" s="50"/>
      <c r="K232" s="20"/>
      <c r="L232" s="20"/>
      <c r="M232" s="20"/>
      <c r="N232" s="20"/>
      <c r="O232" s="20"/>
      <c r="P232" s="20"/>
    </row>
    <row r="233" spans="2:16" ht="18" customHeight="1" x14ac:dyDescent="0.25">
      <c r="B233" s="10"/>
      <c r="C233" s="10"/>
      <c r="D233" s="22"/>
      <c r="E233" s="10"/>
      <c r="F233" s="50"/>
      <c r="K233" s="20"/>
      <c r="L233" s="20"/>
      <c r="M233" s="20"/>
      <c r="N233" s="20"/>
      <c r="O233" s="20"/>
      <c r="P233" s="20"/>
    </row>
    <row r="234" spans="2:16" ht="18" customHeight="1" x14ac:dyDescent="0.25">
      <c r="B234" s="10"/>
      <c r="C234" s="10"/>
      <c r="D234" s="22"/>
      <c r="E234" s="10"/>
      <c r="F234" s="50"/>
      <c r="K234" s="20"/>
      <c r="L234" s="20"/>
      <c r="M234" s="20"/>
      <c r="N234" s="20"/>
      <c r="O234" s="20"/>
      <c r="P234" s="20"/>
    </row>
    <row r="235" spans="2:16" ht="18" customHeight="1" x14ac:dyDescent="0.25">
      <c r="B235" s="10"/>
      <c r="C235" s="10"/>
      <c r="D235" s="22"/>
      <c r="E235" s="10"/>
      <c r="F235" s="50"/>
      <c r="K235" s="20"/>
      <c r="L235" s="20"/>
      <c r="M235" s="20"/>
      <c r="N235" s="20"/>
      <c r="O235" s="20"/>
      <c r="P235" s="20"/>
    </row>
    <row r="236" spans="2:16" ht="18" customHeight="1" x14ac:dyDescent="0.25">
      <c r="B236" s="10"/>
      <c r="C236" s="10"/>
      <c r="D236" s="22"/>
      <c r="E236" s="10"/>
      <c r="F236" s="50"/>
      <c r="K236" s="20"/>
      <c r="L236" s="20"/>
      <c r="M236" s="20"/>
      <c r="N236" s="20"/>
      <c r="O236" s="20"/>
      <c r="P236" s="20"/>
    </row>
    <row r="237" spans="2:16" ht="18" customHeight="1" x14ac:dyDescent="0.25">
      <c r="B237" s="10"/>
      <c r="C237" s="10"/>
      <c r="D237" s="22"/>
      <c r="E237" s="10"/>
      <c r="F237" s="50"/>
      <c r="K237" s="20"/>
      <c r="L237" s="20"/>
      <c r="M237" s="20"/>
      <c r="N237" s="20"/>
      <c r="O237" s="20"/>
      <c r="P237" s="20"/>
    </row>
    <row r="238" spans="2:16" ht="18" customHeight="1" x14ac:dyDescent="0.25">
      <c r="B238" s="10"/>
      <c r="C238" s="10"/>
      <c r="D238" s="22"/>
      <c r="E238" s="10"/>
      <c r="F238" s="50"/>
      <c r="K238" s="20"/>
      <c r="L238" s="20"/>
      <c r="M238" s="20"/>
      <c r="N238" s="20"/>
      <c r="O238" s="20"/>
      <c r="P238" s="20"/>
    </row>
    <row r="239" spans="2:16" ht="18" customHeight="1" x14ac:dyDescent="0.25">
      <c r="B239" s="10"/>
      <c r="C239" s="10"/>
      <c r="D239" s="22"/>
      <c r="E239" s="10"/>
      <c r="F239" s="50"/>
      <c r="K239" s="20"/>
      <c r="L239" s="20"/>
      <c r="M239" s="20"/>
      <c r="N239" s="20"/>
      <c r="O239" s="20"/>
      <c r="P239" s="20"/>
    </row>
    <row r="240" spans="2:16" ht="18" customHeight="1" x14ac:dyDescent="0.25">
      <c r="B240" s="10"/>
      <c r="C240" s="10"/>
      <c r="D240" s="22"/>
      <c r="E240" s="10"/>
      <c r="F240" s="50"/>
      <c r="K240" s="20"/>
      <c r="L240" s="20"/>
      <c r="M240" s="20"/>
      <c r="N240" s="20"/>
      <c r="O240" s="20"/>
      <c r="P240" s="20"/>
    </row>
    <row r="241" spans="2:16" ht="18" customHeight="1" x14ac:dyDescent="0.25">
      <c r="B241" s="10"/>
      <c r="C241" s="10"/>
      <c r="D241" s="22"/>
      <c r="E241" s="10"/>
      <c r="F241" s="50"/>
      <c r="K241" s="20"/>
      <c r="L241" s="20"/>
      <c r="M241" s="20"/>
      <c r="N241" s="20"/>
      <c r="O241" s="20"/>
      <c r="P241" s="20"/>
    </row>
    <row r="242" spans="2:16" ht="18" customHeight="1" x14ac:dyDescent="0.25">
      <c r="B242" s="10"/>
      <c r="C242" s="10"/>
      <c r="D242" s="22"/>
      <c r="E242" s="10"/>
      <c r="F242" s="50"/>
      <c r="K242" s="20"/>
      <c r="L242" s="20"/>
      <c r="M242" s="20"/>
      <c r="N242" s="20"/>
      <c r="O242" s="20"/>
      <c r="P242" s="20"/>
    </row>
    <row r="243" spans="2:16" ht="18" customHeight="1" x14ac:dyDescent="0.25">
      <c r="B243" s="10"/>
      <c r="C243" s="10"/>
      <c r="D243" s="22"/>
      <c r="E243" s="10"/>
      <c r="F243" s="50"/>
      <c r="K243" s="20"/>
      <c r="L243" s="20"/>
      <c r="M243" s="20"/>
      <c r="N243" s="20"/>
      <c r="O243" s="20"/>
      <c r="P243" s="20"/>
    </row>
    <row r="244" spans="2:16" ht="18" customHeight="1" x14ac:dyDescent="0.25">
      <c r="B244" s="10"/>
      <c r="C244" s="10"/>
      <c r="D244" s="22"/>
      <c r="E244" s="10"/>
      <c r="F244" s="50"/>
      <c r="K244" s="20"/>
      <c r="L244" s="20"/>
      <c r="M244" s="20"/>
      <c r="N244" s="20"/>
      <c r="O244" s="20"/>
      <c r="P244" s="20"/>
    </row>
    <row r="245" spans="2:16" ht="18" customHeight="1" x14ac:dyDescent="0.25">
      <c r="B245" s="10"/>
      <c r="C245" s="10"/>
      <c r="D245" s="22"/>
      <c r="E245" s="10"/>
      <c r="F245" s="50"/>
      <c r="K245" s="20"/>
      <c r="L245" s="20"/>
      <c r="M245" s="20"/>
      <c r="N245" s="20"/>
      <c r="O245" s="20"/>
      <c r="P245" s="20"/>
    </row>
    <row r="246" spans="2:16" ht="18" customHeight="1" x14ac:dyDescent="0.25">
      <c r="B246" s="10"/>
      <c r="C246" s="10"/>
      <c r="D246" s="22"/>
      <c r="E246" s="10"/>
      <c r="F246" s="50"/>
      <c r="K246" s="20"/>
      <c r="L246" s="20"/>
      <c r="M246" s="20"/>
      <c r="N246" s="20"/>
      <c r="O246" s="20"/>
      <c r="P246" s="20"/>
    </row>
    <row r="247" spans="2:16" ht="18" customHeight="1" x14ac:dyDescent="0.25">
      <c r="B247" s="10"/>
      <c r="C247" s="10"/>
      <c r="D247" s="22"/>
      <c r="E247" s="10"/>
      <c r="F247" s="50"/>
      <c r="K247" s="20"/>
      <c r="L247" s="20"/>
      <c r="M247" s="20"/>
      <c r="N247" s="20"/>
      <c r="O247" s="20"/>
      <c r="P247" s="20"/>
    </row>
    <row r="248" spans="2:16" ht="18" customHeight="1" x14ac:dyDescent="0.25">
      <c r="B248" s="10"/>
      <c r="C248" s="10"/>
      <c r="D248" s="22"/>
      <c r="E248" s="10"/>
      <c r="F248" s="50"/>
      <c r="K248" s="20"/>
      <c r="L248" s="20"/>
      <c r="M248" s="20"/>
      <c r="N248" s="20"/>
      <c r="O248" s="20"/>
      <c r="P248" s="20"/>
    </row>
    <row r="249" spans="2:16" ht="18" customHeight="1" x14ac:dyDescent="0.25">
      <c r="B249" s="10"/>
      <c r="C249" s="10"/>
      <c r="D249" s="22"/>
      <c r="E249" s="10"/>
      <c r="F249" s="50"/>
      <c r="K249" s="20"/>
      <c r="L249" s="20"/>
      <c r="M249" s="20"/>
      <c r="N249" s="20"/>
      <c r="O249" s="20"/>
      <c r="P249" s="20"/>
    </row>
    <row r="250" spans="2:16" ht="18" customHeight="1" x14ac:dyDescent="0.25">
      <c r="B250" s="10"/>
      <c r="C250" s="10"/>
      <c r="D250" s="22"/>
      <c r="E250" s="10"/>
      <c r="F250" s="50"/>
      <c r="K250" s="20"/>
      <c r="L250" s="20"/>
      <c r="M250" s="20"/>
      <c r="N250" s="20"/>
      <c r="O250" s="20"/>
      <c r="P250" s="20"/>
    </row>
    <row r="251" spans="2:16" ht="18" customHeight="1" x14ac:dyDescent="0.25">
      <c r="B251" s="10"/>
      <c r="C251" s="10"/>
      <c r="D251" s="22"/>
      <c r="E251" s="10"/>
      <c r="F251" s="50"/>
      <c r="K251" s="20"/>
      <c r="L251" s="20"/>
      <c r="M251" s="20"/>
      <c r="N251" s="20"/>
      <c r="O251" s="20"/>
      <c r="P251" s="20"/>
    </row>
    <row r="252" spans="2:16" ht="18" customHeight="1" x14ac:dyDescent="0.25">
      <c r="B252" s="10"/>
      <c r="C252" s="10"/>
      <c r="D252" s="22"/>
      <c r="E252" s="10"/>
      <c r="F252" s="50"/>
      <c r="K252" s="20"/>
      <c r="L252" s="20"/>
      <c r="M252" s="20"/>
      <c r="N252" s="20"/>
      <c r="O252" s="20"/>
      <c r="P252" s="20"/>
    </row>
    <row r="253" spans="2:16" ht="18" customHeight="1" x14ac:dyDescent="0.25">
      <c r="B253" s="10"/>
      <c r="C253" s="10"/>
      <c r="D253" s="22"/>
      <c r="E253" s="10"/>
      <c r="F253" s="50"/>
      <c r="K253" s="20"/>
      <c r="L253" s="20"/>
      <c r="M253" s="20"/>
      <c r="N253" s="20"/>
      <c r="O253" s="20"/>
      <c r="P253" s="20"/>
    </row>
    <row r="254" spans="2:16" ht="18" customHeight="1" x14ac:dyDescent="0.25">
      <c r="B254" s="10"/>
      <c r="C254" s="10"/>
      <c r="D254" s="22"/>
      <c r="E254" s="10"/>
      <c r="F254" s="50"/>
      <c r="K254" s="20"/>
      <c r="L254" s="20"/>
      <c r="M254" s="20"/>
      <c r="N254" s="20"/>
      <c r="O254" s="20"/>
      <c r="P254" s="20"/>
    </row>
    <row r="255" spans="2:16" ht="18" customHeight="1" x14ac:dyDescent="0.25">
      <c r="B255" s="10"/>
      <c r="C255" s="10"/>
      <c r="D255" s="22"/>
      <c r="E255" s="10"/>
      <c r="F255" s="50"/>
      <c r="K255" s="20"/>
      <c r="L255" s="20"/>
      <c r="M255" s="20"/>
      <c r="N255" s="20"/>
      <c r="O255" s="20"/>
      <c r="P255" s="20"/>
    </row>
    <row r="256" spans="2:16" ht="18" customHeight="1" x14ac:dyDescent="0.25">
      <c r="B256" s="10"/>
      <c r="C256" s="10"/>
      <c r="D256" s="22"/>
      <c r="E256" s="10"/>
      <c r="F256" s="50"/>
      <c r="K256" s="20"/>
      <c r="L256" s="20"/>
      <c r="M256" s="20"/>
      <c r="N256" s="20"/>
      <c r="O256" s="20"/>
      <c r="P256" s="20"/>
    </row>
    <row r="257" spans="2:16" ht="18" customHeight="1" x14ac:dyDescent="0.25">
      <c r="B257" s="10"/>
      <c r="C257" s="10"/>
      <c r="D257" s="22"/>
      <c r="E257" s="10"/>
      <c r="F257" s="50"/>
      <c r="K257" s="20"/>
      <c r="L257" s="20"/>
      <c r="M257" s="20"/>
      <c r="N257" s="20"/>
      <c r="O257" s="20"/>
      <c r="P257" s="20"/>
    </row>
    <row r="258" spans="2:16" ht="18" customHeight="1" x14ac:dyDescent="0.25">
      <c r="B258" s="10"/>
      <c r="C258" s="10"/>
      <c r="D258" s="22"/>
      <c r="E258" s="10"/>
      <c r="F258" s="50"/>
      <c r="K258" s="20"/>
      <c r="L258" s="20"/>
      <c r="M258" s="20"/>
      <c r="N258" s="20"/>
      <c r="O258" s="20"/>
      <c r="P258" s="20"/>
    </row>
    <row r="259" spans="2:16" ht="18" customHeight="1" x14ac:dyDescent="0.25">
      <c r="B259" s="10"/>
      <c r="C259" s="10"/>
      <c r="D259" s="22"/>
      <c r="E259" s="10"/>
      <c r="F259" s="50"/>
      <c r="K259" s="20"/>
      <c r="L259" s="20"/>
      <c r="M259" s="20"/>
      <c r="N259" s="20"/>
      <c r="O259" s="20"/>
      <c r="P259" s="20"/>
    </row>
    <row r="260" spans="2:16" ht="18" customHeight="1" x14ac:dyDescent="0.25">
      <c r="B260" s="10"/>
      <c r="C260" s="10"/>
      <c r="D260" s="22"/>
      <c r="E260" s="10"/>
      <c r="F260" s="50"/>
      <c r="K260" s="20"/>
      <c r="L260" s="20"/>
      <c r="M260" s="20"/>
      <c r="N260" s="20"/>
      <c r="O260" s="20"/>
      <c r="P260" s="20"/>
    </row>
    <row r="261" spans="2:16" ht="18" customHeight="1" x14ac:dyDescent="0.25">
      <c r="B261" s="10"/>
      <c r="C261" s="10"/>
      <c r="D261" s="22"/>
      <c r="E261" s="10"/>
      <c r="F261" s="50"/>
      <c r="K261" s="20"/>
      <c r="L261" s="20"/>
      <c r="M261" s="20"/>
      <c r="N261" s="20"/>
      <c r="O261" s="20"/>
      <c r="P261" s="20"/>
    </row>
    <row r="262" spans="2:16" ht="18" customHeight="1" x14ac:dyDescent="0.25">
      <c r="B262" s="10"/>
      <c r="C262" s="10"/>
      <c r="D262" s="22"/>
      <c r="E262" s="10"/>
      <c r="F262" s="50"/>
      <c r="K262" s="20"/>
      <c r="L262" s="20"/>
      <c r="M262" s="20"/>
      <c r="N262" s="20"/>
      <c r="O262" s="20"/>
      <c r="P262" s="20"/>
    </row>
    <row r="263" spans="2:16" ht="18" customHeight="1" x14ac:dyDescent="0.25">
      <c r="B263" s="10"/>
      <c r="C263" s="10"/>
      <c r="D263" s="22"/>
      <c r="E263" s="10"/>
      <c r="F263" s="50"/>
      <c r="K263" s="20"/>
      <c r="L263" s="20"/>
      <c r="M263" s="20"/>
      <c r="N263" s="20"/>
      <c r="O263" s="20"/>
      <c r="P263" s="20"/>
    </row>
    <row r="264" spans="2:16" ht="18" customHeight="1" x14ac:dyDescent="0.25">
      <c r="B264" s="10"/>
      <c r="C264" s="10"/>
      <c r="D264" s="22"/>
      <c r="E264" s="10"/>
      <c r="F264" s="50"/>
      <c r="K264" s="20"/>
      <c r="L264" s="20"/>
      <c r="M264" s="20"/>
      <c r="N264" s="20"/>
      <c r="O264" s="20"/>
      <c r="P264" s="20"/>
    </row>
    <row r="265" spans="2:16" ht="18" customHeight="1" x14ac:dyDescent="0.25">
      <c r="B265" s="10"/>
      <c r="C265" s="10"/>
      <c r="D265" s="22"/>
      <c r="E265" s="10"/>
      <c r="F265" s="50"/>
      <c r="K265" s="20"/>
      <c r="L265" s="20"/>
      <c r="M265" s="20"/>
      <c r="N265" s="20"/>
      <c r="O265" s="20"/>
      <c r="P265" s="20"/>
    </row>
    <row r="266" spans="2:16" ht="18" customHeight="1" x14ac:dyDescent="0.25">
      <c r="B266" s="10"/>
      <c r="C266" s="10"/>
      <c r="D266" s="22"/>
      <c r="E266" s="10"/>
      <c r="F266" s="50"/>
      <c r="K266" s="20"/>
      <c r="L266" s="20"/>
      <c r="M266" s="20"/>
      <c r="N266" s="20"/>
      <c r="O266" s="20"/>
      <c r="P266" s="20"/>
    </row>
    <row r="267" spans="2:16" ht="18" customHeight="1" x14ac:dyDescent="0.25">
      <c r="B267" s="10"/>
      <c r="C267" s="10"/>
      <c r="D267" s="22"/>
      <c r="E267" s="10"/>
      <c r="F267" s="50"/>
      <c r="K267" s="20"/>
      <c r="L267" s="20"/>
      <c r="M267" s="20"/>
      <c r="N267" s="20"/>
      <c r="O267" s="20"/>
      <c r="P267" s="20"/>
    </row>
    <row r="268" spans="2:16" ht="18" customHeight="1" x14ac:dyDescent="0.25">
      <c r="B268" s="10"/>
      <c r="C268" s="10"/>
      <c r="D268" s="22"/>
      <c r="E268" s="10"/>
      <c r="F268" s="50"/>
      <c r="K268" s="20"/>
      <c r="L268" s="20"/>
      <c r="M268" s="20"/>
      <c r="N268" s="20"/>
      <c r="O268" s="20"/>
      <c r="P268" s="20"/>
    </row>
    <row r="269" spans="2:16" ht="18" customHeight="1" x14ac:dyDescent="0.25">
      <c r="B269" s="10"/>
      <c r="C269" s="10"/>
      <c r="D269" s="22"/>
      <c r="E269" s="10"/>
      <c r="F269" s="50"/>
      <c r="K269" s="20"/>
      <c r="L269" s="20"/>
      <c r="M269" s="20"/>
      <c r="N269" s="20"/>
      <c r="O269" s="20"/>
      <c r="P269" s="20"/>
    </row>
    <row r="270" spans="2:16" ht="18" customHeight="1" x14ac:dyDescent="0.25">
      <c r="B270" s="10"/>
      <c r="C270" s="10"/>
      <c r="D270" s="22"/>
      <c r="E270" s="10"/>
      <c r="F270" s="50"/>
      <c r="K270" s="20"/>
      <c r="L270" s="20"/>
      <c r="M270" s="20"/>
      <c r="N270" s="20"/>
      <c r="O270" s="20"/>
      <c r="P270" s="20"/>
    </row>
    <row r="271" spans="2:16" ht="18" customHeight="1" x14ac:dyDescent="0.25">
      <c r="B271" s="10"/>
      <c r="C271" s="10"/>
      <c r="D271" s="22"/>
      <c r="E271" s="10"/>
      <c r="F271" s="50"/>
      <c r="K271" s="20"/>
      <c r="L271" s="20"/>
      <c r="M271" s="20"/>
      <c r="N271" s="20"/>
      <c r="O271" s="20"/>
      <c r="P271" s="20"/>
    </row>
    <row r="272" spans="2:16" ht="18" customHeight="1" x14ac:dyDescent="0.25">
      <c r="B272" s="10"/>
      <c r="C272" s="10"/>
      <c r="D272" s="22"/>
      <c r="E272" s="10"/>
      <c r="F272" s="50"/>
      <c r="K272" s="20"/>
      <c r="L272" s="20"/>
      <c r="M272" s="20"/>
      <c r="N272" s="20"/>
      <c r="O272" s="20"/>
      <c r="P272" s="20"/>
    </row>
    <row r="273" spans="2:16" ht="18" customHeight="1" x14ac:dyDescent="0.25">
      <c r="B273" s="10"/>
      <c r="C273" s="10"/>
      <c r="D273" s="22"/>
      <c r="E273" s="10"/>
      <c r="F273" s="50"/>
      <c r="K273" s="20"/>
      <c r="L273" s="20"/>
      <c r="M273" s="20"/>
      <c r="N273" s="20"/>
      <c r="O273" s="20"/>
      <c r="P273" s="20"/>
    </row>
    <row r="274" spans="2:16" ht="18" customHeight="1" x14ac:dyDescent="0.25">
      <c r="B274" s="10"/>
      <c r="C274" s="10"/>
      <c r="D274" s="22"/>
      <c r="E274" s="10"/>
      <c r="F274" s="50"/>
      <c r="K274" s="20"/>
      <c r="L274" s="20"/>
      <c r="M274" s="20"/>
      <c r="N274" s="20"/>
      <c r="O274" s="20"/>
      <c r="P274" s="20"/>
    </row>
    <row r="275" spans="2:16" ht="18" customHeight="1" x14ac:dyDescent="0.25">
      <c r="B275" s="10"/>
      <c r="C275" s="10"/>
      <c r="D275" s="22"/>
      <c r="E275" s="10"/>
      <c r="F275" s="50"/>
      <c r="K275" s="20"/>
      <c r="L275" s="20"/>
      <c r="M275" s="20"/>
      <c r="N275" s="20"/>
      <c r="O275" s="20"/>
      <c r="P275" s="20"/>
    </row>
    <row r="276" spans="2:16" ht="18" customHeight="1" x14ac:dyDescent="0.25">
      <c r="B276" s="10"/>
      <c r="C276" s="10"/>
      <c r="D276" s="22"/>
      <c r="E276" s="10"/>
      <c r="F276" s="50"/>
      <c r="K276" s="20"/>
      <c r="L276" s="20"/>
      <c r="M276" s="20"/>
      <c r="N276" s="20"/>
      <c r="O276" s="20"/>
      <c r="P276" s="20"/>
    </row>
    <row r="277" spans="2:16" ht="18" customHeight="1" x14ac:dyDescent="0.25">
      <c r="B277" s="10"/>
      <c r="C277" s="10"/>
      <c r="D277" s="22"/>
      <c r="E277" s="10"/>
      <c r="F277" s="50"/>
      <c r="K277" s="20"/>
      <c r="L277" s="20"/>
      <c r="M277" s="20"/>
      <c r="N277" s="20"/>
      <c r="O277" s="20"/>
      <c r="P277" s="20"/>
    </row>
    <row r="278" spans="2:16" ht="18" customHeight="1" x14ac:dyDescent="0.25">
      <c r="B278" s="10"/>
      <c r="C278" s="10"/>
      <c r="D278" s="22"/>
      <c r="E278" s="10"/>
      <c r="F278" s="50"/>
      <c r="K278" s="20"/>
      <c r="L278" s="20"/>
      <c r="M278" s="20"/>
      <c r="N278" s="20"/>
      <c r="O278" s="20"/>
      <c r="P278" s="20"/>
    </row>
    <row r="279" spans="2:16" ht="18" customHeight="1" x14ac:dyDescent="0.25">
      <c r="B279" s="10"/>
      <c r="C279" s="10"/>
      <c r="D279" s="22"/>
      <c r="E279" s="10"/>
      <c r="F279" s="50"/>
      <c r="K279" s="20"/>
      <c r="L279" s="20"/>
      <c r="M279" s="20"/>
      <c r="N279" s="20"/>
      <c r="O279" s="20"/>
      <c r="P279" s="20"/>
    </row>
    <row r="280" spans="2:16" ht="18" customHeight="1" x14ac:dyDescent="0.25">
      <c r="B280" s="10"/>
      <c r="C280" s="10"/>
      <c r="D280" s="22"/>
      <c r="E280" s="10"/>
      <c r="F280" s="50"/>
      <c r="K280" s="20"/>
      <c r="L280" s="20"/>
      <c r="M280" s="20"/>
      <c r="N280" s="20"/>
      <c r="O280" s="20"/>
      <c r="P280" s="20"/>
    </row>
    <row r="281" spans="2:16" ht="18" customHeight="1" x14ac:dyDescent="0.25">
      <c r="B281" s="10"/>
      <c r="C281" s="10"/>
      <c r="D281" s="22"/>
      <c r="E281" s="10"/>
      <c r="F281" s="50"/>
      <c r="K281" s="20"/>
      <c r="L281" s="20"/>
      <c r="M281" s="20"/>
      <c r="N281" s="20"/>
      <c r="O281" s="20"/>
      <c r="P281" s="20"/>
    </row>
    <row r="282" spans="2:16" ht="18" customHeight="1" x14ac:dyDescent="0.25">
      <c r="B282" s="10"/>
      <c r="C282" s="10"/>
      <c r="D282" s="22"/>
      <c r="E282" s="10"/>
      <c r="F282" s="50"/>
      <c r="K282" s="20"/>
      <c r="L282" s="20"/>
      <c r="M282" s="20"/>
      <c r="N282" s="20"/>
      <c r="O282" s="20"/>
      <c r="P282" s="20"/>
    </row>
    <row r="283" spans="2:16" ht="18" customHeight="1" x14ac:dyDescent="0.25">
      <c r="B283" s="10"/>
      <c r="C283" s="10"/>
      <c r="D283" s="22"/>
      <c r="E283" s="10"/>
      <c r="F283" s="50"/>
      <c r="K283" s="20"/>
      <c r="L283" s="20"/>
      <c r="M283" s="20"/>
      <c r="N283" s="20"/>
      <c r="O283" s="20"/>
      <c r="P283" s="20"/>
    </row>
    <row r="284" spans="2:16" ht="18" customHeight="1" x14ac:dyDescent="0.25">
      <c r="B284" s="10"/>
      <c r="C284" s="10"/>
      <c r="D284" s="22"/>
      <c r="E284" s="10"/>
      <c r="F284" s="50"/>
      <c r="K284" s="20"/>
      <c r="L284" s="20"/>
      <c r="M284" s="20"/>
      <c r="N284" s="20"/>
      <c r="O284" s="20"/>
      <c r="P284" s="20"/>
    </row>
    <row r="285" spans="2:16" ht="18" customHeight="1" x14ac:dyDescent="0.25">
      <c r="B285" s="10"/>
      <c r="C285" s="10"/>
      <c r="D285" s="22"/>
      <c r="E285" s="10"/>
      <c r="F285" s="50"/>
      <c r="K285" s="20"/>
      <c r="L285" s="20"/>
      <c r="M285" s="20"/>
      <c r="N285" s="20"/>
      <c r="O285" s="20"/>
      <c r="P285" s="20"/>
    </row>
    <row r="286" spans="2:16" ht="18" customHeight="1" x14ac:dyDescent="0.25">
      <c r="B286" s="10"/>
      <c r="C286" s="10"/>
      <c r="D286" s="22"/>
      <c r="E286" s="10"/>
      <c r="F286" s="50"/>
      <c r="K286" s="20"/>
      <c r="L286" s="20"/>
      <c r="M286" s="20"/>
      <c r="N286" s="20"/>
      <c r="O286" s="20"/>
      <c r="P286" s="20"/>
    </row>
    <row r="287" spans="2:16" ht="18" customHeight="1" x14ac:dyDescent="0.25">
      <c r="B287" s="10"/>
      <c r="C287" s="10"/>
      <c r="D287" s="22"/>
      <c r="E287" s="10"/>
      <c r="F287" s="50"/>
      <c r="K287" s="20"/>
      <c r="L287" s="20"/>
      <c r="M287" s="20"/>
      <c r="N287" s="20"/>
      <c r="O287" s="20"/>
      <c r="P287" s="20"/>
    </row>
    <row r="288" spans="2:16" ht="18" customHeight="1" x14ac:dyDescent="0.25">
      <c r="B288" s="10"/>
      <c r="C288" s="10"/>
      <c r="D288" s="22"/>
      <c r="E288" s="10"/>
      <c r="F288" s="50"/>
      <c r="K288" s="20"/>
      <c r="L288" s="20"/>
      <c r="M288" s="20"/>
      <c r="N288" s="20"/>
      <c r="O288" s="20"/>
      <c r="P288" s="20"/>
    </row>
    <row r="289" spans="2:16" ht="18" customHeight="1" x14ac:dyDescent="0.25">
      <c r="B289" s="10"/>
      <c r="C289" s="10"/>
      <c r="D289" s="22"/>
      <c r="E289" s="10"/>
      <c r="F289" s="50"/>
      <c r="K289" s="20"/>
      <c r="L289" s="20"/>
      <c r="M289" s="20"/>
      <c r="N289" s="20"/>
      <c r="O289" s="20"/>
      <c r="P289" s="20"/>
    </row>
    <row r="290" spans="2:16" ht="18" customHeight="1" x14ac:dyDescent="0.25">
      <c r="B290" s="10"/>
      <c r="C290" s="10"/>
      <c r="D290" s="22"/>
      <c r="E290" s="10"/>
      <c r="F290" s="50"/>
      <c r="K290" s="20"/>
      <c r="L290" s="20"/>
      <c r="M290" s="20"/>
      <c r="N290" s="20"/>
      <c r="O290" s="20"/>
      <c r="P290" s="20"/>
    </row>
    <row r="291" spans="2:16" ht="18" customHeight="1" x14ac:dyDescent="0.25">
      <c r="B291" s="10"/>
      <c r="C291" s="10"/>
      <c r="D291" s="22"/>
      <c r="E291" s="10"/>
      <c r="F291" s="50"/>
      <c r="K291" s="20"/>
      <c r="L291" s="20"/>
      <c r="M291" s="20"/>
      <c r="N291" s="20"/>
      <c r="O291" s="20"/>
      <c r="P291" s="20"/>
    </row>
    <row r="292" spans="2:16" ht="18" customHeight="1" x14ac:dyDescent="0.25">
      <c r="B292" s="10"/>
      <c r="C292" s="10"/>
      <c r="D292" s="22"/>
      <c r="E292" s="10"/>
      <c r="F292" s="50"/>
      <c r="K292" s="20"/>
      <c r="L292" s="20"/>
      <c r="M292" s="20"/>
      <c r="N292" s="20"/>
      <c r="O292" s="20"/>
      <c r="P292" s="20"/>
    </row>
    <row r="293" spans="2:16" ht="18" customHeight="1" x14ac:dyDescent="0.25">
      <c r="B293" s="10"/>
      <c r="C293" s="10"/>
      <c r="D293" s="22"/>
      <c r="E293" s="10"/>
      <c r="F293" s="50"/>
      <c r="K293" s="20"/>
      <c r="L293" s="20"/>
      <c r="M293" s="20"/>
      <c r="N293" s="20"/>
      <c r="O293" s="20"/>
      <c r="P293" s="20"/>
    </row>
    <row r="294" spans="2:16" ht="18" customHeight="1" x14ac:dyDescent="0.25">
      <c r="B294" s="10"/>
      <c r="C294" s="10"/>
      <c r="D294" s="22"/>
      <c r="E294" s="10"/>
      <c r="F294" s="50"/>
      <c r="K294" s="20"/>
      <c r="L294" s="20"/>
      <c r="M294" s="20"/>
      <c r="N294" s="20"/>
      <c r="O294" s="20"/>
      <c r="P294" s="20"/>
    </row>
    <row r="295" spans="2:16" ht="18" customHeight="1" x14ac:dyDescent="0.25">
      <c r="B295" s="10"/>
      <c r="C295" s="10"/>
      <c r="D295" s="22"/>
      <c r="E295" s="10"/>
      <c r="F295" s="50"/>
      <c r="K295" s="20"/>
      <c r="L295" s="20"/>
      <c r="M295" s="20"/>
      <c r="N295" s="20"/>
      <c r="O295" s="20"/>
      <c r="P295" s="20"/>
    </row>
    <row r="296" spans="2:16" ht="18" customHeight="1" x14ac:dyDescent="0.25">
      <c r="B296" s="10"/>
      <c r="C296" s="10"/>
      <c r="D296" s="22"/>
      <c r="E296" s="10"/>
      <c r="F296" s="50"/>
      <c r="K296" s="20"/>
      <c r="L296" s="20"/>
      <c r="M296" s="20"/>
      <c r="N296" s="20"/>
      <c r="O296" s="20"/>
      <c r="P296" s="20"/>
    </row>
    <row r="297" spans="2:16" ht="18" customHeight="1" x14ac:dyDescent="0.25">
      <c r="B297" s="10"/>
      <c r="C297" s="10"/>
      <c r="D297" s="22"/>
      <c r="E297" s="10"/>
      <c r="F297" s="50"/>
      <c r="K297" s="20"/>
      <c r="L297" s="20"/>
      <c r="M297" s="20"/>
      <c r="N297" s="20"/>
      <c r="O297" s="20"/>
      <c r="P297" s="20"/>
    </row>
    <row r="298" spans="2:16" ht="18" customHeight="1" x14ac:dyDescent="0.25">
      <c r="B298" s="10"/>
      <c r="C298" s="10"/>
      <c r="D298" s="22"/>
      <c r="E298" s="10"/>
      <c r="F298" s="50"/>
      <c r="K298" s="20"/>
      <c r="L298" s="20"/>
      <c r="M298" s="20"/>
      <c r="N298" s="20"/>
      <c r="O298" s="20"/>
      <c r="P298" s="20"/>
    </row>
    <row r="299" spans="2:16" ht="18" customHeight="1" x14ac:dyDescent="0.25">
      <c r="B299" s="10"/>
      <c r="C299" s="10"/>
      <c r="D299" s="22"/>
      <c r="E299" s="10"/>
      <c r="F299" s="50"/>
      <c r="K299" s="20"/>
      <c r="L299" s="20"/>
      <c r="M299" s="20"/>
      <c r="N299" s="20"/>
      <c r="O299" s="20"/>
      <c r="P299" s="20"/>
    </row>
    <row r="300" spans="2:16" ht="18" customHeight="1" x14ac:dyDescent="0.25">
      <c r="B300" s="10"/>
      <c r="C300" s="10"/>
      <c r="D300" s="22"/>
      <c r="E300" s="10"/>
      <c r="F300" s="50"/>
      <c r="K300" s="20"/>
      <c r="L300" s="20"/>
      <c r="M300" s="20"/>
      <c r="N300" s="20"/>
      <c r="O300" s="20"/>
      <c r="P300" s="20"/>
    </row>
    <row r="301" spans="2:16" ht="18" customHeight="1" x14ac:dyDescent="0.25">
      <c r="B301" s="10"/>
      <c r="C301" s="10"/>
      <c r="D301" s="22"/>
      <c r="E301" s="10"/>
      <c r="F301" s="50"/>
      <c r="K301" s="20"/>
      <c r="L301" s="20"/>
      <c r="M301" s="20"/>
      <c r="N301" s="20"/>
      <c r="O301" s="20"/>
      <c r="P301" s="20"/>
    </row>
    <row r="302" spans="2:16" ht="18" customHeight="1" x14ac:dyDescent="0.25">
      <c r="B302" s="10"/>
      <c r="C302" s="10"/>
      <c r="D302" s="22"/>
      <c r="E302" s="10"/>
      <c r="F302" s="50"/>
      <c r="K302" s="20"/>
      <c r="L302" s="20"/>
      <c r="M302" s="20"/>
      <c r="N302" s="20"/>
      <c r="O302" s="20"/>
      <c r="P302" s="20"/>
    </row>
    <row r="303" spans="2:16" ht="18" customHeight="1" x14ac:dyDescent="0.25">
      <c r="B303" s="10"/>
      <c r="C303" s="10"/>
      <c r="D303" s="22"/>
      <c r="E303" s="10"/>
      <c r="F303" s="50"/>
      <c r="K303" s="20"/>
      <c r="L303" s="20"/>
      <c r="M303" s="20"/>
      <c r="N303" s="20"/>
      <c r="O303" s="20"/>
      <c r="P303" s="20"/>
    </row>
    <row r="304" spans="2:16" ht="18" customHeight="1" x14ac:dyDescent="0.25">
      <c r="B304" s="10"/>
      <c r="C304" s="10"/>
      <c r="D304" s="22"/>
      <c r="E304" s="10"/>
      <c r="F304" s="50"/>
      <c r="K304" s="20"/>
      <c r="L304" s="20"/>
      <c r="M304" s="20"/>
      <c r="N304" s="20"/>
      <c r="O304" s="20"/>
      <c r="P304" s="20"/>
    </row>
  </sheetData>
  <mergeCells count="32">
    <mergeCell ref="C89:E89"/>
    <mergeCell ref="B70:B71"/>
    <mergeCell ref="C70:E70"/>
    <mergeCell ref="B65:B66"/>
    <mergeCell ref="C65:E65"/>
    <mergeCell ref="B80:B85"/>
    <mergeCell ref="B89:B90"/>
    <mergeCell ref="B72:B73"/>
    <mergeCell ref="B108:B109"/>
    <mergeCell ref="C108:E108"/>
    <mergeCell ref="B96:B97"/>
    <mergeCell ref="C96:E96"/>
    <mergeCell ref="B99:B100"/>
    <mergeCell ref="C1:F1"/>
    <mergeCell ref="B7:B8"/>
    <mergeCell ref="C7:E7"/>
    <mergeCell ref="B5:C5"/>
    <mergeCell ref="B2:E2"/>
    <mergeCell ref="B42:B43"/>
    <mergeCell ref="C42:E42"/>
    <mergeCell ref="B38:B39"/>
    <mergeCell ref="C38:E38"/>
    <mergeCell ref="B3:F3"/>
    <mergeCell ref="B4:F4"/>
    <mergeCell ref="B114:B115"/>
    <mergeCell ref="C114:E114"/>
    <mergeCell ref="C58:E58"/>
    <mergeCell ref="B58:B59"/>
    <mergeCell ref="B20:B21"/>
    <mergeCell ref="C20:E20"/>
    <mergeCell ref="B24:B25"/>
    <mergeCell ref="C24:E24"/>
  </mergeCells>
  <phoneticPr fontId="13" type="noConversion"/>
  <dataValidations count="2">
    <dataValidation type="list" showInputMessage="1" showErrorMessage="1" sqref="I87 M87">
      <formula1>#REF!</formula1>
    </dataValidation>
    <dataValidation type="list" allowBlank="1" showInputMessage="1" showErrorMessage="1" sqref="B87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base_índices!$A$142:$A$150</xm:f>
          </x14:formula1>
          <xm:sqref>O9:O32 M9:M32 M34:M86 O34:O86 M88:M112 O88:O112</xm:sqref>
        </x14:dataValidation>
        <x14:dataValidation type="list" allowBlank="1" showInputMessage="1" showErrorMessage="1">
          <x14:formula1>
            <xm:f>base_índices!$A:$A</xm:f>
          </x14:formula1>
          <xm:sqref>B67:B69 B305:B1048576 B63:B64 B34:B37 B40:B41 B26:B32 B98:B99 B101:B105 B91:B95 B22:B23 B61 B44:B57 B9:B19 B110:B112</xm:sqref>
        </x14:dataValidation>
        <x14:dataValidation type="list" showInputMessage="1" showErrorMessage="1">
          <x14:formula1>
            <xm:f>base_índices!$A$142:$A$153</xm:f>
          </x14:formula1>
          <xm:sqref>K22:K23 K9:K19</xm:sqref>
        </x14:dataValidation>
        <x14:dataValidation type="list" showInputMessage="1" showErrorMessage="1">
          <x14:formula1>
            <xm:f>base_índices!$A$142:$A$158</xm:f>
          </x14:formula1>
          <xm:sqref>K20:K21 K24:K123</xm:sqref>
        </x14:dataValidation>
        <x14:dataValidation type="list" allowBlank="1" showInputMessage="1" showErrorMessage="1">
          <x14:formula1>
            <xm:f>[1]base_índices!#REF!</xm:f>
          </x14:formula1>
          <xm:sqref>B121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workbookViewId="0">
      <selection activeCell="D11" sqref="D11"/>
    </sheetView>
  </sheetViews>
  <sheetFormatPr defaultRowHeight="15" x14ac:dyDescent="0.25"/>
  <cols>
    <col min="2" max="2" width="38.7109375" style="227" bestFit="1" customWidth="1"/>
    <col min="3" max="3" width="9.140625" style="40"/>
  </cols>
  <sheetData>
    <row r="4" spans="2:3" x14ac:dyDescent="0.25">
      <c r="B4" s="227" t="s">
        <v>339</v>
      </c>
      <c r="C4" s="229">
        <v>527.38499999999999</v>
      </c>
    </row>
    <row r="5" spans="2:3" x14ac:dyDescent="0.25">
      <c r="B5" s="227" t="s">
        <v>340</v>
      </c>
      <c r="C5" s="229">
        <f>136.54+110.8</f>
        <v>247.33999999999997</v>
      </c>
    </row>
    <row r="6" spans="2:3" x14ac:dyDescent="0.25">
      <c r="B6" s="227" t="s">
        <v>341</v>
      </c>
      <c r="C6" s="229">
        <f>228.34+23.56</f>
        <v>251.9</v>
      </c>
    </row>
    <row r="7" spans="2:3" x14ac:dyDescent="0.25">
      <c r="B7" s="228" t="s">
        <v>342</v>
      </c>
      <c r="C7" s="40">
        <f>SUM(C4:C6)</f>
        <v>1026.625</v>
      </c>
    </row>
    <row r="9" spans="2:3" x14ac:dyDescent="0.25">
      <c r="B9" s="227" t="s">
        <v>344</v>
      </c>
      <c r="C9" s="229">
        <v>1</v>
      </c>
    </row>
    <row r="10" spans="2:3" x14ac:dyDescent="0.25">
      <c r="B10" s="227" t="s">
        <v>343</v>
      </c>
      <c r="C10" s="229">
        <v>1</v>
      </c>
    </row>
    <row r="11" spans="2:3" x14ac:dyDescent="0.25">
      <c r="C11" s="22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base_índices</vt:lpstr>
      <vt:lpstr>base_dados_proj</vt:lpstr>
      <vt:lpstr>Sistemas Locais (2)</vt:lpstr>
      <vt:lpstr>Pavimentação Interna</vt:lpstr>
      <vt:lpstr>Concreto Estampado</vt:lpstr>
      <vt:lpstr>Transposição de Córrego</vt:lpstr>
      <vt:lpstr>INFRA</vt:lpstr>
      <vt:lpstr>APRESENTAÇÃO</vt:lpstr>
      <vt:lpstr>comp piscina</vt:lpstr>
      <vt:lpstr>APRESENTAÇÃO!Area_de_impressao</vt:lpstr>
      <vt:lpstr>INFRA!Area_de_impressao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Martins</dc:creator>
  <cp:lastModifiedBy>Juliana Elias</cp:lastModifiedBy>
  <cp:lastPrinted>2019-09-09T17:33:49Z</cp:lastPrinted>
  <dcterms:created xsi:type="dcterms:W3CDTF">2018-07-31T14:41:29Z</dcterms:created>
  <dcterms:modified xsi:type="dcterms:W3CDTF">2021-11-17T19:48:51Z</dcterms:modified>
</cp:coreProperties>
</file>