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601" yWindow="840" windowWidth="16140" windowHeight="12915" tabRatio="857" activeTab="2"/>
  </bookViews>
  <sheets>
    <sheet name="RESUMO" sheetId="1" r:id="rId1"/>
    <sheet name="QUANT" sheetId="2" r:id="rId2"/>
    <sheet name="ORÇA " sheetId="3" r:id="rId3"/>
    <sheet name="TRANSP" sheetId="4" r:id="rId4"/>
    <sheet name="CFF" sheetId="5" r:id="rId5"/>
    <sheet name="MEMORIAL DE CALCULO" sheetId="6" r:id="rId6"/>
    <sheet name="BLS" sheetId="7" r:id="rId7"/>
    <sheet name="BLD" sheetId="8" r:id="rId8"/>
    <sheet name="BLT " sheetId="9" r:id="rId9"/>
    <sheet name="TERRAP E PAVIM" sheetId="10" r:id="rId10"/>
    <sheet name="BDI" sheetId="11" r:id="rId11"/>
    <sheet name="BDI DIFERENCIADO" sheetId="12" r:id="rId12"/>
    <sheet name="DRENO" sheetId="13" r:id="rId13"/>
    <sheet name="SN HOR" sheetId="14" r:id="rId14"/>
    <sheet name="SN VERT" sheetId="15" r:id="rId15"/>
    <sheet name="LASTRO" sheetId="16" r:id="rId16"/>
    <sheet name="TAB REAJUSTAMENTO" sheetId="17" r:id="rId17"/>
  </sheets>
  <externalReferences>
    <externalReference r:id="rId20"/>
  </externalReferences>
  <definedNames>
    <definedName name="_xlnm.Print_Area" localSheetId="2">'ORÇA '!$A$1:$J$96</definedName>
    <definedName name="_xlnm.Print_Area" localSheetId="1">'QUANT'!$B$1:$F$63</definedName>
    <definedName name="_xlnm.Print_Area" localSheetId="3">'TRANSP'!$A$16:$J$37</definedName>
    <definedName name="_xlnm.Print_Titles" localSheetId="2">'ORÇA '!$1:$6</definedName>
    <definedName name="_xlnm.Print_Titles" localSheetId="1">'QUANT'!$1:$5</definedName>
    <definedName name="Z_E8D46A29_8D28_49CA_936A_9705D639E1C7_.wvu.PrintArea" localSheetId="2" hidden="1">'ORÇA '!$B$1:$J$67</definedName>
  </definedNames>
  <calcPr fullCalcOnLoad="1"/>
</workbook>
</file>

<file path=xl/sharedStrings.xml><?xml version="1.0" encoding="utf-8"?>
<sst xmlns="http://schemas.openxmlformats.org/spreadsheetml/2006/main" count="1196" uniqueCount="488">
  <si>
    <t>DISCRIMINAÇÃO</t>
  </si>
  <si>
    <t>UNIDADE</t>
  </si>
  <si>
    <t>QUANTIDADE</t>
  </si>
  <si>
    <t>TERRAPLENAGEM</t>
  </si>
  <si>
    <t>m³</t>
  </si>
  <si>
    <t>PAVIMENTAÇÃO</t>
  </si>
  <si>
    <t>m²</t>
  </si>
  <si>
    <t>DRENAGEM</t>
  </si>
  <si>
    <t>m</t>
  </si>
  <si>
    <t>unid</t>
  </si>
  <si>
    <t>OBRAS COMPLEMENTARES</t>
  </si>
  <si>
    <t>x</t>
  </si>
  <si>
    <t>UNID.</t>
  </si>
  <si>
    <t>QUANT.</t>
  </si>
  <si>
    <t>P. UNIT.</t>
  </si>
  <si>
    <t>SUBTOTAL</t>
  </si>
  <si>
    <t>TOTAL</t>
  </si>
  <si>
    <t>CÓDIGO</t>
  </si>
  <si>
    <t>SERVIÇO</t>
  </si>
  <si>
    <t>MATERIAL</t>
  </si>
  <si>
    <t>UNID</t>
  </si>
  <si>
    <t>F.UTILIZAÇÃO</t>
  </si>
  <si>
    <t>PESO(T) A TRANSPORTAR</t>
  </si>
  <si>
    <t>DMT(KM)</t>
  </si>
  <si>
    <t>MOMENTO DE TRANSPORTE(t.km)</t>
  </si>
  <si>
    <t>FATOR</t>
  </si>
  <si>
    <t>Solo</t>
  </si>
  <si>
    <t>t/m³</t>
  </si>
  <si>
    <t>2 S 02 200 01</t>
  </si>
  <si>
    <t>II</t>
  </si>
  <si>
    <t>III</t>
  </si>
  <si>
    <t>IV</t>
  </si>
  <si>
    <t>SERVIÇOS PRELIMINARES</t>
  </si>
  <si>
    <t>V</t>
  </si>
  <si>
    <t xml:space="preserve">ANEXO </t>
  </si>
  <si>
    <t>VALOR (R$)</t>
  </si>
  <si>
    <t>VI</t>
  </si>
  <si>
    <t>TOTAL  GERAL</t>
  </si>
  <si>
    <t>ITEM</t>
  </si>
  <si>
    <t>2.0</t>
  </si>
  <si>
    <t>3.0</t>
  </si>
  <si>
    <t>3.2</t>
  </si>
  <si>
    <t>OBRA</t>
  </si>
  <si>
    <t>PAVIMENTAÇÃO DE VIAS URBANAS</t>
  </si>
  <si>
    <t>4.0</t>
  </si>
  <si>
    <t>4.1</t>
  </si>
  <si>
    <t>5.0</t>
  </si>
  <si>
    <t>ÁREA (m²)</t>
  </si>
  <si>
    <t>3.1</t>
  </si>
  <si>
    <t>5.1</t>
  </si>
  <si>
    <t>2.1</t>
  </si>
  <si>
    <t>2.2</t>
  </si>
  <si>
    <t>1.0</t>
  </si>
  <si>
    <t>1.1</t>
  </si>
  <si>
    <t>1.2</t>
  </si>
  <si>
    <t>5.2</t>
  </si>
  <si>
    <t>BLD - Boca de lobo dupla, c/abertura pela guia 1,00m - conforme protjeto tipo</t>
  </si>
  <si>
    <t>Aluguel container/sanit c/2 vasos/1 lavat/1 mic/4 chuv larg2,20m compr=6,20m alt=2,50m chapa aco c/nerv trapez forro c/isolam termo/acustico chassis reforc piso compens naval inclinst eletr/hidr excl transp/carga/descarga</t>
  </si>
  <si>
    <t>mês</t>
  </si>
  <si>
    <t>3.3</t>
  </si>
  <si>
    <t>3.4</t>
  </si>
  <si>
    <t>txkm</t>
  </si>
  <si>
    <t>massa</t>
  </si>
  <si>
    <t>CUSTO HORÁRIO</t>
  </si>
  <si>
    <t>PLANILHA DE COMPOSIÇÃO DE PREÇO UNITÁRIO</t>
  </si>
  <si>
    <t>Código:</t>
  </si>
  <si>
    <t>Unidade:</t>
  </si>
  <si>
    <t>COMP</t>
  </si>
  <si>
    <t xml:space="preserve">     (A) EQUIPAMENTO</t>
  </si>
  <si>
    <t>UTILIZAÇÃO</t>
  </si>
  <si>
    <t>CUSTO OPERACÃO</t>
  </si>
  <si>
    <t>PROD.</t>
  </si>
  <si>
    <t>IMPROD.</t>
  </si>
  <si>
    <t>Total (A)</t>
  </si>
  <si>
    <t xml:space="preserve">     (B) MÃO DE OBRA SUPLEMENTAR</t>
  </si>
  <si>
    <t>SÁLARIO           / HORA</t>
  </si>
  <si>
    <t>Total (B)</t>
  </si>
  <si>
    <t>PRODUÇÃO HORÁRIA/EQUIPE (C) =</t>
  </si>
  <si>
    <t>CUSTO TOTAL DE EXECUÇÃO: (A)+(B)</t>
  </si>
  <si>
    <t>C U S T O   U N I T Á R I O   D E   E X E C U Ç Ã O :   (D)  =  [ (A) + (B) ]  /  (C)</t>
  </si>
  <si>
    <t xml:space="preserve">     (E) MATERIAIS E ATIVIDADES AUXILIARES</t>
  </si>
  <si>
    <t>CONSUMO UNITÁRIO</t>
  </si>
  <si>
    <t>PREÇO UNITÁRIO</t>
  </si>
  <si>
    <t>CUSTO UNITÁRIO</t>
  </si>
  <si>
    <t>Total (E)</t>
  </si>
  <si>
    <t xml:space="preserve">     (F) TRANSPORTES</t>
  </si>
  <si>
    <t>D M T   (km)</t>
  </si>
  <si>
    <t>CONS. UNIT.           ( t / un )</t>
  </si>
  <si>
    <t>T/RP</t>
  </si>
  <si>
    <t>PAV</t>
  </si>
  <si>
    <t>Total (F)</t>
  </si>
  <si>
    <t xml:space="preserve">     C U S T O   U N I T Á R I O   T O T A L   D E   E X E C U Ç Ã O:   (D) + (E) + (F)</t>
  </si>
  <si>
    <t xml:space="preserve">     B O N I F I C A Ç Ã O: </t>
  </si>
  <si>
    <t>(</t>
  </si>
  <si>
    <t>)</t>
  </si>
  <si>
    <t xml:space="preserve">    P R E Ç O   U N I T Á R I O   T O T A L</t>
  </si>
  <si>
    <t>Kg</t>
  </si>
  <si>
    <t>TERRAPLENAGEM E PAVIMENTAÇÃO</t>
  </si>
  <si>
    <t>LOGRADOURO</t>
  </si>
  <si>
    <t>ESTACAS</t>
  </si>
  <si>
    <t>EXTENSÃO (m)</t>
  </si>
  <si>
    <t>LARGURA TOTAL  (m)</t>
  </si>
  <si>
    <t>SUBLEITO (m²)</t>
  </si>
  <si>
    <t>SUB-BASE (m³)</t>
  </si>
  <si>
    <t>BASE (m³)</t>
  </si>
  <si>
    <t>IMPRIM. (m²)</t>
  </si>
  <si>
    <t>MEIO-FIO C/ SARJETA  (m)</t>
  </si>
  <si>
    <t>INICIAL</t>
  </si>
  <si>
    <t>FINAL</t>
  </si>
  <si>
    <t>FOLGA</t>
  </si>
  <si>
    <t xml:space="preserve">LARGURA DA PISTA </t>
  </si>
  <si>
    <t>CORTE (m³)</t>
  </si>
  <si>
    <t>ATERRO (m³)</t>
  </si>
  <si>
    <t xml:space="preserve">LE </t>
  </si>
  <si>
    <t>LD</t>
  </si>
  <si>
    <t>+</t>
  </si>
  <si>
    <t>73847/001</t>
  </si>
  <si>
    <t>PINTURA DE LIGAÇÃO. (m²)</t>
  </si>
  <si>
    <t>TOTAL/M² (R$)</t>
  </si>
  <si>
    <t xml:space="preserve"> RESUMO  DOS  PREÇOS</t>
  </si>
  <si>
    <t xml:space="preserve">SERVIÇOS                    </t>
  </si>
  <si>
    <t xml:space="preserve">BATA BASE:  </t>
  </si>
  <si>
    <t xml:space="preserve">ÁREA (m²): </t>
  </si>
  <si>
    <t>DATA BASE:</t>
  </si>
  <si>
    <t>LIMPEZA CAMADA VEGETAL (m²)</t>
  </si>
  <si>
    <t>Despesas Financeiras</t>
  </si>
  <si>
    <t>Riscos</t>
  </si>
  <si>
    <t>CPRB</t>
  </si>
  <si>
    <t>PERCENTUAL</t>
  </si>
  <si>
    <t>BDI</t>
  </si>
  <si>
    <t>CUSTO OBRA</t>
  </si>
  <si>
    <t>Outras Fontes</t>
  </si>
  <si>
    <t>VALOR DA OBRA</t>
  </si>
  <si>
    <t>( % )</t>
  </si>
  <si>
    <t>R$</t>
  </si>
  <si>
    <t>ADMINISTRAÇÃO DA OBRA</t>
  </si>
  <si>
    <t>Administração Central</t>
  </si>
  <si>
    <t>1.3</t>
  </si>
  <si>
    <t>LUCRO</t>
  </si>
  <si>
    <t>Lucro Operacional</t>
  </si>
  <si>
    <t>TRIBUTOS</t>
  </si>
  <si>
    <t>Não incidem IRPJ e CSLL na composição de Tributos.</t>
  </si>
  <si>
    <t xml:space="preserve">TAXA DE BDI A SER APLICADA 
SOBRE O CUSTO DIRETO </t>
  </si>
  <si>
    <t xml:space="preserve">De acordo com o ACÓRDÃO Nº 2622/2013 – TCU – Plenário </t>
  </si>
  <si>
    <t>PREFEITURA MUNICIPAL DE VÁRZEA GRANDE</t>
  </si>
  <si>
    <t xml:space="preserve">B.D.I. </t>
  </si>
  <si>
    <t>Isolamento de obra com tela plástica com malha de 5mm e estrutura de madeira pontaleteada</t>
  </si>
  <si>
    <t>Limpeza mecanizada de área com remoção de camada vegetal, utilizando motoniveladora</t>
  </si>
  <si>
    <t>73822/002</t>
  </si>
  <si>
    <t>Regularização e compactação de subleito até 20 cm de espessura</t>
  </si>
  <si>
    <t>2.4</t>
  </si>
  <si>
    <t>Execução e compactação de sub base com solo estabilizado granulometricamente - exclusive escavação, carga e transporte e solo. af_09/2017</t>
  </si>
  <si>
    <t>Execução e compactação de base com solo estabilizado granulometricamente - exclusive escavação, carga e transporte e solo. af_09/2017</t>
  </si>
  <si>
    <t>96387</t>
  </si>
  <si>
    <t>Execução de imprimação com asfalto diluído CM-30. af_09/2017</t>
  </si>
  <si>
    <t>Guia (meio-fio) e sarjeta conjugados de concreto, moldada in loco em trecho reto com extrusora, guia 13 cm base x 22 cm altura, sarjeta 30 cm base x 8,5 cm altura. af_06/2016</t>
  </si>
  <si>
    <t>6.0</t>
  </si>
  <si>
    <t>SINALIZAÇÃO HORIZONTAL/VERTICAL</t>
  </si>
  <si>
    <t>6.1</t>
  </si>
  <si>
    <t>Sinalizacao horizontal com tinta retrorrefletiva a base de resina acrilica  c/ micro esfera de vidro</t>
  </si>
  <si>
    <t>6.2</t>
  </si>
  <si>
    <t>6.3</t>
  </si>
  <si>
    <t>PREFEITURA MUNICIPAL DE VARZEA GRANDE</t>
  </si>
  <si>
    <t>DRENAGEM PROFUNDA</t>
  </si>
  <si>
    <t>OBS.</t>
  </si>
  <si>
    <t xml:space="preserve">Ø TUBO PEAD(mm) </t>
  </si>
  <si>
    <t>Boca de Lobo</t>
  </si>
  <si>
    <t>TOTAL TUBO DE DRENO PROFUNDO</t>
  </si>
  <si>
    <t>SENTIDO</t>
  </si>
  <si>
    <t>COMPRIMENTO</t>
  </si>
  <si>
    <t>ESPESSURA</t>
  </si>
  <si>
    <t>Área</t>
  </si>
  <si>
    <t>TIPO DE PINTURA</t>
  </si>
  <si>
    <t>(m)</t>
  </si>
  <si>
    <t>(m²)</t>
  </si>
  <si>
    <t>Ambos (ida e volta)</t>
  </si>
  <si>
    <t>2X4</t>
  </si>
  <si>
    <t>Contínua</t>
  </si>
  <si>
    <t>FAIXA AMARELA</t>
  </si>
  <si>
    <t xml:space="preserve">TOTAL </t>
  </si>
  <si>
    <t>EXTENSÃO TOTAL</t>
  </si>
  <si>
    <t>RESUMO DA SINALIZAÇÃO</t>
  </si>
  <si>
    <t>FAIXA BRANCA CONTÍNUA</t>
  </si>
  <si>
    <t>FAIXA AMARELA 2X4</t>
  </si>
  <si>
    <t>FAIXA AMARELA CONTÍNUA</t>
  </si>
  <si>
    <t>TOTAL DE PINTURA DE FAIXAS</t>
  </si>
  <si>
    <t xml:space="preserve">SETAS  E ZEBRADOS </t>
  </si>
  <si>
    <t>LOCAL - Dist.</t>
  </si>
  <si>
    <t>OBSERVAÇÕES</t>
  </si>
  <si>
    <t>do bordo (Metros)</t>
  </si>
  <si>
    <t>TIPO</t>
  </si>
  <si>
    <t>DIMENSÕES</t>
  </si>
  <si>
    <t>ÁREAS(m²)</t>
  </si>
  <si>
    <t>Regulamentação</t>
  </si>
  <si>
    <t>TOTAL (m²)</t>
  </si>
  <si>
    <t>VII</t>
  </si>
  <si>
    <t>Prazo ( dias consecutivos )</t>
  </si>
  <si>
    <t>Ítem</t>
  </si>
  <si>
    <t>Etapas de Serviço</t>
  </si>
  <si>
    <t>%</t>
  </si>
  <si>
    <t>Valor (R$)</t>
  </si>
  <si>
    <t>TOTAL ( % e R$ )</t>
  </si>
  <si>
    <t>DESEMBOLSO</t>
  </si>
  <si>
    <t xml:space="preserve"> SIMPLES</t>
  </si>
  <si>
    <t>ACUMULADO</t>
  </si>
  <si>
    <t>Limpa rodas</t>
  </si>
  <si>
    <t>1.4</t>
  </si>
  <si>
    <t>Seguro e Garantia</t>
  </si>
  <si>
    <t>PIS</t>
  </si>
  <si>
    <t>COFINS</t>
  </si>
  <si>
    <t>ISSqn</t>
  </si>
  <si>
    <t>Formula para o calculo do BDI:</t>
  </si>
  <si>
    <t>Indicativa</t>
  </si>
  <si>
    <t>I-01</t>
  </si>
  <si>
    <t>Descontínua</t>
  </si>
  <si>
    <t>ENSAIOS TECNOLÓGICOS DE SOLO E ASFALTO</t>
  </si>
  <si>
    <t>74021/003</t>
  </si>
  <si>
    <t>Ensaio de regularição de sub-leito</t>
  </si>
  <si>
    <t>74021/006</t>
  </si>
  <si>
    <t>Ensaio de base estabilizada granulometricamente</t>
  </si>
  <si>
    <t>73900/012</t>
  </si>
  <si>
    <t>74022/030</t>
  </si>
  <si>
    <t>un</t>
  </si>
  <si>
    <t>ton</t>
  </si>
  <si>
    <t>74209/001</t>
  </si>
  <si>
    <t>Placa de obra em chapa de aço galvanizado</t>
  </si>
  <si>
    <t>2.3</t>
  </si>
  <si>
    <t>Ensaio de Sub-base estabilizada granulometricamente)</t>
  </si>
  <si>
    <t>2.5</t>
  </si>
  <si>
    <t>7.0</t>
  </si>
  <si>
    <t>7.1</t>
  </si>
  <si>
    <t>8.0</t>
  </si>
  <si>
    <t>8.1</t>
  </si>
  <si>
    <t>8.2</t>
  </si>
  <si>
    <t>FAIXA BRANCA RETENÇÃO 0,40m</t>
  </si>
  <si>
    <t>Ensaio de resistência a compressão simples do concreto - meio-fio, sarjetas e calçadas 
(considerado 1,0 amostra a cada 200 m)</t>
  </si>
  <si>
    <t>ADMINISTRAÇÃO LOCAL</t>
  </si>
  <si>
    <t>Execução de depósito em canteiro de obra</t>
  </si>
  <si>
    <r>
      <t>(</t>
    </r>
    <r>
      <rPr>
        <sz val="10"/>
        <color indexed="10"/>
        <rFont val="Times New Roman"/>
        <family val="1"/>
      </rPr>
      <t>M980</t>
    </r>
    <r>
      <rPr>
        <sz val="10"/>
        <rFont val="Times New Roman"/>
        <family val="1"/>
      </rPr>
      <t>) (S/C)</t>
    </r>
  </si>
  <si>
    <t>Indenização de jazida não condiz com o preço praticado na região (Preço praticado na jazida)</t>
  </si>
  <si>
    <t>5.4</t>
  </si>
  <si>
    <t>5.5</t>
  </si>
  <si>
    <t>5.6</t>
  </si>
  <si>
    <t>5.7</t>
  </si>
  <si>
    <t>3.5</t>
  </si>
  <si>
    <t>5.8</t>
  </si>
  <si>
    <t>5.9</t>
  </si>
  <si>
    <t>5.10</t>
  </si>
  <si>
    <t>8.8</t>
  </si>
  <si>
    <t xml:space="preserve">Ensaio de concreto asfáltico para cada 10 ton </t>
  </si>
  <si>
    <t>Pintura de ligação com emulsão RR-2C</t>
  </si>
  <si>
    <t>Engenheiro civil de obra júnior com encargos complementares</t>
  </si>
  <si>
    <t>Topografo com encargos complementares</t>
  </si>
  <si>
    <t>Auxiliar de topógrafo com encargos complementares</t>
  </si>
  <si>
    <t>Mestre de obras com encargos complementares</t>
  </si>
  <si>
    <t>Chefe de escritório com encargos complementares</t>
  </si>
  <si>
    <t>Apontador ou apropriador com encargos complementares</t>
  </si>
  <si>
    <t>Construção de pavimento com aplicação de concreto betuminoso usinado a quente (cbuq), camada de rolamento, com espessura de 4,0 cm  exclusive transporte. af_03/2017</t>
  </si>
  <si>
    <t>sinapi</t>
  </si>
  <si>
    <t>SECO</t>
  </si>
  <si>
    <t>Encargo mensalista</t>
  </si>
  <si>
    <t>custo unit</t>
  </si>
  <si>
    <t>qtd</t>
  </si>
  <si>
    <t>valor</t>
  </si>
  <si>
    <t>Confecção de placa em aço nº 16 galvanizado, com película retrorrefletiva tipo I + III</t>
  </si>
  <si>
    <t>Pintura de setas e zebrados - tinta base acrílica - espessura de 0,6 mm</t>
  </si>
  <si>
    <t>P9824 SERVENTE</t>
  </si>
  <si>
    <t>8.4</t>
  </si>
  <si>
    <t>M1097 Pedra de mão</t>
  </si>
  <si>
    <t>CODIGO</t>
  </si>
  <si>
    <t>BANCO</t>
  </si>
  <si>
    <t>SINAPI</t>
  </si>
  <si>
    <t>SICRO 3</t>
  </si>
  <si>
    <t>COTAÇÃO</t>
  </si>
  <si>
    <t>2.6</t>
  </si>
  <si>
    <t>m³xkm</t>
  </si>
  <si>
    <t>MOMENTO DE TRANSPORTE(m³.km)</t>
  </si>
  <si>
    <t>B.D.I. DIFERENCIADO</t>
  </si>
  <si>
    <t>BAIRROS</t>
  </si>
  <si>
    <t>7.2</t>
  </si>
  <si>
    <t>8.3</t>
  </si>
  <si>
    <t>8.5</t>
  </si>
  <si>
    <t>8.6</t>
  </si>
  <si>
    <t>8.7</t>
  </si>
  <si>
    <t>73916/002</t>
  </si>
  <si>
    <t>Placa esmaltada para identificação NR de Rua, dimensões 45X25cm</t>
  </si>
  <si>
    <t>7.3</t>
  </si>
  <si>
    <t>SICRO 03</t>
  </si>
  <si>
    <t>74219/001</t>
  </si>
  <si>
    <t>Passadicos de madeira para pedestres</t>
  </si>
  <si>
    <t>Escavação mecanizada de vala com prof. até 1,5 m (média entre montante e jusante/uma composição por trecho), com retroescavadeira (0,26 m3/88 hp), larg. de 1,5 m a 2,5 m, em solo de 1a categoria, em locais com baixo nível de interferência. af_01/2015</t>
  </si>
  <si>
    <t>Regularizacao e compactacao manual de terreno (fundo de valas)</t>
  </si>
  <si>
    <t>Fornecimento e aplicação de Lastro de Brita  (com preparo de fundo de valas)</t>
  </si>
  <si>
    <t>Reaterro mecanizado de vala com retroescavadeira (capacidade da caçamb a da retro: 0,26 m³ / potência: 88 hp), largura de 0,8 a 1,5 m, profun didade de 1,5 a 3,0 m, com solo (sem substituição) de 1ª categoria em locais com baixo nível de interferência. af_04/2016</t>
  </si>
  <si>
    <t>74010/001</t>
  </si>
  <si>
    <t>Carga e descarga mecânica de solo utilizando caminhão basculante 5m³ /11t e pa carregadeira sobre pneus * 105 hp * cap. 1,72m3</t>
  </si>
  <si>
    <t>8.9</t>
  </si>
  <si>
    <t>Espalhamento de material em bota fora, com utilizacao de trator de esteiras de 165 HP</t>
  </si>
  <si>
    <t>8.10</t>
  </si>
  <si>
    <t>Escoramento de vala, tipo pontaleteamento, com profundidade de 0 a 1,5 m, largura maior ou igual a 1,5 m e menor que 2,5 m, em local com nível alto de interferência. af_06/2016</t>
  </si>
  <si>
    <t>8.11</t>
  </si>
  <si>
    <t>9.0</t>
  </si>
  <si>
    <t>9.1</t>
  </si>
  <si>
    <t>9.2</t>
  </si>
  <si>
    <t>10.0</t>
  </si>
  <si>
    <t xml:space="preserve">ASSENTAMENTO E REJUNTAMENTO DE TUBO DE CONCRETO </t>
  </si>
  <si>
    <t>10.1</t>
  </si>
  <si>
    <t>10.2</t>
  </si>
  <si>
    <t>11.0</t>
  </si>
  <si>
    <t>ÓRGÃOS ACESSÓRIOS</t>
  </si>
  <si>
    <t>11.1</t>
  </si>
  <si>
    <t>COMP.</t>
  </si>
  <si>
    <t>11.2</t>
  </si>
  <si>
    <t>11.3</t>
  </si>
  <si>
    <t>Chaminé dos poços de visita - CPV 03 - areia e brita comerciais</t>
  </si>
  <si>
    <t>11.5</t>
  </si>
  <si>
    <t>Dreno longitudinal profundo para corte em solo - DPS 13 - tubo PEAD e brita comercial</t>
  </si>
  <si>
    <t>Entrada para descida d'água - EDA 02 - areia e brita comerciais</t>
  </si>
  <si>
    <t>11.7</t>
  </si>
  <si>
    <t>Descida d'água de aterros tipo rápido - DAR 02 - areia e brita comerciais</t>
  </si>
  <si>
    <t>MEMÓRIA DE CÁLCULO DE VOLUMES DA DRENAGEM</t>
  </si>
  <si>
    <t>BAIRRO: CONSTRUMAT</t>
  </si>
  <si>
    <t>COMP. DO LANCE</t>
  </si>
  <si>
    <t>DIAMETRO (m)</t>
  </si>
  <si>
    <t xml:space="preserve">LARGURA </t>
  </si>
  <si>
    <t>CORTE</t>
  </si>
  <si>
    <t xml:space="preserve">CORTE </t>
  </si>
  <si>
    <t>ALTURA MEDIA</t>
  </si>
  <si>
    <t>VOLUME</t>
  </si>
  <si>
    <t>AREA FUNDO DE VALA</t>
  </si>
  <si>
    <t>MEDIA DE ESC</t>
  </si>
  <si>
    <t>MONTANTE</t>
  </si>
  <si>
    <t>JUZANTE</t>
  </si>
  <si>
    <t>DOS CORTES</t>
  </si>
  <si>
    <t>TUBULAÇÃO</t>
  </si>
  <si>
    <t>BOCAS DE LOBOS SIMPLES</t>
  </si>
  <si>
    <t>BOCAS DE LOBOS DUPLAS</t>
  </si>
  <si>
    <t>ESCAVAÇÃO</t>
  </si>
  <si>
    <t>ÁREA</t>
  </si>
  <si>
    <t>m/unid</t>
  </si>
  <si>
    <t>Poço de Visita</t>
  </si>
  <si>
    <t>TUBO 600MM</t>
  </si>
  <si>
    <t>TUBO 800MM</t>
  </si>
  <si>
    <t>TUBO 1000MM</t>
  </si>
  <si>
    <t>TUBO 1200MM</t>
  </si>
  <si>
    <t>BOCA DE LOBO DUPLA (UNIDADES)</t>
  </si>
  <si>
    <t>REGULARIZAÇÃO DE FUNDO DE VALA</t>
  </si>
  <si>
    <t>9.3</t>
  </si>
  <si>
    <t>10.3</t>
  </si>
  <si>
    <t>Caixa de Ligação e Passagem - CCT</t>
  </si>
  <si>
    <t>Poco de visita em alvenaria, para rede d=1,20 m, parte fixa c/ 1,00 m de altura</t>
  </si>
  <si>
    <t>8.12</t>
  </si>
  <si>
    <t>8.13</t>
  </si>
  <si>
    <t>Assentamento de tubo de concreto para redes coletoras de águas pluviai s, diâmetro de 1000 mm, junta rígida, instalado em local com alto níve</t>
  </si>
  <si>
    <t>Assentamento de tubo de concreto para redes coletoras de águas pluviais, diâmetro de 600 mm, junta rígida, instalado em local com alto nível</t>
  </si>
  <si>
    <t>FORNECIMENTO/ASSENTAMENTO DE TUBOS TIPO PA-1</t>
  </si>
  <si>
    <t>solo</t>
  </si>
  <si>
    <t>FORRO DE PEDRA DE MÃO</t>
  </si>
  <si>
    <t>TOTAL DE BOTA FORA TOTAL</t>
  </si>
  <si>
    <t>REATERRO E COMPACTAÇÃO DE VALAS  TOTAL</t>
  </si>
  <si>
    <t>BOTA-FORA ESCAVAÇÃO DE DRENO PROFUNDO</t>
  </si>
  <si>
    <t xml:space="preserve">DE CORTE </t>
  </si>
  <si>
    <t>Fornecimento e implantação de suporte metálico galvanizado para placa de regulamentação - R1 - lado de 0,248 m</t>
  </si>
  <si>
    <t>6.4</t>
  </si>
  <si>
    <t>ESCAVAÇÃO DE VALAS</t>
  </si>
  <si>
    <t>TUBO 600MM (4 RAMAL)</t>
  </si>
  <si>
    <t>Tipo de transporte 95878 Transporte local em rodov. pavim. (const.)</t>
  </si>
  <si>
    <t>Tipo  de transporte 93595  -  Transporte  local em rodovia  não  pavimentada (const)</t>
  </si>
  <si>
    <t>TRANSPORTE COM CAMINHÃO BASCULANTE 10 M3 DE MASSA ASFALTICA PARA PAVIMENTAÇÃO URBANA</t>
  </si>
  <si>
    <t>Transporte com caminhão basculante 10m³ de massa asfaltica para pavimentação</t>
  </si>
  <si>
    <t>m³/m³</t>
  </si>
  <si>
    <t>Tipo  de transporte 93589  -  Transporte  local em rodovia  não  pavimentada (const)</t>
  </si>
  <si>
    <t>Tipo de transporte  95875 Transporte local em rodov. pavim. (const.)</t>
  </si>
  <si>
    <t>Transporte com caminhão basculante de 10 m3, em via urbana pavimentada, dmt até 30 km (unidade: tonxkm). af_12/2016</t>
  </si>
  <si>
    <t>Tipo  de transporte 95303  -  Transporte  comercial c/basculante de massa asfáltica</t>
  </si>
  <si>
    <t>Transporte com caminhão basculante de 10 m3, em via urbana em revestimento primário (unidade: tonxkm). af_04/2016</t>
  </si>
  <si>
    <t>Transporte com caminhão basculante de 10 m3, em via urbana em em revestimento primário (unidade: m³xkm). AF_04/2016</t>
  </si>
  <si>
    <t>Tipo de transporte 93589 Transporte local em rodov. não pavim. (const.)</t>
  </si>
  <si>
    <t>11.8</t>
  </si>
  <si>
    <t>JAN/2018 SINAPI</t>
  </si>
  <si>
    <t>JAN/2018 SICRO 3</t>
  </si>
  <si>
    <t>Serviço: PREÇO COM BASE NA SICRO 3 DNIT</t>
  </si>
  <si>
    <t>Serviço: PREÇO COM BASE NA SICRO 3 SINFRA</t>
  </si>
  <si>
    <t>1 57,4193 7 1,1343</t>
  </si>
  <si>
    <t>1 21,9352 5 4,1194</t>
  </si>
  <si>
    <t>1 93,8111 4 9,5332</t>
  </si>
  <si>
    <t>EXTENSÃO:</t>
  </si>
  <si>
    <t>A</t>
  </si>
  <si>
    <t>PREFEITURA MUNICIPAL DE VÁZEA GRANDE</t>
  </si>
  <si>
    <t>E9604 Caminhão basculante para rocha com capacidade de 8 m³ - 210 kW</t>
  </si>
  <si>
    <t>BDI - BENEFICIOS E DESPESAS INDIRETAS - NÃO DESONERADO</t>
  </si>
  <si>
    <t>P. UNIT. C/BDI</t>
  </si>
  <si>
    <t>E9042 Trator de esteiras com lâmina - 74,5 Kw</t>
  </si>
  <si>
    <t>E9685 Rolo compactador pé de carneiro vibratório autopropelido de 11,6 t -82 Kw</t>
  </si>
  <si>
    <t>3909619 Alvenaria de blocos AC</t>
  </si>
  <si>
    <t>3103302 Formas de tábuas de pinho para dispositivos de drenagem - utilização de 3 vezes - confecção, instalação e retirada</t>
  </si>
  <si>
    <t>1107896 Concreto fck = 25 MPa - confecção em betoneira e lançamento manual - areia e brita comerciais</t>
  </si>
  <si>
    <t>0407819  Armação em aço CA-50 - fornecimento, preparo e colocação</t>
  </si>
  <si>
    <t>1109669 Argamassa de cimento e areia 1:3 - areia comercial</t>
  </si>
  <si>
    <t>BAIRRO: NOVA ERA</t>
  </si>
  <si>
    <t>CBUQ  (m³)</t>
  </si>
  <si>
    <t xml:space="preserve">Rua Noranha dos Santos </t>
  </si>
  <si>
    <t>Limpa rodas 6(seis)</t>
  </si>
  <si>
    <t xml:space="preserve">Rua Colágeno </t>
  </si>
  <si>
    <t xml:space="preserve">Rua Rio Amazonas </t>
  </si>
  <si>
    <t>Rua Rio Xingu</t>
  </si>
  <si>
    <t>Rua Rio Negro</t>
  </si>
  <si>
    <t>Rua Rio Cancioneiro</t>
  </si>
  <si>
    <t>Limpa rodas 2(dois)</t>
  </si>
  <si>
    <t>BAIRRO:NOVA ERA</t>
  </si>
  <si>
    <t>1 - BAIRRO NOVA ERA</t>
  </si>
  <si>
    <t>1.1 - Rua Rio Negro</t>
  </si>
  <si>
    <t>Rua Noronha dos Santos, Calógeras, Rio Amazonas, Rio Xingu, Rio Negro e Cancioneiro</t>
  </si>
  <si>
    <t>Nova Era</t>
  </si>
  <si>
    <t>Pavimentação de Vias Urbanas</t>
  </si>
  <si>
    <t>BAIRROS: Nova Era</t>
  </si>
  <si>
    <t>OBRA: Pavimentação de Vias Urbanas</t>
  </si>
  <si>
    <t>LOGRADOUROS: Rua Noronha dos Santos, Calógeras, Rio Amazonas, Rio Xingu, Rio Negro e Cancioneiro</t>
  </si>
  <si>
    <t>LOGRADOUROS</t>
  </si>
  <si>
    <t>NOTA  DE  SERVIÇO DE SINALIZAÇÃO VERTICAL DO BAIRRO NOVA ERA</t>
  </si>
  <si>
    <t>BLD - Boca de lobo dupla, c/abertura pela guia 2,00m - conforme protjeto tipo</t>
  </si>
  <si>
    <t>BLT - Boca de lobo tripla, c/abertura pela guia 3,00m - conforme protjeto tipo</t>
  </si>
  <si>
    <t>Serviço: PREÇO COM BASE NA SICRO 2 DNIT</t>
  </si>
  <si>
    <t>BLS - Boca de lobo simples, c/abertura na guia 1,00m  conforme projeto  tipo</t>
  </si>
  <si>
    <t>4.4</t>
  </si>
  <si>
    <t>74205/001</t>
  </si>
  <si>
    <t>Escavacao mecanica de material 1a. categoria, proveniente de corte de subleito (c/trator esteiras 160hp)</t>
  </si>
  <si>
    <t>Escavação e transporte de material de 2a cat dmt 50m com trator sobre  esteiras 347 hp com lamina e escarificador</t>
  </si>
  <si>
    <t>4.6</t>
  </si>
  <si>
    <t>Carga, manobras e descarga de areia, brita, pedra de mao e solos com caminhao basculante 6 m3 (descarga livre)</t>
  </si>
  <si>
    <t>4.7</t>
  </si>
  <si>
    <t>Transporte com caminhão basculante de 10 m3, em via urbana em revestimento primário (unidade: txkm). af_04/2016</t>
  </si>
  <si>
    <t>4.8</t>
  </si>
  <si>
    <t>Transporte com caminhão basculante de 10 m3, em via urbana pavimentada, dmt até 30 km (unidade: txkm). af_12/2016</t>
  </si>
  <si>
    <t>4.9</t>
  </si>
  <si>
    <t>Espalhamento de material em bota fora, com utilização de trator de esteiras de 165 hp</t>
  </si>
  <si>
    <t>74155/002</t>
  </si>
  <si>
    <t>Assentamento de tubo de concreto para redes coletoras de águas pluviai s, diâmetro de 800 mm, junta rígida, instalado em local com alto níve</t>
  </si>
  <si>
    <t>BLT - Boca de lobo tripla, c/abertura pela guia 1,00m - conforme protjeto tipo</t>
  </si>
  <si>
    <t>BOCAS DE LOBOS TRIPLAS</t>
  </si>
  <si>
    <t>RUA NORONHA DOS SANTOS</t>
  </si>
  <si>
    <t>RUA RIO NEGRO</t>
  </si>
  <si>
    <t>-</t>
  </si>
  <si>
    <t>RUA BATISTA DAS NEVES</t>
  </si>
  <si>
    <t>LANÇAMENTO</t>
  </si>
  <si>
    <t>JORN. NILSON DOS SANTOS</t>
  </si>
  <si>
    <t>BOCA DE LOBO TRIPLA (UNIDADES)</t>
  </si>
  <si>
    <t>LASTRO DE BRITA</t>
  </si>
  <si>
    <t>4.3</t>
  </si>
  <si>
    <t>Compactação de aterros a 100% do Proctor intermediário</t>
  </si>
  <si>
    <t>BLS - Boca de lobo simples, c/abertura pela guia 1,00m - conforme protjeto tipo</t>
  </si>
  <si>
    <t>Boca BSTC D = 1,00 m - esconsidade 0° - areia e brita comerciais - alas esconsas</t>
  </si>
  <si>
    <t>Lastro de mão</t>
  </si>
  <si>
    <t>SINAL DE PLACA</t>
  </si>
  <si>
    <t>Rua Cancioneiro - sentido Rua Calógeras</t>
  </si>
  <si>
    <t>Esquina com a rua Fran. Mariano de Deus (posicionar a 10 metros do bordo da pista transversal)</t>
  </si>
  <si>
    <t>R-01</t>
  </si>
  <si>
    <t>45X25 CM</t>
  </si>
  <si>
    <t>Esquina com a rua Calógeras (posicionar a 10 metros do bordo da pista transversal)</t>
  </si>
  <si>
    <t>Rua Cancioneiro - sentido Rua Noromha dos Santos</t>
  </si>
  <si>
    <t>Rua Rio Negro - sentido Rua Calógeras</t>
  </si>
  <si>
    <t>Esquina com a rua Noronha dos Santos (posicionar a 10 metros do bordo da pista transversal)</t>
  </si>
  <si>
    <t>Rua Rio Negro - sentido Rua Noronha dos Santos</t>
  </si>
  <si>
    <t>Rua Rio Xingu- sentido Rua Calógeras</t>
  </si>
  <si>
    <t>Rua Rio Xingu - sentido Rua Noronha dos Santos</t>
  </si>
  <si>
    <t>Rua Rio Amazonas- sentido Rua Calógeras</t>
  </si>
  <si>
    <t>Rua Rio Amazonas - sentido Rua Noronha dos Santos</t>
  </si>
  <si>
    <t>TOTAL (un)</t>
  </si>
  <si>
    <r>
      <t xml:space="preserve">NOTA DE  SERVIÇO DE  SINALIZAÇÃO  HORIZONTAL - </t>
    </r>
    <r>
      <rPr>
        <b/>
        <sz val="12"/>
        <rFont val="Times New Roman"/>
        <family val="1"/>
      </rPr>
      <t>FAIXA AMARELA</t>
    </r>
    <r>
      <rPr>
        <sz val="12"/>
        <color indexed="13"/>
        <rFont val="Times New Roman"/>
        <family val="1"/>
      </rPr>
      <t xml:space="preserve"> </t>
    </r>
    <r>
      <rPr>
        <sz val="12"/>
        <rFont val="Times New Roman"/>
        <family val="1"/>
      </rPr>
      <t>- NOVA ERA</t>
    </r>
  </si>
  <si>
    <t>Rua Cancioneiro</t>
  </si>
  <si>
    <t>Rua Rio Amazonas</t>
  </si>
  <si>
    <t>Rua Calógeras</t>
  </si>
  <si>
    <t>Rua Noronha dos Santos</t>
  </si>
  <si>
    <t>Tubo concreto armado, classe PA-1, pb, dn 600 mm, para aguas pluviais (nbr 8890)</t>
  </si>
  <si>
    <t>Tubo concreto armado, classe PA-1, pb, dn 800 mm, para aguas pluviais (nbr 8890)</t>
  </si>
  <si>
    <t>Tubo concreto armado, classe PA-1, pb, dn 1000 mm, para aguas pluviais (nbr 8890)</t>
  </si>
  <si>
    <t>P9824 Servente</t>
  </si>
  <si>
    <t>4.2</t>
  </si>
  <si>
    <t>4.5</t>
  </si>
  <si>
    <t>PLANILHA ORÇAMENTÁRIA (NÃO DESONERADO)</t>
  </si>
  <si>
    <t>NÃO DESONERADO</t>
  </si>
  <si>
    <t>Transporte com caminhão basculante 10 m3 de massa asfáltica para pavimentação urbana</t>
  </si>
  <si>
    <t>Caixa de ligação e passagem - CLP 02 - areia e brita comerciais</t>
  </si>
  <si>
    <t>11.4</t>
  </si>
  <si>
    <t>11.6</t>
  </si>
  <si>
    <t>11.9</t>
  </si>
  <si>
    <t>11.10</t>
  </si>
  <si>
    <t>5.3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</si>
</sst>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mmmm\-yy"/>
    <numFmt numFmtId="171" formatCode="#,##0.000"/>
    <numFmt numFmtId="172" formatCode="0.000"/>
    <numFmt numFmtId="173" formatCode="0.0000"/>
    <numFmt numFmtId="174" formatCode="_(* #,##0.000_);_(* \(#,##0.000\);_(* &quot;-&quot;??_);_(@_)"/>
    <numFmt numFmtId="175" formatCode="_(* #,##0.0_);_(* \(#,##0.0\);_(* &quot;-&quot;??_);_(@_)"/>
    <numFmt numFmtId="176" formatCode="&quot;Cr$&quot;#,##0_);\(&quot;Cr$&quot;#,##0\)"/>
    <numFmt numFmtId="177" formatCode="#,##0.0000"/>
    <numFmt numFmtId="178" formatCode="0.0"/>
    <numFmt numFmtId="179" formatCode="_(* #,##0.0000_);_(* \(#,##0.0000\);_(* &quot;-&quot;??_);_(@_)"/>
    <numFmt numFmtId="180" formatCode="#,##0.00000"/>
    <numFmt numFmtId="181" formatCode="_-* #,##0.000_-;\-* #,##0.000_-;_-* &quot;-&quot;???_-;_-@_-"/>
    <numFmt numFmtId="182" formatCode="_(* #,##0.000_);_(* \(#,##0.000\);_(* \-???_);_(@_)"/>
    <numFmt numFmtId="183" formatCode="_(* #,##0.000_);_(* \(#,##0.000\);_(* \-??_);_(@_)"/>
    <numFmt numFmtId="184" formatCode="_(* #,##0.00_);_(* \(#,##0.00\);_(* \-??_);_(@_)"/>
    <numFmt numFmtId="185" formatCode="#,##0.00_);[Red]\(#,##0.00\)"/>
    <numFmt numFmtId="186" formatCode="_([$€-2]* #,##0.00_);_([$€-2]* \(#,##0.00\);_([$€-2]* &quot;-&quot;??_)"/>
    <numFmt numFmtId="187" formatCode="[$-416]dddd\,\ d&quot; de &quot;mmmm&quot; de &quot;yyyy"/>
    <numFmt numFmtId="188" formatCode="_-* #,##0.0_-;\-* #,##0.0_-;_-* &quot;-&quot;?_-;_-@_-"/>
    <numFmt numFmtId="189" formatCode="&quot;Sim&quot;;&quot;Sim&quot;;&quot;Não&quot;"/>
    <numFmt numFmtId="190" formatCode="&quot;Verdadeiro&quot;;&quot;Verdadeiro&quot;;&quot;Falso&quot;"/>
    <numFmt numFmtId="191" formatCode="&quot;Ativado&quot;;&quot;Ativado&quot;;&quot;Desativado&quot;"/>
    <numFmt numFmtId="192" formatCode="[$€-2]\ #,##0.00_);[Red]\([$€-2]\ #,##0.00\)"/>
    <numFmt numFmtId="193" formatCode="_-* #,##0.000_-;\-* #,##0.000_-;_-* &quot;-&quot;??_-;_-@_-"/>
    <numFmt numFmtId="194" formatCode="0.000000"/>
    <numFmt numFmtId="195" formatCode="0.00000"/>
    <numFmt numFmtId="196" formatCode="#,##0.000000"/>
    <numFmt numFmtId="197" formatCode="#,##0.0000000"/>
    <numFmt numFmtId="198" formatCode="#,##0.00_ ;[Red]\-#,##0.00\ "/>
    <numFmt numFmtId="199" formatCode="#,##0.00_ ;\-#,##0.00\ "/>
    <numFmt numFmtId="200" formatCode="_(* #,##0_);_(* \(#,##0\);_(* &quot;-&quot;??_);_(@_)"/>
    <numFmt numFmtId="201" formatCode="0.0%"/>
    <numFmt numFmtId="202" formatCode="#,##0.000_);[Red]\(#,##0.000\)"/>
    <numFmt numFmtId="203" formatCode="&quot;R$&quot;\ #,##0.00"/>
    <numFmt numFmtId="204" formatCode="[$-F800]dddd\,\ mmmm\ dd\,\ yyyy"/>
    <numFmt numFmtId="205" formatCode="#,##0.00;[Red]#,##0.00"/>
    <numFmt numFmtId="206" formatCode="0.000%"/>
    <numFmt numFmtId="207" formatCode="0.0000%"/>
    <numFmt numFmtId="208" formatCode="#,##0.00000000"/>
  </numFmts>
  <fonts count="1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family val="0"/>
    </font>
    <font>
      <b/>
      <sz val="8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34"/>
      <name val="Arial"/>
      <family val="2"/>
    </font>
    <font>
      <b/>
      <sz val="10"/>
      <color indexed="9"/>
      <name val="Arial"/>
      <family val="2"/>
    </font>
    <font>
      <sz val="10"/>
      <color indexed="34"/>
      <name val="Arial"/>
      <family val="2"/>
    </font>
    <font>
      <sz val="10"/>
      <color indexed="32"/>
      <name val="Arial"/>
      <family val="2"/>
    </font>
    <font>
      <u val="single"/>
      <sz val="9"/>
      <color indexed="12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b/>
      <sz val="10"/>
      <color indexed="22"/>
      <name val="Arial"/>
      <family val="2"/>
    </font>
    <font>
      <i/>
      <sz val="10"/>
      <color indexed="23"/>
      <name val="Arial"/>
      <family val="2"/>
    </font>
    <font>
      <b/>
      <sz val="15"/>
      <color indexed="32"/>
      <name val="Arial"/>
      <family val="2"/>
    </font>
    <font>
      <b/>
      <sz val="18"/>
      <color indexed="32"/>
      <name val="Cambria"/>
      <family val="1"/>
    </font>
    <font>
      <b/>
      <sz val="13"/>
      <color indexed="32"/>
      <name val="Arial"/>
      <family val="2"/>
    </font>
    <font>
      <b/>
      <sz val="11"/>
      <color indexed="32"/>
      <name val="Arial"/>
      <family val="2"/>
    </font>
    <font>
      <sz val="12"/>
      <color indexed="8"/>
      <name val="Calibri"/>
      <family val="2"/>
    </font>
    <font>
      <sz val="12"/>
      <color indexed="13"/>
      <name val="Times New Roman"/>
      <family val="1"/>
    </font>
    <font>
      <b/>
      <sz val="16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u val="single"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Courier"/>
      <family val="3"/>
    </font>
    <font>
      <b/>
      <sz val="14"/>
      <name val="Times New Roman"/>
      <family val="1"/>
    </font>
    <font>
      <sz val="12"/>
      <color indexed="8"/>
      <name val="Arial"/>
      <family val="2"/>
    </font>
    <font>
      <b/>
      <sz val="9"/>
      <name val="Times New Roman"/>
      <family val="1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63"/>
      <name val="Times New Roman"/>
      <family val="1"/>
    </font>
    <font>
      <sz val="10"/>
      <color indexed="63"/>
      <name val="Segoe U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Calibri"/>
      <family val="2"/>
    </font>
    <font>
      <b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333333"/>
      <name val="Times New Roman"/>
      <family val="1"/>
    </font>
    <font>
      <sz val="10"/>
      <color rgb="FF444444"/>
      <name val="Segoe U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u val="single"/>
      <sz val="12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32"/>
      </top>
      <bottom style="double">
        <color indexed="3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>
        <color indexed="63"/>
      </top>
      <bottom/>
    </border>
    <border>
      <left style="medium"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medium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/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>
        <color indexed="63"/>
      </bottom>
    </border>
  </borders>
  <cellStyleXfs count="8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87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5" fillId="2" borderId="0" applyNumberFormat="0" applyBorder="0" applyAlignment="0" applyProtection="0"/>
    <xf numFmtId="0" fontId="87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0" fillId="3" borderId="0" applyNumberFormat="0" applyFont="0" applyFill="0" applyProtection="0">
      <alignment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0" fillId="3" borderId="0" applyNumberFormat="0" applyFont="0" applyFill="0" applyProtection="0">
      <alignment/>
    </xf>
    <xf numFmtId="0" fontId="15" fillId="3" borderId="0" applyNumberFormat="0" applyBorder="0" applyAlignment="0" applyProtection="0"/>
    <xf numFmtId="0" fontId="87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0" fillId="4" borderId="0" applyNumberFormat="0" applyFont="0" applyFill="0" applyProtection="0">
      <alignment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0" fillId="4" borderId="0" applyNumberFormat="0" applyFont="0" applyFill="0" applyProtection="0">
      <alignment/>
    </xf>
    <xf numFmtId="0" fontId="15" fillId="4" borderId="0" applyNumberFormat="0" applyBorder="0" applyAlignment="0" applyProtection="0"/>
    <xf numFmtId="0" fontId="87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5" fillId="5" borderId="0" applyNumberFormat="0" applyBorder="0" applyAlignment="0" applyProtection="0"/>
    <xf numFmtId="0" fontId="87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4" borderId="0" applyNumberFormat="0" applyFont="0" applyFill="0" applyProtection="0">
      <alignment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4" borderId="0" applyNumberFormat="0" applyFont="0" applyFill="0" applyProtection="0">
      <alignment/>
    </xf>
    <xf numFmtId="0" fontId="15" fillId="6" borderId="0" applyNumberFormat="0" applyBorder="0" applyAlignment="0" applyProtection="0"/>
    <xf numFmtId="0" fontId="87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0" fillId="3" borderId="0" applyNumberFormat="0" applyFont="0" applyFill="0" applyProtection="0">
      <alignment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0" fillId="3" borderId="0" applyNumberFormat="0" applyFont="0" applyFill="0" applyProtection="0">
      <alignment/>
    </xf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87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5" fillId="8" borderId="0" applyNumberFormat="0" applyBorder="0" applyAlignment="0" applyProtection="0"/>
    <xf numFmtId="0" fontId="87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0" fillId="9" borderId="0" applyNumberFormat="0" applyFont="0" applyFill="0" applyProtection="0">
      <alignment/>
    </xf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0" fillId="9" borderId="0" applyNumberFormat="0" applyFont="0" applyFill="0" applyProtection="0">
      <alignment/>
    </xf>
    <xf numFmtId="0" fontId="15" fillId="9" borderId="0" applyNumberFormat="0" applyBorder="0" applyAlignment="0" applyProtection="0"/>
    <xf numFmtId="0" fontId="87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Font="0" applyFill="0" applyProtection="0">
      <alignment/>
    </xf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Font="0" applyFill="0" applyProtection="0">
      <alignment/>
    </xf>
    <xf numFmtId="0" fontId="15" fillId="12" borderId="0" applyNumberFormat="0" applyBorder="0" applyAlignment="0" applyProtection="0"/>
    <xf numFmtId="0" fontId="87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5" fillId="5" borderId="0" applyNumberFormat="0" applyBorder="0" applyAlignment="0" applyProtection="0"/>
    <xf numFmtId="0" fontId="87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0" fillId="2" borderId="0" applyNumberFormat="0" applyFont="0" applyFill="0" applyProtection="0">
      <alignment/>
    </xf>
    <xf numFmtId="0" fontId="15" fillId="8" borderId="0" applyNumberFormat="0" applyBorder="0" applyAlignment="0" applyProtection="0"/>
    <xf numFmtId="0" fontId="87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0" fillId="17" borderId="0" applyNumberFormat="0" applyFont="0" applyFill="0" applyProtection="0">
      <alignment/>
    </xf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0" fillId="17" borderId="0" applyNumberFormat="0" applyFont="0" applyFill="0" applyProtection="0">
      <alignment/>
    </xf>
    <xf numFmtId="0" fontId="15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8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43" fillId="18" borderId="0" applyNumberFormat="0" applyFont="0" applyFill="0" applyProtection="0">
      <alignment/>
    </xf>
    <xf numFmtId="0" fontId="43" fillId="18" borderId="0" applyNumberFormat="0" applyFont="0" applyFill="0" applyProtection="0">
      <alignment/>
    </xf>
    <xf numFmtId="0" fontId="16" fillId="6" borderId="0" applyNumberFormat="0" applyBorder="0" applyAlignment="0" applyProtection="0"/>
    <xf numFmtId="0" fontId="43" fillId="18" borderId="0" applyNumberFormat="0" applyFont="0" applyFill="0" applyProtection="0">
      <alignment/>
    </xf>
    <xf numFmtId="0" fontId="16" fillId="18" borderId="0" applyNumberFormat="0" applyBorder="0" applyAlignment="0" applyProtection="0"/>
    <xf numFmtId="0" fontId="43" fillId="18" borderId="0" applyNumberFormat="0" applyFont="0" applyFill="0" applyProtection="0">
      <alignment/>
    </xf>
    <xf numFmtId="0" fontId="88" fillId="2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3" fillId="9" borderId="0" applyNumberFormat="0" applyFont="0" applyFill="0" applyProtection="0">
      <alignment/>
    </xf>
    <xf numFmtId="0" fontId="43" fillId="9" borderId="0" applyNumberFormat="0" applyFont="0" applyFill="0" applyProtection="0">
      <alignment/>
    </xf>
    <xf numFmtId="0" fontId="16" fillId="22" borderId="0" applyNumberFormat="0" applyBorder="0" applyAlignment="0" applyProtection="0"/>
    <xf numFmtId="0" fontId="43" fillId="9" borderId="0" applyNumberFormat="0" applyFont="0" applyFill="0" applyProtection="0">
      <alignment/>
    </xf>
    <xf numFmtId="0" fontId="16" fillId="9" borderId="0" applyNumberFormat="0" applyBorder="0" applyAlignment="0" applyProtection="0"/>
    <xf numFmtId="0" fontId="43" fillId="9" borderId="0" applyNumberFormat="0" applyFont="0" applyFill="0" applyProtection="0">
      <alignment/>
    </xf>
    <xf numFmtId="0" fontId="88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3" fillId="16" borderId="0" applyNumberFormat="0" applyFont="0" applyFill="0" applyProtection="0">
      <alignment/>
    </xf>
    <xf numFmtId="0" fontId="43" fillId="16" borderId="0" applyNumberFormat="0" applyFont="0" applyFill="0" applyProtection="0">
      <alignment/>
    </xf>
    <xf numFmtId="0" fontId="16" fillId="13" borderId="0" applyNumberFormat="0" applyBorder="0" applyAlignment="0" applyProtection="0"/>
    <xf numFmtId="0" fontId="43" fillId="16" borderId="0" applyNumberFormat="0" applyFont="0" applyFill="0" applyProtection="0">
      <alignment/>
    </xf>
    <xf numFmtId="0" fontId="16" fillId="12" borderId="0" applyNumberFormat="0" applyBorder="0" applyAlignment="0" applyProtection="0"/>
    <xf numFmtId="0" fontId="43" fillId="16" borderId="0" applyNumberFormat="0" applyFont="0" applyFill="0" applyProtection="0">
      <alignment/>
    </xf>
    <xf numFmtId="0" fontId="88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3" fillId="23" borderId="0" applyNumberFormat="0" applyFont="0" applyFill="0" applyProtection="0">
      <alignment/>
    </xf>
    <xf numFmtId="0" fontId="43" fillId="23" borderId="0" applyNumberFormat="0" applyFont="0" applyFill="0" applyProtection="0">
      <alignment/>
    </xf>
    <xf numFmtId="0" fontId="16" fillId="3" borderId="0" applyNumberFormat="0" applyBorder="0" applyAlignment="0" applyProtection="0"/>
    <xf numFmtId="0" fontId="43" fillId="23" borderId="0" applyNumberFormat="0" applyFont="0" applyFill="0" applyProtection="0">
      <alignment/>
    </xf>
    <xf numFmtId="0" fontId="16" fillId="19" borderId="0" applyNumberFormat="0" applyBorder="0" applyAlignment="0" applyProtection="0"/>
    <xf numFmtId="0" fontId="43" fillId="23" borderId="0" applyNumberFormat="0" applyFont="0" applyFill="0" applyProtection="0">
      <alignment/>
    </xf>
    <xf numFmtId="0" fontId="88" fillId="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43" fillId="20" borderId="0" applyNumberFormat="0" applyFont="0" applyFill="0" applyProtection="0">
      <alignment/>
    </xf>
    <xf numFmtId="0" fontId="43" fillId="20" borderId="0" applyNumberFormat="0" applyFont="0" applyFill="0" applyProtection="0">
      <alignment/>
    </xf>
    <xf numFmtId="0" fontId="16" fillId="6" borderId="0" applyNumberFormat="0" applyBorder="0" applyAlignment="0" applyProtection="0"/>
    <xf numFmtId="0" fontId="43" fillId="20" borderId="0" applyNumberFormat="0" applyFont="0" applyFill="0" applyProtection="0">
      <alignment/>
    </xf>
    <xf numFmtId="0" fontId="16" fillId="20" borderId="0" applyNumberFormat="0" applyBorder="0" applyAlignment="0" applyProtection="0"/>
    <xf numFmtId="0" fontId="43" fillId="20" borderId="0" applyNumberFormat="0" applyFont="0" applyFill="0" applyProtection="0">
      <alignment/>
    </xf>
    <xf numFmtId="0" fontId="88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3" fillId="17" borderId="0" applyNumberFormat="0" applyFont="0" applyFill="0" applyProtection="0">
      <alignment/>
    </xf>
    <xf numFmtId="0" fontId="43" fillId="17" borderId="0" applyNumberFormat="0" applyFont="0" applyFill="0" applyProtection="0">
      <alignment/>
    </xf>
    <xf numFmtId="0" fontId="16" fillId="9" borderId="0" applyNumberFormat="0" applyBorder="0" applyAlignment="0" applyProtection="0"/>
    <xf numFmtId="0" fontId="43" fillId="17" borderId="0" applyNumberFormat="0" applyFont="0" applyFill="0" applyProtection="0">
      <alignment/>
    </xf>
    <xf numFmtId="0" fontId="16" fillId="21" borderId="0" applyNumberFormat="0" applyBorder="0" applyAlignment="0" applyProtection="0"/>
    <xf numFmtId="0" fontId="43" fillId="17" borderId="0" applyNumberFormat="0" applyFont="0" applyFill="0" applyProtection="0">
      <alignment/>
    </xf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23" fillId="3" borderId="0" applyNumberFormat="0" applyBorder="0" applyAlignment="0" applyProtection="0"/>
    <xf numFmtId="0" fontId="89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4" fillId="4" borderId="0" applyNumberFormat="0" applyFont="0" applyFill="0" applyProtection="0">
      <alignment/>
    </xf>
    <xf numFmtId="0" fontId="44" fillId="4" borderId="0" applyNumberFormat="0" applyFont="0" applyFill="0" applyProtection="0">
      <alignment/>
    </xf>
    <xf numFmtId="0" fontId="17" fillId="6" borderId="0" applyNumberFormat="0" applyBorder="0" applyAlignment="0" applyProtection="0"/>
    <xf numFmtId="0" fontId="44" fillId="4" borderId="0" applyNumberFormat="0" applyFont="0" applyFill="0" applyProtection="0">
      <alignment/>
    </xf>
    <xf numFmtId="0" fontId="17" fillId="4" borderId="0" applyNumberFormat="0" applyBorder="0" applyAlignment="0" applyProtection="0"/>
    <xf numFmtId="0" fontId="44" fillId="4" borderId="0" applyNumberFormat="0" applyFont="0" applyFill="0" applyProtection="0">
      <alignment/>
    </xf>
    <xf numFmtId="0" fontId="32" fillId="27" borderId="1" applyNumberFormat="0" applyAlignment="0" applyProtection="0"/>
    <xf numFmtId="0" fontId="18" fillId="28" borderId="2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45" fillId="29" borderId="1" applyNumberFormat="0" applyFont="0" applyProtection="0">
      <alignment/>
    </xf>
    <xf numFmtId="0" fontId="32" fillId="27" borderId="1" applyNumberFormat="0" applyAlignment="0" applyProtection="0"/>
    <xf numFmtId="0" fontId="18" fillId="28" borderId="1" applyNumberFormat="0" applyAlignment="0" applyProtection="0"/>
    <xf numFmtId="0" fontId="45" fillId="29" borderId="1" applyNumberFormat="0" applyFont="0" applyProtection="0">
      <alignment/>
    </xf>
    <xf numFmtId="0" fontId="32" fillId="27" borderId="1" applyNumberFormat="0" applyAlignment="0" applyProtection="0"/>
    <xf numFmtId="0" fontId="45" fillId="29" borderId="1" applyNumberFormat="0" applyFont="0" applyProtection="0">
      <alignment/>
    </xf>
    <xf numFmtId="0" fontId="0" fillId="0" borderId="0">
      <alignment/>
      <protection/>
    </xf>
    <xf numFmtId="0" fontId="90" fillId="30" borderId="3" applyNumberFormat="0" applyAlignment="0" applyProtection="0"/>
    <xf numFmtId="0" fontId="19" fillId="31" borderId="4" applyNumberFormat="0" applyAlignment="0" applyProtection="0"/>
    <xf numFmtId="0" fontId="19" fillId="31" borderId="4" applyNumberFormat="0" applyAlignment="0" applyProtection="0"/>
    <xf numFmtId="0" fontId="46" fillId="31" borderId="4" applyNumberFormat="0" applyFont="0" applyProtection="0">
      <alignment/>
    </xf>
    <xf numFmtId="0" fontId="19" fillId="31" borderId="4" applyNumberFormat="0" applyAlignment="0" applyProtection="0"/>
    <xf numFmtId="0" fontId="19" fillId="31" borderId="4" applyNumberFormat="0" applyAlignment="0" applyProtection="0"/>
    <xf numFmtId="0" fontId="46" fillId="31" borderId="4" applyNumberFormat="0" applyFont="0" applyProtection="0">
      <alignment/>
    </xf>
    <xf numFmtId="0" fontId="19" fillId="31" borderId="4" applyNumberFormat="0" applyAlignment="0" applyProtection="0"/>
    <xf numFmtId="0" fontId="46" fillId="31" borderId="4" applyNumberFormat="0" applyFont="0" applyProtection="0">
      <alignment/>
    </xf>
    <xf numFmtId="0" fontId="20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47" fillId="0" borderId="7" applyNumberFormat="0" applyFont="0" applyAlignment="0" applyProtection="0"/>
    <xf numFmtId="0" fontId="33" fillId="0" borderId="6" applyNumberFormat="0" applyFill="0" applyAlignment="0" applyProtection="0"/>
    <xf numFmtId="0" fontId="20" fillId="0" borderId="5" applyNumberFormat="0" applyFill="0" applyAlignment="0" applyProtection="0"/>
    <xf numFmtId="0" fontId="47" fillId="0" borderId="7" applyNumberFormat="0" applyFont="0" applyAlignment="0" applyProtection="0"/>
    <xf numFmtId="0" fontId="33" fillId="0" borderId="6" applyNumberFormat="0" applyFill="0" applyAlignment="0" applyProtection="0"/>
    <xf numFmtId="0" fontId="47" fillId="0" borderId="7" applyNumberFormat="0" applyFont="0" applyAlignment="0" applyProtection="0"/>
    <xf numFmtId="0" fontId="19" fillId="31" borderId="4" applyNumberFormat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8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3" fillId="24" borderId="0" applyNumberFormat="0" applyFont="0" applyFill="0" applyProtection="0">
      <alignment/>
    </xf>
    <xf numFmtId="0" fontId="43" fillId="24" borderId="0" applyNumberFormat="0" applyFont="0" applyFill="0" applyProtection="0">
      <alignment/>
    </xf>
    <xf numFmtId="0" fontId="16" fillId="32" borderId="0" applyNumberFormat="0" applyBorder="0" applyAlignment="0" applyProtection="0"/>
    <xf numFmtId="0" fontId="43" fillId="24" borderId="0" applyNumberFormat="0" applyFont="0" applyFill="0" applyProtection="0">
      <alignment/>
    </xf>
    <xf numFmtId="0" fontId="16" fillId="24" borderId="0" applyNumberFormat="0" applyBorder="0" applyAlignment="0" applyProtection="0"/>
    <xf numFmtId="0" fontId="43" fillId="24" borderId="0" applyNumberFormat="0" applyFont="0" applyFill="0" applyProtection="0">
      <alignment/>
    </xf>
    <xf numFmtId="0" fontId="88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3" fillId="33" borderId="0" applyNumberFormat="0" applyFont="0" applyFill="0" applyProtection="0">
      <alignment/>
    </xf>
    <xf numFmtId="0" fontId="43" fillId="33" borderId="0" applyNumberFormat="0" applyFont="0" applyFill="0" applyProtection="0">
      <alignment/>
    </xf>
    <xf numFmtId="0" fontId="16" fillId="22" borderId="0" applyNumberFormat="0" applyBorder="0" applyAlignment="0" applyProtection="0"/>
    <xf numFmtId="0" fontId="43" fillId="33" borderId="0" applyNumberFormat="0" applyFont="0" applyFill="0" applyProtection="0">
      <alignment/>
    </xf>
    <xf numFmtId="0" fontId="16" fillId="25" borderId="0" applyNumberFormat="0" applyBorder="0" applyAlignment="0" applyProtection="0"/>
    <xf numFmtId="0" fontId="43" fillId="33" borderId="0" applyNumberFormat="0" applyFont="0" applyFill="0" applyProtection="0">
      <alignment/>
    </xf>
    <xf numFmtId="0" fontId="88" fillId="1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43" fillId="34" borderId="0" applyNumberFormat="0" applyFont="0" applyFill="0" applyProtection="0">
      <alignment/>
    </xf>
    <xf numFmtId="0" fontId="43" fillId="34" borderId="0" applyNumberFormat="0" applyFont="0" applyFill="0" applyProtection="0">
      <alignment/>
    </xf>
    <xf numFmtId="0" fontId="16" fillId="13" borderId="0" applyNumberFormat="0" applyBorder="0" applyAlignment="0" applyProtection="0"/>
    <xf numFmtId="0" fontId="43" fillId="34" borderId="0" applyNumberFormat="0" applyFont="0" applyFill="0" applyProtection="0">
      <alignment/>
    </xf>
    <xf numFmtId="0" fontId="16" fillId="26" borderId="0" applyNumberFormat="0" applyBorder="0" applyAlignment="0" applyProtection="0"/>
    <xf numFmtId="0" fontId="43" fillId="34" borderId="0" applyNumberFormat="0" applyFont="0" applyFill="0" applyProtection="0">
      <alignment/>
    </xf>
    <xf numFmtId="0" fontId="88" fillId="3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3" fillId="23" borderId="0" applyNumberFormat="0" applyFont="0" applyFill="0" applyProtection="0">
      <alignment/>
    </xf>
    <xf numFmtId="0" fontId="43" fillId="23" borderId="0" applyNumberFormat="0" applyFont="0" applyFill="0" applyProtection="0">
      <alignment/>
    </xf>
    <xf numFmtId="0" fontId="16" fillId="35" borderId="0" applyNumberFormat="0" applyBorder="0" applyAlignment="0" applyProtection="0"/>
    <xf numFmtId="0" fontId="43" fillId="23" borderId="0" applyNumberFormat="0" applyFont="0" applyFill="0" applyProtection="0">
      <alignment/>
    </xf>
    <xf numFmtId="0" fontId="16" fillId="19" borderId="0" applyNumberFormat="0" applyBorder="0" applyAlignment="0" applyProtection="0"/>
    <xf numFmtId="0" fontId="43" fillId="23" borderId="0" applyNumberFormat="0" applyFont="0" applyFill="0" applyProtection="0">
      <alignment/>
    </xf>
    <xf numFmtId="0" fontId="88" fillId="3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43" fillId="20" borderId="0" applyNumberFormat="0" applyFont="0" applyFill="0" applyProtection="0">
      <alignment/>
    </xf>
    <xf numFmtId="0" fontId="43" fillId="20" borderId="0" applyNumberFormat="0" applyFont="0" applyFill="0" applyProtection="0">
      <alignment/>
    </xf>
    <xf numFmtId="0" fontId="16" fillId="20" borderId="0" applyNumberFormat="0" applyBorder="0" applyAlignment="0" applyProtection="0"/>
    <xf numFmtId="0" fontId="43" fillId="20" borderId="0" applyNumberFormat="0" applyFont="0" applyFill="0" applyProtection="0">
      <alignment/>
    </xf>
    <xf numFmtId="0" fontId="16" fillId="20" borderId="0" applyNumberFormat="0" applyBorder="0" applyAlignment="0" applyProtection="0"/>
    <xf numFmtId="0" fontId="43" fillId="20" borderId="0" applyNumberFormat="0" applyFont="0" applyFill="0" applyProtection="0">
      <alignment/>
    </xf>
    <xf numFmtId="0" fontId="88" fillId="2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3" fillId="25" borderId="0" applyNumberFormat="0" applyFont="0" applyFill="0" applyProtection="0">
      <alignment/>
    </xf>
    <xf numFmtId="0" fontId="43" fillId="25" borderId="0" applyNumberFormat="0" applyFont="0" applyFill="0" applyProtection="0">
      <alignment/>
    </xf>
    <xf numFmtId="0" fontId="16" fillId="25" borderId="0" applyNumberFormat="0" applyBorder="0" applyAlignment="0" applyProtection="0"/>
    <xf numFmtId="0" fontId="43" fillId="25" borderId="0" applyNumberFormat="0" applyFont="0" applyFill="0" applyProtection="0">
      <alignment/>
    </xf>
    <xf numFmtId="0" fontId="16" fillId="22" borderId="0" applyNumberFormat="0" applyBorder="0" applyAlignment="0" applyProtection="0"/>
    <xf numFmtId="0" fontId="43" fillId="25" borderId="0" applyNumberFormat="0" applyFont="0" applyFill="0" applyProtection="0">
      <alignment/>
    </xf>
    <xf numFmtId="0" fontId="91" fillId="15" borderId="2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48" fillId="3" borderId="1" applyNumberFormat="0" applyFont="0" applyProtection="0">
      <alignment/>
    </xf>
    <xf numFmtId="0" fontId="21" fillId="7" borderId="1" applyNumberFormat="0" applyAlignment="0" applyProtection="0"/>
    <xf numFmtId="0" fontId="21" fillId="15" borderId="1" applyNumberFormat="0" applyAlignment="0" applyProtection="0"/>
    <xf numFmtId="0" fontId="48" fillId="3" borderId="1" applyNumberFormat="0" applyFont="0" applyProtection="0">
      <alignment/>
    </xf>
    <xf numFmtId="0" fontId="21" fillId="7" borderId="1" applyNumberFormat="0" applyAlignment="0" applyProtection="0"/>
    <xf numFmtId="0" fontId="48" fillId="3" borderId="1" applyNumberFormat="0" applyFont="0" applyProtection="0">
      <alignment/>
    </xf>
    <xf numFmtId="0" fontId="4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 applyBorder="0" applyProtection="0">
      <alignment/>
    </xf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4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0" fillId="3" borderId="0" applyNumberFormat="0" applyFont="0" applyFill="0" applyProtection="0">
      <alignment/>
    </xf>
    <xf numFmtId="0" fontId="50" fillId="3" borderId="0" applyNumberFormat="0" applyFont="0" applyFill="0" applyProtection="0">
      <alignment/>
    </xf>
    <xf numFmtId="0" fontId="23" fillId="5" borderId="0" applyNumberFormat="0" applyBorder="0" applyAlignment="0" applyProtection="0"/>
    <xf numFmtId="0" fontId="50" fillId="3" borderId="0" applyNumberFormat="0" applyFont="0" applyFill="0" applyProtection="0">
      <alignment/>
    </xf>
    <xf numFmtId="0" fontId="23" fillId="3" borderId="0" applyNumberFormat="0" applyBorder="0" applyAlignment="0" applyProtection="0"/>
    <xf numFmtId="0" fontId="50" fillId="3" borderId="0" applyNumberFormat="0" applyFont="0" applyFill="0" applyProtection="0">
      <alignment/>
    </xf>
    <xf numFmtId="0" fontId="21" fillId="7" borderId="1" applyNumberFormat="0" applyAlignment="0" applyProtection="0"/>
    <xf numFmtId="0" fontId="33" fillId="0" borderId="6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37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51" fillId="10" borderId="0" applyNumberFormat="0" applyFont="0" applyFill="0" applyProtection="0">
      <alignment/>
    </xf>
    <xf numFmtId="0" fontId="51" fillId="10" borderId="0" applyNumberFormat="0" applyFont="0" applyFill="0" applyProtection="0">
      <alignment/>
    </xf>
    <xf numFmtId="0" fontId="24" fillId="15" borderId="0" applyNumberFormat="0" applyBorder="0" applyAlignment="0" applyProtection="0"/>
    <xf numFmtId="0" fontId="51" fillId="10" borderId="0" applyNumberFormat="0" applyFont="0" applyFill="0" applyProtection="0">
      <alignment/>
    </xf>
    <xf numFmtId="0" fontId="35" fillId="15" borderId="0" applyNumberFormat="0" applyBorder="0" applyAlignment="0" applyProtection="0"/>
    <xf numFmtId="0" fontId="51" fillId="10" borderId="0" applyNumberFormat="0" applyFont="0" applyFill="0" applyProtection="0">
      <alignment/>
    </xf>
    <xf numFmtId="0" fontId="3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0" fillId="38" borderId="11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34" fillId="10" borderId="12" applyNumberFormat="0" applyFont="0" applyAlignment="0" applyProtection="0"/>
    <xf numFmtId="0" fontId="15" fillId="10" borderId="12" applyNumberFormat="0" applyFont="0" applyAlignment="0" applyProtection="0"/>
    <xf numFmtId="0" fontId="0" fillId="10" borderId="12" applyNumberFormat="0" applyFont="0" applyBorder="0" applyProtection="0">
      <alignment/>
    </xf>
    <xf numFmtId="0" fontId="34" fillId="10" borderId="12" applyNumberFormat="0" applyFont="0" applyAlignment="0" applyProtection="0"/>
    <xf numFmtId="0" fontId="34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0" fillId="10" borderId="12" applyNumberFormat="0" applyFont="0" applyBorder="0" applyProtection="0">
      <alignment/>
    </xf>
    <xf numFmtId="0" fontId="34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0" fillId="10" borderId="12" applyNumberFormat="0" applyFont="0" applyAlignment="0" applyProtection="0"/>
    <xf numFmtId="0" fontId="25" fillId="27" borderId="13" applyNumberFormat="0" applyAlignment="0" applyProtection="0"/>
    <xf numFmtId="0" fontId="41" fillId="0" borderId="14" applyNumberFormat="0" applyFont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28" borderId="15" applyNumberFormat="0" applyAlignment="0" applyProtection="0"/>
    <xf numFmtId="0" fontId="25" fillId="27" borderId="13" applyNumberFormat="0" applyAlignment="0" applyProtection="0"/>
    <xf numFmtId="0" fontId="25" fillId="27" borderId="13" applyNumberFormat="0" applyAlignment="0" applyProtection="0"/>
    <xf numFmtId="0" fontId="52" fillId="29" borderId="13" applyNumberFormat="0" applyFont="0" applyProtection="0">
      <alignment/>
    </xf>
    <xf numFmtId="0" fontId="25" fillId="27" borderId="13" applyNumberFormat="0" applyAlignment="0" applyProtection="0"/>
    <xf numFmtId="0" fontId="25" fillId="28" borderId="13" applyNumberFormat="0" applyAlignment="0" applyProtection="0"/>
    <xf numFmtId="0" fontId="52" fillId="29" borderId="13" applyNumberFormat="0" applyFont="0" applyProtection="0">
      <alignment/>
    </xf>
    <xf numFmtId="0" fontId="25" fillId="27" borderId="13" applyNumberFormat="0" applyAlignment="0" applyProtection="0"/>
    <xf numFmtId="0" fontId="52" fillId="29" borderId="13" applyNumberFormat="0" applyFont="0" applyProtection="0">
      <alignment/>
    </xf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4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ont="0" applyFill="0" applyAlignment="0" applyProtection="0"/>
    <xf numFmtId="0" fontId="42" fillId="0" borderId="0" applyNumberFormat="0" applyFont="0" applyFill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ont="0" applyFill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ont="0" applyFill="0" applyAlignment="0" applyProtection="0"/>
    <xf numFmtId="0" fontId="9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26" fillId="0" borderId="0" applyNumberFormat="0" applyFill="0" applyBorder="0" applyAlignment="0" applyProtection="0"/>
    <xf numFmtId="0" fontId="53" fillId="0" borderId="0" applyNumberFormat="0" applyFont="0" applyFill="0" applyAlignment="0" applyProtection="0"/>
    <xf numFmtId="0" fontId="26" fillId="0" borderId="0" applyNumberFormat="0" applyFill="0" applyBorder="0" applyAlignment="0" applyProtection="0"/>
    <xf numFmtId="0" fontId="53" fillId="0" borderId="0" applyNumberFormat="0" applyFont="0" applyFill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54" fillId="0" borderId="17" applyNumberFormat="0" applyFont="0" applyAlignment="0" applyProtection="0"/>
    <xf numFmtId="0" fontId="37" fillId="0" borderId="8" applyNumberFormat="0" applyFill="0" applyAlignment="0" applyProtection="0"/>
    <xf numFmtId="0" fontId="28" fillId="0" borderId="16" applyNumberFormat="0" applyFill="0" applyAlignment="0" applyProtection="0"/>
    <xf numFmtId="0" fontId="54" fillId="0" borderId="17" applyNumberFormat="0" applyFont="0" applyAlignment="0" applyProtection="0"/>
    <xf numFmtId="0" fontId="37" fillId="0" borderId="8" applyNumberFormat="0" applyFill="0" applyAlignment="0" applyProtection="0"/>
    <xf numFmtId="0" fontId="54" fillId="0" borderId="17" applyNumberFormat="0" applyFont="0" applyAlignment="0" applyProtection="0"/>
    <xf numFmtId="0" fontId="55" fillId="0" borderId="0" applyNumberFormat="0" applyFont="0" applyFill="0" applyAlignment="0" applyProtection="0"/>
    <xf numFmtId="0" fontId="29" fillId="0" borderId="1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56" fillId="0" borderId="9" applyNumberFormat="0" applyFont="0" applyAlignment="0" applyProtection="0"/>
    <xf numFmtId="0" fontId="38" fillId="0" borderId="9" applyNumberFormat="0" applyFill="0" applyAlignment="0" applyProtection="0"/>
    <xf numFmtId="0" fontId="29" fillId="0" borderId="18" applyNumberFormat="0" applyFill="0" applyAlignment="0" applyProtection="0"/>
    <xf numFmtId="0" fontId="56" fillId="0" borderId="9" applyNumberFormat="0" applyFont="0" applyAlignment="0" applyProtection="0"/>
    <xf numFmtId="0" fontId="38" fillId="0" borderId="9" applyNumberFormat="0" applyFill="0" applyAlignment="0" applyProtection="0"/>
    <xf numFmtId="0" fontId="56" fillId="0" borderId="9" applyNumberFormat="0" applyFont="0" applyAlignment="0" applyProtection="0"/>
    <xf numFmtId="0" fontId="30" fillId="0" borderId="1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57" fillId="0" borderId="17" applyNumberFormat="0" applyFont="0" applyAlignment="0" applyProtection="0"/>
    <xf numFmtId="0" fontId="39" fillId="0" borderId="10" applyNumberFormat="0" applyFill="0" applyAlignment="0" applyProtection="0"/>
    <xf numFmtId="0" fontId="30" fillId="0" borderId="19" applyNumberFormat="0" applyFill="0" applyAlignment="0" applyProtection="0"/>
    <xf numFmtId="0" fontId="57" fillId="0" borderId="17" applyNumberFormat="0" applyFont="0" applyAlignment="0" applyProtection="0"/>
    <xf numFmtId="0" fontId="39" fillId="0" borderId="10" applyNumberFormat="0" applyFill="0" applyAlignment="0" applyProtection="0"/>
    <xf numFmtId="0" fontId="57" fillId="0" borderId="17" applyNumberFormat="0" applyFont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0" borderId="0" applyNumberFormat="0" applyFont="0" applyFill="0" applyAlignment="0" applyProtection="0"/>
    <xf numFmtId="0" fontId="57" fillId="0" borderId="0" applyNumberFormat="0" applyFont="0" applyFill="0" applyAlignment="0" applyProtection="0"/>
    <xf numFmtId="0" fontId="30" fillId="0" borderId="0" applyNumberFormat="0" applyFill="0" applyBorder="0" applyAlignment="0" applyProtection="0"/>
    <xf numFmtId="0" fontId="57" fillId="0" borderId="0" applyNumberFormat="0" applyFont="0" applyFill="0" applyAlignment="0" applyProtection="0"/>
    <xf numFmtId="0" fontId="39" fillId="0" borderId="0" applyNumberFormat="0" applyFill="0" applyBorder="0" applyAlignment="0" applyProtection="0"/>
    <xf numFmtId="0" fontId="57" fillId="0" borderId="0" applyNumberFormat="0" applyFon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5" fillId="0" borderId="0" applyNumberFormat="0" applyFont="0" applyFill="0" applyAlignment="0" applyProtection="0"/>
    <xf numFmtId="0" fontId="55" fillId="0" borderId="0" applyNumberFormat="0" applyFont="0" applyFill="0" applyAlignment="0" applyProtection="0"/>
    <xf numFmtId="0" fontId="27" fillId="0" borderId="0" applyNumberFormat="0" applyFill="0" applyBorder="0" applyAlignment="0" applyProtection="0"/>
    <xf numFmtId="0" fontId="55" fillId="0" borderId="0" applyNumberFormat="0" applyFont="0" applyFill="0" applyAlignment="0" applyProtection="0"/>
    <xf numFmtId="0" fontId="36" fillId="0" borderId="0" applyNumberFormat="0" applyFill="0" applyBorder="0" applyAlignment="0" applyProtection="0"/>
    <xf numFmtId="0" fontId="55" fillId="0" borderId="0" applyNumberFormat="0" applyFont="0" applyFill="0" applyAlignment="0" applyProtection="0"/>
    <xf numFmtId="0" fontId="99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1" fillId="0" borderId="22" applyNumberFormat="0" applyFont="0" applyAlignment="0" applyProtection="0"/>
    <xf numFmtId="0" fontId="31" fillId="0" borderId="21" applyNumberFormat="0" applyFill="0" applyAlignment="0" applyProtection="0"/>
    <xf numFmtId="0" fontId="31" fillId="0" borderId="20" applyNumberFormat="0" applyFill="0" applyAlignment="0" applyProtection="0"/>
    <xf numFmtId="0" fontId="1" fillId="0" borderId="22" applyNumberFormat="0" applyFont="0" applyAlignment="0" applyProtection="0"/>
    <xf numFmtId="0" fontId="31" fillId="0" borderId="21" applyNumberFormat="0" applyFill="0" applyAlignment="0" applyProtection="0"/>
    <xf numFmtId="0" fontId="1" fillId="0" borderId="22" applyNumberFormat="0" applyFont="0" applyAlignment="0" applyProtection="0"/>
    <xf numFmtId="0" fontId="31" fillId="0" borderId="21" applyNumberFormat="0" applyFill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4" fontId="4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9" fillId="28" borderId="24" xfId="0" applyNumberFormat="1" applyFont="1" applyFill="1" applyBorder="1" applyAlignment="1">
      <alignment horizontal="center" vertical="center"/>
    </xf>
    <xf numFmtId="171" fontId="0" fillId="0" borderId="23" xfId="0" applyNumberFormat="1" applyFont="1" applyBorder="1" applyAlignment="1">
      <alignment/>
    </xf>
    <xf numFmtId="166" fontId="0" fillId="0" borderId="23" xfId="845" applyFont="1" applyBorder="1" applyAlignment="1">
      <alignment/>
    </xf>
    <xf numFmtId="166" fontId="0" fillId="0" borderId="23" xfId="0" applyNumberFormat="1" applyFont="1" applyBorder="1" applyAlignment="1">
      <alignment/>
    </xf>
    <xf numFmtId="179" fontId="0" fillId="0" borderId="23" xfId="845" applyNumberFormat="1" applyFont="1" applyBorder="1" applyAlignment="1">
      <alignment/>
    </xf>
    <xf numFmtId="166" fontId="1" fillId="0" borderId="2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28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39" borderId="25" xfId="845" applyNumberFormat="1" applyFont="1" applyFill="1" applyBorder="1" applyAlignment="1" applyProtection="1">
      <alignment/>
      <protection/>
    </xf>
    <xf numFmtId="2" fontId="1" fillId="39" borderId="26" xfId="0" applyNumberFormat="1" applyFont="1" applyFill="1" applyBorder="1" applyAlignment="1" applyProtection="1">
      <alignment horizontal="center" vertical="center" wrapText="1"/>
      <protection/>
    </xf>
    <xf numFmtId="39" fontId="0" fillId="39" borderId="27" xfId="845" applyNumberFormat="1" applyFont="1" applyFill="1" applyBorder="1" applyAlignment="1" applyProtection="1">
      <alignment/>
      <protection/>
    </xf>
    <xf numFmtId="39" fontId="1" fillId="39" borderId="23" xfId="845" applyNumberFormat="1" applyFont="1" applyFill="1" applyBorder="1" applyAlignment="1" applyProtection="1">
      <alignment/>
      <protection/>
    </xf>
    <xf numFmtId="4" fontId="0" fillId="39" borderId="27" xfId="845" applyNumberFormat="1" applyFont="1" applyFill="1" applyBorder="1" applyAlignment="1" applyProtection="1">
      <alignment vertical="center" wrapText="1"/>
      <protection/>
    </xf>
    <xf numFmtId="4" fontId="0" fillId="39" borderId="28" xfId="845" applyNumberFormat="1" applyFont="1" applyFill="1" applyBorder="1" applyAlignment="1" applyProtection="1">
      <alignment vertical="center" wrapText="1"/>
      <protection/>
    </xf>
    <xf numFmtId="39" fontId="1" fillId="39" borderId="23" xfId="845" applyNumberFormat="1" applyFont="1" applyFill="1" applyBorder="1" applyAlignment="1" applyProtection="1">
      <alignment vertical="center" wrapText="1"/>
      <protection/>
    </xf>
    <xf numFmtId="4" fontId="0" fillId="39" borderId="29" xfId="845" applyNumberFormat="1" applyFont="1" applyFill="1" applyBorder="1" applyAlignment="1" applyProtection="1">
      <alignment vertical="center" wrapText="1"/>
      <protection/>
    </xf>
    <xf numFmtId="166" fontId="1" fillId="39" borderId="23" xfId="845" applyFont="1" applyFill="1" applyBorder="1" applyAlignment="1" applyProtection="1">
      <alignment vertical="center" wrapText="1"/>
      <protection/>
    </xf>
    <xf numFmtId="39" fontId="1" fillId="39" borderId="23" xfId="845" applyNumberFormat="1" applyFont="1" applyFill="1" applyBorder="1" applyAlignment="1" applyProtection="1">
      <alignment horizontal="right" vertical="center" wrapText="1"/>
      <protection/>
    </xf>
    <xf numFmtId="0" fontId="1" fillId="39" borderId="30" xfId="0" applyFont="1" applyFill="1" applyBorder="1" applyAlignment="1" applyProtection="1">
      <alignment vertical="center"/>
      <protection/>
    </xf>
    <xf numFmtId="0" fontId="1" fillId="39" borderId="31" xfId="0" applyFont="1" applyFill="1" applyBorder="1" applyAlignment="1" applyProtection="1">
      <alignment vertical="center"/>
      <protection/>
    </xf>
    <xf numFmtId="0" fontId="1" fillId="39" borderId="31" xfId="0" applyFont="1" applyFill="1" applyBorder="1" applyAlignment="1" applyProtection="1">
      <alignment horizontal="right" vertical="center"/>
      <protection/>
    </xf>
    <xf numFmtId="166" fontId="1" fillId="39" borderId="23" xfId="845" applyFont="1" applyFill="1" applyBorder="1" applyAlignment="1" applyProtection="1">
      <alignment horizontal="right" vertical="center" wrapText="1"/>
      <protection/>
    </xf>
    <xf numFmtId="17" fontId="11" fillId="39" borderId="32" xfId="0" applyNumberFormat="1" applyFont="1" applyFill="1" applyBorder="1" applyAlignment="1" applyProtection="1">
      <alignment vertical="center"/>
      <protection/>
    </xf>
    <xf numFmtId="0" fontId="4" fillId="0" borderId="2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72" fillId="0" borderId="33" xfId="0" applyFont="1" applyBorder="1" applyAlignment="1">
      <alignment horizontal="center"/>
    </xf>
    <xf numFmtId="4" fontId="72" fillId="0" borderId="34" xfId="0" applyNumberFormat="1" applyFont="1" applyBorder="1" applyAlignment="1">
      <alignment horizontal="center"/>
    </xf>
    <xf numFmtId="4" fontId="73" fillId="0" borderId="34" xfId="0" applyNumberFormat="1" applyFont="1" applyBorder="1" applyAlignment="1">
      <alignment horizontal="center"/>
    </xf>
    <xf numFmtId="0" fontId="73" fillId="0" borderId="34" xfId="0" applyFont="1" applyBorder="1" applyAlignment="1">
      <alignment horizontal="center"/>
    </xf>
    <xf numFmtId="0" fontId="74" fillId="0" borderId="35" xfId="0" applyFont="1" applyBorder="1" applyAlignment="1">
      <alignment horizontal="center"/>
    </xf>
    <xf numFmtId="0" fontId="73" fillId="0" borderId="33" xfId="0" applyFont="1" applyBorder="1" applyAlignment="1">
      <alignment horizontal="center"/>
    </xf>
    <xf numFmtId="0" fontId="73" fillId="40" borderId="33" xfId="0" applyFont="1" applyFill="1" applyBorder="1" applyAlignment="1">
      <alignment horizontal="center"/>
    </xf>
    <xf numFmtId="4" fontId="73" fillId="40" borderId="34" xfId="0" applyNumberFormat="1" applyFont="1" applyFill="1" applyBorder="1" applyAlignment="1">
      <alignment horizontal="center"/>
    </xf>
    <xf numFmtId="4" fontId="72" fillId="40" borderId="34" xfId="0" applyNumberFormat="1" applyFont="1" applyFill="1" applyBorder="1" applyAlignment="1">
      <alignment horizontal="center"/>
    </xf>
    <xf numFmtId="0" fontId="73" fillId="40" borderId="34" xfId="0" applyFont="1" applyFill="1" applyBorder="1" applyAlignment="1">
      <alignment horizontal="center"/>
    </xf>
    <xf numFmtId="0" fontId="74" fillId="40" borderId="35" xfId="0" applyFont="1" applyFill="1" applyBorder="1" applyAlignment="1">
      <alignment horizontal="center"/>
    </xf>
    <xf numFmtId="0" fontId="100" fillId="40" borderId="33" xfId="0" applyFont="1" applyFill="1" applyBorder="1" applyAlignment="1">
      <alignment horizontal="center"/>
    </xf>
    <xf numFmtId="4" fontId="100" fillId="40" borderId="34" xfId="0" applyNumberFormat="1" applyFont="1" applyFill="1" applyBorder="1" applyAlignment="1">
      <alignment horizontal="center"/>
    </xf>
    <xf numFmtId="4" fontId="101" fillId="40" borderId="34" xfId="0" applyNumberFormat="1" applyFont="1" applyFill="1" applyBorder="1" applyAlignment="1">
      <alignment horizontal="center"/>
    </xf>
    <xf numFmtId="0" fontId="100" fillId="40" borderId="34" xfId="0" applyFont="1" applyFill="1" applyBorder="1" applyAlignment="1">
      <alignment horizontal="center"/>
    </xf>
    <xf numFmtId="0" fontId="97" fillId="40" borderId="35" xfId="0" applyFont="1" applyFill="1" applyBorder="1" applyAlignment="1">
      <alignment horizontal="center"/>
    </xf>
    <xf numFmtId="166" fontId="73" fillId="0" borderId="34" xfId="0" applyNumberFormat="1" applyFont="1" applyBorder="1" applyAlignment="1">
      <alignment horizontal="center"/>
    </xf>
    <xf numFmtId="4" fontId="73" fillId="0" borderId="34" xfId="0" applyNumberFormat="1" applyFont="1" applyBorder="1" applyAlignment="1">
      <alignment horizontal="right"/>
    </xf>
    <xf numFmtId="4" fontId="73" fillId="0" borderId="34" xfId="0" applyNumberFormat="1" applyFont="1" applyBorder="1" applyAlignment="1">
      <alignment/>
    </xf>
    <xf numFmtId="0" fontId="73" fillId="0" borderId="34" xfId="0" applyFont="1" applyBorder="1" applyAlignment="1">
      <alignment/>
    </xf>
    <xf numFmtId="0" fontId="73" fillId="0" borderId="35" xfId="0" applyFont="1" applyBorder="1" applyAlignment="1">
      <alignment/>
    </xf>
    <xf numFmtId="0" fontId="73" fillId="39" borderId="0" xfId="0" applyFont="1" applyFill="1" applyBorder="1" applyAlignment="1">
      <alignment/>
    </xf>
    <xf numFmtId="0" fontId="72" fillId="0" borderId="36" xfId="0" applyFont="1" applyBorder="1" applyAlignment="1">
      <alignment horizontal="center"/>
    </xf>
    <xf numFmtId="4" fontId="72" fillId="0" borderId="37" xfId="0" applyNumberFormat="1" applyFont="1" applyBorder="1" applyAlignment="1">
      <alignment horizontal="center"/>
    </xf>
    <xf numFmtId="4" fontId="73" fillId="0" borderId="37" xfId="0" applyNumberFormat="1" applyFont="1" applyBorder="1" applyAlignment="1">
      <alignment horizontal="center"/>
    </xf>
    <xf numFmtId="0" fontId="73" fillId="0" borderId="37" xfId="0" applyFont="1" applyBorder="1" applyAlignment="1">
      <alignment horizontal="center"/>
    </xf>
    <xf numFmtId="0" fontId="74" fillId="0" borderId="38" xfId="0" applyFont="1" applyBorder="1" applyAlignment="1">
      <alignment horizontal="center"/>
    </xf>
    <xf numFmtId="0" fontId="77" fillId="0" borderId="39" xfId="0" applyFont="1" applyBorder="1" applyAlignment="1">
      <alignment horizontal="center"/>
    </xf>
    <xf numFmtId="0" fontId="77" fillId="0" borderId="40" xfId="0" applyFont="1" applyBorder="1" applyAlignment="1">
      <alignment/>
    </xf>
    <xf numFmtId="0" fontId="77" fillId="0" borderId="41" xfId="0" applyFont="1" applyBorder="1" applyAlignment="1">
      <alignment horizontal="center"/>
    </xf>
    <xf numFmtId="0" fontId="77" fillId="0" borderId="42" xfId="0" applyFont="1" applyBorder="1" applyAlignment="1">
      <alignment horizontal="center"/>
    </xf>
    <xf numFmtId="0" fontId="0" fillId="39" borderId="43" xfId="0" applyFont="1" applyFill="1" applyBorder="1" applyAlignment="1">
      <alignment/>
    </xf>
    <xf numFmtId="0" fontId="0" fillId="39" borderId="44" xfId="0" applyFont="1" applyFill="1" applyBorder="1" applyAlignment="1">
      <alignment/>
    </xf>
    <xf numFmtId="4" fontId="73" fillId="41" borderId="34" xfId="0" applyNumberFormat="1" applyFont="1" applyFill="1" applyBorder="1" applyAlignment="1">
      <alignment horizontal="center"/>
    </xf>
    <xf numFmtId="172" fontId="4" fillId="0" borderId="23" xfId="0" applyNumberFormat="1" applyFont="1" applyBorder="1" applyAlignment="1">
      <alignment horizontal="center" vertical="center"/>
    </xf>
    <xf numFmtId="0" fontId="4" fillId="28" borderId="23" xfId="0" applyFont="1" applyFill="1" applyBorder="1" applyAlignment="1">
      <alignment horizontal="center"/>
    </xf>
    <xf numFmtId="0" fontId="4" fillId="28" borderId="23" xfId="0" applyFont="1" applyFill="1" applyBorder="1" applyAlignment="1">
      <alignment horizontal="left"/>
    </xf>
    <xf numFmtId="1" fontId="4" fillId="28" borderId="23" xfId="0" applyNumberFormat="1" applyFont="1" applyFill="1" applyBorder="1" applyAlignment="1">
      <alignment horizontal="center"/>
    </xf>
    <xf numFmtId="2" fontId="4" fillId="28" borderId="23" xfId="0" applyNumberFormat="1" applyFont="1" applyFill="1" applyBorder="1" applyAlignment="1">
      <alignment horizontal="center"/>
    </xf>
    <xf numFmtId="0" fontId="4" fillId="28" borderId="23" xfId="0" applyFont="1" applyFill="1" applyBorder="1" applyAlignment="1">
      <alignment vertical="center"/>
    </xf>
    <xf numFmtId="166" fontId="4" fillId="28" borderId="23" xfId="845" applyFont="1" applyFill="1" applyBorder="1" applyAlignment="1">
      <alignment horizontal="center"/>
    </xf>
    <xf numFmtId="166" fontId="4" fillId="28" borderId="23" xfId="845" applyFont="1" applyFill="1" applyBorder="1" applyAlignment="1">
      <alignment horizontal="left"/>
    </xf>
    <xf numFmtId="40" fontId="4" fillId="28" borderId="23" xfId="0" applyNumberFormat="1" applyFont="1" applyFill="1" applyBorder="1" applyAlignment="1">
      <alignment horizontal="center"/>
    </xf>
    <xf numFmtId="40" fontId="4" fillId="28" borderId="23" xfId="0" applyNumberFormat="1" applyFont="1" applyFill="1" applyBorder="1" applyAlignment="1">
      <alignment horizontal="left"/>
    </xf>
    <xf numFmtId="40" fontId="4" fillId="28" borderId="23" xfId="0" applyNumberFormat="1" applyFont="1" applyFill="1" applyBorder="1" applyAlignment="1">
      <alignment horizontal="center" vertical="center" wrapText="1"/>
    </xf>
    <xf numFmtId="0" fontId="4" fillId="28" borderId="23" xfId="0" applyFont="1" applyFill="1" applyBorder="1" applyAlignment="1">
      <alignment horizontal="center" vertical="center" wrapText="1"/>
    </xf>
    <xf numFmtId="40" fontId="4" fillId="28" borderId="23" xfId="0" applyNumberFormat="1" applyFont="1" applyFill="1" applyBorder="1" applyAlignment="1">
      <alignment horizontal="right"/>
    </xf>
    <xf numFmtId="2" fontId="4" fillId="28" borderId="23" xfId="0" applyNumberFormat="1" applyFont="1" applyFill="1" applyBorder="1" applyAlignment="1">
      <alignment horizontal="right"/>
    </xf>
    <xf numFmtId="166" fontId="4" fillId="28" borderId="23" xfId="845" applyFont="1" applyFill="1" applyBorder="1" applyAlignment="1">
      <alignment horizontal="right"/>
    </xf>
    <xf numFmtId="0" fontId="4" fillId="28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" vertical="center"/>
    </xf>
    <xf numFmtId="2" fontId="4" fillId="28" borderId="23" xfId="0" applyNumberFormat="1" applyFont="1" applyFill="1" applyBorder="1" applyAlignment="1">
      <alignment horizontal="center" vertical="center"/>
    </xf>
    <xf numFmtId="172" fontId="4" fillId="28" borderId="23" xfId="0" applyNumberFormat="1" applyFont="1" applyFill="1" applyBorder="1" applyAlignment="1">
      <alignment horizontal="center" vertical="center"/>
    </xf>
    <xf numFmtId="0" fontId="0" fillId="39" borderId="45" xfId="0" applyFill="1" applyBorder="1" applyAlignment="1">
      <alignment horizontal="left" vertical="center"/>
    </xf>
    <xf numFmtId="43" fontId="0" fillId="0" borderId="0" xfId="0" applyNumberFormat="1" applyAlignment="1">
      <alignment/>
    </xf>
    <xf numFmtId="0" fontId="1" fillId="0" borderId="23" xfId="0" applyFont="1" applyBorder="1" applyAlignment="1">
      <alignment horizontal="center" vertical="center"/>
    </xf>
    <xf numFmtId="0" fontId="8" fillId="27" borderId="24" xfId="0" applyFont="1" applyFill="1" applyBorder="1" applyAlignment="1">
      <alignment horizontal="center" vertical="center"/>
    </xf>
    <xf numFmtId="0" fontId="8" fillId="27" borderId="46" xfId="0" applyFont="1" applyFill="1" applyBorder="1" applyAlignment="1">
      <alignment horizontal="center" vertical="center"/>
    </xf>
    <xf numFmtId="0" fontId="8" fillId="27" borderId="32" xfId="0" applyFont="1" applyFill="1" applyBorder="1" applyAlignment="1">
      <alignment horizontal="center" vertical="center"/>
    </xf>
    <xf numFmtId="166" fontId="8" fillId="0" borderId="23" xfId="0" applyNumberFormat="1" applyFont="1" applyBorder="1" applyAlignment="1">
      <alignment horizontal="center" vertical="center"/>
    </xf>
    <xf numFmtId="39" fontId="8" fillId="42" borderId="23" xfId="0" applyNumberFormat="1" applyFont="1" applyFill="1" applyBorder="1" applyAlignment="1">
      <alignment horizontal="center" vertical="center"/>
    </xf>
    <xf numFmtId="166" fontId="0" fillId="0" borderId="23" xfId="845" applyFont="1" applyBorder="1" applyAlignment="1">
      <alignment horizontal="right" vertical="center"/>
    </xf>
    <xf numFmtId="1" fontId="73" fillId="0" borderId="47" xfId="0" applyNumberFormat="1" applyFont="1" applyBorder="1" applyAlignment="1">
      <alignment horizontal="left"/>
    </xf>
    <xf numFmtId="0" fontId="73" fillId="0" borderId="48" xfId="0" applyFont="1" applyBorder="1" applyAlignment="1">
      <alignment/>
    </xf>
    <xf numFmtId="0" fontId="73" fillId="0" borderId="49" xfId="0" applyFont="1" applyBorder="1" applyAlignment="1">
      <alignment/>
    </xf>
    <xf numFmtId="0" fontId="0" fillId="39" borderId="0" xfId="0" applyFont="1" applyFill="1" applyBorder="1" applyAlignment="1">
      <alignment/>
    </xf>
    <xf numFmtId="0" fontId="102" fillId="39" borderId="0" xfId="0" applyFont="1" applyFill="1" applyBorder="1" applyAlignment="1">
      <alignment/>
    </xf>
    <xf numFmtId="0" fontId="103" fillId="39" borderId="0" xfId="0" applyFont="1" applyFill="1" applyBorder="1" applyAlignment="1">
      <alignment/>
    </xf>
    <xf numFmtId="0" fontId="103" fillId="39" borderId="50" xfId="0" applyFont="1" applyFill="1" applyBorder="1" applyAlignment="1">
      <alignment/>
    </xf>
    <xf numFmtId="4" fontId="103" fillId="39" borderId="0" xfId="0" applyNumberFormat="1" applyFont="1" applyFill="1" applyBorder="1" applyAlignment="1">
      <alignment/>
    </xf>
    <xf numFmtId="0" fontId="104" fillId="39" borderId="50" xfId="0" applyFont="1" applyFill="1" applyBorder="1" applyAlignment="1">
      <alignment/>
    </xf>
    <xf numFmtId="40" fontId="103" fillId="39" borderId="0" xfId="0" applyNumberFormat="1" applyFont="1" applyFill="1" applyBorder="1" applyAlignment="1">
      <alignment/>
    </xf>
    <xf numFmtId="0" fontId="102" fillId="39" borderId="51" xfId="0" applyFont="1" applyFill="1" applyBorder="1" applyAlignment="1">
      <alignment/>
    </xf>
    <xf numFmtId="40" fontId="103" fillId="39" borderId="51" xfId="0" applyNumberFormat="1" applyFont="1" applyFill="1" applyBorder="1" applyAlignment="1">
      <alignment/>
    </xf>
    <xf numFmtId="0" fontId="103" fillId="39" borderId="51" xfId="0" applyFont="1" applyFill="1" applyBorder="1" applyAlignment="1">
      <alignment/>
    </xf>
    <xf numFmtId="0" fontId="103" fillId="39" borderId="52" xfId="0" applyFont="1" applyFill="1" applyBorder="1" applyAlignment="1">
      <alignment/>
    </xf>
    <xf numFmtId="0" fontId="0" fillId="39" borderId="53" xfId="0" applyFont="1" applyFill="1" applyBorder="1" applyAlignment="1">
      <alignment/>
    </xf>
    <xf numFmtId="0" fontId="73" fillId="39" borderId="54" xfId="0" applyFont="1" applyFill="1" applyBorder="1" applyAlignment="1">
      <alignment/>
    </xf>
    <xf numFmtId="0" fontId="0" fillId="39" borderId="54" xfId="0" applyFont="1" applyFill="1" applyBorder="1" applyAlignment="1">
      <alignment/>
    </xf>
    <xf numFmtId="0" fontId="102" fillId="39" borderId="54" xfId="0" applyFont="1" applyFill="1" applyBorder="1" applyAlignment="1">
      <alignment/>
    </xf>
    <xf numFmtId="0" fontId="103" fillId="39" borderId="54" xfId="0" applyFont="1" applyFill="1" applyBorder="1" applyAlignment="1">
      <alignment/>
    </xf>
    <xf numFmtId="0" fontId="103" fillId="39" borderId="55" xfId="0" applyFont="1" applyFill="1" applyBorder="1" applyAlignment="1">
      <alignment/>
    </xf>
    <xf numFmtId="0" fontId="105" fillId="39" borderId="0" xfId="0" applyFont="1" applyFill="1" applyBorder="1" applyAlignment="1">
      <alignment vertical="center" wrapText="1"/>
    </xf>
    <xf numFmtId="0" fontId="4" fillId="0" borderId="23" xfId="462" applyFont="1" applyFill="1" applyBorder="1" applyAlignment="1">
      <alignment horizontal="left" vertical="center"/>
      <protection/>
    </xf>
    <xf numFmtId="0" fontId="4" fillId="0" borderId="23" xfId="46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23" xfId="0" applyFont="1" applyBorder="1" applyAlignment="1">
      <alignment horizontal="center" vertical="center"/>
    </xf>
    <xf numFmtId="0" fontId="11" fillId="0" borderId="46" xfId="0" applyNumberFormat="1" applyFont="1" applyBorder="1" applyAlignment="1">
      <alignment horizontal="left" vertical="center"/>
    </xf>
    <xf numFmtId="0" fontId="13" fillId="39" borderId="23" xfId="0" applyFont="1" applyFill="1" applyBorder="1" applyAlignment="1" applyProtection="1">
      <alignment horizontal="center" vertical="center" wrapText="1"/>
      <protection/>
    </xf>
    <xf numFmtId="166" fontId="0" fillId="39" borderId="28" xfId="845" applyFont="1" applyFill="1" applyBorder="1" applyAlignment="1" applyProtection="1">
      <alignment vertical="center" wrapText="1"/>
      <protection/>
    </xf>
    <xf numFmtId="166" fontId="0" fillId="39" borderId="27" xfId="845" applyFont="1" applyFill="1" applyBorder="1" applyAlignment="1" applyProtection="1">
      <alignment vertical="center" wrapText="1"/>
      <protection/>
    </xf>
    <xf numFmtId="166" fontId="0" fillId="39" borderId="56" xfId="845" applyFont="1" applyFill="1" applyBorder="1" applyAlignment="1" applyProtection="1">
      <alignment vertical="center" wrapText="1"/>
      <protection/>
    </xf>
    <xf numFmtId="0" fontId="5" fillId="0" borderId="23" xfId="462" applyFont="1" applyFill="1" applyBorder="1" applyAlignment="1">
      <alignment horizontal="left" vertical="center"/>
      <protection/>
    </xf>
    <xf numFmtId="0" fontId="5" fillId="0" borderId="23" xfId="462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17" fontId="61" fillId="39" borderId="32" xfId="0" applyNumberFormat="1" applyFont="1" applyFill="1" applyBorder="1" applyAlignment="1" applyProtection="1">
      <alignment vertical="center"/>
      <protection/>
    </xf>
    <xf numFmtId="39" fontId="0" fillId="39" borderId="27" xfId="766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1" fontId="73" fillId="0" borderId="47" xfId="0" applyNumberFormat="1" applyFont="1" applyBorder="1" applyAlignment="1">
      <alignment horizontal="left"/>
    </xf>
    <xf numFmtId="0" fontId="73" fillId="0" borderId="48" xfId="0" applyFont="1" applyBorder="1" applyAlignment="1">
      <alignment/>
    </xf>
    <xf numFmtId="0" fontId="73" fillId="0" borderId="49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176" fontId="5" fillId="0" borderId="23" xfId="545" applyNumberFormat="1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23" xfId="462" applyFont="1" applyFill="1" applyBorder="1" applyAlignment="1">
      <alignment horizontal="left" vertical="center" wrapText="1"/>
      <protection/>
    </xf>
    <xf numFmtId="0" fontId="4" fillId="0" borderId="23" xfId="462" applyFont="1" applyFill="1" applyBorder="1" applyAlignment="1">
      <alignment vertical="center"/>
      <protection/>
    </xf>
    <xf numFmtId="0" fontId="4" fillId="0" borderId="23" xfId="473" applyFont="1" applyFill="1" applyBorder="1" applyAlignment="1">
      <alignment horizontal="center" vertical="center"/>
      <protection/>
    </xf>
    <xf numFmtId="3" fontId="4" fillId="0" borderId="23" xfId="545" applyNumberFormat="1" applyFont="1" applyFill="1" applyBorder="1" applyAlignment="1" applyProtection="1">
      <alignment horizontal="center" vertical="center"/>
      <protection locked="0"/>
    </xf>
    <xf numFmtId="170" fontId="4" fillId="0" borderId="23" xfId="0" applyNumberFormat="1" applyFont="1" applyBorder="1" applyAlignment="1" quotePrefix="1">
      <alignment horizontal="center" vertical="center"/>
    </xf>
    <xf numFmtId="0" fontId="0" fillId="0" borderId="23" xfId="0" applyFont="1" applyBorder="1" applyAlignment="1">
      <alignment horizontal="left" wrapText="1"/>
    </xf>
    <xf numFmtId="201" fontId="0" fillId="0" borderId="0" xfId="0" applyNumberFormat="1" applyAlignment="1">
      <alignment/>
    </xf>
    <xf numFmtId="204" fontId="8" fillId="39" borderId="24" xfId="0" applyNumberFormat="1" applyFont="1" applyFill="1" applyBorder="1" applyAlignment="1">
      <alignment horizontal="center" vertical="center"/>
    </xf>
    <xf numFmtId="204" fontId="8" fillId="39" borderId="46" xfId="0" applyNumberFormat="1" applyFont="1" applyFill="1" applyBorder="1" applyAlignment="1">
      <alignment horizontal="center" vertical="center"/>
    </xf>
    <xf numFmtId="39" fontId="0" fillId="0" borderId="0" xfId="0" applyNumberFormat="1" applyAlignment="1">
      <alignment/>
    </xf>
    <xf numFmtId="0" fontId="13" fillId="39" borderId="23" xfId="0" applyFont="1" applyFill="1" applyBorder="1" applyAlignment="1" applyProtection="1">
      <alignment horizontal="center" vertical="center" wrapText="1"/>
      <protection/>
    </xf>
    <xf numFmtId="166" fontId="0" fillId="39" borderId="56" xfId="845" applyFont="1" applyFill="1" applyBorder="1" applyAlignment="1" applyProtection="1">
      <alignment vertical="center" wrapText="1"/>
      <protection/>
    </xf>
    <xf numFmtId="166" fontId="0" fillId="39" borderId="27" xfId="845" applyFont="1" applyFill="1" applyBorder="1" applyAlignment="1" applyProtection="1">
      <alignment vertical="center" wrapText="1"/>
      <protection/>
    </xf>
    <xf numFmtId="166" fontId="0" fillId="39" borderId="28" xfId="845" applyFont="1" applyFill="1" applyBorder="1" applyAlignment="1" applyProtection="1">
      <alignment vertical="center" wrapText="1"/>
      <protection/>
    </xf>
    <xf numFmtId="2" fontId="9" fillId="0" borderId="57" xfId="0" applyNumberFormat="1" applyFont="1" applyFill="1" applyBorder="1" applyAlignment="1">
      <alignment horizontal="center" vertical="justify" wrapText="1"/>
    </xf>
    <xf numFmtId="2" fontId="9" fillId="0" borderId="58" xfId="0" applyNumberFormat="1" applyFont="1" applyFill="1" applyBorder="1" applyAlignment="1">
      <alignment horizontal="center" vertical="justify" wrapText="1"/>
    </xf>
    <xf numFmtId="2" fontId="9" fillId="0" borderId="59" xfId="0" applyNumberFormat="1" applyFont="1" applyFill="1" applyBorder="1" applyAlignment="1">
      <alignment horizontal="center" vertical="justify" wrapText="1"/>
    </xf>
    <xf numFmtId="0" fontId="0" fillId="0" borderId="43" xfId="462" applyFont="1" applyFill="1" applyBorder="1">
      <alignment/>
      <protection/>
    </xf>
    <xf numFmtId="0" fontId="0" fillId="0" borderId="0" xfId="462" applyFont="1" applyFill="1" applyBorder="1">
      <alignment/>
      <protection/>
    </xf>
    <xf numFmtId="0" fontId="0" fillId="0" borderId="50" xfId="462" applyFont="1" applyFill="1" applyBorder="1">
      <alignment/>
      <protection/>
    </xf>
    <xf numFmtId="2" fontId="15" fillId="0" borderId="23" xfId="0" applyNumberFormat="1" applyFont="1" applyFill="1" applyBorder="1" applyAlignment="1">
      <alignment vertical="center"/>
    </xf>
    <xf numFmtId="166" fontId="15" fillId="0" borderId="23" xfId="845" applyFont="1" applyFill="1" applyBorder="1" applyAlignment="1">
      <alignment vertical="center"/>
    </xf>
    <xf numFmtId="172" fontId="15" fillId="0" borderId="23" xfId="0" applyNumberFormat="1" applyFont="1" applyFill="1" applyBorder="1" applyAlignment="1">
      <alignment vertical="center"/>
    </xf>
    <xf numFmtId="40" fontId="15" fillId="0" borderId="60" xfId="845" applyNumberFormat="1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4" fontId="5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0" fillId="0" borderId="23" xfId="845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46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176" fontId="4" fillId="0" borderId="23" xfId="545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wrapText="1"/>
    </xf>
    <xf numFmtId="0" fontId="4" fillId="0" borderId="23" xfId="0" applyFont="1" applyBorder="1" applyAlignment="1">
      <alignment horizontal="left" wrapText="1"/>
    </xf>
    <xf numFmtId="4" fontId="4" fillId="39" borderId="0" xfId="0" applyNumberFormat="1" applyFont="1" applyFill="1" applyAlignment="1">
      <alignment/>
    </xf>
    <xf numFmtId="0" fontId="0" fillId="0" borderId="23" xfId="0" applyBorder="1" applyAlignment="1">
      <alignment vertical="center" wrapText="1"/>
    </xf>
    <xf numFmtId="0" fontId="4" fillId="28" borderId="24" xfId="0" applyFont="1" applyFill="1" applyBorder="1" applyAlignment="1">
      <alignment horizontal="center" vertical="center"/>
    </xf>
    <xf numFmtId="0" fontId="4" fillId="28" borderId="46" xfId="0" applyFont="1" applyFill="1" applyBorder="1" applyAlignment="1">
      <alignment horizontal="center" vertical="center"/>
    </xf>
    <xf numFmtId="0" fontId="4" fillId="28" borderId="32" xfId="0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5" fillId="0" borderId="23" xfId="462" applyFont="1" applyFill="1" applyBorder="1" applyAlignment="1">
      <alignment vertical="center"/>
      <protection/>
    </xf>
    <xf numFmtId="0" fontId="4" fillId="0" borderId="23" xfId="462" applyFont="1" applyFill="1" applyBorder="1" applyAlignment="1">
      <alignment vertical="center" wrapText="1"/>
      <protection/>
    </xf>
    <xf numFmtId="0" fontId="5" fillId="39" borderId="24" xfId="0" applyFont="1" applyFill="1" applyBorder="1" applyAlignment="1">
      <alignment/>
    </xf>
    <xf numFmtId="0" fontId="5" fillId="39" borderId="46" xfId="0" applyFont="1" applyFill="1" applyBorder="1" applyAlignment="1">
      <alignment/>
    </xf>
    <xf numFmtId="0" fontId="5" fillId="39" borderId="32" xfId="0" applyFont="1" applyFill="1" applyBorder="1" applyAlignment="1">
      <alignment/>
    </xf>
    <xf numFmtId="166" fontId="1" fillId="0" borderId="23" xfId="845" applyFont="1" applyBorder="1" applyAlignment="1">
      <alignment horizontal="center" vertical="center" wrapText="1"/>
    </xf>
    <xf numFmtId="166" fontId="1" fillId="0" borderId="23" xfId="845" applyFont="1" applyBorder="1" applyAlignment="1">
      <alignment horizontal="center" wrapText="1"/>
    </xf>
    <xf numFmtId="166" fontId="1" fillId="0" borderId="23" xfId="845" applyFont="1" applyBorder="1" applyAlignment="1">
      <alignment horizontal="center" vertical="top" wrapText="1"/>
    </xf>
    <xf numFmtId="0" fontId="0" fillId="0" borderId="23" xfId="547" applyFont="1" applyFill="1" applyBorder="1" applyAlignment="1">
      <alignment vertical="center"/>
      <protection/>
    </xf>
    <xf numFmtId="166" fontId="0" fillId="0" borderId="23" xfId="845" applyFont="1" applyFill="1" applyBorder="1" applyAlignment="1">
      <alignment horizontal="center" vertical="center"/>
    </xf>
    <xf numFmtId="166" fontId="0" fillId="0" borderId="23" xfId="845" applyNumberFormat="1" applyFont="1" applyFill="1" applyBorder="1" applyAlignment="1">
      <alignment horizontal="center" vertical="center"/>
    </xf>
    <xf numFmtId="166" fontId="0" fillId="0" borderId="23" xfId="845" applyFont="1" applyBorder="1" applyAlignment="1">
      <alignment horizontal="center" vertical="center"/>
    </xf>
    <xf numFmtId="166" fontId="0" fillId="0" borderId="23" xfId="845" applyFont="1" applyFill="1" applyBorder="1" applyAlignment="1">
      <alignment vertical="center"/>
    </xf>
    <xf numFmtId="166" fontId="0" fillId="0" borderId="23" xfId="845" applyNumberFormat="1" applyFont="1" applyFill="1" applyBorder="1" applyAlignment="1">
      <alignment horizontal="right" vertical="center"/>
    </xf>
    <xf numFmtId="166" fontId="0" fillId="0" borderId="23" xfId="845" applyNumberFormat="1" applyFont="1" applyFill="1" applyBorder="1" applyAlignment="1">
      <alignment horizontal="left" vertical="center"/>
    </xf>
    <xf numFmtId="166" fontId="1" fillId="39" borderId="23" xfId="845" applyFont="1" applyFill="1" applyBorder="1" applyAlignment="1">
      <alignment vertical="center"/>
    </xf>
    <xf numFmtId="166" fontId="1" fillId="0" borderId="23" xfId="845" applyFont="1" applyBorder="1" applyAlignment="1">
      <alignment horizontal="right" vertical="center"/>
    </xf>
    <xf numFmtId="166" fontId="1" fillId="0" borderId="23" xfId="845" applyFont="1" applyFill="1" applyBorder="1" applyAlignment="1">
      <alignment vertical="center"/>
    </xf>
    <xf numFmtId="166" fontId="0" fillId="0" borderId="24" xfId="845" applyNumberFormat="1" applyFont="1" applyFill="1" applyBorder="1" applyAlignment="1">
      <alignment horizontal="center" vertical="center"/>
    </xf>
    <xf numFmtId="166" fontId="0" fillId="39" borderId="0" xfId="845" applyFont="1" applyFill="1" applyBorder="1" applyAlignment="1">
      <alignment horizontal="center" vertical="center"/>
    </xf>
    <xf numFmtId="166" fontId="0" fillId="39" borderId="61" xfId="845" applyFont="1" applyFill="1" applyBorder="1" applyAlignment="1">
      <alignment horizontal="center" vertical="center"/>
    </xf>
    <xf numFmtId="0" fontId="0" fillId="0" borderId="23" xfId="547" applyFont="1" applyFill="1" applyBorder="1" applyAlignment="1">
      <alignment horizontal="left"/>
      <protection/>
    </xf>
    <xf numFmtId="166" fontId="0" fillId="39" borderId="0" xfId="845" applyFont="1" applyFill="1" applyBorder="1" applyAlignment="1">
      <alignment vertical="center"/>
    </xf>
    <xf numFmtId="166" fontId="0" fillId="39" borderId="61" xfId="845" applyFont="1" applyFill="1" applyBorder="1" applyAlignment="1">
      <alignment horizontal="right" vertical="center"/>
    </xf>
    <xf numFmtId="175" fontId="0" fillId="0" borderId="23" xfId="845" applyNumberFormat="1" applyFont="1" applyFill="1" applyBorder="1" applyAlignment="1">
      <alignment vertical="center"/>
    </xf>
    <xf numFmtId="0" fontId="1" fillId="39" borderId="0" xfId="547" applyFont="1" applyFill="1" applyBorder="1" applyAlignment="1">
      <alignment horizontal="left"/>
      <protection/>
    </xf>
    <xf numFmtId="166" fontId="1" fillId="39" borderId="0" xfId="845" applyFont="1" applyFill="1" applyBorder="1" applyAlignment="1">
      <alignment horizontal="right"/>
    </xf>
    <xf numFmtId="166" fontId="1" fillId="39" borderId="61" xfId="845" applyFont="1" applyFill="1" applyBorder="1" applyAlignment="1">
      <alignment horizontal="right"/>
    </xf>
    <xf numFmtId="2" fontId="0" fillId="0" borderId="24" xfId="547" applyNumberFormat="1" applyFont="1" applyFill="1" applyBorder="1" applyAlignment="1">
      <alignment horizontal="right"/>
      <protection/>
    </xf>
    <xf numFmtId="178" fontId="1" fillId="39" borderId="0" xfId="547" applyNumberFormat="1" applyFont="1" applyFill="1" applyBorder="1" applyAlignment="1">
      <alignment horizontal="right"/>
      <protection/>
    </xf>
    <xf numFmtId="0" fontId="1" fillId="0" borderId="23" xfId="547" applyFont="1" applyFill="1" applyBorder="1" applyAlignment="1">
      <alignment horizontal="left"/>
      <protection/>
    </xf>
    <xf numFmtId="166" fontId="1" fillId="0" borderId="24" xfId="547" applyNumberFormat="1" applyFont="1" applyFill="1" applyBorder="1" applyAlignment="1">
      <alignment horizontal="right"/>
      <protection/>
    </xf>
    <xf numFmtId="43" fontId="1" fillId="39" borderId="0" xfId="547" applyNumberFormat="1" applyFont="1" applyFill="1" applyBorder="1" applyAlignment="1">
      <alignment horizontal="left"/>
      <protection/>
    </xf>
    <xf numFmtId="4" fontId="1" fillId="0" borderId="24" xfId="547" applyNumberFormat="1" applyFont="1" applyFill="1" applyBorder="1" applyAlignment="1">
      <alignment horizontal="right"/>
      <protection/>
    </xf>
    <xf numFmtId="0" fontId="1" fillId="0" borderId="23" xfId="547" applyFont="1" applyFill="1" applyBorder="1" applyAlignment="1">
      <alignment horizontal="left" vertical="center"/>
      <protection/>
    </xf>
    <xf numFmtId="0" fontId="66" fillId="39" borderId="62" xfId="547" applyFont="1" applyFill="1" applyBorder="1" applyAlignment="1">
      <alignment horizontal="left"/>
      <protection/>
    </xf>
    <xf numFmtId="166" fontId="66" fillId="39" borderId="62" xfId="845" applyFont="1" applyFill="1" applyBorder="1" applyAlignment="1">
      <alignment horizontal="right"/>
    </xf>
    <xf numFmtId="166" fontId="66" fillId="39" borderId="63" xfId="845" applyFont="1" applyFill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2" fontId="9" fillId="0" borderId="0" xfId="0" applyNumberFormat="1" applyFont="1" applyFill="1" applyBorder="1" applyAlignment="1">
      <alignment horizontal="center" vertical="justify" wrapText="1"/>
    </xf>
    <xf numFmtId="2" fontId="15" fillId="0" borderId="0" xfId="0" applyNumberFormat="1" applyFont="1" applyFill="1" applyBorder="1" applyAlignment="1">
      <alignment vertical="center"/>
    </xf>
    <xf numFmtId="0" fontId="5" fillId="0" borderId="23" xfId="0" applyFont="1" applyBorder="1" applyAlignment="1">
      <alignment wrapText="1"/>
    </xf>
    <xf numFmtId="0" fontId="5" fillId="0" borderId="0" xfId="0" applyFont="1" applyAlignment="1">
      <alignment/>
    </xf>
    <xf numFmtId="0" fontId="5" fillId="39" borderId="23" xfId="0" applyFont="1" applyFill="1" applyBorder="1" applyAlignment="1">
      <alignment horizontal="center" vertical="center"/>
    </xf>
    <xf numFmtId="4" fontId="4" fillId="39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4" fontId="5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26" xfId="0" applyBorder="1" applyAlignment="1">
      <alignment vertical="center" wrapText="1"/>
    </xf>
    <xf numFmtId="166" fontId="0" fillId="39" borderId="31" xfId="845" applyFont="1" applyFill="1" applyBorder="1" applyAlignment="1">
      <alignment vertical="center"/>
    </xf>
    <xf numFmtId="166" fontId="0" fillId="39" borderId="64" xfId="845" applyFont="1" applyFill="1" applyBorder="1" applyAlignment="1">
      <alignment vertical="center"/>
    </xf>
    <xf numFmtId="166" fontId="0" fillId="39" borderId="23" xfId="845" applyFont="1" applyFill="1" applyBorder="1" applyAlignment="1">
      <alignment horizontal="center" vertical="center"/>
    </xf>
    <xf numFmtId="171" fontId="0" fillId="0" borderId="0" xfId="0" applyNumberFormat="1" applyAlignment="1">
      <alignment/>
    </xf>
    <xf numFmtId="0" fontId="9" fillId="0" borderId="23" xfId="0" applyFont="1" applyBorder="1" applyAlignment="1">
      <alignment horizontal="center" vertical="center"/>
    </xf>
    <xf numFmtId="166" fontId="1" fillId="0" borderId="23" xfId="0" applyNumberFormat="1" applyFont="1" applyBorder="1" applyAlignment="1">
      <alignment/>
    </xf>
    <xf numFmtId="0" fontId="67" fillId="43" borderId="23" xfId="546" applyFont="1" applyFill="1" applyBorder="1" applyAlignment="1">
      <alignment horizontal="left" vertical="center" wrapText="1"/>
      <protection/>
    </xf>
    <xf numFmtId="3" fontId="0" fillId="0" borderId="23" xfId="0" applyNumberFormat="1" applyFont="1" applyBorder="1" applyAlignment="1">
      <alignment horizontal="center" vertical="center"/>
    </xf>
    <xf numFmtId="0" fontId="106" fillId="0" borderId="23" xfId="0" applyFont="1" applyBorder="1" applyAlignment="1">
      <alignment wrapText="1"/>
    </xf>
    <xf numFmtId="4" fontId="4" fillId="39" borderId="24" xfId="845" applyNumberFormat="1" applyFont="1" applyFill="1" applyBorder="1" applyAlignment="1">
      <alignment vertical="center" wrapText="1"/>
    </xf>
    <xf numFmtId="2" fontId="8" fillId="0" borderId="45" xfId="0" applyNumberFormat="1" applyFont="1" applyBorder="1" applyAlignment="1">
      <alignment horizontal="center" vertical="center"/>
    </xf>
    <xf numFmtId="0" fontId="8" fillId="39" borderId="24" xfId="0" applyFont="1" applyFill="1" applyBorder="1" applyAlignment="1">
      <alignment horizontal="center" vertical="center"/>
    </xf>
    <xf numFmtId="0" fontId="8" fillId="39" borderId="46" xfId="0" applyFont="1" applyFill="1" applyBorder="1" applyAlignment="1">
      <alignment horizontal="center" vertical="center"/>
    </xf>
    <xf numFmtId="0" fontId="8" fillId="39" borderId="32" xfId="0" applyFont="1" applyFill="1" applyBorder="1" applyAlignment="1">
      <alignment horizontal="center" vertical="center"/>
    </xf>
    <xf numFmtId="2" fontId="8" fillId="39" borderId="25" xfId="0" applyNumberFormat="1" applyFont="1" applyFill="1" applyBorder="1" applyAlignment="1">
      <alignment horizontal="center" vertical="center"/>
    </xf>
    <xf numFmtId="2" fontId="8" fillId="39" borderId="26" xfId="0" applyNumberFormat="1" applyFont="1" applyFill="1" applyBorder="1" applyAlignment="1">
      <alignment horizontal="center" vertical="center"/>
    </xf>
    <xf numFmtId="204" fontId="8" fillId="39" borderId="32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1" fillId="0" borderId="27" xfId="0" applyFont="1" applyBorder="1" applyAlignment="1" applyProtection="1">
      <alignment/>
      <protection/>
    </xf>
    <xf numFmtId="0" fontId="1" fillId="0" borderId="23" xfId="0" applyFont="1" applyBorder="1" applyAlignment="1">
      <alignment horizontal="left"/>
    </xf>
    <xf numFmtId="0" fontId="8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9" fillId="0" borderId="4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107" fillId="0" borderId="65" xfId="0" applyFont="1" applyBorder="1" applyAlignment="1">
      <alignment horizontal="right" vertical="top" wrapText="1"/>
    </xf>
    <xf numFmtId="10" fontId="5" fillId="0" borderId="23" xfId="0" applyNumberFormat="1" applyFont="1" applyBorder="1" applyAlignment="1">
      <alignment horizontal="center" vertical="center" wrapText="1"/>
    </xf>
    <xf numFmtId="10" fontId="4" fillId="0" borderId="0" xfId="629" applyNumberFormat="1" applyFont="1" applyAlignment="1">
      <alignment/>
    </xf>
    <xf numFmtId="4" fontId="7" fillId="0" borderId="23" xfId="0" applyNumberFormat="1" applyFont="1" applyBorder="1" applyAlignment="1">
      <alignment horizontal="center"/>
    </xf>
    <xf numFmtId="10" fontId="5" fillId="0" borderId="3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vertical="center" wrapText="1"/>
    </xf>
    <xf numFmtId="0" fontId="9" fillId="0" borderId="24" xfId="0" applyFont="1" applyBorder="1" applyAlignment="1">
      <alignment horizontal="left" vertical="center"/>
    </xf>
    <xf numFmtId="0" fontId="4" fillId="39" borderId="23" xfId="462" applyFont="1" applyFill="1" applyBorder="1" applyAlignment="1">
      <alignment horizontal="left" vertical="center"/>
      <protection/>
    </xf>
    <xf numFmtId="0" fontId="92" fillId="0" borderId="23" xfId="322" applyBorder="1" applyAlignment="1" applyProtection="1">
      <alignment/>
      <protection/>
    </xf>
    <xf numFmtId="0" fontId="5" fillId="39" borderId="23" xfId="462" applyFont="1" applyFill="1" applyBorder="1" applyAlignment="1">
      <alignment vertical="center"/>
      <protection/>
    </xf>
    <xf numFmtId="4" fontId="12" fillId="28" borderId="60" xfId="0" applyNumberFormat="1" applyFont="1" applyFill="1" applyBorder="1" applyAlignment="1">
      <alignment horizontal="center" vertical="center"/>
    </xf>
    <xf numFmtId="4" fontId="4" fillId="28" borderId="60" xfId="0" applyNumberFormat="1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4" fontId="4" fillId="0" borderId="60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171" fontId="4" fillId="0" borderId="60" xfId="462" applyNumberFormat="1" applyFont="1" applyFill="1" applyBorder="1" applyAlignment="1">
      <alignment horizontal="right" vertical="center"/>
      <protection/>
    </xf>
    <xf numFmtId="171" fontId="4" fillId="0" borderId="60" xfId="0" applyNumberFormat="1" applyFont="1" applyBorder="1" applyAlignment="1">
      <alignment horizontal="right" vertical="center"/>
    </xf>
    <xf numFmtId="0" fontId="4" fillId="0" borderId="66" xfId="462" applyFont="1" applyFill="1" applyBorder="1" applyAlignment="1">
      <alignment horizontal="center" vertical="center"/>
      <protection/>
    </xf>
    <xf numFmtId="4" fontId="4" fillId="0" borderId="60" xfId="0" applyNumberFormat="1" applyFont="1" applyBorder="1" applyAlignment="1">
      <alignment horizontal="right" vertical="center"/>
    </xf>
    <xf numFmtId="0" fontId="5" fillId="0" borderId="66" xfId="462" applyFont="1" applyFill="1" applyBorder="1" applyAlignment="1">
      <alignment horizontal="center" vertical="center"/>
      <protection/>
    </xf>
    <xf numFmtId="171" fontId="4" fillId="0" borderId="60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72" fontId="4" fillId="0" borderId="60" xfId="462" applyNumberFormat="1" applyFont="1" applyFill="1" applyBorder="1" applyAlignment="1">
      <alignment horizontal="right" vertical="center"/>
      <protection/>
    </xf>
    <xf numFmtId="166" fontId="4" fillId="0" borderId="60" xfId="845" applyFont="1" applyFill="1" applyBorder="1" applyAlignment="1">
      <alignment horizontal="right" vertical="center"/>
    </xf>
    <xf numFmtId="0" fontId="0" fillId="0" borderId="60" xfId="0" applyNumberFormat="1" applyFont="1" applyBorder="1" applyAlignment="1">
      <alignment horizontal="center"/>
    </xf>
    <xf numFmtId="0" fontId="0" fillId="0" borderId="60" xfId="0" applyNumberFormat="1" applyFont="1" applyBorder="1" applyAlignment="1">
      <alignment horizontal="center" vertical="center"/>
    </xf>
    <xf numFmtId="0" fontId="9" fillId="28" borderId="67" xfId="0" applyNumberFormat="1" applyFont="1" applyFill="1" applyBorder="1" applyAlignment="1">
      <alignment horizontal="center" vertical="center"/>
    </xf>
    <xf numFmtId="0" fontId="9" fillId="28" borderId="60" xfId="0" applyNumberFormat="1" applyFont="1" applyFill="1" applyBorder="1" applyAlignment="1">
      <alignment horizontal="center" vertical="center" wrapText="1"/>
    </xf>
    <xf numFmtId="4" fontId="0" fillId="28" borderId="68" xfId="0" applyNumberFormat="1" applyFont="1" applyFill="1" applyBorder="1" applyAlignment="1">
      <alignment/>
    </xf>
    <xf numFmtId="166" fontId="10" fillId="28" borderId="68" xfId="845" applyFont="1" applyFill="1" applyBorder="1" applyAlignment="1">
      <alignment/>
    </xf>
    <xf numFmtId="4" fontId="0" fillId="28" borderId="69" xfId="0" applyNumberFormat="1" applyFont="1" applyFill="1" applyBorder="1" applyAlignment="1">
      <alignment/>
    </xf>
    <xf numFmtId="4" fontId="0" fillId="28" borderId="70" xfId="0" applyNumberFormat="1" applyFont="1" applyFill="1" applyBorder="1" applyAlignment="1">
      <alignment/>
    </xf>
    <xf numFmtId="166" fontId="0" fillId="28" borderId="70" xfId="845" applyFont="1" applyFill="1" applyBorder="1" applyAlignment="1">
      <alignment/>
    </xf>
    <xf numFmtId="4" fontId="9" fillId="28" borderId="68" xfId="0" applyNumberFormat="1" applyFont="1" applyFill="1" applyBorder="1" applyAlignment="1">
      <alignment/>
    </xf>
    <xf numFmtId="0" fontId="11" fillId="0" borderId="67" xfId="0" applyNumberFormat="1" applyFont="1" applyBorder="1" applyAlignment="1">
      <alignment horizontal="left" vertical="center"/>
    </xf>
    <xf numFmtId="174" fontId="9" fillId="0" borderId="60" xfId="845" applyNumberFormat="1" applyFont="1" applyBorder="1" applyAlignment="1">
      <alignment horizontal="right" vertical="center"/>
    </xf>
    <xf numFmtId="166" fontId="9" fillId="0" borderId="60" xfId="845" applyFont="1" applyBorder="1" applyAlignment="1">
      <alignment vertical="center"/>
    </xf>
    <xf numFmtId="166" fontId="9" fillId="0" borderId="71" xfId="845" applyFont="1" applyBorder="1" applyAlignment="1">
      <alignment vertical="center"/>
    </xf>
    <xf numFmtId="0" fontId="0" fillId="0" borderId="66" xfId="0" applyNumberFormat="1" applyFont="1" applyBorder="1" applyAlignment="1">
      <alignment/>
    </xf>
    <xf numFmtId="0" fontId="0" fillId="0" borderId="72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13" fillId="39" borderId="23" xfId="0" applyFont="1" applyFill="1" applyBorder="1" applyAlignment="1" applyProtection="1">
      <alignment horizontal="center" vertical="center" wrapText="1"/>
      <protection/>
    </xf>
    <xf numFmtId="166" fontId="0" fillId="39" borderId="27" xfId="845" applyFont="1" applyFill="1" applyBorder="1" applyAlignment="1" applyProtection="1">
      <alignment vertical="center" wrapText="1"/>
      <protection/>
    </xf>
    <xf numFmtId="166" fontId="0" fillId="39" borderId="28" xfId="845" applyFont="1" applyFill="1" applyBorder="1" applyAlignment="1" applyProtection="1">
      <alignment vertical="center" wrapText="1"/>
      <protection/>
    </xf>
    <xf numFmtId="166" fontId="0" fillId="39" borderId="56" xfId="845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>
      <alignment horizontal="center" vertical="center" wrapText="1"/>
    </xf>
    <xf numFmtId="3" fontId="11" fillId="0" borderId="66" xfId="0" applyNumberFormat="1" applyFont="1" applyBorder="1" applyAlignment="1">
      <alignment horizontal="left" vertical="center" wrapText="1"/>
    </xf>
    <xf numFmtId="3" fontId="11" fillId="0" borderId="23" xfId="0" applyNumberFormat="1" applyFont="1" applyBorder="1" applyAlignment="1">
      <alignment horizontal="right" vertical="center"/>
    </xf>
    <xf numFmtId="3" fontId="11" fillId="0" borderId="23" xfId="0" applyNumberFormat="1" applyFont="1" applyBorder="1" applyAlignment="1" quotePrefix="1">
      <alignment horizontal="right" vertical="center"/>
    </xf>
    <xf numFmtId="4" fontId="11" fillId="0" borderId="23" xfId="0" applyNumberFormat="1" applyFont="1" applyBorder="1" applyAlignment="1">
      <alignment horizontal="right" vertical="center"/>
    </xf>
    <xf numFmtId="202" fontId="11" fillId="0" borderId="23" xfId="845" applyNumberFormat="1" applyFont="1" applyBorder="1" applyAlignment="1">
      <alignment horizontal="right" vertical="center"/>
    </xf>
    <xf numFmtId="166" fontId="11" fillId="0" borderId="23" xfId="845" applyFont="1" applyBorder="1" applyAlignment="1">
      <alignment horizontal="right" vertical="center"/>
    </xf>
    <xf numFmtId="171" fontId="11" fillId="0" borderId="23" xfId="407" applyNumberFormat="1" applyFont="1" applyBorder="1" applyAlignment="1">
      <alignment horizontal="right" vertical="center"/>
      <protection/>
    </xf>
    <xf numFmtId="171" fontId="11" fillId="0" borderId="23" xfId="0" applyNumberFormat="1" applyFont="1" applyBorder="1" applyAlignment="1">
      <alignment horizontal="right" vertical="center"/>
    </xf>
    <xf numFmtId="171" fontId="69" fillId="0" borderId="23" xfId="407" applyNumberFormat="1" applyFont="1" applyBorder="1" applyAlignment="1">
      <alignment horizontal="right" vertical="center"/>
      <protection/>
    </xf>
    <xf numFmtId="0" fontId="9" fillId="0" borderId="73" xfId="0" applyFont="1" applyBorder="1" applyAlignment="1">
      <alignment horizontal="left" vertical="center"/>
    </xf>
    <xf numFmtId="3" fontId="11" fillId="0" borderId="23" xfId="0" applyNumberFormat="1" applyFont="1" applyBorder="1" applyAlignment="1">
      <alignment horizontal="right"/>
    </xf>
    <xf numFmtId="3" fontId="11" fillId="0" borderId="23" xfId="0" applyNumberFormat="1" applyFont="1" applyBorder="1" applyAlignment="1" quotePrefix="1">
      <alignment horizontal="right"/>
    </xf>
    <xf numFmtId="4" fontId="11" fillId="0" borderId="23" xfId="0" applyNumberFormat="1" applyFont="1" applyBorder="1" applyAlignment="1">
      <alignment horizontal="right"/>
    </xf>
    <xf numFmtId="202" fontId="11" fillId="0" borderId="23" xfId="845" applyNumberFormat="1" applyFont="1" applyBorder="1" applyAlignment="1">
      <alignment horizontal="right"/>
    </xf>
    <xf numFmtId="166" fontId="11" fillId="0" borderId="23" xfId="845" applyFont="1" applyBorder="1" applyAlignment="1">
      <alignment horizontal="right"/>
    </xf>
    <xf numFmtId="171" fontId="11" fillId="0" borderId="23" xfId="0" applyNumberFormat="1" applyFont="1" applyBorder="1" applyAlignment="1">
      <alignment horizontal="right"/>
    </xf>
    <xf numFmtId="3" fontId="11" fillId="0" borderId="73" xfId="0" applyNumberFormat="1" applyFont="1" applyBorder="1" applyAlignment="1">
      <alignment horizontal="left" vertical="center" wrapText="1"/>
    </xf>
    <xf numFmtId="3" fontId="9" fillId="0" borderId="74" xfId="0" applyNumberFormat="1" applyFont="1" applyBorder="1" applyAlignment="1">
      <alignment horizontal="left"/>
    </xf>
    <xf numFmtId="3" fontId="11" fillId="0" borderId="75" xfId="0" applyNumberFormat="1" applyFont="1" applyBorder="1" applyAlignment="1">
      <alignment horizontal="center"/>
    </xf>
    <xf numFmtId="3" fontId="11" fillId="0" borderId="75" xfId="0" applyNumberFormat="1" applyFont="1" applyBorder="1" applyAlignment="1" quotePrefix="1">
      <alignment horizontal="center"/>
    </xf>
    <xf numFmtId="4" fontId="11" fillId="0" borderId="75" xfId="0" applyNumberFormat="1" applyFont="1" applyBorder="1" applyAlignment="1">
      <alignment horizontal="center"/>
    </xf>
    <xf numFmtId="171" fontId="9" fillId="0" borderId="75" xfId="845" applyNumberFormat="1" applyFont="1" applyBorder="1" applyAlignment="1">
      <alignment horizontal="center" vertical="center"/>
    </xf>
    <xf numFmtId="166" fontId="9" fillId="0" borderId="75" xfId="845" applyFont="1" applyBorder="1" applyAlignment="1">
      <alignment horizontal="center" vertical="center"/>
    </xf>
    <xf numFmtId="0" fontId="5" fillId="28" borderId="30" xfId="0" applyFont="1" applyFill="1" applyBorder="1" applyAlignment="1">
      <alignment/>
    </xf>
    <xf numFmtId="3" fontId="4" fillId="28" borderId="31" xfId="0" applyNumberFormat="1" applyFont="1" applyFill="1" applyBorder="1" applyAlignment="1">
      <alignment horizontal="center"/>
    </xf>
    <xf numFmtId="3" fontId="4" fillId="28" borderId="64" xfId="0" applyNumberFormat="1" applyFont="1" applyFill="1" applyBorder="1" applyAlignment="1">
      <alignment horizontal="center"/>
    </xf>
    <xf numFmtId="0" fontId="5" fillId="28" borderId="76" xfId="0" applyFont="1" applyFill="1" applyBorder="1" applyAlignment="1">
      <alignment/>
    </xf>
    <xf numFmtId="3" fontId="5" fillId="28" borderId="62" xfId="0" applyNumberFormat="1" applyFont="1" applyFill="1" applyBorder="1" applyAlignment="1">
      <alignment horizontal="left"/>
    </xf>
    <xf numFmtId="3" fontId="4" fillId="28" borderId="63" xfId="0" applyNumberFormat="1" applyFont="1" applyFill="1" applyBorder="1" applyAlignment="1">
      <alignment horizont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4" fillId="0" borderId="62" xfId="0" applyNumberFormat="1" applyFont="1" applyBorder="1" applyAlignment="1">
      <alignment horizontal="center" vertical="center"/>
    </xf>
    <xf numFmtId="3" fontId="4" fillId="0" borderId="6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left"/>
    </xf>
    <xf numFmtId="0" fontId="0" fillId="0" borderId="76" xfId="0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center"/>
    </xf>
    <xf numFmtId="3" fontId="4" fillId="0" borderId="23" xfId="0" applyNumberFormat="1" applyFont="1" applyBorder="1" applyAlignment="1" quotePrefix="1">
      <alignment horizontal="center"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1" fontId="0" fillId="0" borderId="24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left"/>
    </xf>
    <xf numFmtId="4" fontId="4" fillId="0" borderId="24" xfId="0" applyNumberFormat="1" applyFont="1" applyBorder="1" applyAlignment="1">
      <alignment horizontal="center"/>
    </xf>
    <xf numFmtId="1" fontId="4" fillId="0" borderId="46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108" fillId="0" borderId="0" xfId="0" applyFont="1" applyAlignment="1">
      <alignment horizontal="left" vertical="center"/>
    </xf>
    <xf numFmtId="0" fontId="109" fillId="0" borderId="43" xfId="0" applyFont="1" applyBorder="1" applyAlignment="1">
      <alignment vertical="center"/>
    </xf>
    <xf numFmtId="0" fontId="14" fillId="0" borderId="25" xfId="845" applyNumberFormat="1" applyFont="1" applyBorder="1" applyAlignment="1" applyProtection="1">
      <alignment/>
      <protection/>
    </xf>
    <xf numFmtId="2" fontId="1" fillId="0" borderId="26" xfId="0" applyNumberFormat="1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39" fontId="0" fillId="0" borderId="27" xfId="845" applyNumberFormat="1" applyFont="1" applyBorder="1" applyAlignment="1" applyProtection="1">
      <alignment/>
      <protection/>
    </xf>
    <xf numFmtId="39" fontId="1" fillId="0" borderId="23" xfId="845" applyNumberFormat="1" applyFont="1" applyBorder="1" applyAlignment="1" applyProtection="1">
      <alignment/>
      <protection/>
    </xf>
    <xf numFmtId="4" fontId="0" fillId="0" borderId="27" xfId="845" applyNumberFormat="1" applyFont="1" applyBorder="1" applyAlignment="1" applyProtection="1">
      <alignment vertical="center" wrapText="1"/>
      <protection/>
    </xf>
    <xf numFmtId="166" fontId="0" fillId="0" borderId="27" xfId="845" applyFont="1" applyBorder="1" applyAlignment="1" applyProtection="1">
      <alignment vertical="center" wrapText="1"/>
      <protection/>
    </xf>
    <xf numFmtId="4" fontId="0" fillId="0" borderId="77" xfId="845" applyNumberFormat="1" applyFont="1" applyBorder="1" applyAlignment="1" applyProtection="1">
      <alignment vertical="center" wrapText="1"/>
      <protection/>
    </xf>
    <xf numFmtId="166" fontId="0" fillId="0" borderId="28" xfId="845" applyFont="1" applyBorder="1" applyAlignment="1" applyProtection="1">
      <alignment vertical="center" wrapText="1"/>
      <protection/>
    </xf>
    <xf numFmtId="4" fontId="0" fillId="0" borderId="28" xfId="845" applyNumberFormat="1" applyFont="1" applyBorder="1" applyAlignment="1" applyProtection="1">
      <alignment vertical="center" wrapText="1"/>
      <protection/>
    </xf>
    <xf numFmtId="39" fontId="1" fillId="0" borderId="23" xfId="845" applyNumberFormat="1" applyFont="1" applyBorder="1" applyAlignment="1" applyProtection="1">
      <alignment vertical="center" wrapText="1"/>
      <protection/>
    </xf>
    <xf numFmtId="4" fontId="0" fillId="0" borderId="29" xfId="845" applyNumberFormat="1" applyFont="1" applyBorder="1" applyAlignment="1" applyProtection="1">
      <alignment vertical="center" wrapText="1"/>
      <protection/>
    </xf>
    <xf numFmtId="166" fontId="0" fillId="0" borderId="56" xfId="845" applyFont="1" applyBorder="1" applyAlignment="1" applyProtection="1">
      <alignment vertical="center" wrapText="1"/>
      <protection/>
    </xf>
    <xf numFmtId="166" fontId="1" fillId="0" borderId="23" xfId="845" applyFont="1" applyBorder="1" applyAlignment="1" applyProtection="1">
      <alignment vertical="center" wrapText="1"/>
      <protection/>
    </xf>
    <xf numFmtId="39" fontId="1" fillId="0" borderId="23" xfId="845" applyNumberFormat="1" applyFont="1" applyBorder="1" applyAlignment="1" applyProtection="1">
      <alignment horizontal="right" vertical="center" wrapText="1"/>
      <protection/>
    </xf>
    <xf numFmtId="0" fontId="1" fillId="0" borderId="30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horizontal="right" vertical="center"/>
      <protection/>
    </xf>
    <xf numFmtId="166" fontId="1" fillId="0" borderId="23" xfId="845" applyFont="1" applyBorder="1" applyAlignment="1" applyProtection="1">
      <alignment horizontal="right" vertical="center" wrapText="1"/>
      <protection/>
    </xf>
    <xf numFmtId="0" fontId="11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166" fontId="0" fillId="0" borderId="0" xfId="0" applyNumberFormat="1" applyAlignment="1">
      <alignment/>
    </xf>
    <xf numFmtId="166" fontId="1" fillId="0" borderId="24" xfId="547" applyNumberFormat="1" applyFont="1" applyFill="1" applyBorder="1" applyAlignment="1">
      <alignment horizontal="center"/>
      <protection/>
    </xf>
    <xf numFmtId="10" fontId="0" fillId="0" borderId="0" xfId="0" applyNumberFormat="1" applyAlignment="1">
      <alignment/>
    </xf>
    <xf numFmtId="0" fontId="111" fillId="28" borderId="23" xfId="0" applyFont="1" applyFill="1" applyBorder="1" applyAlignment="1">
      <alignment vertical="center"/>
    </xf>
    <xf numFmtId="0" fontId="111" fillId="28" borderId="23" xfId="0" applyFont="1" applyFill="1" applyBorder="1" applyAlignment="1">
      <alignment horizontal="center"/>
    </xf>
    <xf numFmtId="1" fontId="111" fillId="28" borderId="23" xfId="0" applyNumberFormat="1" applyFont="1" applyFill="1" applyBorder="1" applyAlignment="1">
      <alignment horizontal="center"/>
    </xf>
    <xf numFmtId="2" fontId="111" fillId="28" borderId="23" xfId="0" applyNumberFormat="1" applyFont="1" applyFill="1" applyBorder="1" applyAlignment="1">
      <alignment horizontal="center"/>
    </xf>
    <xf numFmtId="0" fontId="111" fillId="0" borderId="23" xfId="0" applyFont="1" applyBorder="1" applyAlignment="1">
      <alignment horizontal="center" vertical="center"/>
    </xf>
    <xf numFmtId="171" fontId="4" fillId="0" borderId="23" xfId="0" applyNumberFormat="1" applyFont="1" applyBorder="1" applyAlignment="1">
      <alignment horizontal="center" vertical="center"/>
    </xf>
    <xf numFmtId="171" fontId="5" fillId="0" borderId="23" xfId="0" applyNumberFormat="1" applyFont="1" applyBorder="1" applyAlignment="1">
      <alignment horizontal="center" vertical="center"/>
    </xf>
    <xf numFmtId="171" fontId="4" fillId="0" borderId="0" xfId="0" applyNumberFormat="1" applyFont="1" applyAlignment="1">
      <alignment/>
    </xf>
    <xf numFmtId="166" fontId="1" fillId="0" borderId="26" xfId="845" applyFont="1" applyBorder="1" applyAlignment="1">
      <alignment horizontal="center" vertical="center"/>
    </xf>
    <xf numFmtId="0" fontId="4" fillId="39" borderId="24" xfId="845" applyNumberFormat="1" applyFont="1" applyFill="1" applyBorder="1" applyAlignment="1">
      <alignment vertical="center" wrapText="1"/>
    </xf>
    <xf numFmtId="0" fontId="4" fillId="39" borderId="46" xfId="845" applyNumberFormat="1" applyFont="1" applyFill="1" applyBorder="1" applyAlignment="1">
      <alignment vertical="center" wrapText="1"/>
    </xf>
    <xf numFmtId="166" fontId="4" fillId="0" borderId="0" xfId="845" applyFont="1" applyAlignment="1">
      <alignment/>
    </xf>
    <xf numFmtId="4" fontId="70" fillId="0" borderId="60" xfId="0" applyNumberFormat="1" applyFont="1" applyBorder="1" applyAlignment="1">
      <alignment horizontal="center" vertical="center"/>
    </xf>
    <xf numFmtId="166" fontId="15" fillId="0" borderId="0" xfId="845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40" fontId="15" fillId="0" borderId="0" xfId="845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71" fontId="4" fillId="39" borderId="46" xfId="845" applyNumberFormat="1" applyFont="1" applyFill="1" applyBorder="1" applyAlignment="1">
      <alignment vertical="center" wrapText="1"/>
    </xf>
    <xf numFmtId="0" fontId="4" fillId="0" borderId="0" xfId="629" applyNumberFormat="1" applyFont="1" applyAlignment="1">
      <alignment/>
    </xf>
    <xf numFmtId="0" fontId="4" fillId="0" borderId="0" xfId="0" applyNumberFormat="1" applyFont="1" applyAlignment="1">
      <alignment/>
    </xf>
    <xf numFmtId="176" fontId="0" fillId="0" borderId="78" xfId="545" applyNumberFormat="1" applyFont="1" applyFill="1" applyBorder="1" applyAlignment="1">
      <alignment horizontal="left"/>
      <protection/>
    </xf>
    <xf numFmtId="176" fontId="0" fillId="0" borderId="79" xfId="545" applyNumberFormat="1" applyFont="1" applyFill="1" applyBorder="1" applyAlignment="1">
      <alignment horizontal="left"/>
      <protection/>
    </xf>
    <xf numFmtId="0" fontId="9" fillId="0" borderId="80" xfId="0" applyNumberFormat="1" applyFont="1" applyFill="1" applyBorder="1" applyAlignment="1">
      <alignment horizontal="left" vertical="center"/>
    </xf>
    <xf numFmtId="0" fontId="9" fillId="0" borderId="64" xfId="0" applyNumberFormat="1" applyFont="1" applyFill="1" applyBorder="1" applyAlignment="1">
      <alignment horizontal="left" vertical="center"/>
    </xf>
    <xf numFmtId="0" fontId="9" fillId="0" borderId="43" xfId="0" applyNumberFormat="1" applyFont="1" applyFill="1" applyBorder="1" applyAlignment="1">
      <alignment horizontal="left" vertical="center"/>
    </xf>
    <xf numFmtId="0" fontId="9" fillId="0" borderId="61" xfId="0" applyNumberFormat="1" applyFont="1" applyFill="1" applyBorder="1" applyAlignment="1">
      <alignment horizontal="left" vertical="center"/>
    </xf>
    <xf numFmtId="0" fontId="9" fillId="0" borderId="81" xfId="0" applyNumberFormat="1" applyFont="1" applyFill="1" applyBorder="1" applyAlignment="1">
      <alignment horizontal="left" vertical="center"/>
    </xf>
    <xf numFmtId="0" fontId="9" fillId="0" borderId="63" xfId="0" applyNumberFormat="1" applyFont="1" applyFill="1" applyBorder="1" applyAlignment="1">
      <alignment horizontal="left" vertical="center"/>
    </xf>
    <xf numFmtId="0" fontId="11" fillId="0" borderId="67" xfId="0" applyNumberFormat="1" applyFont="1" applyBorder="1" applyAlignment="1">
      <alignment horizontal="left" vertical="center"/>
    </xf>
    <xf numFmtId="0" fontId="11" fillId="0" borderId="32" xfId="0" applyNumberFormat="1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/>
    </xf>
    <xf numFmtId="0" fontId="1" fillId="0" borderId="60" xfId="0" applyNumberFormat="1" applyFont="1" applyBorder="1" applyAlignment="1">
      <alignment horizontal="left"/>
    </xf>
    <xf numFmtId="0" fontId="10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0" borderId="57" xfId="0" applyNumberFormat="1" applyFont="1" applyFill="1" applyBorder="1" applyAlignment="1">
      <alignment horizontal="center" vertical="center"/>
    </xf>
    <xf numFmtId="0" fontId="9" fillId="0" borderId="58" xfId="0" applyNumberFormat="1" applyFont="1" applyFill="1" applyBorder="1" applyAlignment="1">
      <alignment horizontal="center" vertical="center"/>
    </xf>
    <xf numFmtId="0" fontId="9" fillId="0" borderId="59" xfId="0" applyNumberFormat="1" applyFont="1" applyFill="1" applyBorder="1" applyAlignment="1">
      <alignment horizontal="center" vertical="center"/>
    </xf>
    <xf numFmtId="0" fontId="9" fillId="39" borderId="66" xfId="0" applyNumberFormat="1" applyFont="1" applyFill="1" applyBorder="1" applyAlignment="1">
      <alignment horizontal="center" vertical="center"/>
    </xf>
    <xf numFmtId="0" fontId="9" fillId="39" borderId="23" xfId="0" applyNumberFormat="1" applyFont="1" applyFill="1" applyBorder="1" applyAlignment="1">
      <alignment horizontal="center" vertical="center"/>
    </xf>
    <xf numFmtId="0" fontId="9" fillId="39" borderId="60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66" xfId="0" applyNumberFormat="1" applyFont="1" applyBorder="1" applyAlignment="1">
      <alignment vertical="center"/>
    </xf>
    <xf numFmtId="166" fontId="10" fillId="28" borderId="70" xfId="845" applyFont="1" applyFill="1" applyBorder="1" applyAlignment="1">
      <alignment horizontal="center" vertical="center"/>
    </xf>
    <xf numFmtId="166" fontId="10" fillId="28" borderId="68" xfId="845" applyFont="1" applyFill="1" applyBorder="1" applyAlignment="1">
      <alignment horizontal="center" vertical="center"/>
    </xf>
    <xf numFmtId="166" fontId="10" fillId="28" borderId="69" xfId="845" applyFont="1" applyFill="1" applyBorder="1" applyAlignment="1">
      <alignment horizontal="center" vertical="center"/>
    </xf>
    <xf numFmtId="0" fontId="10" fillId="0" borderId="4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" fontId="0" fillId="28" borderId="70" xfId="0" applyNumberFormat="1" applyFont="1" applyFill="1" applyBorder="1" applyAlignment="1">
      <alignment horizontal="right" vertical="center"/>
    </xf>
    <xf numFmtId="4" fontId="0" fillId="28" borderId="68" xfId="0" applyNumberFormat="1" applyFont="1" applyFill="1" applyBorder="1" applyAlignment="1">
      <alignment horizontal="right" vertical="center"/>
    </xf>
    <xf numFmtId="4" fontId="0" fillId="28" borderId="69" xfId="0" applyNumberFormat="1" applyFont="1" applyFill="1" applyBorder="1" applyAlignment="1">
      <alignment horizontal="right" vertical="center"/>
    </xf>
    <xf numFmtId="4" fontId="12" fillId="0" borderId="59" xfId="0" applyNumberFormat="1" applyFont="1" applyBorder="1" applyAlignment="1">
      <alignment horizontal="center" vertical="center"/>
    </xf>
    <xf numFmtId="4" fontId="12" fillId="0" borderId="60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171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166" fontId="8" fillId="0" borderId="24" xfId="845" applyFont="1" applyBorder="1" applyAlignment="1">
      <alignment vertical="center"/>
    </xf>
    <xf numFmtId="166" fontId="8" fillId="0" borderId="46" xfId="845" applyFont="1" applyBorder="1" applyAlignment="1">
      <alignment vertical="center"/>
    </xf>
    <xf numFmtId="166" fontId="8" fillId="0" borderId="32" xfId="845" applyFont="1" applyBorder="1" applyAlignment="1">
      <alignment vertical="center"/>
    </xf>
    <xf numFmtId="10" fontId="8" fillId="0" borderId="24" xfId="0" applyNumberFormat="1" applyFont="1" applyBorder="1" applyAlignment="1">
      <alignment horizontal="center" vertical="center"/>
    </xf>
    <xf numFmtId="10" fontId="8" fillId="0" borderId="46" xfId="0" applyNumberFormat="1" applyFont="1" applyBorder="1" applyAlignment="1">
      <alignment horizontal="center" vertical="center"/>
    </xf>
    <xf numFmtId="10" fontId="8" fillId="0" borderId="32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9" fontId="8" fillId="0" borderId="24" xfId="0" applyNumberFormat="1" applyFont="1" applyBorder="1" applyAlignment="1">
      <alignment horizontal="left" vertical="center" indent="2"/>
    </xf>
    <xf numFmtId="9" fontId="8" fillId="0" borderId="32" xfId="0" applyNumberFormat="1" applyFont="1" applyBorder="1" applyAlignment="1">
      <alignment horizontal="left" vertical="center" indent="2"/>
    </xf>
    <xf numFmtId="9" fontId="8" fillId="0" borderId="76" xfId="0" applyNumberFormat="1" applyFont="1" applyBorder="1" applyAlignment="1">
      <alignment horizontal="left" vertical="center" indent="2"/>
    </xf>
    <xf numFmtId="9" fontId="8" fillId="0" borderId="63" xfId="0" applyNumberFormat="1" applyFont="1" applyBorder="1" applyAlignment="1">
      <alignment horizontal="left" vertical="center" indent="2"/>
    </xf>
    <xf numFmtId="204" fontId="8" fillId="39" borderId="76" xfId="0" applyNumberFormat="1" applyFont="1" applyFill="1" applyBorder="1" applyAlignment="1">
      <alignment horizontal="center" vertical="center"/>
    </xf>
    <xf numFmtId="204" fontId="8" fillId="39" borderId="62" xfId="0" applyNumberFormat="1" applyFont="1" applyFill="1" applyBorder="1" applyAlignment="1">
      <alignment horizontal="center" vertical="center"/>
    </xf>
    <xf numFmtId="204" fontId="8" fillId="39" borderId="63" xfId="0" applyNumberFormat="1" applyFont="1" applyFill="1" applyBorder="1" applyAlignment="1">
      <alignment horizontal="center" vertical="center"/>
    </xf>
    <xf numFmtId="9" fontId="8" fillId="0" borderId="24" xfId="0" applyNumberFormat="1" applyFont="1" applyBorder="1" applyAlignment="1">
      <alignment horizontal="center" vertical="center"/>
    </xf>
    <xf numFmtId="9" fontId="8" fillId="0" borderId="46" xfId="0" applyNumberFormat="1" applyFont="1" applyBorder="1" applyAlignment="1">
      <alignment horizontal="center" vertical="center"/>
    </xf>
    <xf numFmtId="9" fontId="8" fillId="0" borderId="32" xfId="0" applyNumberFormat="1" applyFont="1" applyBorder="1" applyAlignment="1">
      <alignment horizontal="center" vertical="center"/>
    </xf>
    <xf numFmtId="9" fontId="8" fillId="0" borderId="76" xfId="0" applyNumberFormat="1" applyFont="1" applyBorder="1" applyAlignment="1">
      <alignment horizontal="center" vertical="center"/>
    </xf>
    <xf numFmtId="9" fontId="8" fillId="0" borderId="62" xfId="0" applyNumberFormat="1" applyFont="1" applyBorder="1" applyAlignment="1">
      <alignment horizontal="center" vertical="center"/>
    </xf>
    <xf numFmtId="9" fontId="8" fillId="0" borderId="63" xfId="0" applyNumberFormat="1" applyFont="1" applyBorder="1" applyAlignment="1">
      <alignment horizontal="center" vertical="center"/>
    </xf>
    <xf numFmtId="204" fontId="8" fillId="39" borderId="30" xfId="0" applyNumberFormat="1" applyFont="1" applyFill="1" applyBorder="1" applyAlignment="1">
      <alignment horizontal="center" vertical="center"/>
    </xf>
    <xf numFmtId="204" fontId="8" fillId="39" borderId="31" xfId="0" applyNumberFormat="1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4" fontId="8" fillId="0" borderId="46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4" fontId="8" fillId="0" borderId="64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 indent="1"/>
    </xf>
    <xf numFmtId="0" fontId="8" fillId="0" borderId="64" xfId="0" applyFont="1" applyBorder="1" applyAlignment="1">
      <alignment horizontal="left" vertical="center" wrapText="1" indent="1"/>
    </xf>
    <xf numFmtId="0" fontId="8" fillId="0" borderId="84" xfId="0" applyFont="1" applyBorder="1" applyAlignment="1">
      <alignment horizontal="left" vertical="center" wrapText="1" indent="1"/>
    </xf>
    <xf numFmtId="0" fontId="8" fillId="0" borderId="61" xfId="0" applyFont="1" applyBorder="1" applyAlignment="1">
      <alignment horizontal="left" vertical="center" wrapText="1" indent="1"/>
    </xf>
    <xf numFmtId="0" fontId="8" fillId="0" borderId="76" xfId="0" applyFont="1" applyBorder="1" applyAlignment="1">
      <alignment horizontal="left" vertical="center" wrapText="1" indent="1"/>
    </xf>
    <xf numFmtId="0" fontId="8" fillId="0" borderId="63" xfId="0" applyFont="1" applyBorder="1" applyAlignment="1">
      <alignment horizontal="left" vertical="center" wrapText="1" indent="1"/>
    </xf>
    <xf numFmtId="2" fontId="8" fillId="0" borderId="23" xfId="0" applyNumberFormat="1" applyFont="1" applyBorder="1" applyAlignment="1">
      <alignment horizontal="center" vertical="center"/>
    </xf>
    <xf numFmtId="39" fontId="8" fillId="0" borderId="25" xfId="845" applyNumberFormat="1" applyFont="1" applyBorder="1" applyAlignment="1">
      <alignment horizontal="center" vertical="center"/>
    </xf>
    <xf numFmtId="39" fontId="8" fillId="0" borderId="45" xfId="845" applyNumberFormat="1" applyFont="1" applyBorder="1" applyAlignment="1">
      <alignment horizontal="center" vertical="center"/>
    </xf>
    <xf numFmtId="39" fontId="8" fillId="0" borderId="26" xfId="845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indent="1"/>
    </xf>
    <xf numFmtId="0" fontId="8" fillId="0" borderId="64" xfId="0" applyFont="1" applyBorder="1" applyAlignment="1">
      <alignment horizontal="left" vertical="center" indent="1"/>
    </xf>
    <xf numFmtId="0" fontId="8" fillId="0" borderId="84" xfId="0" applyFont="1" applyBorder="1" applyAlignment="1">
      <alignment horizontal="left" vertical="center" indent="1"/>
    </xf>
    <xf numFmtId="0" fontId="8" fillId="0" borderId="61" xfId="0" applyFont="1" applyBorder="1" applyAlignment="1">
      <alignment horizontal="left" vertical="center" indent="1"/>
    </xf>
    <xf numFmtId="204" fontId="8" fillId="0" borderId="24" xfId="0" applyNumberFormat="1" applyFont="1" applyBorder="1" applyAlignment="1">
      <alignment horizontal="center" vertical="center"/>
    </xf>
    <xf numFmtId="204" fontId="8" fillId="0" borderId="46" xfId="0" applyNumberFormat="1" applyFont="1" applyBorder="1" applyAlignment="1">
      <alignment horizontal="center" vertical="center"/>
    </xf>
    <xf numFmtId="204" fontId="8" fillId="0" borderId="32" xfId="0" applyNumberFormat="1" applyFont="1" applyBorder="1" applyAlignment="1">
      <alignment horizontal="center" vertical="center"/>
    </xf>
    <xf numFmtId="204" fontId="8" fillId="0" borderId="24" xfId="0" applyNumberFormat="1" applyFont="1" applyFill="1" applyBorder="1" applyAlignment="1">
      <alignment horizontal="center" vertical="center"/>
    </xf>
    <xf numFmtId="204" fontId="8" fillId="0" borderId="46" xfId="0" applyNumberFormat="1" applyFont="1" applyFill="1" applyBorder="1" applyAlignment="1">
      <alignment horizontal="center" vertical="center"/>
    </xf>
    <xf numFmtId="204" fontId="8" fillId="0" borderId="32" xfId="0" applyNumberFormat="1" applyFont="1" applyFill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45" xfId="0" applyNumberFormat="1" applyFont="1" applyBorder="1" applyAlignment="1">
      <alignment horizontal="center" vertical="center"/>
    </xf>
    <xf numFmtId="201" fontId="8" fillId="0" borderId="76" xfId="0" applyNumberFormat="1" applyFont="1" applyBorder="1" applyAlignment="1">
      <alignment horizontal="center" vertical="center"/>
    </xf>
    <xf numFmtId="201" fontId="8" fillId="0" borderId="62" xfId="0" applyNumberFormat="1" applyFont="1" applyBorder="1" applyAlignment="1">
      <alignment horizontal="center" vertical="center"/>
    </xf>
    <xf numFmtId="201" fontId="8" fillId="0" borderId="63" xfId="0" applyNumberFormat="1" applyFont="1" applyBorder="1" applyAlignment="1">
      <alignment horizontal="center" vertical="center"/>
    </xf>
    <xf numFmtId="0" fontId="8" fillId="27" borderId="24" xfId="0" applyFont="1" applyFill="1" applyBorder="1" applyAlignment="1">
      <alignment horizontal="center" vertical="center"/>
    </xf>
    <xf numFmtId="0" fontId="8" fillId="27" borderId="46" xfId="0" applyFont="1" applyFill="1" applyBorder="1" applyAlignment="1">
      <alignment horizontal="center" vertical="center"/>
    </xf>
    <xf numFmtId="0" fontId="8" fillId="27" borderId="32" xfId="0" applyFont="1" applyFill="1" applyBorder="1" applyAlignment="1">
      <alignment horizontal="center" vertical="center"/>
    </xf>
    <xf numFmtId="0" fontId="8" fillId="39" borderId="24" xfId="0" applyFont="1" applyFill="1" applyBorder="1" applyAlignment="1">
      <alignment horizontal="center" vertical="center"/>
    </xf>
    <xf numFmtId="0" fontId="8" fillId="39" borderId="46" xfId="0" applyFont="1" applyFill="1" applyBorder="1" applyAlignment="1">
      <alignment horizontal="center" vertical="center"/>
    </xf>
    <xf numFmtId="0" fontId="8" fillId="39" borderId="32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64" xfId="0" applyFont="1" applyBorder="1" applyAlignment="1">
      <alignment horizontal="center" wrapText="1"/>
    </xf>
    <xf numFmtId="0" fontId="13" fillId="0" borderId="31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6" xfId="0" applyBorder="1" applyAlignment="1">
      <alignment horizont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64" xfId="0" applyFont="1" applyBorder="1" applyAlignment="1">
      <alignment horizontal="center" vertical="center"/>
    </xf>
    <xf numFmtId="0" fontId="65" fillId="0" borderId="76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65" fillId="0" borderId="63" xfId="0" applyFont="1" applyBorder="1" applyAlignment="1">
      <alignment horizontal="center" vertical="center"/>
    </xf>
    <xf numFmtId="166" fontId="1" fillId="0" borderId="30" xfId="845" applyFont="1" applyBorder="1" applyAlignment="1">
      <alignment horizontal="center" vertical="center" wrapText="1"/>
    </xf>
    <xf numFmtId="166" fontId="1" fillId="0" borderId="64" xfId="845" applyFont="1" applyBorder="1" applyAlignment="1">
      <alignment horizontal="center" vertical="center" wrapText="1"/>
    </xf>
    <xf numFmtId="166" fontId="1" fillId="0" borderId="76" xfId="845" applyFont="1" applyBorder="1" applyAlignment="1">
      <alignment horizontal="center" vertical="center" wrapText="1"/>
    </xf>
    <xf numFmtId="166" fontId="1" fillId="0" borderId="63" xfId="845" applyFont="1" applyBorder="1" applyAlignment="1">
      <alignment horizontal="center" vertical="center" wrapText="1"/>
    </xf>
    <xf numFmtId="166" fontId="1" fillId="0" borderId="23" xfId="845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1" fillId="0" borderId="24" xfId="0" applyFont="1" applyBorder="1" applyAlignment="1" applyProtection="1">
      <alignment horizontal="center" vertical="center"/>
      <protection/>
    </xf>
    <xf numFmtId="0" fontId="61" fillId="0" borderId="46" xfId="0" applyFont="1" applyBorder="1" applyAlignment="1" applyProtection="1">
      <alignment horizontal="center" vertical="center"/>
      <protection/>
    </xf>
    <xf numFmtId="0" fontId="14" fillId="0" borderId="30" xfId="845" applyNumberFormat="1" applyFont="1" applyBorder="1" applyAlignment="1" applyProtection="1">
      <alignment/>
      <protection/>
    </xf>
    <xf numFmtId="0" fontId="14" fillId="0" borderId="31" xfId="845" applyNumberFormat="1" applyFont="1" applyBorder="1" applyAlignment="1" applyProtection="1">
      <alignment/>
      <protection/>
    </xf>
    <xf numFmtId="0" fontId="14" fillId="0" borderId="64" xfId="845" applyNumberFormat="1" applyFont="1" applyBorder="1" applyAlignment="1" applyProtection="1">
      <alignment/>
      <protection/>
    </xf>
    <xf numFmtId="0" fontId="1" fillId="0" borderId="76" xfId="0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 applyProtection="1">
      <alignment horizontal="center" vertical="center" wrapText="1"/>
      <protection/>
    </xf>
    <xf numFmtId="0" fontId="1" fillId="0" borderId="63" xfId="0" applyFont="1" applyBorder="1" applyAlignment="1" applyProtection="1">
      <alignment horizontal="center" vertical="center" wrapText="1"/>
      <protection/>
    </xf>
    <xf numFmtId="0" fontId="13" fillId="0" borderId="76" xfId="845" applyNumberFormat="1" applyFont="1" applyBorder="1" applyAlignment="1" applyProtection="1">
      <alignment horizontal="center" vertical="center" wrapText="1"/>
      <protection/>
    </xf>
    <xf numFmtId="0" fontId="13" fillId="0" borderId="62" xfId="845" applyNumberFormat="1" applyFont="1" applyBorder="1" applyAlignment="1" applyProtection="1">
      <alignment horizontal="center" vertical="center" wrapText="1"/>
      <protection/>
    </xf>
    <xf numFmtId="0" fontId="13" fillId="0" borderId="63" xfId="845" applyNumberFormat="1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166" fontId="0" fillId="0" borderId="56" xfId="845" applyFont="1" applyBorder="1" applyAlignment="1" applyProtection="1">
      <alignment horizontal="left"/>
      <protection/>
    </xf>
    <xf numFmtId="4" fontId="0" fillId="0" borderId="56" xfId="0" applyNumberFormat="1" applyBorder="1" applyAlignment="1" applyProtection="1">
      <alignment horizontal="center"/>
      <protection/>
    </xf>
    <xf numFmtId="39" fontId="0" fillId="0" borderId="56" xfId="845" applyNumberFormat="1" applyFont="1" applyBorder="1" applyAlignment="1" applyProtection="1">
      <alignment/>
      <protection/>
    </xf>
    <xf numFmtId="166" fontId="0" fillId="0" borderId="27" xfId="845" applyFont="1" applyBorder="1" applyAlignment="1" applyProtection="1">
      <alignment horizontal="left"/>
      <protection/>
    </xf>
    <xf numFmtId="4" fontId="0" fillId="0" borderId="27" xfId="0" applyNumberFormat="1" applyBorder="1" applyAlignment="1" applyProtection="1">
      <alignment horizontal="center"/>
      <protection/>
    </xf>
    <xf numFmtId="39" fontId="0" fillId="0" borderId="27" xfId="845" applyNumberFormat="1" applyFont="1" applyBorder="1" applyAlignment="1" applyProtection="1">
      <alignment/>
      <protection/>
    </xf>
    <xf numFmtId="166" fontId="0" fillId="0" borderId="27" xfId="845" applyFont="1" applyBorder="1" applyAlignment="1" applyProtection="1">
      <alignment/>
      <protection/>
    </xf>
    <xf numFmtId="177" fontId="0" fillId="0" borderId="28" xfId="0" applyNumberFormat="1" applyFont="1" applyBorder="1" applyAlignment="1" applyProtection="1">
      <alignment horizontal="center" vertical="center" wrapText="1"/>
      <protection/>
    </xf>
    <xf numFmtId="4" fontId="0" fillId="0" borderId="28" xfId="845" applyNumberFormat="1" applyFont="1" applyBorder="1" applyAlignment="1" applyProtection="1">
      <alignment horizontal="center" vertical="center" wrapText="1"/>
      <protection/>
    </xf>
    <xf numFmtId="166" fontId="0" fillId="39" borderId="56" xfId="845" applyFont="1" applyFill="1" applyBorder="1" applyAlignment="1" applyProtection="1">
      <alignment vertical="center" wrapText="1"/>
      <protection/>
    </xf>
    <xf numFmtId="177" fontId="0" fillId="0" borderId="56" xfId="0" applyNumberFormat="1" applyFont="1" applyBorder="1" applyAlignment="1" applyProtection="1">
      <alignment horizontal="center" vertical="center" wrapText="1"/>
      <protection/>
    </xf>
    <xf numFmtId="4" fontId="0" fillId="39" borderId="27" xfId="845" applyNumberFormat="1" applyFont="1" applyFill="1" applyBorder="1" applyAlignment="1" applyProtection="1">
      <alignment horizontal="center" vertical="center" wrapText="1"/>
      <protection/>
    </xf>
    <xf numFmtId="166" fontId="0" fillId="0" borderId="27" xfId="845" applyFont="1" applyBorder="1" applyAlignment="1" applyProtection="1">
      <alignment vertical="center" wrapText="1"/>
      <protection/>
    </xf>
    <xf numFmtId="177" fontId="0" fillId="0" borderId="27" xfId="0" applyNumberFormat="1" applyFont="1" applyBorder="1" applyAlignment="1" applyProtection="1">
      <alignment horizontal="center" vertical="center" wrapText="1"/>
      <protection/>
    </xf>
    <xf numFmtId="4" fontId="0" fillId="0" borderId="27" xfId="845" applyNumberFormat="1" applyFont="1" applyBorder="1" applyAlignment="1" applyProtection="1">
      <alignment horizontal="center" vertical="center" wrapText="1"/>
      <protection/>
    </xf>
    <xf numFmtId="166" fontId="0" fillId="0" borderId="28" xfId="845" applyFont="1" applyBorder="1" applyAlignment="1" applyProtection="1">
      <alignment vertical="center" wrapText="1"/>
      <protection/>
    </xf>
    <xf numFmtId="166" fontId="0" fillId="39" borderId="27" xfId="845" applyFont="1" applyFill="1" applyBorder="1" applyAlignment="1" applyProtection="1">
      <alignment/>
      <protection/>
    </xf>
    <xf numFmtId="4" fontId="0" fillId="0" borderId="27" xfId="0" applyNumberFormat="1" applyFont="1" applyBorder="1" applyAlignment="1" applyProtection="1">
      <alignment horizontal="center"/>
      <protection/>
    </xf>
    <xf numFmtId="4" fontId="0" fillId="39" borderId="56" xfId="845" applyNumberFormat="1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/>
      <protection/>
    </xf>
    <xf numFmtId="177" fontId="0" fillId="0" borderId="85" xfId="0" applyNumberFormat="1" applyFont="1" applyBorder="1" applyAlignment="1" applyProtection="1">
      <alignment horizontal="center" vertical="center" wrapText="1"/>
      <protection/>
    </xf>
    <xf numFmtId="177" fontId="0" fillId="0" borderId="86" xfId="0" applyNumberFormat="1" applyFont="1" applyBorder="1" applyAlignment="1" applyProtection="1">
      <alignment horizontal="center" vertical="center" wrapText="1"/>
      <protection/>
    </xf>
    <xf numFmtId="177" fontId="0" fillId="0" borderId="87" xfId="0" applyNumberFormat="1" applyFont="1" applyBorder="1" applyAlignment="1" applyProtection="1">
      <alignment horizontal="center" vertical="center" wrapText="1"/>
      <protection/>
    </xf>
    <xf numFmtId="166" fontId="0" fillId="39" borderId="85" xfId="845" applyFont="1" applyFill="1" applyBorder="1" applyAlignment="1" applyProtection="1">
      <alignment/>
      <protection/>
    </xf>
    <xf numFmtId="166" fontId="0" fillId="39" borderId="86" xfId="845" applyFont="1" applyFill="1" applyBorder="1" applyAlignment="1" applyProtection="1">
      <alignment/>
      <protection/>
    </xf>
    <xf numFmtId="166" fontId="0" fillId="39" borderId="87" xfId="845" applyFont="1" applyFill="1" applyBorder="1" applyAlignment="1" applyProtection="1">
      <alignment/>
      <protection/>
    </xf>
    <xf numFmtId="175" fontId="0" fillId="0" borderId="27" xfId="845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/>
    </xf>
    <xf numFmtId="166" fontId="0" fillId="0" borderId="28" xfId="845" applyFont="1" applyBorder="1" applyAlignment="1" applyProtection="1">
      <alignment/>
      <protection/>
    </xf>
    <xf numFmtId="0" fontId="13" fillId="0" borderId="23" xfId="0" applyFont="1" applyBorder="1" applyAlignment="1" applyProtection="1">
      <alignment horizontal="center"/>
      <protection/>
    </xf>
    <xf numFmtId="0" fontId="0" fillId="27" borderId="23" xfId="0" applyFill="1" applyBorder="1" applyAlignment="1" applyProtection="1">
      <alignment horizontal="center"/>
      <protection/>
    </xf>
    <xf numFmtId="166" fontId="0" fillId="39" borderId="27" xfId="767" applyFont="1" applyFill="1" applyBorder="1" applyAlignment="1" applyProtection="1">
      <alignment/>
      <protection/>
    </xf>
    <xf numFmtId="4" fontId="0" fillId="0" borderId="85" xfId="0" applyNumberFormat="1" applyFont="1" applyBorder="1" applyAlignment="1" applyProtection="1">
      <alignment horizontal="center"/>
      <protection/>
    </xf>
    <xf numFmtId="4" fontId="0" fillId="0" borderId="87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right"/>
      <protection/>
    </xf>
    <xf numFmtId="0" fontId="13" fillId="0" borderId="24" xfId="0" applyFont="1" applyBorder="1" applyAlignment="1" applyProtection="1">
      <alignment horizontal="right"/>
      <protection/>
    </xf>
    <xf numFmtId="2" fontId="13" fillId="0" borderId="32" xfId="845" applyNumberFormat="1" applyFont="1" applyBorder="1" applyAlignment="1" applyProtection="1">
      <alignment horizontal="center" vertical="center"/>
      <protection/>
    </xf>
    <xf numFmtId="2" fontId="13" fillId="0" borderId="23" xfId="845" applyNumberFormat="1" applyFont="1" applyBorder="1" applyAlignment="1" applyProtection="1">
      <alignment horizontal="center" vertical="center"/>
      <protection/>
    </xf>
    <xf numFmtId="166" fontId="13" fillId="0" borderId="23" xfId="845" applyFont="1" applyBorder="1" applyAlignment="1" applyProtection="1">
      <alignment horizontal="center"/>
      <protection/>
    </xf>
    <xf numFmtId="0" fontId="13" fillId="27" borderId="23" xfId="0" applyFont="1" applyFill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/>
      <protection/>
    </xf>
    <xf numFmtId="175" fontId="0" fillId="0" borderId="56" xfId="845" applyNumberFormat="1" applyFont="1" applyBorder="1" applyAlignment="1" applyProtection="1">
      <alignment/>
      <protection/>
    </xf>
    <xf numFmtId="0" fontId="0" fillId="0" borderId="56" xfId="0" applyFont="1" applyBorder="1" applyAlignment="1" applyProtection="1">
      <alignment horizontal="center"/>
      <protection/>
    </xf>
    <xf numFmtId="166" fontId="0" fillId="0" borderId="56" xfId="845" applyFont="1" applyBorder="1" applyAlignment="1" applyProtection="1">
      <alignment horizontal="center"/>
      <protection/>
    </xf>
    <xf numFmtId="166" fontId="0" fillId="0" borderId="27" xfId="845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175" fontId="0" fillId="0" borderId="28" xfId="845" applyNumberFormat="1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center"/>
      <protection/>
    </xf>
    <xf numFmtId="166" fontId="0" fillId="0" borderId="28" xfId="845" applyFont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vertical="center"/>
      <protection/>
    </xf>
    <xf numFmtId="10" fontId="1" fillId="0" borderId="31" xfId="629" applyNumberFormat="1" applyFont="1" applyBorder="1" applyAlignment="1" applyProtection="1">
      <alignment horizontal="center" vertical="center"/>
      <protection/>
    </xf>
    <xf numFmtId="0" fontId="62" fillId="0" borderId="23" xfId="0" applyFont="1" applyBorder="1" applyAlignment="1" applyProtection="1">
      <alignment/>
      <protection/>
    </xf>
    <xf numFmtId="177" fontId="0" fillId="39" borderId="27" xfId="0" applyNumberFormat="1" applyFont="1" applyFill="1" applyBorder="1" applyAlignment="1" applyProtection="1">
      <alignment horizontal="center" vertical="center" wrapText="1"/>
      <protection/>
    </xf>
    <xf numFmtId="4" fontId="0" fillId="39" borderId="27" xfId="0" applyNumberFormat="1" applyFont="1" applyFill="1" applyBorder="1" applyAlignment="1" applyProtection="1">
      <alignment horizontal="center"/>
      <protection/>
    </xf>
    <xf numFmtId="177" fontId="0" fillId="39" borderId="56" xfId="0" applyNumberFormat="1" applyFont="1" applyFill="1" applyBorder="1" applyAlignment="1" applyProtection="1">
      <alignment horizontal="center" vertical="center" wrapText="1"/>
      <protection/>
    </xf>
    <xf numFmtId="4" fontId="0" fillId="39" borderId="85" xfId="0" applyNumberFormat="1" applyFont="1" applyFill="1" applyBorder="1" applyAlignment="1" applyProtection="1">
      <alignment horizontal="center"/>
      <protection/>
    </xf>
    <xf numFmtId="4" fontId="0" fillId="39" borderId="87" xfId="0" applyNumberFormat="1" applyFont="1" applyFill="1" applyBorder="1" applyAlignment="1" applyProtection="1">
      <alignment horizontal="center"/>
      <protection/>
    </xf>
    <xf numFmtId="177" fontId="0" fillId="39" borderId="85" xfId="0" applyNumberFormat="1" applyFont="1" applyFill="1" applyBorder="1" applyAlignment="1" applyProtection="1">
      <alignment horizontal="center" vertical="center" wrapText="1"/>
      <protection/>
    </xf>
    <xf numFmtId="177" fontId="0" fillId="39" borderId="86" xfId="0" applyNumberFormat="1" applyFont="1" applyFill="1" applyBorder="1" applyAlignment="1" applyProtection="1">
      <alignment horizontal="center" vertical="center" wrapText="1"/>
      <protection/>
    </xf>
    <xf numFmtId="177" fontId="0" fillId="39" borderId="87" xfId="0" applyNumberFormat="1" applyFont="1" applyFill="1" applyBorder="1" applyAlignment="1" applyProtection="1">
      <alignment horizontal="center" vertical="center" wrapText="1"/>
      <protection/>
    </xf>
    <xf numFmtId="0" fontId="11" fillId="39" borderId="24" xfId="0" applyFont="1" applyFill="1" applyBorder="1" applyAlignment="1" applyProtection="1">
      <alignment horizontal="center" vertical="center"/>
      <protection/>
    </xf>
    <xf numFmtId="0" fontId="11" fillId="39" borderId="46" xfId="0" applyFont="1" applyFill="1" applyBorder="1" applyAlignment="1" applyProtection="1">
      <alignment horizontal="center" vertical="center"/>
      <protection/>
    </xf>
    <xf numFmtId="0" fontId="14" fillId="39" borderId="30" xfId="845" applyNumberFormat="1" applyFont="1" applyFill="1" applyBorder="1" applyAlignment="1" applyProtection="1">
      <alignment/>
      <protection/>
    </xf>
    <xf numFmtId="0" fontId="14" fillId="39" borderId="31" xfId="845" applyNumberFormat="1" applyFont="1" applyFill="1" applyBorder="1" applyAlignment="1" applyProtection="1">
      <alignment/>
      <protection/>
    </xf>
    <xf numFmtId="0" fontId="14" fillId="39" borderId="64" xfId="845" applyNumberFormat="1" applyFont="1" applyFill="1" applyBorder="1" applyAlignment="1" applyProtection="1">
      <alignment/>
      <protection/>
    </xf>
    <xf numFmtId="0" fontId="1" fillId="39" borderId="76" xfId="0" applyFont="1" applyFill="1" applyBorder="1" applyAlignment="1" applyProtection="1">
      <alignment horizontal="center" vertical="center" wrapText="1"/>
      <protection/>
    </xf>
    <xf numFmtId="0" fontId="1" fillId="39" borderId="62" xfId="0" applyFont="1" applyFill="1" applyBorder="1" applyAlignment="1" applyProtection="1">
      <alignment horizontal="center" vertical="center" wrapText="1"/>
      <protection/>
    </xf>
    <xf numFmtId="0" fontId="1" fillId="39" borderId="63" xfId="0" applyFont="1" applyFill="1" applyBorder="1" applyAlignment="1" applyProtection="1">
      <alignment horizontal="center" vertical="center" wrapText="1"/>
      <protection/>
    </xf>
    <xf numFmtId="0" fontId="13" fillId="39" borderId="76" xfId="845" applyNumberFormat="1" applyFont="1" applyFill="1" applyBorder="1" applyAlignment="1" applyProtection="1">
      <alignment horizontal="center" vertical="center" wrapText="1"/>
      <protection/>
    </xf>
    <xf numFmtId="0" fontId="13" fillId="39" borderId="62" xfId="845" applyNumberFormat="1" applyFont="1" applyFill="1" applyBorder="1" applyAlignment="1" applyProtection="1">
      <alignment horizontal="center" vertical="center" wrapText="1"/>
      <protection/>
    </xf>
    <xf numFmtId="0" fontId="13" fillId="39" borderId="63" xfId="845" applyNumberFormat="1" applyFont="1" applyFill="1" applyBorder="1" applyAlignment="1" applyProtection="1">
      <alignment horizontal="center" vertical="center" wrapText="1"/>
      <protection/>
    </xf>
    <xf numFmtId="0" fontId="13" fillId="39" borderId="23" xfId="0" applyFont="1" applyFill="1" applyBorder="1" applyAlignment="1" applyProtection="1">
      <alignment vertical="center" wrapText="1"/>
      <protection/>
    </xf>
    <xf numFmtId="0" fontId="13" fillId="39" borderId="23" xfId="0" applyFont="1" applyFill="1" applyBorder="1" applyAlignment="1" applyProtection="1">
      <alignment horizontal="center" vertical="center" wrapText="1"/>
      <protection/>
    </xf>
    <xf numFmtId="166" fontId="0" fillId="39" borderId="56" xfId="845" applyFont="1" applyFill="1" applyBorder="1" applyAlignment="1" applyProtection="1">
      <alignment horizontal="left"/>
      <protection/>
    </xf>
    <xf numFmtId="4" fontId="0" fillId="39" borderId="56" xfId="0" applyNumberFormat="1" applyFont="1" applyFill="1" applyBorder="1" applyAlignment="1" applyProtection="1">
      <alignment horizontal="center"/>
      <protection/>
    </xf>
    <xf numFmtId="39" fontId="0" fillId="39" borderId="56" xfId="845" applyNumberFormat="1" applyFont="1" applyFill="1" applyBorder="1" applyAlignment="1" applyProtection="1">
      <alignment/>
      <protection/>
    </xf>
    <xf numFmtId="166" fontId="0" fillId="39" borderId="27" xfId="845" applyFont="1" applyFill="1" applyBorder="1" applyAlignment="1" applyProtection="1">
      <alignment horizontal="left"/>
      <protection/>
    </xf>
    <xf numFmtId="39" fontId="0" fillId="39" borderId="27" xfId="845" applyNumberFormat="1" applyFont="1" applyFill="1" applyBorder="1" applyAlignment="1" applyProtection="1">
      <alignment/>
      <protection/>
    </xf>
    <xf numFmtId="0" fontId="0" fillId="39" borderId="23" xfId="0" applyFont="1" applyFill="1" applyBorder="1" applyAlignment="1" applyProtection="1">
      <alignment horizontal="center"/>
      <protection/>
    </xf>
    <xf numFmtId="0" fontId="1" fillId="39" borderId="23" xfId="0" applyFont="1" applyFill="1" applyBorder="1" applyAlignment="1" applyProtection="1">
      <alignment horizontal="center"/>
      <protection/>
    </xf>
    <xf numFmtId="166" fontId="0" fillId="39" borderId="27" xfId="845" applyFont="1" applyFill="1" applyBorder="1" applyAlignment="1" applyProtection="1">
      <alignment vertical="center" wrapText="1"/>
      <protection/>
    </xf>
    <xf numFmtId="166" fontId="0" fillId="39" borderId="28" xfId="845" applyFont="1" applyFill="1" applyBorder="1" applyAlignment="1" applyProtection="1">
      <alignment vertical="center" wrapText="1"/>
      <protection/>
    </xf>
    <xf numFmtId="177" fontId="0" fillId="39" borderId="28" xfId="0" applyNumberFormat="1" applyFont="1" applyFill="1" applyBorder="1" applyAlignment="1" applyProtection="1">
      <alignment horizontal="center" vertical="center" wrapText="1"/>
      <protection/>
    </xf>
    <xf numFmtId="4" fontId="0" fillId="39" borderId="28" xfId="845" applyNumberFormat="1" applyFont="1" applyFill="1" applyBorder="1" applyAlignment="1" applyProtection="1">
      <alignment horizontal="center" vertical="center" wrapText="1"/>
      <protection/>
    </xf>
    <xf numFmtId="0" fontId="13" fillId="39" borderId="23" xfId="0" applyFont="1" applyFill="1" applyBorder="1" applyAlignment="1" applyProtection="1">
      <alignment horizontal="right"/>
      <protection/>
    </xf>
    <xf numFmtId="0" fontId="13" fillId="39" borderId="24" xfId="0" applyFont="1" applyFill="1" applyBorder="1" applyAlignment="1" applyProtection="1">
      <alignment horizontal="right"/>
      <protection/>
    </xf>
    <xf numFmtId="2" fontId="13" fillId="39" borderId="32" xfId="845" applyNumberFormat="1" applyFont="1" applyFill="1" applyBorder="1" applyAlignment="1" applyProtection="1">
      <alignment horizontal="center" vertical="center"/>
      <protection/>
    </xf>
    <xf numFmtId="2" fontId="13" fillId="39" borderId="23" xfId="845" applyNumberFormat="1" applyFont="1" applyFill="1" applyBorder="1" applyAlignment="1" applyProtection="1">
      <alignment horizontal="center" vertical="center"/>
      <protection/>
    </xf>
    <xf numFmtId="166" fontId="13" fillId="39" borderId="23" xfId="845" applyFont="1" applyFill="1" applyBorder="1" applyAlignment="1" applyProtection="1">
      <alignment horizontal="center"/>
      <protection/>
    </xf>
    <xf numFmtId="0" fontId="13" fillId="39" borderId="23" xfId="0" applyFont="1" applyFill="1" applyBorder="1" applyAlignment="1" applyProtection="1">
      <alignment horizontal="center"/>
      <protection/>
    </xf>
    <xf numFmtId="166" fontId="0" fillId="39" borderId="28" xfId="845" applyFont="1" applyFill="1" applyBorder="1" applyAlignment="1" applyProtection="1">
      <alignment/>
      <protection/>
    </xf>
    <xf numFmtId="4" fontId="0" fillId="39" borderId="28" xfId="0" applyNumberFormat="1" applyFont="1" applyFill="1" applyBorder="1" applyAlignment="1" applyProtection="1">
      <alignment horizontal="center"/>
      <protection/>
    </xf>
    <xf numFmtId="0" fontId="0" fillId="39" borderId="56" xfId="0" applyFont="1" applyFill="1" applyBorder="1" applyAlignment="1" applyProtection="1">
      <alignment/>
      <protection/>
    </xf>
    <xf numFmtId="175" fontId="0" fillId="39" borderId="56" xfId="845" applyNumberFormat="1" applyFont="1" applyFill="1" applyBorder="1" applyAlignment="1" applyProtection="1">
      <alignment/>
      <protection/>
    </xf>
    <xf numFmtId="0" fontId="0" fillId="39" borderId="56" xfId="0" applyFont="1" applyFill="1" applyBorder="1" applyAlignment="1" applyProtection="1">
      <alignment horizontal="center"/>
      <protection/>
    </xf>
    <xf numFmtId="166" fontId="0" fillId="39" borderId="56" xfId="845" applyFont="1" applyFill="1" applyBorder="1" applyAlignment="1" applyProtection="1">
      <alignment horizontal="center"/>
      <protection/>
    </xf>
    <xf numFmtId="0" fontId="0" fillId="39" borderId="27" xfId="0" applyFont="1" applyFill="1" applyBorder="1" applyAlignment="1" applyProtection="1">
      <alignment/>
      <protection/>
    </xf>
    <xf numFmtId="175" fontId="0" fillId="39" borderId="27" xfId="845" applyNumberFormat="1" applyFont="1" applyFill="1" applyBorder="1" applyAlignment="1" applyProtection="1">
      <alignment/>
      <protection/>
    </xf>
    <xf numFmtId="0" fontId="0" fillId="39" borderId="27" xfId="0" applyFont="1" applyFill="1" applyBorder="1" applyAlignment="1" applyProtection="1">
      <alignment horizontal="center"/>
      <protection/>
    </xf>
    <xf numFmtId="166" fontId="0" fillId="39" borderId="27" xfId="845" applyFont="1" applyFill="1" applyBorder="1" applyAlignment="1" applyProtection="1">
      <alignment horizontal="center"/>
      <protection/>
    </xf>
    <xf numFmtId="0" fontId="0" fillId="39" borderId="28" xfId="0" applyFont="1" applyFill="1" applyBorder="1" applyAlignment="1" applyProtection="1">
      <alignment/>
      <protection/>
    </xf>
    <xf numFmtId="175" fontId="0" fillId="39" borderId="28" xfId="845" applyNumberFormat="1" applyFont="1" applyFill="1" applyBorder="1" applyAlignment="1" applyProtection="1">
      <alignment/>
      <protection/>
    </xf>
    <xf numFmtId="0" fontId="0" fillId="39" borderId="28" xfId="0" applyFont="1" applyFill="1" applyBorder="1" applyAlignment="1" applyProtection="1">
      <alignment horizontal="center"/>
      <protection/>
    </xf>
    <xf numFmtId="166" fontId="0" fillId="39" borderId="28" xfId="845" applyFont="1" applyFill="1" applyBorder="1" applyAlignment="1" applyProtection="1">
      <alignment horizontal="center"/>
      <protection/>
    </xf>
    <xf numFmtId="0" fontId="1" fillId="39" borderId="23" xfId="0" applyFont="1" applyFill="1" applyBorder="1" applyAlignment="1" applyProtection="1">
      <alignment vertical="center"/>
      <protection/>
    </xf>
    <xf numFmtId="10" fontId="1" fillId="39" borderId="31" xfId="629" applyNumberFormat="1" applyFont="1" applyFill="1" applyBorder="1" applyAlignment="1" applyProtection="1">
      <alignment horizontal="center" vertical="center"/>
      <protection/>
    </xf>
    <xf numFmtId="0" fontId="10" fillId="39" borderId="23" xfId="0" applyFont="1" applyFill="1" applyBorder="1" applyAlignment="1" applyProtection="1">
      <alignment/>
      <protection/>
    </xf>
    <xf numFmtId="3" fontId="11" fillId="0" borderId="25" xfId="0" applyNumberFormat="1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3" fontId="11" fillId="0" borderId="45" xfId="0" applyNumberFormat="1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/>
    </xf>
    <xf numFmtId="3" fontId="11" fillId="0" borderId="32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3" fontId="9" fillId="0" borderId="23" xfId="0" applyNumberFormat="1" applyFont="1" applyBorder="1" applyAlignment="1">
      <alignment horizontal="center" vertical="center"/>
    </xf>
    <xf numFmtId="3" fontId="11" fillId="0" borderId="82" xfId="0" applyNumberFormat="1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46" xfId="0" applyNumberFormat="1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" fontId="7" fillId="39" borderId="53" xfId="0" applyNumberFormat="1" applyFont="1" applyFill="1" applyBorder="1" applyAlignment="1">
      <alignment horizontal="left"/>
    </xf>
    <xf numFmtId="0" fontId="7" fillId="39" borderId="54" xfId="0" applyFont="1" applyFill="1" applyBorder="1" applyAlignment="1">
      <alignment/>
    </xf>
    <xf numFmtId="1" fontId="5" fillId="39" borderId="54" xfId="0" applyNumberFormat="1" applyFont="1" applyFill="1" applyBorder="1" applyAlignment="1">
      <alignment horizontal="left"/>
    </xf>
    <xf numFmtId="0" fontId="5" fillId="39" borderId="54" xfId="0" applyFont="1" applyFill="1" applyBorder="1" applyAlignment="1">
      <alignment/>
    </xf>
    <xf numFmtId="0" fontId="5" fillId="39" borderId="55" xfId="0" applyFont="1" applyFill="1" applyBorder="1" applyAlignment="1">
      <alignment/>
    </xf>
    <xf numFmtId="1" fontId="73" fillId="0" borderId="47" xfId="0" applyNumberFormat="1" applyFont="1" applyBorder="1" applyAlignment="1">
      <alignment horizontal="left"/>
    </xf>
    <xf numFmtId="0" fontId="73" fillId="0" borderId="48" xfId="0" applyFont="1" applyBorder="1" applyAlignment="1">
      <alignment/>
    </xf>
    <xf numFmtId="0" fontId="73" fillId="0" borderId="49" xfId="0" applyFont="1" applyBorder="1" applyAlignment="1">
      <alignment/>
    </xf>
    <xf numFmtId="1" fontId="64" fillId="39" borderId="43" xfId="0" applyNumberFormat="1" applyFont="1" applyFill="1" applyBorder="1" applyAlignment="1">
      <alignment horizontal="left"/>
    </xf>
    <xf numFmtId="1" fontId="64" fillId="39" borderId="0" xfId="0" applyNumberFormat="1" applyFont="1" applyFill="1" applyBorder="1" applyAlignment="1">
      <alignment horizontal="left"/>
    </xf>
    <xf numFmtId="1" fontId="64" fillId="39" borderId="50" xfId="0" applyNumberFormat="1" applyFont="1" applyFill="1" applyBorder="1" applyAlignment="1">
      <alignment horizontal="left"/>
    </xf>
    <xf numFmtId="1" fontId="5" fillId="39" borderId="43" xfId="0" applyNumberFormat="1" applyFont="1" applyFill="1" applyBorder="1" applyAlignment="1">
      <alignment horizontal="left"/>
    </xf>
    <xf numFmtId="1" fontId="5" fillId="39" borderId="0" xfId="0" applyNumberFormat="1" applyFont="1" applyFill="1" applyBorder="1" applyAlignment="1">
      <alignment horizontal="left"/>
    </xf>
    <xf numFmtId="1" fontId="5" fillId="39" borderId="50" xfId="0" applyNumberFormat="1" applyFont="1" applyFill="1" applyBorder="1" applyAlignment="1">
      <alignment horizontal="left"/>
    </xf>
    <xf numFmtId="0" fontId="77" fillId="0" borderId="88" xfId="0" applyFont="1" applyBorder="1" applyAlignment="1">
      <alignment horizontal="center" vertical="center"/>
    </xf>
    <xf numFmtId="0" fontId="73" fillId="0" borderId="89" xfId="0" applyFont="1" applyBorder="1" applyAlignment="1">
      <alignment/>
    </xf>
    <xf numFmtId="1" fontId="72" fillId="0" borderId="47" xfId="0" applyNumberFormat="1" applyFont="1" applyBorder="1" applyAlignment="1">
      <alignment horizontal="left"/>
    </xf>
    <xf numFmtId="0" fontId="105" fillId="0" borderId="90" xfId="0" applyFont="1" applyBorder="1" applyAlignment="1">
      <alignment horizontal="center" vertical="center" wrapText="1"/>
    </xf>
    <xf numFmtId="0" fontId="73" fillId="0" borderId="91" xfId="0" applyFont="1" applyBorder="1" applyAlignment="1">
      <alignment/>
    </xf>
    <xf numFmtId="0" fontId="73" fillId="0" borderId="92" xfId="0" applyFont="1" applyBorder="1" applyAlignment="1">
      <alignment/>
    </xf>
    <xf numFmtId="0" fontId="73" fillId="0" borderId="43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93" xfId="0" applyFont="1" applyBorder="1" applyAlignment="1">
      <alignment/>
    </xf>
    <xf numFmtId="0" fontId="77" fillId="0" borderId="94" xfId="0" applyFont="1" applyBorder="1" applyAlignment="1">
      <alignment horizontal="center" vertical="center"/>
    </xf>
    <xf numFmtId="0" fontId="73" fillId="0" borderId="54" xfId="0" applyFont="1" applyBorder="1" applyAlignment="1">
      <alignment/>
    </xf>
    <xf numFmtId="0" fontId="73" fillId="0" borderId="95" xfId="0" applyFont="1" applyBorder="1" applyAlignment="1">
      <alignment/>
    </xf>
    <xf numFmtId="0" fontId="73" fillId="0" borderId="96" xfId="0" applyFont="1" applyBorder="1" applyAlignment="1">
      <alignment/>
    </xf>
    <xf numFmtId="0" fontId="73" fillId="0" borderId="51" xfId="0" applyFont="1" applyBorder="1" applyAlignment="1">
      <alignment/>
    </xf>
    <xf numFmtId="0" fontId="73" fillId="0" borderId="97" xfId="0" applyFont="1" applyBorder="1" applyAlignment="1">
      <alignment/>
    </xf>
    <xf numFmtId="1" fontId="72" fillId="0" borderId="98" xfId="0" applyNumberFormat="1" applyFont="1" applyBorder="1" applyAlignment="1">
      <alignment horizontal="left"/>
    </xf>
    <xf numFmtId="0" fontId="73" fillId="0" borderId="99" xfId="0" applyFont="1" applyBorder="1" applyAlignment="1">
      <alignment/>
    </xf>
    <xf numFmtId="0" fontId="73" fillId="0" borderId="100" xfId="0" applyFont="1" applyBorder="1" applyAlignment="1">
      <alignment/>
    </xf>
    <xf numFmtId="0" fontId="85" fillId="39" borderId="43" xfId="0" applyFont="1" applyFill="1" applyBorder="1" applyAlignment="1">
      <alignment horizontal="center" vertical="center"/>
    </xf>
    <xf numFmtId="0" fontId="85" fillId="39" borderId="0" xfId="0" applyFont="1" applyFill="1" applyBorder="1" applyAlignment="1">
      <alignment horizontal="center" vertical="center"/>
    </xf>
    <xf numFmtId="0" fontId="85" fillId="39" borderId="50" xfId="0" applyFont="1" applyFill="1" applyBorder="1" applyAlignment="1">
      <alignment horizontal="center" vertical="center"/>
    </xf>
    <xf numFmtId="0" fontId="85" fillId="39" borderId="44" xfId="0" applyFont="1" applyFill="1" applyBorder="1" applyAlignment="1">
      <alignment horizontal="center" vertical="center"/>
    </xf>
    <xf numFmtId="0" fontId="85" fillId="39" borderId="51" xfId="0" applyFont="1" applyFill="1" applyBorder="1" applyAlignment="1">
      <alignment horizontal="center" vertical="center"/>
    </xf>
    <xf numFmtId="0" fontId="85" fillId="39" borderId="52" xfId="0" applyFont="1" applyFill="1" applyBorder="1" applyAlignment="1">
      <alignment horizontal="center" vertical="center"/>
    </xf>
    <xf numFmtId="1" fontId="73" fillId="40" borderId="47" xfId="0" applyNumberFormat="1" applyFont="1" applyFill="1" applyBorder="1" applyAlignment="1">
      <alignment horizontal="left"/>
    </xf>
    <xf numFmtId="0" fontId="73" fillId="40" borderId="48" xfId="0" applyFont="1" applyFill="1" applyBorder="1" applyAlignment="1">
      <alignment/>
    </xf>
    <xf numFmtId="0" fontId="73" fillId="40" borderId="49" xfId="0" applyFont="1" applyFill="1" applyBorder="1" applyAlignment="1">
      <alignment/>
    </xf>
    <xf numFmtId="40" fontId="85" fillId="0" borderId="101" xfId="0" applyNumberFormat="1" applyFont="1" applyBorder="1" applyAlignment="1">
      <alignment horizontal="center" vertical="center"/>
    </xf>
    <xf numFmtId="0" fontId="73" fillId="0" borderId="102" xfId="0" applyFont="1" applyBorder="1" applyAlignment="1">
      <alignment/>
    </xf>
    <xf numFmtId="1" fontId="73" fillId="39" borderId="44" xfId="0" applyNumberFormat="1" applyFont="1" applyFill="1" applyBorder="1" applyAlignment="1">
      <alignment horizontal="left"/>
    </xf>
    <xf numFmtId="0" fontId="73" fillId="39" borderId="51" xfId="0" applyFont="1" applyFill="1" applyBorder="1" applyAlignment="1">
      <alignment/>
    </xf>
    <xf numFmtId="1" fontId="73" fillId="39" borderId="51" xfId="0" applyNumberFormat="1" applyFont="1" applyFill="1" applyBorder="1" applyAlignment="1">
      <alignment horizontal="left"/>
    </xf>
    <xf numFmtId="0" fontId="73" fillId="39" borderId="52" xfId="0" applyFont="1" applyFill="1" applyBorder="1" applyAlignment="1">
      <alignment/>
    </xf>
    <xf numFmtId="1" fontId="100" fillId="40" borderId="47" xfId="0" applyNumberFormat="1" applyFont="1" applyFill="1" applyBorder="1" applyAlignment="1">
      <alignment horizontal="left"/>
    </xf>
    <xf numFmtId="0" fontId="100" fillId="40" borderId="48" xfId="0" applyFont="1" applyFill="1" applyBorder="1" applyAlignment="1">
      <alignment/>
    </xf>
    <xf numFmtId="0" fontId="100" fillId="40" borderId="49" xfId="0" applyFont="1" applyFill="1" applyBorder="1" applyAlignment="1">
      <alignment/>
    </xf>
    <xf numFmtId="1" fontId="73" fillId="0" borderId="48" xfId="0" applyNumberFormat="1" applyFont="1" applyBorder="1" applyAlignment="1">
      <alignment horizontal="left"/>
    </xf>
    <xf numFmtId="1" fontId="73" fillId="0" borderId="49" xfId="0" applyNumberFormat="1" applyFont="1" applyBorder="1" applyAlignment="1">
      <alignment horizontal="left"/>
    </xf>
    <xf numFmtId="165" fontId="85" fillId="0" borderId="103" xfId="0" applyNumberFormat="1" applyFont="1" applyBorder="1" applyAlignment="1">
      <alignment horizontal="center" vertical="center"/>
    </xf>
    <xf numFmtId="0" fontId="73" fillId="0" borderId="104" xfId="0" applyFont="1" applyBorder="1" applyAlignment="1">
      <alignment/>
    </xf>
    <xf numFmtId="10" fontId="85" fillId="0" borderId="101" xfId="0" applyNumberFormat="1" applyFont="1" applyBorder="1" applyAlignment="1">
      <alignment horizontal="center" vertical="center"/>
    </xf>
    <xf numFmtId="10" fontId="73" fillId="0" borderId="102" xfId="0" applyNumberFormat="1" applyFont="1" applyBorder="1" applyAlignment="1">
      <alignment/>
    </xf>
    <xf numFmtId="0" fontId="112" fillId="39" borderId="0" xfId="0" applyFont="1" applyFill="1" applyBorder="1" applyAlignment="1">
      <alignment horizontal="center" vertical="center"/>
    </xf>
    <xf numFmtId="0" fontId="73" fillId="39" borderId="0" xfId="0" applyFont="1" applyFill="1" applyBorder="1" applyAlignment="1">
      <alignment/>
    </xf>
    <xf numFmtId="10" fontId="104" fillId="39" borderId="0" xfId="0" applyNumberFormat="1" applyFont="1" applyFill="1" applyBorder="1" applyAlignment="1">
      <alignment horizontal="center" vertical="center"/>
    </xf>
    <xf numFmtId="0" fontId="103" fillId="39" borderId="0" xfId="0" applyFont="1" applyFill="1" applyBorder="1" applyAlignment="1">
      <alignment/>
    </xf>
    <xf numFmtId="0" fontId="105" fillId="39" borderId="0" xfId="0" applyFont="1" applyFill="1" applyBorder="1" applyAlignment="1">
      <alignment horizontal="center" vertical="center"/>
    </xf>
    <xf numFmtId="1" fontId="85" fillId="39" borderId="43" xfId="0" applyNumberFormat="1" applyFont="1" applyFill="1" applyBorder="1" applyAlignment="1">
      <alignment horizontal="left"/>
    </xf>
    <xf numFmtId="1" fontId="85" fillId="39" borderId="0" xfId="0" applyNumberFormat="1" applyFont="1" applyFill="1" applyBorder="1" applyAlignment="1">
      <alignment horizontal="left"/>
    </xf>
    <xf numFmtId="1" fontId="85" fillId="39" borderId="50" xfId="0" applyNumberFormat="1" applyFont="1" applyFill="1" applyBorder="1" applyAlignment="1">
      <alignment horizontal="left"/>
    </xf>
    <xf numFmtId="1" fontId="85" fillId="39" borderId="53" xfId="0" applyNumberFormat="1" applyFont="1" applyFill="1" applyBorder="1" applyAlignment="1">
      <alignment horizontal="left"/>
    </xf>
    <xf numFmtId="0" fontId="85" fillId="39" borderId="54" xfId="0" applyFont="1" applyFill="1" applyBorder="1" applyAlignment="1">
      <alignment/>
    </xf>
    <xf numFmtId="1" fontId="85" fillId="39" borderId="54" xfId="0" applyNumberFormat="1" applyFont="1" applyFill="1" applyBorder="1" applyAlignment="1">
      <alignment horizontal="left"/>
    </xf>
    <xf numFmtId="0" fontId="85" fillId="39" borderId="55" xfId="0" applyFont="1" applyFill="1" applyBorder="1" applyAlignment="1">
      <alignment/>
    </xf>
    <xf numFmtId="0" fontId="85" fillId="39" borderId="0" xfId="0" applyFont="1" applyFill="1" applyBorder="1" applyAlignment="1">
      <alignment/>
    </xf>
    <xf numFmtId="0" fontId="85" fillId="39" borderId="50" xfId="0" applyFont="1" applyFill="1" applyBorder="1" applyAlignment="1">
      <alignment/>
    </xf>
    <xf numFmtId="3" fontId="4" fillId="0" borderId="25" xfId="0" applyNumberFormat="1" applyFont="1" applyBorder="1" applyAlignment="1">
      <alignment horizontal="center" vertical="center" wrapText="1"/>
    </xf>
    <xf numFmtId="4" fontId="0" fillId="0" borderId="24" xfId="845" applyNumberFormat="1" applyFont="1" applyBorder="1" applyAlignment="1">
      <alignment horizontal="center"/>
    </xf>
    <xf numFmtId="4" fontId="0" fillId="0" borderId="32" xfId="845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4" fillId="0" borderId="62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5" fillId="0" borderId="76" xfId="0" applyNumberFormat="1" applyFont="1" applyBorder="1" applyAlignment="1">
      <alignment horizontal="center"/>
    </xf>
    <xf numFmtId="3" fontId="5" fillId="0" borderId="62" xfId="0" applyNumberFormat="1" applyFont="1" applyBorder="1" applyAlignment="1">
      <alignment horizontal="center"/>
    </xf>
    <xf numFmtId="3" fontId="5" fillId="0" borderId="63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0" fillId="0" borderId="76" xfId="0" applyNumberFormat="1" applyFont="1" applyBorder="1" applyAlignment="1">
      <alignment horizontal="center"/>
    </xf>
    <xf numFmtId="3" fontId="0" fillId="0" borderId="62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64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4" fillId="0" borderId="62" xfId="0" applyNumberFormat="1" applyFont="1" applyBorder="1" applyAlignment="1">
      <alignment horizontal="center" vertical="center"/>
    </xf>
    <xf numFmtId="3" fontId="4" fillId="0" borderId="63" xfId="0" applyNumberFormat="1" applyFont="1" applyBorder="1" applyAlignment="1">
      <alignment horizontal="center" vertical="center"/>
    </xf>
    <xf numFmtId="0" fontId="4" fillId="28" borderId="23" xfId="0" applyFont="1" applyFill="1" applyBorder="1" applyAlignment="1">
      <alignment horizontal="left"/>
    </xf>
    <xf numFmtId="0" fontId="4" fillId="39" borderId="23" xfId="0" applyFont="1" applyFill="1" applyBorder="1" applyAlignment="1">
      <alignment horizontal="center" vertical="center"/>
    </xf>
    <xf numFmtId="0" fontId="7" fillId="28" borderId="23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/>
    </xf>
    <xf numFmtId="0" fontId="7" fillId="28" borderId="23" xfId="0" applyFont="1" applyFill="1" applyBorder="1" applyAlignment="1">
      <alignment horizontal="center"/>
    </xf>
    <xf numFmtId="0" fontId="12" fillId="28" borderId="23" xfId="0" applyFont="1" applyFill="1" applyBorder="1" applyAlignment="1">
      <alignment horizontal="center"/>
    </xf>
    <xf numFmtId="0" fontId="4" fillId="28" borderId="24" xfId="0" applyFont="1" applyFill="1" applyBorder="1" applyAlignment="1">
      <alignment horizontal="center" vertical="center"/>
    </xf>
    <xf numFmtId="0" fontId="4" fillId="28" borderId="46" xfId="0" applyFont="1" applyFill="1" applyBorder="1" applyAlignment="1">
      <alignment horizontal="center" vertical="center"/>
    </xf>
    <xf numFmtId="0" fontId="4" fillId="28" borderId="32" xfId="0" applyFont="1" applyFill="1" applyBorder="1" applyAlignment="1">
      <alignment horizontal="center" vertical="center"/>
    </xf>
    <xf numFmtId="0" fontId="5" fillId="28" borderId="24" xfId="0" applyFont="1" applyFill="1" applyBorder="1" applyAlignment="1">
      <alignment horizontal="center"/>
    </xf>
    <xf numFmtId="0" fontId="5" fillId="28" borderId="46" xfId="0" applyFont="1" applyFill="1" applyBorder="1" applyAlignment="1">
      <alignment horizontal="center"/>
    </xf>
    <xf numFmtId="0" fontId="5" fillId="28" borderId="32" xfId="0" applyFont="1" applyFill="1" applyBorder="1" applyAlignment="1">
      <alignment horizontal="center"/>
    </xf>
    <xf numFmtId="0" fontId="0" fillId="39" borderId="23" xfId="0" applyFill="1" applyBorder="1" applyAlignment="1" applyProtection="1">
      <alignment horizontal="center"/>
      <protection/>
    </xf>
    <xf numFmtId="0" fontId="62" fillId="39" borderId="23" xfId="0" applyFont="1" applyFill="1" applyBorder="1" applyAlignment="1" applyProtection="1">
      <alignment/>
      <protection/>
    </xf>
    <xf numFmtId="4" fontId="0" fillId="39" borderId="27" xfId="767" applyNumberFormat="1" applyFont="1" applyFill="1" applyBorder="1" applyAlignment="1" applyProtection="1">
      <alignment horizontal="center" vertical="center" wrapText="1"/>
      <protection/>
    </xf>
    <xf numFmtId="4" fontId="0" fillId="39" borderId="85" xfId="845" applyNumberFormat="1" applyFont="1" applyFill="1" applyBorder="1" applyAlignment="1" applyProtection="1">
      <alignment horizontal="center" vertical="center" wrapText="1"/>
      <protection/>
    </xf>
    <xf numFmtId="4" fontId="0" fillId="39" borderId="86" xfId="845" applyNumberFormat="1" applyFont="1" applyFill="1" applyBorder="1" applyAlignment="1" applyProtection="1">
      <alignment horizontal="center" vertical="center" wrapText="1"/>
      <protection/>
    </xf>
    <xf numFmtId="4" fontId="0" fillId="39" borderId="87" xfId="845" applyNumberFormat="1" applyFont="1" applyFill="1" applyBorder="1" applyAlignment="1" applyProtection="1">
      <alignment horizontal="center" vertical="center" wrapText="1"/>
      <protection/>
    </xf>
    <xf numFmtId="166" fontId="0" fillId="39" borderId="28" xfId="845" applyFont="1" applyFill="1" applyBorder="1" applyAlignment="1" applyProtection="1">
      <alignment horizontal="left"/>
      <protection/>
    </xf>
    <xf numFmtId="177" fontId="0" fillId="39" borderId="28" xfId="0" applyNumberFormat="1" applyFont="1" applyFill="1" applyBorder="1" applyAlignment="1" applyProtection="1">
      <alignment horizontal="center"/>
      <protection/>
    </xf>
    <xf numFmtId="39" fontId="0" fillId="39" borderId="28" xfId="845" applyNumberFormat="1" applyFont="1" applyFill="1" applyBorder="1" applyAlignment="1" applyProtection="1">
      <alignment/>
      <protection/>
    </xf>
    <xf numFmtId="4" fontId="0" fillId="39" borderId="27" xfId="0" applyNumberFormat="1" applyFill="1" applyBorder="1" applyAlignment="1" applyProtection="1">
      <alignment horizontal="center"/>
      <protection/>
    </xf>
    <xf numFmtId="166" fontId="0" fillId="39" borderId="85" xfId="766" applyFont="1" applyFill="1" applyBorder="1" applyAlignment="1" applyProtection="1">
      <alignment horizontal="left" vertical="center" wrapText="1"/>
      <protection/>
    </xf>
    <xf numFmtId="166" fontId="0" fillId="39" borderId="86" xfId="766" applyFill="1" applyBorder="1" applyAlignment="1" applyProtection="1">
      <alignment horizontal="left" vertical="center" wrapText="1"/>
      <protection/>
    </xf>
    <xf numFmtId="166" fontId="0" fillId="39" borderId="87" xfId="766" applyFill="1" applyBorder="1" applyAlignment="1" applyProtection="1">
      <alignment horizontal="left" vertical="center" wrapText="1"/>
      <protection/>
    </xf>
    <xf numFmtId="4" fontId="0" fillId="39" borderId="56" xfId="0" applyNumberFormat="1" applyFill="1" applyBorder="1" applyAlignment="1" applyProtection="1">
      <alignment horizontal="center"/>
      <protection/>
    </xf>
    <xf numFmtId="166" fontId="0" fillId="39" borderId="85" xfId="714" applyFont="1" applyFill="1" applyBorder="1" applyAlignment="1" applyProtection="1">
      <alignment horizontal="left" vertical="center" wrapText="1"/>
      <protection/>
    </xf>
    <xf numFmtId="166" fontId="0" fillId="39" borderId="86" xfId="714" applyFont="1" applyFill="1" applyBorder="1" applyAlignment="1" applyProtection="1">
      <alignment horizontal="left" vertical="center" wrapText="1"/>
      <protection/>
    </xf>
    <xf numFmtId="166" fontId="0" fillId="39" borderId="87" xfId="714" applyFont="1" applyFill="1" applyBorder="1" applyAlignment="1" applyProtection="1">
      <alignment horizontal="left" vertical="center" wrapText="1"/>
      <protection/>
    </xf>
    <xf numFmtId="0" fontId="61" fillId="39" borderId="24" xfId="0" applyFont="1" applyFill="1" applyBorder="1" applyAlignment="1" applyProtection="1">
      <alignment horizontal="center" vertical="center"/>
      <protection/>
    </xf>
    <xf numFmtId="0" fontId="61" fillId="39" borderId="46" xfId="0" applyFont="1" applyFill="1" applyBorder="1" applyAlignment="1" applyProtection="1">
      <alignment horizontal="center" vertical="center"/>
      <protection/>
    </xf>
    <xf numFmtId="0" fontId="13" fillId="39" borderId="76" xfId="845" applyNumberFormat="1" applyFont="1" applyFill="1" applyBorder="1" applyAlignment="1" applyProtection="1">
      <alignment horizontal="left" vertical="center" wrapText="1"/>
      <protection/>
    </xf>
    <xf numFmtId="0" fontId="13" fillId="39" borderId="62" xfId="845" applyNumberFormat="1" applyFont="1" applyFill="1" applyBorder="1" applyAlignment="1" applyProtection="1">
      <alignment horizontal="left" vertical="center" wrapText="1"/>
      <protection/>
    </xf>
    <xf numFmtId="0" fontId="13" fillId="39" borderId="63" xfId="845" applyNumberFormat="1" applyFont="1" applyFill="1" applyBorder="1" applyAlignment="1" applyProtection="1">
      <alignment horizontal="left" vertical="center" wrapText="1"/>
      <protection/>
    </xf>
  </cellXfs>
  <cellStyles count="841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Ênfase1" xfId="22"/>
    <cellStyle name="20% - Ênfase1 2" xfId="23"/>
    <cellStyle name="20% - Ênfase1 2 2" xfId="24"/>
    <cellStyle name="20% - Ênfase1 2 3" xfId="25"/>
    <cellStyle name="20% - Ênfase1 2 4" xfId="26"/>
    <cellStyle name="20% - Ênfase1 2_Compo" xfId="27"/>
    <cellStyle name="20% - Ênfase1 3" xfId="28"/>
    <cellStyle name="20% - Ênfase1 4" xfId="29"/>
    <cellStyle name="20% - Ênfase1 5" xfId="30"/>
    <cellStyle name="20% - Ênfase2" xfId="31"/>
    <cellStyle name="20% - Ênfase2 2" xfId="32"/>
    <cellStyle name="20% - Ênfase2 2 2" xfId="33"/>
    <cellStyle name="20% - Ênfase2 2 3" xfId="34"/>
    <cellStyle name="20% - Ênfase2 2 4" xfId="35"/>
    <cellStyle name="20% - Ênfase2 2_Compo" xfId="36"/>
    <cellStyle name="20% - Ênfase2 3" xfId="37"/>
    <cellStyle name="20% - Ênfase2 4" xfId="38"/>
    <cellStyle name="20% - Ênfase2 5" xfId="39"/>
    <cellStyle name="20% - Ênfase3" xfId="40"/>
    <cellStyle name="20% - Ênfase3 2" xfId="41"/>
    <cellStyle name="20% - Ênfase3 2 2" xfId="42"/>
    <cellStyle name="20% - Ênfase3 2 3" xfId="43"/>
    <cellStyle name="20% - Ênfase3 2 4" xfId="44"/>
    <cellStyle name="20% - Ênfase3 2_Compo" xfId="45"/>
    <cellStyle name="20% - Ênfase3 3" xfId="46"/>
    <cellStyle name="20% - Ênfase3 4" xfId="47"/>
    <cellStyle name="20% - Ênfase3 5" xfId="48"/>
    <cellStyle name="20% - Ênfase4" xfId="49"/>
    <cellStyle name="20% - Ênfase4 2" xfId="50"/>
    <cellStyle name="20% - Ênfase4 2 2" xfId="51"/>
    <cellStyle name="20% - Ênfase4 2 3" xfId="52"/>
    <cellStyle name="20% - Ênfase4 2 4" xfId="53"/>
    <cellStyle name="20% - Ênfase4 2_Compo" xfId="54"/>
    <cellStyle name="20% - Ênfase4 3" xfId="55"/>
    <cellStyle name="20% - Ênfase4 4" xfId="56"/>
    <cellStyle name="20% - Ênfase4 5" xfId="57"/>
    <cellStyle name="20% - Ênfase5" xfId="58"/>
    <cellStyle name="20% - Ênfase5 2" xfId="59"/>
    <cellStyle name="20% - Ênfase5 2 2" xfId="60"/>
    <cellStyle name="20% - Ênfase5 2 3" xfId="61"/>
    <cellStyle name="20% - Ênfase5 2 4" xfId="62"/>
    <cellStyle name="20% - Ênfase5 2_Compo" xfId="63"/>
    <cellStyle name="20% - Ênfase5 3" xfId="64"/>
    <cellStyle name="20% - Ênfase5 4" xfId="65"/>
    <cellStyle name="20% - Ênfase5 5" xfId="66"/>
    <cellStyle name="20% - Ênfase6" xfId="67"/>
    <cellStyle name="20% - Ênfase6 2" xfId="68"/>
    <cellStyle name="20% - Ênfase6 2 2" xfId="69"/>
    <cellStyle name="20% - Ênfase6 2 3" xfId="70"/>
    <cellStyle name="20% - Ênfase6 2 4" xfId="71"/>
    <cellStyle name="20% - Ênfase6 2_Compo" xfId="72"/>
    <cellStyle name="20% - Ênfase6 3" xfId="73"/>
    <cellStyle name="20% - Ênfase6 4" xfId="74"/>
    <cellStyle name="20% - Ênfase6 5" xfId="75"/>
    <cellStyle name="40% - Accent1" xfId="76"/>
    <cellStyle name="40% - Accent2" xfId="77"/>
    <cellStyle name="40% - Accent3" xfId="78"/>
    <cellStyle name="40% - Accent4" xfId="79"/>
    <cellStyle name="40% - Accent5" xfId="80"/>
    <cellStyle name="40% - Accent6" xfId="81"/>
    <cellStyle name="40% - Ênfase1" xfId="82"/>
    <cellStyle name="40% - Ênfase1 2" xfId="83"/>
    <cellStyle name="40% - Ênfase1 2 2" xfId="84"/>
    <cellStyle name="40% - Ênfase1 2 3" xfId="85"/>
    <cellStyle name="40% - Ênfase1 2 4" xfId="86"/>
    <cellStyle name="40% - Ênfase1 2_Compo" xfId="87"/>
    <cellStyle name="40% - Ênfase1 3" xfId="88"/>
    <cellStyle name="40% - Ênfase1 4" xfId="89"/>
    <cellStyle name="40% - Ênfase1 5" xfId="90"/>
    <cellStyle name="40% - Ênfase2" xfId="91"/>
    <cellStyle name="40% - Ênfase2 2" xfId="92"/>
    <cellStyle name="40% - Ênfase2 2 2" xfId="93"/>
    <cellStyle name="40% - Ênfase2 2 3" xfId="94"/>
    <cellStyle name="40% - Ênfase2 2 4" xfId="95"/>
    <cellStyle name="40% - Ênfase2 2_Compo" xfId="96"/>
    <cellStyle name="40% - Ênfase2 3" xfId="97"/>
    <cellStyle name="40% - Ênfase2 4" xfId="98"/>
    <cellStyle name="40% - Ênfase2 5" xfId="99"/>
    <cellStyle name="40% - Ênfase3" xfId="100"/>
    <cellStyle name="40% - Ênfase3 2" xfId="101"/>
    <cellStyle name="40% - Ênfase3 2 2" xfId="102"/>
    <cellStyle name="40% - Ênfase3 2 3" xfId="103"/>
    <cellStyle name="40% - Ênfase3 2 4" xfId="104"/>
    <cellStyle name="40% - Ênfase3 2_Compo" xfId="105"/>
    <cellStyle name="40% - Ênfase3 3" xfId="106"/>
    <cellStyle name="40% - Ênfase3 4" xfId="107"/>
    <cellStyle name="40% - Ênfase3 5" xfId="108"/>
    <cellStyle name="40% - Ênfase4" xfId="109"/>
    <cellStyle name="40% - Ênfase4 2" xfId="110"/>
    <cellStyle name="40% - Ênfase4 2 2" xfId="111"/>
    <cellStyle name="40% - Ênfase4 2 3" xfId="112"/>
    <cellStyle name="40% - Ênfase4 2 4" xfId="113"/>
    <cellStyle name="40% - Ênfase4 2_Compo" xfId="114"/>
    <cellStyle name="40% - Ênfase4 3" xfId="115"/>
    <cellStyle name="40% - Ênfase4 4" xfId="116"/>
    <cellStyle name="40% - Ênfase4 5" xfId="117"/>
    <cellStyle name="40% - Ênfase5" xfId="118"/>
    <cellStyle name="40% - Ênfase5 2" xfId="119"/>
    <cellStyle name="40% - Ênfase5 2 2" xfId="120"/>
    <cellStyle name="40% - Ênfase5 2 3" xfId="121"/>
    <cellStyle name="40% - Ênfase5 2 4" xfId="122"/>
    <cellStyle name="40% - Ênfase5 2_Compo" xfId="123"/>
    <cellStyle name="40% - Ênfase5 3" xfId="124"/>
    <cellStyle name="40% - Ênfase5 4" xfId="125"/>
    <cellStyle name="40% - Ênfase5 5" xfId="126"/>
    <cellStyle name="40% - Ênfase6" xfId="127"/>
    <cellStyle name="40% - Ênfase6 2" xfId="128"/>
    <cellStyle name="40% - Ênfase6 2 2" xfId="129"/>
    <cellStyle name="40% - Ênfase6 2 3" xfId="130"/>
    <cellStyle name="40% - Ênfase6 2 4" xfId="131"/>
    <cellStyle name="40% - Ênfase6 2_Compo" xfId="132"/>
    <cellStyle name="40% - Ênfase6 3" xfId="133"/>
    <cellStyle name="40% - Ênfase6 4" xfId="134"/>
    <cellStyle name="40% - Ênfase6 5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Ênfase1" xfId="142"/>
    <cellStyle name="60% - Ênfase1 2" xfId="143"/>
    <cellStyle name="60% - Ênfase1 2 2" xfId="144"/>
    <cellStyle name="60% - Ênfase1 2 3" xfId="145"/>
    <cellStyle name="60% - Ênfase1 2_ORÇAMENTO - FORUM DE V. GRANDE" xfId="146"/>
    <cellStyle name="60% - Ênfase1 3" xfId="147"/>
    <cellStyle name="60% - Ênfase1 4" xfId="148"/>
    <cellStyle name="60% - Ênfase1 5" xfId="149"/>
    <cellStyle name="60% - Ênfase1 6" xfId="150"/>
    <cellStyle name="60% - Ênfase2" xfId="151"/>
    <cellStyle name="60% - Ênfase2 2" xfId="152"/>
    <cellStyle name="60% - Ênfase2 2 2" xfId="153"/>
    <cellStyle name="60% - Ênfase2 2 3" xfId="154"/>
    <cellStyle name="60% - Ênfase2 2_ORÇAMENTO - FORUM DE V. GRANDE" xfId="155"/>
    <cellStyle name="60% - Ênfase2 3" xfId="156"/>
    <cellStyle name="60% - Ênfase2 4" xfId="157"/>
    <cellStyle name="60% - Ênfase2 5" xfId="158"/>
    <cellStyle name="60% - Ênfase2 6" xfId="159"/>
    <cellStyle name="60% - Ênfase3" xfId="160"/>
    <cellStyle name="60% - Ênfase3 2" xfId="161"/>
    <cellStyle name="60% - Ênfase3 2 2" xfId="162"/>
    <cellStyle name="60% - Ênfase3 2 3" xfId="163"/>
    <cellStyle name="60% - Ênfase3 2_ORÇAMENTO - FORUM DE V. GRANDE" xfId="164"/>
    <cellStyle name="60% - Ênfase3 3" xfId="165"/>
    <cellStyle name="60% - Ênfase3 4" xfId="166"/>
    <cellStyle name="60% - Ênfase3 5" xfId="167"/>
    <cellStyle name="60% - Ênfase3 6" xfId="168"/>
    <cellStyle name="60% - Ênfase4" xfId="169"/>
    <cellStyle name="60% - Ênfase4 2" xfId="170"/>
    <cellStyle name="60% - Ênfase4 2 2" xfId="171"/>
    <cellStyle name="60% - Ênfase4 2 3" xfId="172"/>
    <cellStyle name="60% - Ênfase4 2_ORÇAMENTO - FORUM DE V. GRANDE" xfId="173"/>
    <cellStyle name="60% - Ênfase4 3" xfId="174"/>
    <cellStyle name="60% - Ênfase4 4" xfId="175"/>
    <cellStyle name="60% - Ênfase4 5" xfId="176"/>
    <cellStyle name="60% - Ênfase4 6" xfId="177"/>
    <cellStyle name="60% - Ênfase5" xfId="178"/>
    <cellStyle name="60% - Ênfase5 2" xfId="179"/>
    <cellStyle name="60% - Ênfase5 2 2" xfId="180"/>
    <cellStyle name="60% - Ênfase5 2 3" xfId="181"/>
    <cellStyle name="60% - Ênfase5 2_ORÇAMENTO - FORUM DE V. GRANDE" xfId="182"/>
    <cellStyle name="60% - Ênfase5 3" xfId="183"/>
    <cellStyle name="60% - Ênfase5 4" xfId="184"/>
    <cellStyle name="60% - Ênfase5 5" xfId="185"/>
    <cellStyle name="60% - Ênfase5 6" xfId="186"/>
    <cellStyle name="60% - Ênfase6" xfId="187"/>
    <cellStyle name="60% - Ênfase6 2" xfId="188"/>
    <cellStyle name="60% - Ênfase6 2 2" xfId="189"/>
    <cellStyle name="60% - Ênfase6 2 3" xfId="190"/>
    <cellStyle name="60% - Ênfase6 2_ORÇAMENTO - FORUM DE V. GRANDE" xfId="191"/>
    <cellStyle name="60% - Ênfase6 3" xfId="192"/>
    <cellStyle name="60% - Ênfase6 4" xfId="193"/>
    <cellStyle name="60% - Ênfase6 5" xfId="194"/>
    <cellStyle name="60% - Ênfase6 6" xfId="195"/>
    <cellStyle name="Accent1" xfId="196"/>
    <cellStyle name="Accent2" xfId="197"/>
    <cellStyle name="Accent3" xfId="198"/>
    <cellStyle name="Accent4" xfId="199"/>
    <cellStyle name="Accent5" xfId="200"/>
    <cellStyle name="Accent6" xfId="201"/>
    <cellStyle name="Bad" xfId="202"/>
    <cellStyle name="Bom" xfId="203"/>
    <cellStyle name="Bom 2" xfId="204"/>
    <cellStyle name="Bom 2 2" xfId="205"/>
    <cellStyle name="Bom 2 3" xfId="206"/>
    <cellStyle name="Bom 2_ORÇAMENTO - FORUM DE V. GRANDE" xfId="207"/>
    <cellStyle name="Bom 3" xfId="208"/>
    <cellStyle name="Bom 4" xfId="209"/>
    <cellStyle name="Bom 5" xfId="210"/>
    <cellStyle name="Bom 6" xfId="211"/>
    <cellStyle name="Calculation" xfId="212"/>
    <cellStyle name="Cálculo" xfId="213"/>
    <cellStyle name="Cálculo 2" xfId="214"/>
    <cellStyle name="Cálculo 2 2" xfId="215"/>
    <cellStyle name="Cálculo 2 3" xfId="216"/>
    <cellStyle name="Cálculo 2_CIVIL- BL 1-2-3-4-5-6-7-8 " xfId="217"/>
    <cellStyle name="Cálculo 3" xfId="218"/>
    <cellStyle name="Cálculo 4" xfId="219"/>
    <cellStyle name="Cálculo 5" xfId="220"/>
    <cellStyle name="Cálculo 6" xfId="221"/>
    <cellStyle name="Cancel" xfId="222"/>
    <cellStyle name="Célula de Verificação" xfId="223"/>
    <cellStyle name="Célula de Verificação 2" xfId="224"/>
    <cellStyle name="Célula de Verificação 2 2" xfId="225"/>
    <cellStyle name="Célula de Verificação 2 3" xfId="226"/>
    <cellStyle name="Célula de Verificação 2_CIVIL- BL 1-2-3-4-5-6-7-8 " xfId="227"/>
    <cellStyle name="Célula de Verificação 3" xfId="228"/>
    <cellStyle name="Célula de Verificação 4" xfId="229"/>
    <cellStyle name="Célula de Verificação 5" xfId="230"/>
    <cellStyle name="Célula de Verificação 6" xfId="231"/>
    <cellStyle name="Célula Vinculada" xfId="232"/>
    <cellStyle name="Célula Vinculada 2" xfId="233"/>
    <cellStyle name="Célula Vinculada 2 2" xfId="234"/>
    <cellStyle name="Célula Vinculada 2 3" xfId="235"/>
    <cellStyle name="Célula Vinculada 2_CIVIL- BL 1-2-3-4-5-6-7-8 " xfId="236"/>
    <cellStyle name="Célula Vinculada 3" xfId="237"/>
    <cellStyle name="Célula Vinculada 4" xfId="238"/>
    <cellStyle name="Célula Vinculada 5" xfId="239"/>
    <cellStyle name="Célula Vinculada 6" xfId="240"/>
    <cellStyle name="Check Cell" xfId="241"/>
    <cellStyle name="Comma0" xfId="242"/>
    <cellStyle name="Currency0" xfId="243"/>
    <cellStyle name="Ênfase1" xfId="244"/>
    <cellStyle name="Ênfase1 2" xfId="245"/>
    <cellStyle name="Ênfase1 2 2" xfId="246"/>
    <cellStyle name="Ênfase1 2 3" xfId="247"/>
    <cellStyle name="Ênfase1 2_ORÇAMENTO - FORUM DE V. GRANDE" xfId="248"/>
    <cellStyle name="Ênfase1 3" xfId="249"/>
    <cellStyle name="Ênfase1 4" xfId="250"/>
    <cellStyle name="Ênfase1 5" xfId="251"/>
    <cellStyle name="Ênfase1 6" xfId="252"/>
    <cellStyle name="Ênfase2" xfId="253"/>
    <cellStyle name="Ênfase2 2" xfId="254"/>
    <cellStyle name="Ênfase2 2 2" xfId="255"/>
    <cellStyle name="Ênfase2 2 3" xfId="256"/>
    <cellStyle name="Ênfase2 2_ORÇAMENTO - FORUM DE V. GRANDE" xfId="257"/>
    <cellStyle name="Ênfase2 3" xfId="258"/>
    <cellStyle name="Ênfase2 4" xfId="259"/>
    <cellStyle name="Ênfase2 5" xfId="260"/>
    <cellStyle name="Ênfase2 6" xfId="261"/>
    <cellStyle name="Ênfase3" xfId="262"/>
    <cellStyle name="Ênfase3 2" xfId="263"/>
    <cellStyle name="Ênfase3 2 2" xfId="264"/>
    <cellStyle name="Ênfase3 2 3" xfId="265"/>
    <cellStyle name="Ênfase3 2_ORÇAMENTO - FORUM DE V. GRANDE" xfId="266"/>
    <cellStyle name="Ênfase3 3" xfId="267"/>
    <cellStyle name="Ênfase3 4" xfId="268"/>
    <cellStyle name="Ênfase3 5" xfId="269"/>
    <cellStyle name="Ênfase3 6" xfId="270"/>
    <cellStyle name="Ênfase4" xfId="271"/>
    <cellStyle name="Ênfase4 2" xfId="272"/>
    <cellStyle name="Ênfase4 2 2" xfId="273"/>
    <cellStyle name="Ênfase4 2 3" xfId="274"/>
    <cellStyle name="Ênfase4 2_ORÇAMENTO - FORUM DE V. GRANDE" xfId="275"/>
    <cellStyle name="Ênfase4 3" xfId="276"/>
    <cellStyle name="Ênfase4 4" xfId="277"/>
    <cellStyle name="Ênfase4 5" xfId="278"/>
    <cellStyle name="Ênfase4 6" xfId="279"/>
    <cellStyle name="Ênfase5" xfId="280"/>
    <cellStyle name="Ênfase5 2" xfId="281"/>
    <cellStyle name="Ênfase5 2 2" xfId="282"/>
    <cellStyle name="Ênfase5 2 3" xfId="283"/>
    <cellStyle name="Ênfase5 2_ORÇAMENTO - FORUM DE V. GRANDE" xfId="284"/>
    <cellStyle name="Ênfase5 3" xfId="285"/>
    <cellStyle name="Ênfase5 4" xfId="286"/>
    <cellStyle name="Ênfase5 5" xfId="287"/>
    <cellStyle name="Ênfase5 6" xfId="288"/>
    <cellStyle name="Ênfase6" xfId="289"/>
    <cellStyle name="Ênfase6 2" xfId="290"/>
    <cellStyle name="Ênfase6 2 2" xfId="291"/>
    <cellStyle name="Ênfase6 2 3" xfId="292"/>
    <cellStyle name="Ênfase6 2_ORÇAMENTO - FORUM DE V. GRANDE" xfId="293"/>
    <cellStyle name="Ênfase6 3" xfId="294"/>
    <cellStyle name="Ênfase6 4" xfId="295"/>
    <cellStyle name="Ênfase6 5" xfId="296"/>
    <cellStyle name="Ênfase6 6" xfId="297"/>
    <cellStyle name="Entrada" xfId="298"/>
    <cellStyle name="Entrada 2" xfId="299"/>
    <cellStyle name="Entrada 2 2" xfId="300"/>
    <cellStyle name="Entrada 2 3" xfId="301"/>
    <cellStyle name="Entrada 2_CIVIL- BL 1-2-3-4-5-6-7-8 " xfId="302"/>
    <cellStyle name="Entrada 3" xfId="303"/>
    <cellStyle name="Entrada 4" xfId="304"/>
    <cellStyle name="Entrada 5" xfId="305"/>
    <cellStyle name="Entrada 6" xfId="306"/>
    <cellStyle name="Estilo 1" xfId="307"/>
    <cellStyle name="Euro" xfId="308"/>
    <cellStyle name="Euro 2" xfId="309"/>
    <cellStyle name="Euro 2 2" xfId="310"/>
    <cellStyle name="Euro 3" xfId="311"/>
    <cellStyle name="Excel Built-in Normal" xfId="312"/>
    <cellStyle name="Excel Built-in Normal 1 1" xfId="313"/>
    <cellStyle name="Excel Built-in Normal 10 3" xfId="314"/>
    <cellStyle name="Excel Built-in Vírgula 6" xfId="315"/>
    <cellStyle name="Explanatory Text" xfId="316"/>
    <cellStyle name="Good" xfId="317"/>
    <cellStyle name="Heading 1" xfId="318"/>
    <cellStyle name="Heading 2" xfId="319"/>
    <cellStyle name="Heading 3" xfId="320"/>
    <cellStyle name="Heading 4" xfId="321"/>
    <cellStyle name="Hyperlink" xfId="322"/>
    <cellStyle name="Hiperlink 2" xfId="323"/>
    <cellStyle name="Followed Hyperlink" xfId="324"/>
    <cellStyle name="Hyperlink 2" xfId="325"/>
    <cellStyle name="Incorreto" xfId="326"/>
    <cellStyle name="Incorreto 2" xfId="327"/>
    <cellStyle name="Incorreto 2 2" xfId="328"/>
    <cellStyle name="Incorreto 2 3" xfId="329"/>
    <cellStyle name="Incorreto 2_ORÇAMENTO - FORUM DE V. GRANDE" xfId="330"/>
    <cellStyle name="Incorreto 3" xfId="331"/>
    <cellStyle name="Incorreto 4" xfId="332"/>
    <cellStyle name="Incorreto 5" xfId="333"/>
    <cellStyle name="Incorreto 6" xfId="334"/>
    <cellStyle name="Input" xfId="335"/>
    <cellStyle name="Linked Cell" xfId="336"/>
    <cellStyle name="Currency" xfId="337"/>
    <cellStyle name="Currency [0]" xfId="338"/>
    <cellStyle name="Moeda 10" xfId="339"/>
    <cellStyle name="Moeda 2" xfId="340"/>
    <cellStyle name="Moeda 2 2" xfId="341"/>
    <cellStyle name="Moeda 2 3" xfId="342"/>
    <cellStyle name="Moeda 2_ORÇAMENTO - FORUM DE V. GRANDE" xfId="343"/>
    <cellStyle name="Moeda 24" xfId="344"/>
    <cellStyle name="Moeda 3" xfId="345"/>
    <cellStyle name="Moeda 4" xfId="346"/>
    <cellStyle name="Moeda 5" xfId="347"/>
    <cellStyle name="Moeda 6" xfId="348"/>
    <cellStyle name="Moeda 7" xfId="349"/>
    <cellStyle name="Moeda 8" xfId="350"/>
    <cellStyle name="Moeda 9" xfId="351"/>
    <cellStyle name="Neutra" xfId="352"/>
    <cellStyle name="Neutra 2" xfId="353"/>
    <cellStyle name="Neutra 2 2" xfId="354"/>
    <cellStyle name="Neutra 2 3" xfId="355"/>
    <cellStyle name="Neutra 2_ORÇAMENTO - FORUM DE V. GRANDE" xfId="356"/>
    <cellStyle name="Neutra 3" xfId="357"/>
    <cellStyle name="Neutra 4" xfId="358"/>
    <cellStyle name="Neutra 5" xfId="359"/>
    <cellStyle name="Neutra 6" xfId="360"/>
    <cellStyle name="Neutral" xfId="361"/>
    <cellStyle name="Normal 10" xfId="362"/>
    <cellStyle name="Normal 10 2" xfId="363"/>
    <cellStyle name="Normal 10_Compo-Civil" xfId="364"/>
    <cellStyle name="Normal 11" xfId="365"/>
    <cellStyle name="Normal 11 2" xfId="366"/>
    <cellStyle name="Normal 11_Compo-Civil" xfId="367"/>
    <cellStyle name="Normal 12" xfId="368"/>
    <cellStyle name="Normal 12 2" xfId="369"/>
    <cellStyle name="Normal 12_Compo-Civil" xfId="370"/>
    <cellStyle name="Normal 13" xfId="371"/>
    <cellStyle name="Normal 13 2" xfId="372"/>
    <cellStyle name="Normal 13 2 2" xfId="373"/>
    <cellStyle name="Normal 13 2 3" xfId="374"/>
    <cellStyle name="Normal 13 2_Compo-Civil" xfId="375"/>
    <cellStyle name="Normal 13 3" xfId="376"/>
    <cellStyle name="Normal 13 4" xfId="377"/>
    <cellStyle name="Normal 13_Compo-Civil" xfId="378"/>
    <cellStyle name="Normal 14" xfId="379"/>
    <cellStyle name="Normal 14 2" xfId="380"/>
    <cellStyle name="Normal 14_Compo-Civil" xfId="381"/>
    <cellStyle name="Normal 15" xfId="382"/>
    <cellStyle name="Normal 15 2" xfId="383"/>
    <cellStyle name="Normal 15 2 2" xfId="384"/>
    <cellStyle name="Normal 15 2 3" xfId="385"/>
    <cellStyle name="Normal 15 2_Compo-Civil" xfId="386"/>
    <cellStyle name="Normal 15 3" xfId="387"/>
    <cellStyle name="Normal 15 4" xfId="388"/>
    <cellStyle name="Normal 15_Compo-Civil" xfId="389"/>
    <cellStyle name="Normal 16" xfId="390"/>
    <cellStyle name="Normal 16 2" xfId="391"/>
    <cellStyle name="Normal 16 2 2" xfId="392"/>
    <cellStyle name="Normal 16 2 3" xfId="393"/>
    <cellStyle name="Normal 16 2_Compo-Civil" xfId="394"/>
    <cellStyle name="Normal 16 3" xfId="395"/>
    <cellStyle name="Normal 16 4" xfId="396"/>
    <cellStyle name="Normal 16_Compo-Civil" xfId="397"/>
    <cellStyle name="Normal 17" xfId="398"/>
    <cellStyle name="Normal 17 2" xfId="399"/>
    <cellStyle name="Normal 17_Compo-Civil" xfId="400"/>
    <cellStyle name="Normal 18" xfId="401"/>
    <cellStyle name="Normal 18 2" xfId="402"/>
    <cellStyle name="Normal 18_Compo-Civil" xfId="403"/>
    <cellStyle name="Normal 19" xfId="404"/>
    <cellStyle name="Normal 19 2" xfId="405"/>
    <cellStyle name="Normal 19_Compo-Civil" xfId="406"/>
    <cellStyle name="Normal 2" xfId="407"/>
    <cellStyle name="Normal 2 2" xfId="408"/>
    <cellStyle name="Normal 2 2 2" xfId="409"/>
    <cellStyle name="Normal 2 2 2 2" xfId="410"/>
    <cellStyle name="Normal 2 2 2_ORÇAMENTO - FORUM DE V. GRANDE" xfId="411"/>
    <cellStyle name="Normal 2 2_Compo-Civil" xfId="412"/>
    <cellStyle name="Normal 2 3" xfId="413"/>
    <cellStyle name="Normal 2 4" xfId="414"/>
    <cellStyle name="Normal 2 5" xfId="415"/>
    <cellStyle name="Normal 20" xfId="416"/>
    <cellStyle name="Normal 20 2" xfId="417"/>
    <cellStyle name="Normal 20_Compo-Civil" xfId="418"/>
    <cellStyle name="Normal 21" xfId="419"/>
    <cellStyle name="Normal 21 2" xfId="420"/>
    <cellStyle name="Normal 21 3" xfId="421"/>
    <cellStyle name="Normal 21 4" xfId="422"/>
    <cellStyle name="Normal 21_Compo-Civil" xfId="423"/>
    <cellStyle name="Normal 22" xfId="424"/>
    <cellStyle name="Normal 22 2" xfId="425"/>
    <cellStyle name="Normal 22_Compo-Civil" xfId="426"/>
    <cellStyle name="Normal 23" xfId="427"/>
    <cellStyle name="Normal 23 2" xfId="428"/>
    <cellStyle name="Normal 23_Compo-Civil" xfId="429"/>
    <cellStyle name="Normal 24" xfId="430"/>
    <cellStyle name="Normal 24 2" xfId="431"/>
    <cellStyle name="Normal 24_Compo-Civil" xfId="432"/>
    <cellStyle name="Normal 25" xfId="433"/>
    <cellStyle name="Normal 25 2" xfId="434"/>
    <cellStyle name="Normal 25_Compo-Civil" xfId="435"/>
    <cellStyle name="Normal 26" xfId="436"/>
    <cellStyle name="Normal 26 2" xfId="437"/>
    <cellStyle name="Normal 26_Compo-Civil" xfId="438"/>
    <cellStyle name="Normal 27" xfId="439"/>
    <cellStyle name="Normal 27 2" xfId="440"/>
    <cellStyle name="Normal 27_Compo-Civil" xfId="441"/>
    <cellStyle name="Normal 28" xfId="442"/>
    <cellStyle name="Normal 28 2" xfId="443"/>
    <cellStyle name="Normal 28_Compo-Civil" xfId="444"/>
    <cellStyle name="Normal 29" xfId="445"/>
    <cellStyle name="Normal 3" xfId="446"/>
    <cellStyle name="Normal 3 2" xfId="447"/>
    <cellStyle name="Normal 3 3" xfId="448"/>
    <cellStyle name="Normal 3 4" xfId="449"/>
    <cellStyle name="Normal 30" xfId="450"/>
    <cellStyle name="Normal 31" xfId="451"/>
    <cellStyle name="Normal 32" xfId="452"/>
    <cellStyle name="Normal 33" xfId="453"/>
    <cellStyle name="Normal 34" xfId="454"/>
    <cellStyle name="Normal 35" xfId="455"/>
    <cellStyle name="Normal 36" xfId="456"/>
    <cellStyle name="Normal 37" xfId="457"/>
    <cellStyle name="Normal 38" xfId="458"/>
    <cellStyle name="Normal 39" xfId="459"/>
    <cellStyle name="Normal 4" xfId="460"/>
    <cellStyle name="Normal 4 10" xfId="461"/>
    <cellStyle name="Normal 4 2" xfId="462"/>
    <cellStyle name="Normal 4 2 2" xfId="463"/>
    <cellStyle name="Normal 4 2 3" xfId="464"/>
    <cellStyle name="Normal 4 2_Compo-Civil" xfId="465"/>
    <cellStyle name="Normal 4 3" xfId="466"/>
    <cellStyle name="Normal 4 4" xfId="467"/>
    <cellStyle name="Normal 4 5" xfId="468"/>
    <cellStyle name="Normal 4 6" xfId="469"/>
    <cellStyle name="Normal 4 7" xfId="470"/>
    <cellStyle name="Normal 4 8" xfId="471"/>
    <cellStyle name="Normal 4 9" xfId="472"/>
    <cellStyle name="Normal 4_ORÇAMENTO" xfId="473"/>
    <cellStyle name="Normal 40" xfId="474"/>
    <cellStyle name="Normal 41" xfId="475"/>
    <cellStyle name="Normal 42" xfId="476"/>
    <cellStyle name="Normal 43" xfId="477"/>
    <cellStyle name="Normal 44" xfId="478"/>
    <cellStyle name="Normal 45" xfId="479"/>
    <cellStyle name="Normal 46" xfId="480"/>
    <cellStyle name="Normal 47" xfId="481"/>
    <cellStyle name="Normal 48" xfId="482"/>
    <cellStyle name="Normal 49" xfId="483"/>
    <cellStyle name="Normal 5" xfId="484"/>
    <cellStyle name="Normal 5 2" xfId="485"/>
    <cellStyle name="Normal 5 3" xfId="486"/>
    <cellStyle name="Normal 5 4" xfId="487"/>
    <cellStyle name="Normal 5_Compo-Civil" xfId="488"/>
    <cellStyle name="Normal 50" xfId="489"/>
    <cellStyle name="Normal 51" xfId="490"/>
    <cellStyle name="Normal 52" xfId="491"/>
    <cellStyle name="Normal 53" xfId="492"/>
    <cellStyle name="Normal 54" xfId="493"/>
    <cellStyle name="Normal 55" xfId="494"/>
    <cellStyle name="Normal 56" xfId="495"/>
    <cellStyle name="Normal 57" xfId="496"/>
    <cellStyle name="Normal 58" xfId="497"/>
    <cellStyle name="Normal 59" xfId="498"/>
    <cellStyle name="Normal 6" xfId="499"/>
    <cellStyle name="Normal 6 2" xfId="500"/>
    <cellStyle name="Normal 6_Compo-Civil" xfId="501"/>
    <cellStyle name="Normal 60" xfId="502"/>
    <cellStyle name="Normal 61" xfId="503"/>
    <cellStyle name="Normal 62" xfId="504"/>
    <cellStyle name="Normal 63" xfId="505"/>
    <cellStyle name="Normal 64" xfId="506"/>
    <cellStyle name="Normal 65" xfId="507"/>
    <cellStyle name="Normal 66" xfId="508"/>
    <cellStyle name="Normal 67" xfId="509"/>
    <cellStyle name="Normal 68" xfId="510"/>
    <cellStyle name="Normal 69" xfId="511"/>
    <cellStyle name="Normal 7" xfId="512"/>
    <cellStyle name="Normal 7 2" xfId="513"/>
    <cellStyle name="Normal 7_Compo-Civil" xfId="514"/>
    <cellStyle name="Normal 70" xfId="515"/>
    <cellStyle name="Normal 71" xfId="516"/>
    <cellStyle name="Normal 72" xfId="517"/>
    <cellStyle name="Normal 73" xfId="518"/>
    <cellStyle name="Normal 74" xfId="519"/>
    <cellStyle name="Normal 75" xfId="520"/>
    <cellStyle name="Normal 76" xfId="521"/>
    <cellStyle name="Normal 77" xfId="522"/>
    <cellStyle name="Normal 78" xfId="523"/>
    <cellStyle name="Normal 79" xfId="524"/>
    <cellStyle name="Normal 8" xfId="525"/>
    <cellStyle name="Normal 8 2" xfId="526"/>
    <cellStyle name="Normal 8 3" xfId="527"/>
    <cellStyle name="Normal 8 4" xfId="528"/>
    <cellStyle name="Normal 8_Compo-Civil" xfId="529"/>
    <cellStyle name="Normal 80" xfId="530"/>
    <cellStyle name="Normal 81" xfId="531"/>
    <cellStyle name="Normal 82" xfId="532"/>
    <cellStyle name="Normal 83" xfId="533"/>
    <cellStyle name="Normal 84" xfId="534"/>
    <cellStyle name="Normal 85" xfId="535"/>
    <cellStyle name="Normal 86" xfId="536"/>
    <cellStyle name="Normal 87" xfId="537"/>
    <cellStyle name="Normal 88" xfId="538"/>
    <cellStyle name="Normal 89" xfId="539"/>
    <cellStyle name="Normal 9" xfId="540"/>
    <cellStyle name="Normal 9 2" xfId="541"/>
    <cellStyle name="Normal 9_Compo-Civil" xfId="542"/>
    <cellStyle name="Normal 90" xfId="543"/>
    <cellStyle name="Normal 91" xfId="544"/>
    <cellStyle name="Normal_5ª Medição 199" xfId="545"/>
    <cellStyle name="Normal_Pesquisa no referencial 10 de maio de 2013" xfId="546"/>
    <cellStyle name="Normal_rol-rua2" xfId="547"/>
    <cellStyle name="Nota" xfId="548"/>
    <cellStyle name="Nota 10" xfId="549"/>
    <cellStyle name="Nota 10 2" xfId="550"/>
    <cellStyle name="Nota 11" xfId="551"/>
    <cellStyle name="Nota 11 2" xfId="552"/>
    <cellStyle name="Nota 12" xfId="553"/>
    <cellStyle name="Nota 12 2" xfId="554"/>
    <cellStyle name="Nota 13" xfId="555"/>
    <cellStyle name="Nota 13 2" xfId="556"/>
    <cellStyle name="Nota 14" xfId="557"/>
    <cellStyle name="Nota 14 2" xfId="558"/>
    <cellStyle name="Nota 15" xfId="559"/>
    <cellStyle name="Nota 15 2" xfId="560"/>
    <cellStyle name="Nota 16" xfId="561"/>
    <cellStyle name="Nota 16 2" xfId="562"/>
    <cellStyle name="Nota 17" xfId="563"/>
    <cellStyle name="Nota 17 2" xfId="564"/>
    <cellStyle name="Nota 18" xfId="565"/>
    <cellStyle name="Nota 18 2" xfId="566"/>
    <cellStyle name="Nota 19" xfId="567"/>
    <cellStyle name="Nota 19 2" xfId="568"/>
    <cellStyle name="Nota 2" xfId="569"/>
    <cellStyle name="Nota 2 2" xfId="570"/>
    <cellStyle name="Nota 2 3" xfId="571"/>
    <cellStyle name="Nota 2 4" xfId="572"/>
    <cellStyle name="Nota 2_CIVIL- BL 1-2-3-4-5-6-7-8 " xfId="573"/>
    <cellStyle name="Nota 20" xfId="574"/>
    <cellStyle name="Nota 20 2" xfId="575"/>
    <cellStyle name="Nota 21" xfId="576"/>
    <cellStyle name="Nota 21 2" xfId="577"/>
    <cellStyle name="Nota 22" xfId="578"/>
    <cellStyle name="Nota 22 2" xfId="579"/>
    <cellStyle name="Nota 23" xfId="580"/>
    <cellStyle name="Nota 23 2" xfId="581"/>
    <cellStyle name="Nota 24" xfId="582"/>
    <cellStyle name="Nota 24 2" xfId="583"/>
    <cellStyle name="Nota 25" xfId="584"/>
    <cellStyle name="Nota 25 2" xfId="585"/>
    <cellStyle name="Nota 26" xfId="586"/>
    <cellStyle name="Nota 26 2" xfId="587"/>
    <cellStyle name="Nota 27" xfId="588"/>
    <cellStyle name="Nota 27 2" xfId="589"/>
    <cellStyle name="Nota 28" xfId="590"/>
    <cellStyle name="Nota 28 2" xfId="591"/>
    <cellStyle name="Nota 29" xfId="592"/>
    <cellStyle name="Nota 29 2" xfId="593"/>
    <cellStyle name="Nota 3" xfId="594"/>
    <cellStyle name="Nota 3 2" xfId="595"/>
    <cellStyle name="Nota 30" xfId="596"/>
    <cellStyle name="Nota 30 2" xfId="597"/>
    <cellStyle name="Nota 31" xfId="598"/>
    <cellStyle name="Nota 31 2" xfId="599"/>
    <cellStyle name="Nota 32" xfId="600"/>
    <cellStyle name="Nota 32 2" xfId="601"/>
    <cellStyle name="Nota 33" xfId="602"/>
    <cellStyle name="Nota 33 2" xfId="603"/>
    <cellStyle name="Nota 34" xfId="604"/>
    <cellStyle name="Nota 34 2" xfId="605"/>
    <cellStyle name="Nota 35" xfId="606"/>
    <cellStyle name="Nota 35 2" xfId="607"/>
    <cellStyle name="Nota 36" xfId="608"/>
    <cellStyle name="Nota 36 2" xfId="609"/>
    <cellStyle name="Nota 37" xfId="610"/>
    <cellStyle name="Nota 37 2" xfId="611"/>
    <cellStyle name="Nota 38" xfId="612"/>
    <cellStyle name="Nota 39" xfId="613"/>
    <cellStyle name="Nota 4" xfId="614"/>
    <cellStyle name="Nota 4 2" xfId="615"/>
    <cellStyle name="Nota 5" xfId="616"/>
    <cellStyle name="Nota 5 2" xfId="617"/>
    <cellStyle name="Nota 6" xfId="618"/>
    <cellStyle name="Nota 6 2" xfId="619"/>
    <cellStyle name="Nota 7" xfId="620"/>
    <cellStyle name="Nota 7 2" xfId="621"/>
    <cellStyle name="Nota 8" xfId="622"/>
    <cellStyle name="Nota 8 2" xfId="623"/>
    <cellStyle name="Nota 9" xfId="624"/>
    <cellStyle name="Nota 9 2" xfId="625"/>
    <cellStyle name="Note" xfId="626"/>
    <cellStyle name="Output" xfId="627"/>
    <cellStyle name="planilhas" xfId="628"/>
    <cellStyle name="Percent" xfId="629"/>
    <cellStyle name="Porcentagem 10" xfId="630"/>
    <cellStyle name="Porcentagem 10 2" xfId="631"/>
    <cellStyle name="Porcentagem 11" xfId="632"/>
    <cellStyle name="Porcentagem 12" xfId="633"/>
    <cellStyle name="Porcentagem 13" xfId="634"/>
    <cellStyle name="Porcentagem 14" xfId="635"/>
    <cellStyle name="Porcentagem 15" xfId="636"/>
    <cellStyle name="Porcentagem 16" xfId="637"/>
    <cellStyle name="Porcentagem 17" xfId="638"/>
    <cellStyle name="Porcentagem 18" xfId="639"/>
    <cellStyle name="Porcentagem 19" xfId="640"/>
    <cellStyle name="Porcentagem 2" xfId="641"/>
    <cellStyle name="Porcentagem 2 10" xfId="642"/>
    <cellStyle name="Porcentagem 2 11" xfId="643"/>
    <cellStyle name="Porcentagem 2 12" xfId="644"/>
    <cellStyle name="Porcentagem 2 13" xfId="645"/>
    <cellStyle name="Porcentagem 2 14" xfId="646"/>
    <cellStyle name="Porcentagem 2 15" xfId="647"/>
    <cellStyle name="Porcentagem 2 16" xfId="648"/>
    <cellStyle name="Porcentagem 2 17" xfId="649"/>
    <cellStyle name="Porcentagem 2 18" xfId="650"/>
    <cellStyle name="Porcentagem 2 19" xfId="651"/>
    <cellStyle name="Porcentagem 2 2" xfId="652"/>
    <cellStyle name="Porcentagem 2 2 2" xfId="653"/>
    <cellStyle name="Porcentagem 2 2 3" xfId="654"/>
    <cellStyle name="Porcentagem 2 20" xfId="655"/>
    <cellStyle name="Porcentagem 2 21" xfId="656"/>
    <cellStyle name="Porcentagem 2 22" xfId="657"/>
    <cellStyle name="Porcentagem 2 23" xfId="658"/>
    <cellStyle name="Porcentagem 2 24" xfId="659"/>
    <cellStyle name="Porcentagem 2 25" xfId="660"/>
    <cellStyle name="Porcentagem 2 26" xfId="661"/>
    <cellStyle name="Porcentagem 2 27" xfId="662"/>
    <cellStyle name="Porcentagem 2 28" xfId="663"/>
    <cellStyle name="Porcentagem 2 29" xfId="664"/>
    <cellStyle name="Porcentagem 2 3" xfId="665"/>
    <cellStyle name="Porcentagem 2 30" xfId="666"/>
    <cellStyle name="Porcentagem 2 4" xfId="667"/>
    <cellStyle name="Porcentagem 2 5" xfId="668"/>
    <cellStyle name="Porcentagem 2 6" xfId="669"/>
    <cellStyle name="Porcentagem 2 7" xfId="670"/>
    <cellStyle name="Porcentagem 2 8" xfId="671"/>
    <cellStyle name="Porcentagem 2 9" xfId="672"/>
    <cellStyle name="Porcentagem 20" xfId="673"/>
    <cellStyle name="Porcentagem 21" xfId="674"/>
    <cellStyle name="Porcentagem 22" xfId="675"/>
    <cellStyle name="Porcentagem 23" xfId="676"/>
    <cellStyle name="Porcentagem 24" xfId="677"/>
    <cellStyle name="Porcentagem 25" xfId="678"/>
    <cellStyle name="Porcentagem 26" xfId="679"/>
    <cellStyle name="Porcentagem 27" xfId="680"/>
    <cellStyle name="Porcentagem 28" xfId="681"/>
    <cellStyle name="Porcentagem 29" xfId="682"/>
    <cellStyle name="Porcentagem 3" xfId="683"/>
    <cellStyle name="Porcentagem 30" xfId="684"/>
    <cellStyle name="Porcentagem 31" xfId="685"/>
    <cellStyle name="Porcentagem 33" xfId="686"/>
    <cellStyle name="Porcentagem 4" xfId="687"/>
    <cellStyle name="Porcentagem 5" xfId="688"/>
    <cellStyle name="Porcentagem 6" xfId="689"/>
    <cellStyle name="Porcentagem 7" xfId="690"/>
    <cellStyle name="Porcentagem 8" xfId="691"/>
    <cellStyle name="Porcentagem 9" xfId="692"/>
    <cellStyle name="Saída" xfId="693"/>
    <cellStyle name="Saída 2" xfId="694"/>
    <cellStyle name="Saída 2 2" xfId="695"/>
    <cellStyle name="Saída 2 3" xfId="696"/>
    <cellStyle name="Saída 2_CIVIL- BL 1-2-3-4-5-6-7-8 " xfId="697"/>
    <cellStyle name="Saída 3" xfId="698"/>
    <cellStyle name="Saída 4" xfId="699"/>
    <cellStyle name="Saída 5" xfId="700"/>
    <cellStyle name="Saída 6" xfId="701"/>
    <cellStyle name="Comma [0]" xfId="702"/>
    <cellStyle name="Separador de milhares 10" xfId="703"/>
    <cellStyle name="Separador de milhares 11" xfId="704"/>
    <cellStyle name="Separador de milhares 12" xfId="705"/>
    <cellStyle name="Separador de milhares 13" xfId="706"/>
    <cellStyle name="Separador de milhares 14" xfId="707"/>
    <cellStyle name="Separador de milhares 15" xfId="708"/>
    <cellStyle name="Separador de milhares 16" xfId="709"/>
    <cellStyle name="Separador de milhares 17" xfId="710"/>
    <cellStyle name="Separador de milhares 18" xfId="711"/>
    <cellStyle name="Separador de milhares 19" xfId="712"/>
    <cellStyle name="Separador de milhares 2" xfId="713"/>
    <cellStyle name="Separador de milhares 2 10" xfId="714"/>
    <cellStyle name="Separador de milhares 2 11" xfId="715"/>
    <cellStyle name="Separador de milhares 2 12" xfId="716"/>
    <cellStyle name="Separador de milhares 2 13" xfId="717"/>
    <cellStyle name="Separador de milhares 2 14" xfId="718"/>
    <cellStyle name="Separador de milhares 2 15" xfId="719"/>
    <cellStyle name="Separador de milhares 2 16" xfId="720"/>
    <cellStyle name="Separador de milhares 2 17" xfId="721"/>
    <cellStyle name="Separador de milhares 2 18" xfId="722"/>
    <cellStyle name="Separador de milhares 2 19" xfId="723"/>
    <cellStyle name="Separador de milhares 2 2" xfId="724"/>
    <cellStyle name="Separador de milhares 2 2 2" xfId="725"/>
    <cellStyle name="Separador de milhares 2 20" xfId="726"/>
    <cellStyle name="Separador de milhares 2 21" xfId="727"/>
    <cellStyle name="Separador de milhares 2 22" xfId="728"/>
    <cellStyle name="Separador de milhares 2 23" xfId="729"/>
    <cellStyle name="Separador de milhares 2 24" xfId="730"/>
    <cellStyle name="Separador de milhares 2 25" xfId="731"/>
    <cellStyle name="Separador de milhares 2 26" xfId="732"/>
    <cellStyle name="Separador de milhares 2 27" xfId="733"/>
    <cellStyle name="Separador de milhares 2 28" xfId="734"/>
    <cellStyle name="Separador de milhares 2 29" xfId="735"/>
    <cellStyle name="Separador de milhares 2 3" xfId="736"/>
    <cellStyle name="Separador de milhares 2 30" xfId="737"/>
    <cellStyle name="Separador de milhares 2 31" xfId="738"/>
    <cellStyle name="Separador de milhares 2 4" xfId="739"/>
    <cellStyle name="Separador de milhares 2 5" xfId="740"/>
    <cellStyle name="Separador de milhares 2 6" xfId="741"/>
    <cellStyle name="Separador de milhares 2 7" xfId="742"/>
    <cellStyle name="Separador de milhares 2 8" xfId="743"/>
    <cellStyle name="Separador de milhares 2 9" xfId="744"/>
    <cellStyle name="Separador de milhares 20" xfId="745"/>
    <cellStyle name="Separador de milhares 21" xfId="746"/>
    <cellStyle name="Separador de milhares 22" xfId="747"/>
    <cellStyle name="Separador de milhares 23" xfId="748"/>
    <cellStyle name="Separador de milhares 24" xfId="749"/>
    <cellStyle name="Separador de milhares 25" xfId="750"/>
    <cellStyle name="Separador de milhares 26" xfId="751"/>
    <cellStyle name="Separador de milhares 27" xfId="752"/>
    <cellStyle name="Separador de milhares 28" xfId="753"/>
    <cellStyle name="Separador de milhares 29" xfId="754"/>
    <cellStyle name="Separador de milhares 3" xfId="755"/>
    <cellStyle name="Separador de milhares 3 2" xfId="756"/>
    <cellStyle name="Separador de milhares 3 3" xfId="757"/>
    <cellStyle name="Separador de milhares 3 4" xfId="758"/>
    <cellStyle name="Separador de milhares 30" xfId="759"/>
    <cellStyle name="Separador de milhares 31" xfId="760"/>
    <cellStyle name="Separador de milhares 4" xfId="761"/>
    <cellStyle name="Separador de milhares 5" xfId="762"/>
    <cellStyle name="Separador de milhares 5 2" xfId="763"/>
    <cellStyle name="Separador de milhares 5 3" xfId="764"/>
    <cellStyle name="Separador de milhares 6" xfId="765"/>
    <cellStyle name="Separador de milhares 6 2" xfId="766"/>
    <cellStyle name="Separador de milhares 7" xfId="767"/>
    <cellStyle name="Separador de milhares 8" xfId="768"/>
    <cellStyle name="Separador de milhares 9" xfId="769"/>
    <cellStyle name="Texto de Aviso" xfId="770"/>
    <cellStyle name="Texto de Aviso 2" xfId="771"/>
    <cellStyle name="Texto de Aviso 2 2" xfId="772"/>
    <cellStyle name="Texto de Aviso 2 3" xfId="773"/>
    <cellStyle name="Texto de Aviso 2_ORÇAMENTO - FORUM DE V. GRANDE" xfId="774"/>
    <cellStyle name="Texto de Aviso 3" xfId="775"/>
    <cellStyle name="Texto de Aviso 4" xfId="776"/>
    <cellStyle name="Texto de Aviso 5" xfId="777"/>
    <cellStyle name="Texto de Aviso 6" xfId="778"/>
    <cellStyle name="Texto Explicativo" xfId="779"/>
    <cellStyle name="Texto Explicativo 2" xfId="780"/>
    <cellStyle name="Texto Explicativo 2 2" xfId="781"/>
    <cellStyle name="Texto Explicativo 2 3" xfId="782"/>
    <cellStyle name="Texto Explicativo 2_ORÇAMENTO - FORUM DE V. GRANDE" xfId="783"/>
    <cellStyle name="Texto Explicativo 3" xfId="784"/>
    <cellStyle name="Texto Explicativo 4" xfId="785"/>
    <cellStyle name="Texto Explicativo 5" xfId="786"/>
    <cellStyle name="Texto Explicativo 6" xfId="787"/>
    <cellStyle name="Title" xfId="788"/>
    <cellStyle name="Título" xfId="789"/>
    <cellStyle name="Título 1" xfId="790"/>
    <cellStyle name="Título 1 2" xfId="791"/>
    <cellStyle name="Título 1 2 2" xfId="792"/>
    <cellStyle name="Título 1 2 3" xfId="793"/>
    <cellStyle name="Título 1 2_CIVIL- BL 1-2-3-4-5-6-7-8 " xfId="794"/>
    <cellStyle name="Título 1 3" xfId="795"/>
    <cellStyle name="Título 1 4" xfId="796"/>
    <cellStyle name="Título 1 5" xfId="797"/>
    <cellStyle name="Título 1 6" xfId="798"/>
    <cellStyle name="Título 10" xfId="799"/>
    <cellStyle name="Título 2" xfId="800"/>
    <cellStyle name="Título 2 2" xfId="801"/>
    <cellStyle name="Título 2 2 2" xfId="802"/>
    <cellStyle name="Título 2 2 3" xfId="803"/>
    <cellStyle name="Título 2 2_CIVIL- BL 1-2-3-4-5-6-7-8 " xfId="804"/>
    <cellStyle name="Título 2 3" xfId="805"/>
    <cellStyle name="Título 2 4" xfId="806"/>
    <cellStyle name="Título 2 5" xfId="807"/>
    <cellStyle name="Título 2 6" xfId="808"/>
    <cellStyle name="Título 3" xfId="809"/>
    <cellStyle name="Título 3 2" xfId="810"/>
    <cellStyle name="Título 3 2 2" xfId="811"/>
    <cellStyle name="Título 3 2 3" xfId="812"/>
    <cellStyle name="Título 3 2_CIVIL- BL 1-2-3-4-5-6-7-8 " xfId="813"/>
    <cellStyle name="Título 3 3" xfId="814"/>
    <cellStyle name="Título 3 4" xfId="815"/>
    <cellStyle name="Título 3 5" xfId="816"/>
    <cellStyle name="Título 3 6" xfId="817"/>
    <cellStyle name="Título 4" xfId="818"/>
    <cellStyle name="Título 4 2" xfId="819"/>
    <cellStyle name="Título 4 2 2" xfId="820"/>
    <cellStyle name="Título 4 2 3" xfId="821"/>
    <cellStyle name="Título 4 2_ORÇAMENTO - FORUM DE V. GRANDE" xfId="822"/>
    <cellStyle name="Título 4 3" xfId="823"/>
    <cellStyle name="Título 4 4" xfId="824"/>
    <cellStyle name="Título 4 5" xfId="825"/>
    <cellStyle name="Título 4 6" xfId="826"/>
    <cellStyle name="Título 5" xfId="827"/>
    <cellStyle name="Título 5 2" xfId="828"/>
    <cellStyle name="Título 5 3" xfId="829"/>
    <cellStyle name="Título 5_ORÇAMENTO - FORUM DE V. GRANDE" xfId="830"/>
    <cellStyle name="Título 6" xfId="831"/>
    <cellStyle name="Título 7" xfId="832"/>
    <cellStyle name="Título 8" xfId="833"/>
    <cellStyle name="Título 9" xfId="834"/>
    <cellStyle name="Total" xfId="835"/>
    <cellStyle name="Total 2" xfId="836"/>
    <cellStyle name="Total 2 2" xfId="837"/>
    <cellStyle name="Total 2 3" xfId="838"/>
    <cellStyle name="Total 2_CIVIL- BL 1-2-3-4-5-6-7-8 " xfId="839"/>
    <cellStyle name="Total 3" xfId="840"/>
    <cellStyle name="Total 4" xfId="841"/>
    <cellStyle name="Total 5" xfId="842"/>
    <cellStyle name="Total 6" xfId="843"/>
    <cellStyle name="Total 7" xfId="844"/>
    <cellStyle name="Comma" xfId="845"/>
    <cellStyle name="Vírgula 2" xfId="846"/>
    <cellStyle name="Vírgula 2 2" xfId="847"/>
    <cellStyle name="Vírgula 2 3" xfId="848"/>
    <cellStyle name="Vírgula 3" xfId="849"/>
    <cellStyle name="Vírgula 3 2" xfId="850"/>
    <cellStyle name="Vírgula 4" xfId="851"/>
    <cellStyle name="Vírgula 4 2" xfId="852"/>
    <cellStyle name="Vírgula 5" xfId="853"/>
    <cellStyle name="Warning Text" xfId="854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27</xdr:row>
      <xdr:rowOff>57150</xdr:rowOff>
    </xdr:from>
    <xdr:to>
      <xdr:col>5</xdr:col>
      <xdr:colOff>152400</xdr:colOff>
      <xdr:row>33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5210175"/>
          <a:ext cx="347662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27</xdr:row>
      <xdr:rowOff>57150</xdr:rowOff>
    </xdr:from>
    <xdr:to>
      <xdr:col>5</xdr:col>
      <xdr:colOff>152400</xdr:colOff>
      <xdr:row>33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5286375"/>
          <a:ext cx="347662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276225</xdr:colOff>
      <xdr:row>49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49025" cy="795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ao\d\A%20Meus%20documentos\A1%20V&#193;RZEA%20GRANDE%202018\JARDIM%20PAULA%20II\OR&#199;AMENTO\QUANTIDADE%20E%20OR&#199;AMENTO%20-%20JD%20PAULA%20II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CFF"/>
      <sheetName val="QUANT"/>
      <sheetName val="ORÇA "/>
      <sheetName val="TRANSP"/>
      <sheetName val="MEMORIAL DE CALCULO"/>
      <sheetName val="BLD"/>
      <sheetName val="TERRAP E PAVIM"/>
      <sheetName val="BDI"/>
      <sheetName val="BDI DIFERENCIADO"/>
      <sheetName val="DRENO"/>
      <sheetName val="SN HOR"/>
      <sheetName val="SN VERT"/>
      <sheetName val="LASTRO"/>
      <sheetName val="TAB REAJUSTAMENTO"/>
    </sheetNames>
    <sheetDataSet>
      <sheetData sheetId="0">
        <row r="9">
          <cell r="B9" t="str">
            <v>SERVIÇOS PRELIMINARES</v>
          </cell>
        </row>
        <row r="12">
          <cell r="B12" t="str">
            <v>ADMINISTRAÇÃO LOCAL</v>
          </cell>
        </row>
        <row r="15">
          <cell r="B15" t="str">
            <v>ENSAIOS TECNOLÓGICOS DE SOLO E ASFALTO</v>
          </cell>
        </row>
        <row r="18">
          <cell r="B18" t="str">
            <v>TERRAPLENAGEM</v>
          </cell>
        </row>
        <row r="21">
          <cell r="B21" t="str">
            <v>PAVIMENTAÇÃO</v>
          </cell>
        </row>
        <row r="24">
          <cell r="B24" t="str">
            <v>SINALIZAÇÃO HORIZONTAL/VERTICAL</v>
          </cell>
        </row>
        <row r="30">
          <cell r="B30" t="str">
            <v>DRENAGEM</v>
          </cell>
        </row>
        <row r="33">
          <cell r="B33" t="str">
            <v>FORNECIMENTO/ASSENTAMENTO DE TUBOS TIPO PA-1 e PA-2</v>
          </cell>
        </row>
        <row r="36">
          <cell r="B36" t="str">
            <v>ASSENTAMENTO E REJUNTAMENTO DE TUBO DE CONCRETO </v>
          </cell>
        </row>
        <row r="39">
          <cell r="B39" t="str">
            <v>ÓRGÃOS ACESSÓRIOS</v>
          </cell>
        </row>
        <row r="44">
          <cell r="C44">
            <v>2275368.3</v>
          </cell>
        </row>
      </sheetData>
      <sheetData sheetId="1">
        <row r="42">
          <cell r="U42">
            <v>2275368.2999999993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orcafascio.com/banco/sinapi/insumos/5b05f7f614fef9480be9ed4e" TargetMode="External" /><Relationship Id="rId2" Type="http://schemas.openxmlformats.org/officeDocument/2006/relationships/hyperlink" Target="https://www.orcafascio.com/banco/sinapi/insumos/5a8dbb6fca63ed44a8fa2f59" TargetMode="External" /><Relationship Id="rId3" Type="http://schemas.openxmlformats.org/officeDocument/2006/relationships/hyperlink" Target="https://www.orcafascio.com/banco/sinapi/insumos/5a8dbb6fca63ed44a8fa2f5b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35">
      <selection activeCell="B50" sqref="A1:C50"/>
    </sheetView>
  </sheetViews>
  <sheetFormatPr defaultColWidth="9.140625" defaultRowHeight="12.75"/>
  <cols>
    <col min="1" max="1" width="16.7109375" style="0" customWidth="1"/>
    <col min="2" max="2" width="48.140625" style="0" customWidth="1"/>
    <col min="3" max="3" width="34.28125" style="0" customWidth="1"/>
  </cols>
  <sheetData>
    <row r="1" spans="1:3" ht="13.5" thickBot="1">
      <c r="A1" s="13"/>
      <c r="B1" s="13"/>
      <c r="C1" s="13"/>
    </row>
    <row r="2" spans="1:3" ht="20.25" customHeight="1">
      <c r="A2" s="443" t="s">
        <v>119</v>
      </c>
      <c r="B2" s="444"/>
      <c r="C2" s="445"/>
    </row>
    <row r="3" spans="1:3" ht="12.75" customHeight="1">
      <c r="A3" s="446" t="s">
        <v>34</v>
      </c>
      <c r="B3" s="447"/>
      <c r="C3" s="448"/>
    </row>
    <row r="4" spans="1:3" ht="12.75" customHeight="1">
      <c r="A4" s="446"/>
      <c r="B4" s="447"/>
      <c r="C4" s="448"/>
    </row>
    <row r="5" spans="1:3" ht="12.75">
      <c r="A5" s="450" t="s">
        <v>120</v>
      </c>
      <c r="B5" s="449" t="s">
        <v>121</v>
      </c>
      <c r="C5" s="305" t="s">
        <v>379</v>
      </c>
    </row>
    <row r="6" spans="1:3" ht="14.25" customHeight="1">
      <c r="A6" s="450"/>
      <c r="B6" s="449"/>
      <c r="C6" s="306" t="s">
        <v>380</v>
      </c>
    </row>
    <row r="7" spans="1:3" ht="12.75">
      <c r="A7" s="450"/>
      <c r="B7" s="449"/>
      <c r="C7" s="306" t="s">
        <v>480</v>
      </c>
    </row>
    <row r="8" spans="1:3" ht="15.75">
      <c r="A8" s="307" t="s">
        <v>17</v>
      </c>
      <c r="B8" s="14" t="s">
        <v>0</v>
      </c>
      <c r="C8" s="308" t="s">
        <v>35</v>
      </c>
    </row>
    <row r="9" spans="1:3" ht="12.75" customHeight="1">
      <c r="A9" s="434" t="str">
        <f>'ORÇA '!A7</f>
        <v>1.0</v>
      </c>
      <c r="B9" s="440" t="str">
        <f>'ORÇA '!D7</f>
        <v>SERVIÇOS PRELIMINARES</v>
      </c>
      <c r="C9" s="451">
        <f>'ORÇA '!J11</f>
        <v>30328.92</v>
      </c>
    </row>
    <row r="10" spans="1:3" ht="14.25" customHeight="1">
      <c r="A10" s="435"/>
      <c r="B10" s="441"/>
      <c r="C10" s="452"/>
    </row>
    <row r="11" spans="1:3" ht="12.75">
      <c r="A11" s="436"/>
      <c r="B11" s="442"/>
      <c r="C11" s="453"/>
    </row>
    <row r="12" spans="1:3" ht="12.75">
      <c r="A12" s="434" t="str">
        <f>'ORÇA '!A13</f>
        <v>2.0</v>
      </c>
      <c r="B12" s="456" t="str">
        <f>'ORÇA '!D13</f>
        <v>ADMINISTRAÇÃO LOCAL</v>
      </c>
      <c r="C12" s="457">
        <f>'ORÇA '!J19</f>
        <v>65123.66</v>
      </c>
    </row>
    <row r="13" spans="1:3" ht="12.75">
      <c r="A13" s="435"/>
      <c r="B13" s="441"/>
      <c r="C13" s="458"/>
    </row>
    <row r="14" spans="1:3" ht="12.75">
      <c r="A14" s="436"/>
      <c r="B14" s="441"/>
      <c r="C14" s="459"/>
    </row>
    <row r="15" spans="1:3" ht="12.75">
      <c r="A15" s="434" t="str">
        <f>'ORÇA '!A21</f>
        <v>3.0</v>
      </c>
      <c r="B15" s="456" t="str">
        <f>'ORÇA '!D21</f>
        <v>ENSAIOS TECNOLÓGICOS DE SOLO E ASFALTO</v>
      </c>
      <c r="C15" s="457">
        <f>'ORÇA '!J26</f>
        <v>24245.66</v>
      </c>
    </row>
    <row r="16" spans="1:3" ht="12.75">
      <c r="A16" s="435"/>
      <c r="B16" s="441"/>
      <c r="C16" s="458"/>
    </row>
    <row r="17" spans="1:3" ht="12.75">
      <c r="A17" s="436"/>
      <c r="B17" s="442"/>
      <c r="C17" s="459"/>
    </row>
    <row r="18" spans="1:3" ht="12.75" customHeight="1">
      <c r="A18" s="434" t="str">
        <f>'ORÇA '!A28</f>
        <v>4.0</v>
      </c>
      <c r="B18" s="440" t="str">
        <f>'ORÇA '!D28</f>
        <v>TERRAPLENAGEM</v>
      </c>
      <c r="C18" s="309"/>
    </row>
    <row r="19" spans="1:3" ht="14.25">
      <c r="A19" s="435"/>
      <c r="B19" s="441"/>
      <c r="C19" s="310">
        <f>'ORÇA '!J36</f>
        <v>123177.32</v>
      </c>
    </row>
    <row r="20" spans="1:3" ht="12.75">
      <c r="A20" s="436"/>
      <c r="B20" s="442"/>
      <c r="C20" s="311"/>
    </row>
    <row r="21" spans="1:3" ht="12.75" customHeight="1">
      <c r="A21" s="434" t="str">
        <f>'ORÇA '!A38</f>
        <v>5.0</v>
      </c>
      <c r="B21" s="440" t="str">
        <f>'ORÇA '!D38</f>
        <v>PAVIMENTAÇÃO</v>
      </c>
      <c r="C21" s="312"/>
    </row>
    <row r="22" spans="1:3" ht="14.25">
      <c r="A22" s="435"/>
      <c r="B22" s="454"/>
      <c r="C22" s="310">
        <f>'ORÇA '!J48</f>
        <v>651620.34</v>
      </c>
    </row>
    <row r="23" spans="1:3" ht="12.75" customHeight="1">
      <c r="A23" s="436"/>
      <c r="B23" s="455"/>
      <c r="C23" s="311"/>
    </row>
    <row r="24" spans="1:3" ht="12.75" customHeight="1">
      <c r="A24" s="434" t="str">
        <f>'ORÇA '!A50</f>
        <v>6.0</v>
      </c>
      <c r="B24" s="440" t="str">
        <f>'ORÇA '!D50</f>
        <v>SINALIZAÇÃO HORIZONTAL/VERTICAL</v>
      </c>
      <c r="C24" s="313"/>
    </row>
    <row r="25" spans="1:3" ht="14.25">
      <c r="A25" s="435"/>
      <c r="B25" s="454"/>
      <c r="C25" s="310">
        <f>'ORÇA '!J54</f>
        <v>18261.62</v>
      </c>
    </row>
    <row r="26" spans="1:3" ht="12.75" customHeight="1">
      <c r="A26" s="436"/>
      <c r="B26" s="455"/>
      <c r="C26" s="311"/>
    </row>
    <row r="27" spans="1:3" ht="12.75" customHeight="1">
      <c r="A27" s="434" t="str">
        <f>'ORÇA '!A56</f>
        <v>7.0</v>
      </c>
      <c r="B27" s="96"/>
      <c r="C27" s="309"/>
    </row>
    <row r="28" spans="1:3" ht="12.75" customHeight="1">
      <c r="A28" s="435"/>
      <c r="B28" s="96" t="str">
        <f>'ORÇA '!D56</f>
        <v>OBRAS COMPLEMENTARES</v>
      </c>
      <c r="C28" s="309">
        <f>'ORÇA '!J58</f>
        <v>122727.36</v>
      </c>
    </row>
    <row r="29" spans="1:3" ht="12.75" customHeight="1">
      <c r="A29" s="436"/>
      <c r="B29" s="96"/>
      <c r="C29" s="309"/>
    </row>
    <row r="30" spans="1:3" ht="12.75" customHeight="1">
      <c r="A30" s="434" t="str">
        <f>'ORÇA '!A60</f>
        <v>8.0</v>
      </c>
      <c r="B30" s="440" t="str">
        <f>'ORÇA '!D60</f>
        <v>DRENAGEM</v>
      </c>
      <c r="C30" s="312"/>
    </row>
    <row r="31" spans="1:3" ht="12.75" customHeight="1">
      <c r="A31" s="435"/>
      <c r="B31" s="441"/>
      <c r="C31" s="310">
        <f>'ORÇA '!J73</f>
        <v>93578.88999999997</v>
      </c>
    </row>
    <row r="32" spans="1:3" ht="12.75" customHeight="1">
      <c r="A32" s="436"/>
      <c r="B32" s="442"/>
      <c r="C32" s="311"/>
    </row>
    <row r="33" spans="1:3" ht="12.75" customHeight="1">
      <c r="A33" s="434" t="str">
        <f>'ORÇA '!A75</f>
        <v>9.0</v>
      </c>
      <c r="B33" s="437" t="str">
        <f>'ORÇA '!D75</f>
        <v>FORNECIMENTO/ASSENTAMENTO DE TUBOS TIPO PA-1</v>
      </c>
      <c r="C33" s="312"/>
    </row>
    <row r="34" spans="1:3" ht="12.75" customHeight="1">
      <c r="A34" s="435"/>
      <c r="B34" s="438"/>
      <c r="C34" s="310">
        <f>'ORÇA '!J78</f>
        <v>61834.25</v>
      </c>
    </row>
    <row r="35" spans="1:3" ht="12.75" customHeight="1">
      <c r="A35" s="436"/>
      <c r="B35" s="439"/>
      <c r="C35" s="311"/>
    </row>
    <row r="36" spans="1:3" ht="12.75" customHeight="1">
      <c r="A36" s="434" t="str">
        <f>'ORÇA '!A80</f>
        <v>10.0</v>
      </c>
      <c r="B36" s="440" t="str">
        <f>'ORÇA '!D80</f>
        <v>ASSENTAMENTO E REJUNTAMENTO DE TUBO DE CONCRETO </v>
      </c>
      <c r="C36" s="312"/>
    </row>
    <row r="37" spans="1:3" ht="12.75" customHeight="1">
      <c r="A37" s="435"/>
      <c r="B37" s="441"/>
      <c r="C37" s="310">
        <f>'ORÇA '!J83</f>
        <v>44522.81</v>
      </c>
    </row>
    <row r="38" spans="1:3" ht="12.75" customHeight="1">
      <c r="A38" s="436"/>
      <c r="B38" s="442"/>
      <c r="C38" s="311"/>
    </row>
    <row r="39" spans="1:3" ht="12.75" customHeight="1">
      <c r="A39" s="434" t="str">
        <f>'ORÇA '!A85</f>
        <v>11.0</v>
      </c>
      <c r="B39" s="440" t="str">
        <f>'ORÇA '!D85</f>
        <v>ÓRGÃOS ACESSÓRIOS</v>
      </c>
      <c r="C39" s="312"/>
    </row>
    <row r="40" spans="1:3" ht="12.75" customHeight="1">
      <c r="A40" s="435"/>
      <c r="B40" s="441"/>
      <c r="C40" s="310">
        <f>'ORÇA '!J95</f>
        <v>127626.04000000001</v>
      </c>
    </row>
    <row r="41" spans="1:3" ht="12.75" customHeight="1">
      <c r="A41" s="436"/>
      <c r="B41" s="442"/>
      <c r="C41" s="311"/>
    </row>
    <row r="42" spans="1:3" ht="12.75">
      <c r="A42" s="422" t="s">
        <v>37</v>
      </c>
      <c r="B42" s="423"/>
      <c r="C42" s="312"/>
    </row>
    <row r="43" spans="1:3" ht="15.75">
      <c r="A43" s="424"/>
      <c r="B43" s="425"/>
      <c r="C43" s="314">
        <f>SUM(C9:C41)</f>
        <v>1363046.8699999999</v>
      </c>
    </row>
    <row r="44" spans="1:3" ht="12.75">
      <c r="A44" s="426"/>
      <c r="B44" s="427"/>
      <c r="C44" s="311"/>
    </row>
    <row r="45" spans="1:3" ht="15.75">
      <c r="A45" s="428" t="s">
        <v>47</v>
      </c>
      <c r="B45" s="429"/>
      <c r="C45" s="316">
        <f>'TERRAP E PAVIM'!S24</f>
        <v>10305.55</v>
      </c>
    </row>
    <row r="46" spans="1:3" ht="15.75">
      <c r="A46" s="428" t="s">
        <v>118</v>
      </c>
      <c r="B46" s="429"/>
      <c r="C46" s="317">
        <f>C43/C45</f>
        <v>132.2633794411749</v>
      </c>
    </row>
    <row r="47" spans="1:3" ht="15.75">
      <c r="A47" s="315"/>
      <c r="B47" s="130"/>
      <c r="C47" s="318"/>
    </row>
    <row r="48" spans="1:3" ht="12.75">
      <c r="A48" s="319" t="s">
        <v>278</v>
      </c>
      <c r="B48" s="432" t="s">
        <v>413</v>
      </c>
      <c r="C48" s="433"/>
    </row>
    <row r="49" spans="1:3" ht="23.25" customHeight="1">
      <c r="A49" s="373" t="s">
        <v>418</v>
      </c>
      <c r="B49" s="430" t="s">
        <v>412</v>
      </c>
      <c r="C49" s="431"/>
    </row>
    <row r="50" spans="1:3" ht="13.5" thickBot="1">
      <c r="A50" s="320" t="s">
        <v>42</v>
      </c>
      <c r="B50" s="420" t="s">
        <v>414</v>
      </c>
      <c r="C50" s="421"/>
    </row>
    <row r="52" ht="15.75">
      <c r="A52" s="372"/>
    </row>
    <row r="53" ht="15.75">
      <c r="A53" s="372"/>
    </row>
  </sheetData>
  <sheetProtection/>
  <mergeCells count="34">
    <mergeCell ref="A12:A14"/>
    <mergeCell ref="B12:B14"/>
    <mergeCell ref="C12:C14"/>
    <mergeCell ref="A15:A17"/>
    <mergeCell ref="B15:B17"/>
    <mergeCell ref="C15:C17"/>
    <mergeCell ref="A18:A20"/>
    <mergeCell ref="A30:A32"/>
    <mergeCell ref="B30:B32"/>
    <mergeCell ref="B18:B20"/>
    <mergeCell ref="A21:A23"/>
    <mergeCell ref="B21:B23"/>
    <mergeCell ref="A24:A26"/>
    <mergeCell ref="A27:A29"/>
    <mergeCell ref="B24:B26"/>
    <mergeCell ref="A2:C2"/>
    <mergeCell ref="A3:C4"/>
    <mergeCell ref="B5:B7"/>
    <mergeCell ref="A5:A7"/>
    <mergeCell ref="A9:A11"/>
    <mergeCell ref="B9:B11"/>
    <mergeCell ref="C9:C11"/>
    <mergeCell ref="A33:A35"/>
    <mergeCell ref="B33:B35"/>
    <mergeCell ref="A36:A38"/>
    <mergeCell ref="B36:B38"/>
    <mergeCell ref="A39:A41"/>
    <mergeCell ref="B39:B41"/>
    <mergeCell ref="B50:C50"/>
    <mergeCell ref="A42:B44"/>
    <mergeCell ref="A45:B45"/>
    <mergeCell ref="A46:B46"/>
    <mergeCell ref="B49:C49"/>
    <mergeCell ref="B48:C48"/>
  </mergeCells>
  <printOptions horizontalCentered="1"/>
  <pageMargins left="0.5118110236220472" right="0.5118110236220472" top="0.7874015748031497" bottom="0.7874015748031497" header="0.31496062992125984" footer="0.31496062992125984"/>
  <pageSetup horizontalDpi="1200" verticalDpi="12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U24" sqref="U24"/>
    </sheetView>
  </sheetViews>
  <sheetFormatPr defaultColWidth="9.140625" defaultRowHeight="12.75"/>
  <cols>
    <col min="1" max="1" width="32.421875" style="0" customWidth="1"/>
    <col min="2" max="2" width="3.7109375" style="0" customWidth="1"/>
    <col min="3" max="3" width="2.7109375" style="0" customWidth="1"/>
    <col min="4" max="4" width="6.7109375" style="0" customWidth="1"/>
    <col min="5" max="5" width="4.7109375" style="0" customWidth="1"/>
    <col min="6" max="6" width="2.7109375" style="0" customWidth="1"/>
    <col min="7" max="7" width="6.7109375" style="0" customWidth="1"/>
    <col min="8" max="8" width="13.7109375" style="0" customWidth="1"/>
    <col min="9" max="9" width="7.7109375" style="0" customWidth="1"/>
    <col min="10" max="11" width="8.00390625" style="0" customWidth="1"/>
    <col min="12" max="12" width="8.28125" style="0" customWidth="1"/>
    <col min="13" max="13" width="11.57421875" style="0" customWidth="1"/>
    <col min="14" max="14" width="13.7109375" style="0" customWidth="1"/>
    <col min="15" max="15" width="10.421875" style="0" customWidth="1"/>
    <col min="16" max="16" width="14.28125" style="0" customWidth="1"/>
    <col min="17" max="17" width="12.57421875" style="0" customWidth="1"/>
    <col min="18" max="18" width="11.421875" style="0" customWidth="1"/>
    <col min="19" max="19" width="14.7109375" style="0" customWidth="1"/>
    <col min="20" max="20" width="12.421875" style="0" customWidth="1"/>
    <col min="21" max="21" width="11.00390625" style="0" bestFit="1" customWidth="1"/>
    <col min="22" max="22" width="13.421875" style="0" customWidth="1"/>
  </cols>
  <sheetData>
    <row r="1" spans="1:22" s="128" customFormat="1" ht="15.75" customHeight="1">
      <c r="A1" s="727" t="s">
        <v>399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</row>
    <row r="2" spans="1:22" s="42" customFormat="1" ht="15.75">
      <c r="A2" s="728" t="s">
        <v>97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</row>
    <row r="3" spans="1:22" ht="15">
      <c r="A3" s="729" t="s">
        <v>98</v>
      </c>
      <c r="B3" s="732" t="s">
        <v>99</v>
      </c>
      <c r="C3" s="733"/>
      <c r="D3" s="733"/>
      <c r="E3" s="733"/>
      <c r="F3" s="733"/>
      <c r="G3" s="734"/>
      <c r="H3" s="713" t="s">
        <v>100</v>
      </c>
      <c r="I3" s="735" t="s">
        <v>101</v>
      </c>
      <c r="J3" s="736"/>
      <c r="K3" s="736"/>
      <c r="L3" s="737"/>
      <c r="M3" s="713" t="s">
        <v>124</v>
      </c>
      <c r="N3" s="735" t="s">
        <v>3</v>
      </c>
      <c r="O3" s="738"/>
      <c r="P3" s="713" t="s">
        <v>102</v>
      </c>
      <c r="Q3" s="713" t="s">
        <v>103</v>
      </c>
      <c r="R3" s="713" t="s">
        <v>104</v>
      </c>
      <c r="S3" s="713" t="s">
        <v>105</v>
      </c>
      <c r="T3" s="713" t="s">
        <v>117</v>
      </c>
      <c r="U3" s="713" t="s">
        <v>400</v>
      </c>
      <c r="V3" s="713" t="s">
        <v>106</v>
      </c>
    </row>
    <row r="4" spans="1:22" ht="15">
      <c r="A4" s="730"/>
      <c r="B4" s="721" t="s">
        <v>107</v>
      </c>
      <c r="C4" s="722"/>
      <c r="D4" s="723"/>
      <c r="E4" s="721" t="s">
        <v>108</v>
      </c>
      <c r="F4" s="722"/>
      <c r="G4" s="723"/>
      <c r="H4" s="714"/>
      <c r="I4" s="720" t="s">
        <v>109</v>
      </c>
      <c r="J4" s="718" t="s">
        <v>110</v>
      </c>
      <c r="K4" s="719"/>
      <c r="L4" s="720" t="s">
        <v>109</v>
      </c>
      <c r="M4" s="716"/>
      <c r="N4" s="716" t="s">
        <v>111</v>
      </c>
      <c r="O4" s="716" t="s">
        <v>112</v>
      </c>
      <c r="P4" s="716"/>
      <c r="Q4" s="714"/>
      <c r="R4" s="714"/>
      <c r="S4" s="714"/>
      <c r="T4" s="714"/>
      <c r="U4" s="714"/>
      <c r="V4" s="716"/>
    </row>
    <row r="5" spans="1:22" ht="15">
      <c r="A5" s="731"/>
      <c r="B5" s="724"/>
      <c r="C5" s="725"/>
      <c r="D5" s="726"/>
      <c r="E5" s="724"/>
      <c r="F5" s="725"/>
      <c r="G5" s="726"/>
      <c r="H5" s="715"/>
      <c r="I5" s="715"/>
      <c r="J5" s="326" t="s">
        <v>113</v>
      </c>
      <c r="K5" s="326" t="s">
        <v>114</v>
      </c>
      <c r="L5" s="715"/>
      <c r="M5" s="717"/>
      <c r="N5" s="715"/>
      <c r="O5" s="715"/>
      <c r="P5" s="717"/>
      <c r="Q5" s="715"/>
      <c r="R5" s="715"/>
      <c r="S5" s="715"/>
      <c r="T5" s="715"/>
      <c r="U5" s="715"/>
      <c r="V5" s="717"/>
    </row>
    <row r="6" spans="1:22" ht="15">
      <c r="A6" s="327" t="s">
        <v>401</v>
      </c>
      <c r="B6" s="328">
        <v>0</v>
      </c>
      <c r="C6" s="329" t="s">
        <v>115</v>
      </c>
      <c r="D6" s="330">
        <v>0</v>
      </c>
      <c r="E6" s="328">
        <v>40</v>
      </c>
      <c r="F6" s="328" t="s">
        <v>115</v>
      </c>
      <c r="G6" s="330">
        <v>5.714</v>
      </c>
      <c r="H6" s="331">
        <f>(E6*20+G6)-(B6*20+D6)</f>
        <v>805.714</v>
      </c>
      <c r="I6" s="332">
        <v>0.5</v>
      </c>
      <c r="J6" s="332">
        <v>3.5</v>
      </c>
      <c r="K6" s="332">
        <v>3.5</v>
      </c>
      <c r="L6" s="332">
        <v>0.5</v>
      </c>
      <c r="M6" s="332">
        <f>H6*3</f>
        <v>2417.1420000000003</v>
      </c>
      <c r="N6" s="333">
        <v>3295.437</v>
      </c>
      <c r="O6" s="333">
        <v>0.92</v>
      </c>
      <c r="P6" s="334">
        <f>INT((I6+J6+K6+L6)*H6*100+0.5)/100</f>
        <v>6445.71</v>
      </c>
      <c r="Q6" s="334">
        <f>INT((I6+J6+K6+L6)*H6*0.2*100+0.5)/100</f>
        <v>1289.14</v>
      </c>
      <c r="R6" s="334">
        <f>INT((I6+J6+K6+L6)*H6*0.2*100+0.5)/100</f>
        <v>1289.14</v>
      </c>
      <c r="S6" s="330">
        <f>INT((J6-0.3+K6-0.3)*H6*100+0.5)/100</f>
        <v>5156.57</v>
      </c>
      <c r="T6" s="330">
        <f>INT(((J6-0.3+K6-0.3))*H6*100+0.5)/100</f>
        <v>5156.57</v>
      </c>
      <c r="U6" s="330">
        <f>S6*0.04</f>
        <v>206.2628</v>
      </c>
      <c r="V6" s="330">
        <f>(H6*2)-(2*3.5)</f>
        <v>1604.428</v>
      </c>
    </row>
    <row r="7" spans="1:22" ht="15">
      <c r="A7" s="327" t="s">
        <v>402</v>
      </c>
      <c r="B7" s="328">
        <v>0</v>
      </c>
      <c r="C7" s="329" t="s">
        <v>115</v>
      </c>
      <c r="D7" s="330">
        <v>0</v>
      </c>
      <c r="E7" s="328">
        <v>0</v>
      </c>
      <c r="F7" s="328" t="s">
        <v>115</v>
      </c>
      <c r="G7" s="330">
        <v>10</v>
      </c>
      <c r="H7" s="331">
        <v>60</v>
      </c>
      <c r="I7" s="332">
        <v>0.5</v>
      </c>
      <c r="J7" s="332">
        <v>3.5</v>
      </c>
      <c r="K7" s="332">
        <v>3.5</v>
      </c>
      <c r="L7" s="332">
        <v>0.5</v>
      </c>
      <c r="M7" s="332">
        <f>H7*3</f>
        <v>180</v>
      </c>
      <c r="N7" s="333">
        <f>H7*(I7+J7+K7+L7)*1</f>
        <v>480</v>
      </c>
      <c r="O7" s="333"/>
      <c r="P7" s="334">
        <f>INT((I7+J7+K7+L7)*H7*100+0.5)/100</f>
        <v>480</v>
      </c>
      <c r="Q7" s="334">
        <f>INT((I7+J7+K7+L7)*H7*0.2*100+0.5)/100</f>
        <v>96</v>
      </c>
      <c r="R7" s="334">
        <f>INT((I7+J7+K7+L7)*H7*0.2*100+0.5)/100</f>
        <v>96</v>
      </c>
      <c r="S7" s="330">
        <f>INT((J7-0.3+K7-0.3)*H7*100+0.5)/100</f>
        <v>384</v>
      </c>
      <c r="T7" s="330">
        <f>INT(((J7-0.3+K7-0.3))*H7*100+0.5)/100</f>
        <v>384</v>
      </c>
      <c r="U7" s="330">
        <f>S7*0.04</f>
        <v>15.36</v>
      </c>
      <c r="V7" s="330">
        <f>(H7*2)-10*(2*3.5)</f>
        <v>50</v>
      </c>
    </row>
    <row r="8" spans="1:22" ht="15">
      <c r="A8" s="327"/>
      <c r="B8" s="328"/>
      <c r="C8" s="329"/>
      <c r="D8" s="330"/>
      <c r="E8" s="328"/>
      <c r="F8" s="328"/>
      <c r="G8" s="330"/>
      <c r="H8" s="331"/>
      <c r="I8" s="332"/>
      <c r="J8" s="332"/>
      <c r="K8" s="332"/>
      <c r="L8" s="332"/>
      <c r="M8" s="332"/>
      <c r="N8" s="333"/>
      <c r="O8" s="333"/>
      <c r="P8" s="334"/>
      <c r="Q8" s="334"/>
      <c r="R8" s="334"/>
      <c r="S8" s="330"/>
      <c r="T8" s="330"/>
      <c r="U8" s="330"/>
      <c r="V8" s="330"/>
    </row>
    <row r="9" spans="1:22" ht="15">
      <c r="A9" s="327" t="s">
        <v>403</v>
      </c>
      <c r="B9" s="328">
        <v>0</v>
      </c>
      <c r="C9" s="329" t="s">
        <v>115</v>
      </c>
      <c r="D9" s="330">
        <v>0</v>
      </c>
      <c r="E9" s="328">
        <v>6</v>
      </c>
      <c r="F9" s="328" t="s">
        <v>115</v>
      </c>
      <c r="G9" s="330">
        <v>7.648</v>
      </c>
      <c r="H9" s="331">
        <f>(E9*20+G9)-(B9*20+D9)</f>
        <v>127.648</v>
      </c>
      <c r="I9" s="332">
        <v>0.5</v>
      </c>
      <c r="J9" s="332">
        <v>3.5</v>
      </c>
      <c r="K9" s="332">
        <v>3.5</v>
      </c>
      <c r="L9" s="332">
        <v>0.5</v>
      </c>
      <c r="M9" s="332">
        <f>H9*3</f>
        <v>382.94399999999996</v>
      </c>
      <c r="N9" s="335">
        <v>1036.238</v>
      </c>
      <c r="O9" s="335">
        <v>0</v>
      </c>
      <c r="P9" s="334">
        <f>INT((I9+J9+K9+L9)*H9*100+0.5)/100</f>
        <v>1021.18</v>
      </c>
      <c r="Q9" s="334">
        <f>INT((I9+J9+K9+L9)*H9*0.2*100+0.5)/100</f>
        <v>204.24</v>
      </c>
      <c r="R9" s="334">
        <f>INT((I9+J9+K9+L9)*H9*0.2*100+0.5)/100</f>
        <v>204.24</v>
      </c>
      <c r="S9" s="330">
        <f>INT((J9-0.3+K9-0.3)*H9*100+0.5)/100</f>
        <v>816.95</v>
      </c>
      <c r="T9" s="330">
        <f>INT(((J9-0.3+K9-0.3))*H9*100+0.5)/100</f>
        <v>816.95</v>
      </c>
      <c r="U9" s="330">
        <f>S9*0.04</f>
        <v>32.678000000000004</v>
      </c>
      <c r="V9" s="330">
        <f>(H9*2)-(2*3.5)</f>
        <v>248.296</v>
      </c>
    </row>
    <row r="10" spans="1:22" ht="15">
      <c r="A10" s="327" t="s">
        <v>205</v>
      </c>
      <c r="B10" s="328">
        <v>0</v>
      </c>
      <c r="C10" s="329" t="s">
        <v>115</v>
      </c>
      <c r="D10" s="330">
        <v>0</v>
      </c>
      <c r="E10" s="328">
        <v>0</v>
      </c>
      <c r="F10" s="328" t="s">
        <v>115</v>
      </c>
      <c r="G10" s="330">
        <v>0</v>
      </c>
      <c r="H10" s="331">
        <v>0</v>
      </c>
      <c r="I10" s="332">
        <v>0.5</v>
      </c>
      <c r="J10" s="332">
        <v>3.5</v>
      </c>
      <c r="K10" s="332">
        <v>3.5</v>
      </c>
      <c r="L10" s="332">
        <v>0.5</v>
      </c>
      <c r="M10" s="332">
        <f>H10*3</f>
        <v>0</v>
      </c>
      <c r="N10" s="335">
        <f>H10*(I10+J10+K10+L10)*0.65</f>
        <v>0</v>
      </c>
      <c r="O10" s="335"/>
      <c r="P10" s="334">
        <f>INT((I10+J10+K10+L10)*H10*100+0.5)/100</f>
        <v>0</v>
      </c>
      <c r="Q10" s="334">
        <f>INT((I10+J10+K10+L10)*H10*0.2*100+0.5)/100</f>
        <v>0</v>
      </c>
      <c r="R10" s="334">
        <f>INT((I10+J10+K10+L10)*H10*0.2*100+0.5)/100</f>
        <v>0</v>
      </c>
      <c r="S10" s="330">
        <f>INT((J10-0.3+K10-0.3)*H10*100+0.5)/100</f>
        <v>0</v>
      </c>
      <c r="T10" s="330">
        <f>INT(((J10-0.3+K10-0.3))*H10*100+0.5)/100</f>
        <v>0</v>
      </c>
      <c r="U10" s="330">
        <f>S10*0.04</f>
        <v>0</v>
      </c>
      <c r="V10" s="330">
        <v>0</v>
      </c>
    </row>
    <row r="11" spans="1:22" ht="15.75">
      <c r="A11" s="336"/>
      <c r="B11" s="337"/>
      <c r="C11" s="338"/>
      <c r="D11" s="339"/>
      <c r="E11" s="337"/>
      <c r="F11" s="337"/>
      <c r="G11" s="339"/>
      <c r="H11" s="340"/>
      <c r="I11" s="341"/>
      <c r="J11" s="341"/>
      <c r="K11" s="341"/>
      <c r="L11" s="339"/>
      <c r="M11" s="339"/>
      <c r="N11" s="342"/>
      <c r="O11" s="342"/>
      <c r="P11" s="342"/>
      <c r="Q11" s="334"/>
      <c r="R11" s="342"/>
      <c r="S11" s="330"/>
      <c r="T11" s="339"/>
      <c r="U11" s="342"/>
      <c r="V11" s="339"/>
    </row>
    <row r="12" spans="1:22" ht="15">
      <c r="A12" s="327" t="s">
        <v>404</v>
      </c>
      <c r="B12" s="328">
        <v>0</v>
      </c>
      <c r="C12" s="329" t="s">
        <v>115</v>
      </c>
      <c r="D12" s="330">
        <v>0</v>
      </c>
      <c r="E12" s="328">
        <v>3</v>
      </c>
      <c r="F12" s="328" t="s">
        <v>115</v>
      </c>
      <c r="G12" s="330">
        <v>12.62</v>
      </c>
      <c r="H12" s="331">
        <f>(E12*20+G12)-(B12*20+D12)</f>
        <v>72.62</v>
      </c>
      <c r="I12" s="332">
        <v>0.5</v>
      </c>
      <c r="J12" s="332">
        <v>3.5</v>
      </c>
      <c r="K12" s="332">
        <v>3.5</v>
      </c>
      <c r="L12" s="332">
        <v>0.5</v>
      </c>
      <c r="M12" s="332">
        <f>H12*3</f>
        <v>217.86</v>
      </c>
      <c r="N12" s="335">
        <v>349.871</v>
      </c>
      <c r="O12" s="335">
        <v>0</v>
      </c>
      <c r="P12" s="334">
        <f>INT((I12+J12+K12+L12)*H12*100+0.5)/100</f>
        <v>580.96</v>
      </c>
      <c r="Q12" s="334">
        <f>INT((I12+J12+K12+L12)*H12*0.2*100+0.5)/100</f>
        <v>116.19</v>
      </c>
      <c r="R12" s="334">
        <f>INT((I12+J12+K12+L12)*H12*0.2*100+0.5)/100</f>
        <v>116.19</v>
      </c>
      <c r="S12" s="330">
        <f>INT((J12-0.3+K12-0.3)*H12*100+0.5)/100</f>
        <v>464.77</v>
      </c>
      <c r="T12" s="330">
        <f>INT(((J12-0.3+K12-0.3))*H12*100+0.5)/100</f>
        <v>464.77</v>
      </c>
      <c r="U12" s="330">
        <f>S12*0.04</f>
        <v>18.590799999999998</v>
      </c>
      <c r="V12" s="330">
        <f>(H12*2)-(2*3.5)</f>
        <v>138.24</v>
      </c>
    </row>
    <row r="13" spans="1:22" ht="15">
      <c r="A13" s="327" t="s">
        <v>205</v>
      </c>
      <c r="B13" s="328">
        <v>0</v>
      </c>
      <c r="C13" s="329" t="s">
        <v>115</v>
      </c>
      <c r="D13" s="330">
        <v>0</v>
      </c>
      <c r="E13" s="328">
        <v>0</v>
      </c>
      <c r="F13" s="328" t="s">
        <v>115</v>
      </c>
      <c r="G13" s="330">
        <v>0</v>
      </c>
      <c r="H13" s="331">
        <f>(E13*20+G13)-(B13*20+D13)</f>
        <v>0</v>
      </c>
      <c r="I13" s="332">
        <v>0.5</v>
      </c>
      <c r="J13" s="332">
        <v>3.5</v>
      </c>
      <c r="K13" s="332">
        <v>3.5</v>
      </c>
      <c r="L13" s="332">
        <v>0.5</v>
      </c>
      <c r="M13" s="332">
        <f>H13*3</f>
        <v>0</v>
      </c>
      <c r="N13" s="335">
        <f>H13*(I13+J13+K13+L13)*0.4</f>
        <v>0</v>
      </c>
      <c r="O13" s="335"/>
      <c r="P13" s="334">
        <f>INT((I13+J13+K13+L13)*H13*100+0.5)/100</f>
        <v>0</v>
      </c>
      <c r="Q13" s="334">
        <f>INT((I13+J13+K13+L13)*H13*0.2*100+0.5)/100</f>
        <v>0</v>
      </c>
      <c r="R13" s="334">
        <f>INT((I13+J13+K13+L13)*H13*0.2*100+0.5)/100</f>
        <v>0</v>
      </c>
      <c r="S13" s="330">
        <f>INT((J13-0.3+K13-0.3)*H13*100+0.5)/100</f>
        <v>0</v>
      </c>
      <c r="T13" s="330">
        <f>INT(((J13-0.3+K13-0.3))*H13*100+0.5)/100</f>
        <v>0</v>
      </c>
      <c r="U13" s="330">
        <f>S13*0.04</f>
        <v>0</v>
      </c>
      <c r="V13" s="330">
        <v>0</v>
      </c>
    </row>
    <row r="14" spans="1:22" ht="15.75">
      <c r="A14" s="336"/>
      <c r="B14" s="337"/>
      <c r="C14" s="338"/>
      <c r="D14" s="339"/>
      <c r="E14" s="337"/>
      <c r="F14" s="337"/>
      <c r="G14" s="339"/>
      <c r="H14" s="340"/>
      <c r="I14" s="341"/>
      <c r="J14" s="341"/>
      <c r="K14" s="341"/>
      <c r="L14" s="339"/>
      <c r="M14" s="339"/>
      <c r="N14" s="342"/>
      <c r="O14" s="342"/>
      <c r="P14" s="342"/>
      <c r="Q14" s="334"/>
      <c r="R14" s="342"/>
      <c r="S14" s="330"/>
      <c r="T14" s="339"/>
      <c r="U14" s="342"/>
      <c r="V14" s="339"/>
    </row>
    <row r="15" spans="1:22" ht="15">
      <c r="A15" s="327" t="s">
        <v>405</v>
      </c>
      <c r="B15" s="328">
        <v>0</v>
      </c>
      <c r="C15" s="329" t="s">
        <v>115</v>
      </c>
      <c r="D15" s="330">
        <v>0</v>
      </c>
      <c r="E15" s="328">
        <v>3</v>
      </c>
      <c r="F15" s="328" t="s">
        <v>115</v>
      </c>
      <c r="G15" s="330">
        <v>12.352</v>
      </c>
      <c r="H15" s="331">
        <f>(E15*20+G15)-(B15*20+D15)</f>
        <v>72.352</v>
      </c>
      <c r="I15" s="332">
        <v>0.5</v>
      </c>
      <c r="J15" s="332">
        <v>3.5</v>
      </c>
      <c r="K15" s="332">
        <v>3.5</v>
      </c>
      <c r="L15" s="332">
        <v>0.5</v>
      </c>
      <c r="M15" s="332">
        <f>H15*3</f>
        <v>217.056</v>
      </c>
      <c r="N15" s="335">
        <v>320.529</v>
      </c>
      <c r="O15" s="335">
        <v>0</v>
      </c>
      <c r="P15" s="334">
        <f>INT((I15+J15+K15+L15)*H15*100+0.5)/100</f>
        <v>578.82</v>
      </c>
      <c r="Q15" s="334">
        <f>INT((I15+J15+K15+L15)*H15*0.2*100+0.5)/100</f>
        <v>115.76</v>
      </c>
      <c r="R15" s="334">
        <f>INT((I15+J15+K15+L15)*H15*0.2*100+0.5)/100</f>
        <v>115.76</v>
      </c>
      <c r="S15" s="330">
        <f>INT((J15-0.3+K15-0.3)*H15*100+0.5)/100</f>
        <v>463.05</v>
      </c>
      <c r="T15" s="330">
        <f>INT(((J15-0.3+K15-0.3))*H15*100+0.5)/100</f>
        <v>463.05</v>
      </c>
      <c r="U15" s="330">
        <f>S15*0.04</f>
        <v>18.522000000000002</v>
      </c>
      <c r="V15" s="330">
        <f>(H15*2)-(2*3.5)</f>
        <v>137.704</v>
      </c>
    </row>
    <row r="16" spans="1:22" ht="15">
      <c r="A16" s="327" t="s">
        <v>205</v>
      </c>
      <c r="B16" s="328">
        <v>0</v>
      </c>
      <c r="C16" s="329" t="s">
        <v>115</v>
      </c>
      <c r="D16" s="330">
        <v>0</v>
      </c>
      <c r="E16" s="328">
        <v>0</v>
      </c>
      <c r="F16" s="328" t="s">
        <v>115</v>
      </c>
      <c r="G16" s="330">
        <v>0</v>
      </c>
      <c r="H16" s="331">
        <f>(E16*20+G16)-(B16*20+D16)</f>
        <v>0</v>
      </c>
      <c r="I16" s="332">
        <v>0.5</v>
      </c>
      <c r="J16" s="332">
        <v>3.5</v>
      </c>
      <c r="K16" s="332">
        <v>3.5</v>
      </c>
      <c r="L16" s="332">
        <v>0.5</v>
      </c>
      <c r="M16" s="332">
        <f>H16*3</f>
        <v>0</v>
      </c>
      <c r="N16" s="335">
        <f>H16*(I16+J16+K16+L16)*0.4</f>
        <v>0</v>
      </c>
      <c r="O16" s="335"/>
      <c r="P16" s="334">
        <f>INT((I16+J16+K16+L16)*H16*100+0.5)/100</f>
        <v>0</v>
      </c>
      <c r="Q16" s="334">
        <f>INT((I16+J16+K16+L16)*H16*0.2*100+0.5)/100</f>
        <v>0</v>
      </c>
      <c r="R16" s="334">
        <f>INT((I16+J16+K16+L16)*H16*0.2*100+0.5)/100</f>
        <v>0</v>
      </c>
      <c r="S16" s="330">
        <f>INT((J16-0.3+K16-0.3)*H16*100+0.5)/100</f>
        <v>0</v>
      </c>
      <c r="T16" s="330">
        <f>INT(((J16-0.3+K16-0.3))*H16*100+0.5)/100</f>
        <v>0</v>
      </c>
      <c r="U16" s="330">
        <f>S16*0.04</f>
        <v>0</v>
      </c>
      <c r="V16" s="330">
        <v>0</v>
      </c>
    </row>
    <row r="17" spans="1:22" ht="15">
      <c r="A17" s="343"/>
      <c r="B17" s="328"/>
      <c r="C17" s="329"/>
      <c r="D17" s="330"/>
      <c r="E17" s="328"/>
      <c r="F17" s="328"/>
      <c r="G17" s="330"/>
      <c r="H17" s="331"/>
      <c r="I17" s="332"/>
      <c r="J17" s="332"/>
      <c r="K17" s="332"/>
      <c r="L17" s="332"/>
      <c r="M17" s="332"/>
      <c r="N17" s="335"/>
      <c r="O17" s="335"/>
      <c r="P17" s="334"/>
      <c r="Q17" s="334"/>
      <c r="R17" s="334"/>
      <c r="S17" s="330"/>
      <c r="T17" s="330"/>
      <c r="U17" s="330"/>
      <c r="V17" s="330"/>
    </row>
    <row r="18" spans="1:22" ht="15">
      <c r="A18" s="327" t="s">
        <v>406</v>
      </c>
      <c r="B18" s="328">
        <v>0</v>
      </c>
      <c r="C18" s="329" t="s">
        <v>115</v>
      </c>
      <c r="D18" s="330">
        <v>0</v>
      </c>
      <c r="E18" s="328">
        <v>13</v>
      </c>
      <c r="F18" s="328" t="s">
        <v>115</v>
      </c>
      <c r="G18" s="330">
        <v>1.396</v>
      </c>
      <c r="H18" s="331">
        <f>(E18*20+G18)-(B18*20+D18)</f>
        <v>261.396</v>
      </c>
      <c r="I18" s="332">
        <v>0.5</v>
      </c>
      <c r="J18" s="332">
        <v>3.5</v>
      </c>
      <c r="K18" s="332">
        <v>3.5</v>
      </c>
      <c r="L18" s="332">
        <v>0.5</v>
      </c>
      <c r="M18" s="332">
        <f>H18*3</f>
        <v>784.1880000000001</v>
      </c>
      <c r="N18" s="335">
        <v>1212.779</v>
      </c>
      <c r="O18" s="335">
        <v>0</v>
      </c>
      <c r="P18" s="334">
        <f>INT((I18+J18+K18+L18)*H18*100+0.5)/100</f>
        <v>2091.17</v>
      </c>
      <c r="Q18" s="334">
        <f>INT((I18+J18+K18+L18)*H18*0.2*100+0.5)/100</f>
        <v>418.23</v>
      </c>
      <c r="R18" s="334">
        <f>INT((I18+J18+K18+L18)*H18*0.2*100+0.5)/100</f>
        <v>418.23</v>
      </c>
      <c r="S18" s="330">
        <f>INT((J18-0.3+K18-0.3)*H18*100+0.5)/100</f>
        <v>1672.93</v>
      </c>
      <c r="T18" s="330">
        <f>INT(((J18-0.3+K18-0.3))*H18*100+0.5)/100</f>
        <v>1672.93</v>
      </c>
      <c r="U18" s="330">
        <f>S18*0.04</f>
        <v>66.91720000000001</v>
      </c>
      <c r="V18" s="330">
        <f>(H18*2)-(2*3.5)</f>
        <v>515.792</v>
      </c>
    </row>
    <row r="19" spans="1:22" ht="15">
      <c r="A19" s="327" t="s">
        <v>402</v>
      </c>
      <c r="B19" s="328">
        <v>0</v>
      </c>
      <c r="C19" s="329" t="s">
        <v>115</v>
      </c>
      <c r="D19" s="330">
        <v>0</v>
      </c>
      <c r="E19" s="328">
        <v>0</v>
      </c>
      <c r="F19" s="328" t="s">
        <v>115</v>
      </c>
      <c r="G19" s="330">
        <v>10</v>
      </c>
      <c r="H19" s="331">
        <v>60</v>
      </c>
      <c r="I19" s="332">
        <v>0.5</v>
      </c>
      <c r="J19" s="332">
        <v>3.5</v>
      </c>
      <c r="K19" s="332">
        <v>3.5</v>
      </c>
      <c r="L19" s="332">
        <v>0.5</v>
      </c>
      <c r="M19" s="332">
        <f>H19*3</f>
        <v>180</v>
      </c>
      <c r="N19" s="335">
        <f>H19*(I19+J19+K19+L19)*0.4</f>
        <v>192</v>
      </c>
      <c r="O19" s="335"/>
      <c r="P19" s="334">
        <f>INT((I19+J19+K19+L19)*H19*100+0.5)/100</f>
        <v>480</v>
      </c>
      <c r="Q19" s="334">
        <f>INT((I19+J19+K19+L19)*H19*0.2*100+0.5)/100</f>
        <v>96</v>
      </c>
      <c r="R19" s="334">
        <f>INT((I19+J19+K19+L19)*H19*0.2*100+0.5)/100</f>
        <v>96</v>
      </c>
      <c r="S19" s="330">
        <f>INT((J19-0.3+K19-0.3)*H19*100+0.5)/100</f>
        <v>384</v>
      </c>
      <c r="T19" s="330">
        <f>INT(((J19-0.3+K19-0.3))*H19*100+0.5)/100</f>
        <v>384</v>
      </c>
      <c r="U19" s="330">
        <f>S19*0.04</f>
        <v>15.36</v>
      </c>
      <c r="V19" s="330">
        <f>(H19*2)-2*(2*3.5)</f>
        <v>106</v>
      </c>
    </row>
    <row r="20" spans="1:22" ht="15">
      <c r="A20" s="343"/>
      <c r="B20" s="328"/>
      <c r="C20" s="329"/>
      <c r="D20" s="330"/>
      <c r="E20" s="328"/>
      <c r="F20" s="328"/>
      <c r="G20" s="330"/>
      <c r="H20" s="331"/>
      <c r="I20" s="332"/>
      <c r="J20" s="332"/>
      <c r="K20" s="332"/>
      <c r="L20" s="332"/>
      <c r="M20" s="332"/>
      <c r="N20" s="335"/>
      <c r="O20" s="335"/>
      <c r="P20" s="334"/>
      <c r="Q20" s="334"/>
      <c r="R20" s="334"/>
      <c r="S20" s="330"/>
      <c r="T20" s="330"/>
      <c r="U20" s="330"/>
      <c r="V20" s="330"/>
    </row>
    <row r="21" spans="1:22" ht="15">
      <c r="A21" s="327" t="s">
        <v>407</v>
      </c>
      <c r="B21" s="328">
        <v>0</v>
      </c>
      <c r="C21" s="329" t="s">
        <v>115</v>
      </c>
      <c r="D21" s="330">
        <v>0</v>
      </c>
      <c r="E21" s="328">
        <v>6</v>
      </c>
      <c r="F21" s="328" t="s">
        <v>115</v>
      </c>
      <c r="G21" s="330">
        <v>10.513</v>
      </c>
      <c r="H21" s="331">
        <f>(E21*20+G21)-(B21*20+D21)</f>
        <v>130.513</v>
      </c>
      <c r="I21" s="332">
        <v>0.5</v>
      </c>
      <c r="J21" s="332">
        <v>3.5</v>
      </c>
      <c r="K21" s="332">
        <v>3.5</v>
      </c>
      <c r="L21" s="332">
        <v>0.5</v>
      </c>
      <c r="M21" s="332">
        <f>H21*3</f>
        <v>391.539</v>
      </c>
      <c r="N21" s="335">
        <v>601.816</v>
      </c>
      <c r="O21" s="335">
        <v>0</v>
      </c>
      <c r="P21" s="334">
        <f>INT((I21+J21+K21+L21)*H21*100+0.5)/100</f>
        <v>1044.1</v>
      </c>
      <c r="Q21" s="334">
        <f>INT((I21+J21+K21+L21)*H21*0.2*100+0.5)/100</f>
        <v>208.82</v>
      </c>
      <c r="R21" s="334">
        <f>INT((I21+J21+K21+L21)*H21*0.2*100+0.5)/100</f>
        <v>208.82</v>
      </c>
      <c r="S21" s="330">
        <f>INT((J21-0.3+K21-0.3)*H21*100+0.5)/100</f>
        <v>835.28</v>
      </c>
      <c r="T21" s="330">
        <f>INT(((J21-0.3+K21-0.3))*H21*100+0.5)/100</f>
        <v>835.28</v>
      </c>
      <c r="U21" s="330">
        <f>S21*0.04</f>
        <v>33.4112</v>
      </c>
      <c r="V21" s="330">
        <f>(H21*2)-(2*3.5)</f>
        <v>254.026</v>
      </c>
    </row>
    <row r="22" spans="1:22" ht="15">
      <c r="A22" s="327" t="s">
        <v>408</v>
      </c>
      <c r="B22" s="328">
        <v>0</v>
      </c>
      <c r="C22" s="329" t="s">
        <v>115</v>
      </c>
      <c r="D22" s="330">
        <v>0</v>
      </c>
      <c r="E22" s="328">
        <v>0</v>
      </c>
      <c r="F22" s="328" t="s">
        <v>115</v>
      </c>
      <c r="G22" s="330">
        <v>10</v>
      </c>
      <c r="H22" s="331">
        <v>20</v>
      </c>
      <c r="I22" s="332">
        <v>0.5</v>
      </c>
      <c r="J22" s="332">
        <v>3.5</v>
      </c>
      <c r="K22" s="332">
        <v>3.5</v>
      </c>
      <c r="L22" s="332">
        <v>0.5</v>
      </c>
      <c r="M22" s="332">
        <f>H22*3</f>
        <v>60</v>
      </c>
      <c r="N22" s="335">
        <f>H22*(I22+J22+K22+L22)*0.4</f>
        <v>64</v>
      </c>
      <c r="O22" s="335"/>
      <c r="P22" s="334">
        <f>INT((I22+J22+K22+L22)*H22*100+0.5)/100</f>
        <v>160</v>
      </c>
      <c r="Q22" s="334">
        <f>INT((I22+J22+K22+L22)*H22*0.2*100+0.5)/100</f>
        <v>32</v>
      </c>
      <c r="R22" s="334">
        <f>INT((I22+J22+K22+L22)*H22*0.2*100+0.5)/100</f>
        <v>32</v>
      </c>
      <c r="S22" s="330">
        <f>INT((J22-0.3+K22-0.3)*H22*100+0.5)/100</f>
        <v>128</v>
      </c>
      <c r="T22" s="330">
        <f>INT(((J22-0.3+K22-0.3))*H22*100+0.5)/100</f>
        <v>128</v>
      </c>
      <c r="U22" s="330">
        <f>S22*0.04</f>
        <v>5.12</v>
      </c>
      <c r="V22" s="330">
        <f>(H22*2)-(2*3.5)</f>
        <v>33</v>
      </c>
    </row>
    <row r="23" spans="1:22" ht="15.75">
      <c r="A23" s="336"/>
      <c r="B23" s="337"/>
      <c r="C23" s="338"/>
      <c r="D23" s="339"/>
      <c r="E23" s="337"/>
      <c r="F23" s="337"/>
      <c r="G23" s="339"/>
      <c r="H23" s="341"/>
      <c r="I23" s="332"/>
      <c r="J23" s="332"/>
      <c r="K23" s="332"/>
      <c r="L23" s="332"/>
      <c r="M23" s="332"/>
      <c r="N23" s="333"/>
      <c r="O23" s="333"/>
      <c r="P23" s="334"/>
      <c r="Q23" s="334"/>
      <c r="R23" s="334"/>
      <c r="S23" s="330"/>
      <c r="T23" s="330"/>
      <c r="U23" s="330"/>
      <c r="V23" s="330"/>
    </row>
    <row r="24" spans="1:22" ht="16.5" thickBot="1">
      <c r="A24" s="344" t="s">
        <v>16</v>
      </c>
      <c r="B24" s="345"/>
      <c r="C24" s="346"/>
      <c r="D24" s="347"/>
      <c r="E24" s="345"/>
      <c r="F24" s="345"/>
      <c r="G24" s="347"/>
      <c r="H24" s="348">
        <f>SUM(H6:H22)</f>
        <v>1610.243</v>
      </c>
      <c r="I24" s="349"/>
      <c r="J24" s="349"/>
      <c r="K24" s="349"/>
      <c r="L24" s="349"/>
      <c r="M24" s="348">
        <f>SUM(M6:M22)</f>
        <v>4830.729</v>
      </c>
      <c r="N24" s="348">
        <f>SUM(N6:N22)</f>
        <v>7552.670000000001</v>
      </c>
      <c r="O24" s="349">
        <f>SUM(O6:O23)</f>
        <v>0.92</v>
      </c>
      <c r="P24" s="348">
        <f aca="true" t="shared" si="0" ref="P24:V24">SUM(P6:P22)</f>
        <v>12881.94</v>
      </c>
      <c r="Q24" s="348">
        <f t="shared" si="0"/>
        <v>2576.3800000000006</v>
      </c>
      <c r="R24" s="348">
        <f t="shared" si="0"/>
        <v>2576.3800000000006</v>
      </c>
      <c r="S24" s="348">
        <f t="shared" si="0"/>
        <v>10305.55</v>
      </c>
      <c r="T24" s="348">
        <f t="shared" si="0"/>
        <v>10305.55</v>
      </c>
      <c r="U24" s="348">
        <f t="shared" si="0"/>
        <v>412.222</v>
      </c>
      <c r="V24" s="348">
        <f t="shared" si="0"/>
        <v>3087.486</v>
      </c>
    </row>
  </sheetData>
  <sheetProtection/>
  <mergeCells count="22">
    <mergeCell ref="A1:V1"/>
    <mergeCell ref="A2:V2"/>
    <mergeCell ref="A3:A5"/>
    <mergeCell ref="B3:G3"/>
    <mergeCell ref="H3:H5"/>
    <mergeCell ref="I3:L3"/>
    <mergeCell ref="V3:V5"/>
    <mergeCell ref="B4:D5"/>
    <mergeCell ref="M3:M5"/>
    <mergeCell ref="N3:O3"/>
    <mergeCell ref="J4:K4"/>
    <mergeCell ref="L4:L5"/>
    <mergeCell ref="E4:G5"/>
    <mergeCell ref="I4:I5"/>
    <mergeCell ref="R3:R5"/>
    <mergeCell ref="S3:S5"/>
    <mergeCell ref="T3:T5"/>
    <mergeCell ref="U3:U5"/>
    <mergeCell ref="N4:N5"/>
    <mergeCell ref="O4:O5"/>
    <mergeCell ref="P3:P5"/>
    <mergeCell ref="Q3:Q5"/>
  </mergeCells>
  <printOptions horizontalCentered="1"/>
  <pageMargins left="0.11811023622047245" right="0.11811023622047245" top="0.7874015748031497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8.00390625" style="0" customWidth="1"/>
    <col min="2" max="2" width="37.421875" style="0" customWidth="1"/>
    <col min="3" max="4" width="8.00390625" style="0" customWidth="1"/>
    <col min="5" max="5" width="15.7109375" style="0" customWidth="1"/>
    <col min="6" max="6" width="8.00390625" style="0" customWidth="1"/>
    <col min="7" max="8" width="15.57421875" style="0" customWidth="1"/>
    <col min="9" max="9" width="19.8515625" style="0" customWidth="1"/>
  </cols>
  <sheetData>
    <row r="1" spans="1:9" ht="15.75">
      <c r="A1" s="739" t="s">
        <v>144</v>
      </c>
      <c r="B1" s="740"/>
      <c r="C1" s="740"/>
      <c r="D1" s="741"/>
      <c r="E1" s="742"/>
      <c r="F1" s="742"/>
      <c r="G1" s="741"/>
      <c r="H1" s="742"/>
      <c r="I1" s="743"/>
    </row>
    <row r="2" spans="1:9" ht="14.25">
      <c r="A2" s="747" t="str">
        <f>QUANT!A2</f>
        <v>BAIRROS: Nova Era</v>
      </c>
      <c r="B2" s="748"/>
      <c r="C2" s="748"/>
      <c r="D2" s="748"/>
      <c r="E2" s="748"/>
      <c r="F2" s="748"/>
      <c r="G2" s="748"/>
      <c r="H2" s="748"/>
      <c r="I2" s="749"/>
    </row>
    <row r="3" spans="1:9" ht="14.25">
      <c r="A3" s="747" t="str">
        <f>QUANT!A3</f>
        <v>LOGRADOUROS: Rua Noronha dos Santos, Calógeras, Rio Amazonas, Rio Xingu, Rio Negro e Cancioneiro</v>
      </c>
      <c r="B3" s="748"/>
      <c r="C3" s="748"/>
      <c r="D3" s="748"/>
      <c r="E3" s="748"/>
      <c r="F3" s="748"/>
      <c r="G3" s="748"/>
      <c r="H3" s="748"/>
      <c r="I3" s="749"/>
    </row>
    <row r="4" spans="1:9" ht="12.75">
      <c r="A4" s="750" t="str">
        <f>QUANT!A4</f>
        <v>OBRA: Pavimentação de Vias Urbanas</v>
      </c>
      <c r="B4" s="751"/>
      <c r="C4" s="751"/>
      <c r="D4" s="751"/>
      <c r="E4" s="751"/>
      <c r="F4" s="751"/>
      <c r="G4" s="751"/>
      <c r="H4" s="751"/>
      <c r="I4" s="752"/>
    </row>
    <row r="5" spans="1:9" ht="13.5" thickBot="1">
      <c r="A5" s="782" t="s">
        <v>143</v>
      </c>
      <c r="B5" s="783"/>
      <c r="C5" s="783"/>
      <c r="D5" s="784"/>
      <c r="E5" s="783"/>
      <c r="F5" s="783"/>
      <c r="G5" s="784"/>
      <c r="H5" s="783"/>
      <c r="I5" s="785"/>
    </row>
    <row r="6" spans="1:9" ht="16.5" customHeight="1">
      <c r="A6" s="771" t="s">
        <v>390</v>
      </c>
      <c r="B6" s="772"/>
      <c r="C6" s="772"/>
      <c r="D6" s="772"/>
      <c r="E6" s="772"/>
      <c r="F6" s="772"/>
      <c r="G6" s="772"/>
      <c r="H6" s="772"/>
      <c r="I6" s="773"/>
    </row>
    <row r="7" spans="1:9" ht="16.5" customHeight="1" thickBot="1">
      <c r="A7" s="774"/>
      <c r="B7" s="775"/>
      <c r="C7" s="775"/>
      <c r="D7" s="775"/>
      <c r="E7" s="775"/>
      <c r="F7" s="775"/>
      <c r="G7" s="775"/>
      <c r="H7" s="775"/>
      <c r="I7" s="776"/>
    </row>
    <row r="8" spans="1:9" ht="15">
      <c r="A8" s="753" t="s">
        <v>38</v>
      </c>
      <c r="B8" s="762" t="s">
        <v>0</v>
      </c>
      <c r="C8" s="763"/>
      <c r="D8" s="764"/>
      <c r="E8" s="70" t="s">
        <v>128</v>
      </c>
      <c r="F8" s="70" t="s">
        <v>129</v>
      </c>
      <c r="G8" s="70" t="s">
        <v>130</v>
      </c>
      <c r="H8" s="70" t="s">
        <v>131</v>
      </c>
      <c r="I8" s="71" t="s">
        <v>132</v>
      </c>
    </row>
    <row r="9" spans="1:9" ht="15.75" thickBot="1">
      <c r="A9" s="754"/>
      <c r="B9" s="765"/>
      <c r="C9" s="766"/>
      <c r="D9" s="767"/>
      <c r="E9" s="72" t="s">
        <v>133</v>
      </c>
      <c r="F9" s="72" t="s">
        <v>134</v>
      </c>
      <c r="G9" s="72" t="s">
        <v>134</v>
      </c>
      <c r="H9" s="72" t="s">
        <v>134</v>
      </c>
      <c r="I9" s="73" t="s">
        <v>134</v>
      </c>
    </row>
    <row r="10" spans="1:9" ht="15">
      <c r="A10" s="65" t="s">
        <v>52</v>
      </c>
      <c r="B10" s="768" t="s">
        <v>135</v>
      </c>
      <c r="C10" s="769"/>
      <c r="D10" s="770"/>
      <c r="E10" s="66">
        <f>SUM(E11:E14)</f>
        <v>6.080000000000001</v>
      </c>
      <c r="F10" s="66"/>
      <c r="G10" s="67"/>
      <c r="H10" s="68"/>
      <c r="I10" s="69"/>
    </row>
    <row r="11" spans="1:9" ht="15">
      <c r="A11" s="48" t="s">
        <v>53</v>
      </c>
      <c r="B11" s="744" t="s">
        <v>136</v>
      </c>
      <c r="C11" s="745"/>
      <c r="D11" s="746"/>
      <c r="E11" s="45">
        <v>4.01</v>
      </c>
      <c r="F11" s="45"/>
      <c r="G11" s="45"/>
      <c r="H11" s="46"/>
      <c r="I11" s="47"/>
    </row>
    <row r="12" spans="1:9" ht="15">
      <c r="A12" s="48" t="s">
        <v>54</v>
      </c>
      <c r="B12" s="105" t="s">
        <v>207</v>
      </c>
      <c r="C12" s="106"/>
      <c r="D12" s="107"/>
      <c r="E12" s="45">
        <v>0.4</v>
      </c>
      <c r="F12" s="45"/>
      <c r="G12" s="45"/>
      <c r="H12" s="46"/>
      <c r="I12" s="47"/>
    </row>
    <row r="13" spans="1:9" ht="15">
      <c r="A13" s="48" t="s">
        <v>137</v>
      </c>
      <c r="B13" s="744" t="s">
        <v>126</v>
      </c>
      <c r="C13" s="745"/>
      <c r="D13" s="746"/>
      <c r="E13" s="45">
        <v>0.56</v>
      </c>
      <c r="F13" s="45"/>
      <c r="G13" s="45"/>
      <c r="H13" s="46"/>
      <c r="I13" s="47"/>
    </row>
    <row r="14" spans="1:9" ht="15">
      <c r="A14" s="48" t="s">
        <v>206</v>
      </c>
      <c r="B14" s="744" t="s">
        <v>125</v>
      </c>
      <c r="C14" s="745"/>
      <c r="D14" s="746"/>
      <c r="E14" s="45">
        <v>1.11</v>
      </c>
      <c r="F14" s="45"/>
      <c r="G14" s="45"/>
      <c r="H14" s="46"/>
      <c r="I14" s="47"/>
    </row>
    <row r="15" spans="1:9" ht="15">
      <c r="A15" s="49"/>
      <c r="B15" s="777"/>
      <c r="C15" s="778"/>
      <c r="D15" s="779"/>
      <c r="E15" s="50"/>
      <c r="F15" s="51"/>
      <c r="G15" s="50"/>
      <c r="H15" s="52"/>
      <c r="I15" s="53"/>
    </row>
    <row r="16" spans="1:9" ht="15">
      <c r="A16" s="43" t="s">
        <v>39</v>
      </c>
      <c r="B16" s="755" t="s">
        <v>138</v>
      </c>
      <c r="C16" s="745"/>
      <c r="D16" s="746"/>
      <c r="E16" s="44">
        <f>E17</f>
        <v>7.3</v>
      </c>
      <c r="F16" s="44"/>
      <c r="G16" s="45"/>
      <c r="H16" s="46"/>
      <c r="I16" s="47"/>
    </row>
    <row r="17" spans="1:9" ht="15">
      <c r="A17" s="48" t="s">
        <v>50</v>
      </c>
      <c r="B17" s="744" t="s">
        <v>139</v>
      </c>
      <c r="C17" s="745"/>
      <c r="D17" s="746"/>
      <c r="E17" s="45">
        <v>7.3</v>
      </c>
      <c r="F17" s="45"/>
      <c r="G17" s="45"/>
      <c r="H17" s="46"/>
      <c r="I17" s="47"/>
    </row>
    <row r="18" spans="1:9" ht="15">
      <c r="A18" s="54"/>
      <c r="B18" s="786"/>
      <c r="C18" s="787"/>
      <c r="D18" s="788"/>
      <c r="E18" s="55"/>
      <c r="F18" s="56"/>
      <c r="G18" s="55"/>
      <c r="H18" s="57"/>
      <c r="I18" s="58"/>
    </row>
    <row r="19" spans="1:9" ht="15">
      <c r="A19" s="43" t="s">
        <v>40</v>
      </c>
      <c r="B19" s="755" t="s">
        <v>140</v>
      </c>
      <c r="C19" s="745"/>
      <c r="D19" s="746"/>
      <c r="E19" s="44">
        <f>E20+E21+E23+E22</f>
        <v>5.65</v>
      </c>
      <c r="F19" s="44"/>
      <c r="G19" s="45"/>
      <c r="H19" s="59"/>
      <c r="I19" s="47"/>
    </row>
    <row r="20" spans="1:9" ht="15">
      <c r="A20" s="48" t="s">
        <v>48</v>
      </c>
      <c r="B20" s="744" t="s">
        <v>208</v>
      </c>
      <c r="C20" s="745"/>
      <c r="D20" s="746"/>
      <c r="E20" s="76">
        <v>0.65</v>
      </c>
      <c r="F20" s="45"/>
      <c r="G20" s="45"/>
      <c r="H20" s="59"/>
      <c r="I20" s="47"/>
    </row>
    <row r="21" spans="1:9" ht="15">
      <c r="A21" s="48" t="s">
        <v>41</v>
      </c>
      <c r="B21" s="744" t="s">
        <v>209</v>
      </c>
      <c r="C21" s="745"/>
      <c r="D21" s="746"/>
      <c r="E21" s="45">
        <v>3</v>
      </c>
      <c r="F21" s="45"/>
      <c r="G21" s="45"/>
      <c r="H21" s="59"/>
      <c r="I21" s="47"/>
    </row>
    <row r="22" spans="1:9" ht="15">
      <c r="A22" s="48" t="s">
        <v>59</v>
      </c>
      <c r="B22" s="744" t="s">
        <v>210</v>
      </c>
      <c r="C22" s="789"/>
      <c r="D22" s="790"/>
      <c r="E22" s="45">
        <v>2</v>
      </c>
      <c r="F22" s="45"/>
      <c r="G22" s="45"/>
      <c r="H22" s="59"/>
      <c r="I22" s="47"/>
    </row>
    <row r="23" spans="1:9" ht="15">
      <c r="A23" s="48" t="s">
        <v>60</v>
      </c>
      <c r="B23" s="744" t="s">
        <v>127</v>
      </c>
      <c r="C23" s="745"/>
      <c r="D23" s="746"/>
      <c r="E23" s="45">
        <v>0</v>
      </c>
      <c r="F23" s="45"/>
      <c r="G23" s="45"/>
      <c r="H23" s="46"/>
      <c r="I23" s="47"/>
    </row>
    <row r="24" spans="1:9" ht="12.75">
      <c r="A24" s="48"/>
      <c r="B24" s="755" t="s">
        <v>141</v>
      </c>
      <c r="C24" s="745"/>
      <c r="D24" s="746"/>
      <c r="E24" s="60"/>
      <c r="F24" s="60"/>
      <c r="G24" s="61"/>
      <c r="H24" s="62"/>
      <c r="I24" s="63"/>
    </row>
    <row r="25" spans="1:9" ht="12.75">
      <c r="A25" s="756" t="s">
        <v>142</v>
      </c>
      <c r="B25" s="757"/>
      <c r="C25" s="757"/>
      <c r="D25" s="758"/>
      <c r="E25" s="793">
        <f>TRUNC((((1+((E11+E12+E13)/100))*(1+((E14)/100))*(1+((E16/100)))/(1-((E20+E21+E22+E23)/100)))-1),4)</f>
        <v>0.207</v>
      </c>
      <c r="F25" s="780"/>
      <c r="G25" s="780"/>
      <c r="H25" s="780"/>
      <c r="I25" s="791">
        <v>0</v>
      </c>
    </row>
    <row r="26" spans="1:9" ht="23.25" customHeight="1" thickBot="1">
      <c r="A26" s="759"/>
      <c r="B26" s="760"/>
      <c r="C26" s="760"/>
      <c r="D26" s="761"/>
      <c r="E26" s="794"/>
      <c r="F26" s="781"/>
      <c r="G26" s="781"/>
      <c r="H26" s="781"/>
      <c r="I26" s="792"/>
    </row>
    <row r="27" spans="1:9" ht="12.75">
      <c r="A27" s="119"/>
      <c r="B27" s="120"/>
      <c r="C27" s="121"/>
      <c r="D27" s="121"/>
      <c r="E27" s="120"/>
      <c r="F27" s="122"/>
      <c r="G27" s="123"/>
      <c r="H27" s="123"/>
      <c r="I27" s="124"/>
    </row>
    <row r="28" spans="1:9" ht="12.75" customHeight="1">
      <c r="A28" s="74" t="s">
        <v>211</v>
      </c>
      <c r="B28" s="125"/>
      <c r="C28" s="64"/>
      <c r="D28" s="64"/>
      <c r="E28" s="64"/>
      <c r="F28" s="109"/>
      <c r="G28" s="112"/>
      <c r="H28" s="110"/>
      <c r="I28" s="111"/>
    </row>
    <row r="29" spans="1:9" ht="12.75">
      <c r="A29" s="74"/>
      <c r="B29" s="64"/>
      <c r="C29" s="108"/>
      <c r="D29" s="108"/>
      <c r="E29" s="64"/>
      <c r="F29" s="109"/>
      <c r="G29" s="110"/>
      <c r="H29" s="110"/>
      <c r="I29" s="111"/>
    </row>
    <row r="30" spans="1:9" ht="15.75">
      <c r="A30" s="74"/>
      <c r="B30" s="64"/>
      <c r="C30" s="64"/>
      <c r="D30" s="64"/>
      <c r="E30" s="64"/>
      <c r="F30" s="109"/>
      <c r="G30" s="797"/>
      <c r="H30" s="797"/>
      <c r="I30" s="113"/>
    </row>
    <row r="31" spans="1:9" ht="15.75">
      <c r="A31" s="74"/>
      <c r="B31" s="795"/>
      <c r="C31" s="796"/>
      <c r="D31" s="796"/>
      <c r="E31" s="796"/>
      <c r="F31" s="114"/>
      <c r="G31" s="797"/>
      <c r="H31" s="797"/>
      <c r="I31" s="113"/>
    </row>
    <row r="32" spans="1:9" ht="15.75">
      <c r="A32" s="74"/>
      <c r="B32" s="796"/>
      <c r="C32" s="796"/>
      <c r="D32" s="796"/>
      <c r="E32" s="796"/>
      <c r="F32" s="109"/>
      <c r="G32" s="797"/>
      <c r="H32" s="797"/>
      <c r="I32" s="113"/>
    </row>
    <row r="33" spans="1:9" ht="15.75">
      <c r="A33" s="74"/>
      <c r="B33" s="799"/>
      <c r="C33" s="796"/>
      <c r="D33" s="796"/>
      <c r="E33" s="796"/>
      <c r="F33" s="109"/>
      <c r="G33" s="797"/>
      <c r="H33" s="798"/>
      <c r="I33" s="113"/>
    </row>
    <row r="34" spans="1:9" ht="13.5" thickBot="1">
      <c r="A34" s="75"/>
      <c r="B34" s="783"/>
      <c r="C34" s="783"/>
      <c r="D34" s="783"/>
      <c r="E34" s="783"/>
      <c r="F34" s="115"/>
      <c r="G34" s="116"/>
      <c r="H34" s="117"/>
      <c r="I34" s="118"/>
    </row>
  </sheetData>
  <sheetProtection/>
  <mergeCells count="38">
    <mergeCell ref="I25:I26"/>
    <mergeCell ref="E25:E26"/>
    <mergeCell ref="B31:E32"/>
    <mergeCell ref="G32:G33"/>
    <mergeCell ref="H32:H33"/>
    <mergeCell ref="B33:E34"/>
    <mergeCell ref="G30:G31"/>
    <mergeCell ref="H30:H31"/>
    <mergeCell ref="A5:C5"/>
    <mergeCell ref="D5:F5"/>
    <mergeCell ref="G5:I5"/>
    <mergeCell ref="F25:F26"/>
    <mergeCell ref="G25:G26"/>
    <mergeCell ref="B18:D18"/>
    <mergeCell ref="B19:D19"/>
    <mergeCell ref="B20:D20"/>
    <mergeCell ref="B21:D21"/>
    <mergeCell ref="B22:D22"/>
    <mergeCell ref="B23:D23"/>
    <mergeCell ref="B24:D24"/>
    <mergeCell ref="A25:D26"/>
    <mergeCell ref="B8:D9"/>
    <mergeCell ref="B10:D10"/>
    <mergeCell ref="A6:I7"/>
    <mergeCell ref="B15:D15"/>
    <mergeCell ref="B16:D16"/>
    <mergeCell ref="B17:D17"/>
    <mergeCell ref="H25:H26"/>
    <mergeCell ref="A1:C1"/>
    <mergeCell ref="D1:F1"/>
    <mergeCell ref="G1:I1"/>
    <mergeCell ref="B11:D11"/>
    <mergeCell ref="B13:D13"/>
    <mergeCell ref="B14:D14"/>
    <mergeCell ref="A2:I2"/>
    <mergeCell ref="A3:I3"/>
    <mergeCell ref="A4:I4"/>
    <mergeCell ref="A8:A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E24" sqref="E24"/>
    </sheetView>
  </sheetViews>
  <sheetFormatPr defaultColWidth="9.140625" defaultRowHeight="12.75"/>
  <cols>
    <col min="1" max="1" width="8.00390625" style="0" customWidth="1"/>
    <col min="2" max="2" width="37.421875" style="0" customWidth="1"/>
    <col min="3" max="4" width="8.00390625" style="0" customWidth="1"/>
    <col min="5" max="5" width="15.7109375" style="0" customWidth="1"/>
    <col min="6" max="6" width="8.00390625" style="0" customWidth="1"/>
    <col min="7" max="8" width="15.57421875" style="0" customWidth="1"/>
    <col min="9" max="9" width="19.8515625" style="0" customWidth="1"/>
  </cols>
  <sheetData>
    <row r="1" spans="1:9" ht="15.75">
      <c r="A1" s="803" t="s">
        <v>144</v>
      </c>
      <c r="B1" s="804"/>
      <c r="C1" s="804"/>
      <c r="D1" s="805"/>
      <c r="E1" s="804"/>
      <c r="F1" s="804"/>
      <c r="G1" s="805"/>
      <c r="H1" s="804"/>
      <c r="I1" s="806"/>
    </row>
    <row r="2" spans="1:9" ht="15.75">
      <c r="A2" s="800" t="str">
        <f>QUANT!A2</f>
        <v>BAIRROS: Nova Era</v>
      </c>
      <c r="B2" s="807"/>
      <c r="C2" s="807"/>
      <c r="D2" s="801"/>
      <c r="E2" s="807"/>
      <c r="F2" s="807"/>
      <c r="G2" s="801"/>
      <c r="H2" s="807"/>
      <c r="I2" s="808"/>
    </row>
    <row r="3" spans="1:9" ht="15.75">
      <c r="A3" s="800" t="str">
        <f>QUANT!A3</f>
        <v>LOGRADOUROS: Rua Noronha dos Santos, Calógeras, Rio Amazonas, Rio Xingu, Rio Negro e Cancioneiro</v>
      </c>
      <c r="B3" s="801"/>
      <c r="C3" s="801"/>
      <c r="D3" s="801"/>
      <c r="E3" s="801"/>
      <c r="F3" s="801"/>
      <c r="G3" s="801"/>
      <c r="H3" s="801"/>
      <c r="I3" s="802"/>
    </row>
    <row r="4" spans="1:9" ht="15.75">
      <c r="A4" s="800" t="str">
        <f>QUANT!A4</f>
        <v>OBRA: Pavimentação de Vias Urbanas</v>
      </c>
      <c r="B4" s="801"/>
      <c r="C4" s="801"/>
      <c r="D4" s="801"/>
      <c r="E4" s="801"/>
      <c r="F4" s="801"/>
      <c r="G4" s="801"/>
      <c r="H4" s="801"/>
      <c r="I4" s="802"/>
    </row>
    <row r="5" spans="1:9" ht="13.5" thickBot="1">
      <c r="A5" s="782" t="s">
        <v>143</v>
      </c>
      <c r="B5" s="783"/>
      <c r="C5" s="783"/>
      <c r="D5" s="784"/>
      <c r="E5" s="783"/>
      <c r="F5" s="783"/>
      <c r="G5" s="784"/>
      <c r="H5" s="783"/>
      <c r="I5" s="785"/>
    </row>
    <row r="6" spans="1:9" ht="16.5" customHeight="1">
      <c r="A6" s="771" t="s">
        <v>390</v>
      </c>
      <c r="B6" s="772"/>
      <c r="C6" s="772"/>
      <c r="D6" s="772"/>
      <c r="E6" s="772"/>
      <c r="F6" s="772"/>
      <c r="G6" s="772"/>
      <c r="H6" s="772"/>
      <c r="I6" s="773"/>
    </row>
    <row r="7" spans="1:9" ht="16.5" customHeight="1" thickBot="1">
      <c r="A7" s="774"/>
      <c r="B7" s="775"/>
      <c r="C7" s="775"/>
      <c r="D7" s="775"/>
      <c r="E7" s="775"/>
      <c r="F7" s="775"/>
      <c r="G7" s="775"/>
      <c r="H7" s="775"/>
      <c r="I7" s="776"/>
    </row>
    <row r="8" spans="1:9" ht="15">
      <c r="A8" s="753" t="s">
        <v>38</v>
      </c>
      <c r="B8" s="762" t="s">
        <v>0</v>
      </c>
      <c r="C8" s="763"/>
      <c r="D8" s="764"/>
      <c r="E8" s="70" t="s">
        <v>128</v>
      </c>
      <c r="F8" s="70" t="s">
        <v>129</v>
      </c>
      <c r="G8" s="70" t="s">
        <v>130</v>
      </c>
      <c r="H8" s="70" t="s">
        <v>131</v>
      </c>
      <c r="I8" s="71" t="s">
        <v>132</v>
      </c>
    </row>
    <row r="9" spans="1:9" ht="15.75" thickBot="1">
      <c r="A9" s="754"/>
      <c r="B9" s="765"/>
      <c r="C9" s="766"/>
      <c r="D9" s="767"/>
      <c r="E9" s="72" t="s">
        <v>133</v>
      </c>
      <c r="F9" s="72" t="s">
        <v>134</v>
      </c>
      <c r="G9" s="72" t="s">
        <v>134</v>
      </c>
      <c r="H9" s="72" t="s">
        <v>134</v>
      </c>
      <c r="I9" s="73" t="s">
        <v>134</v>
      </c>
    </row>
    <row r="10" spans="1:9" ht="15">
      <c r="A10" s="65" t="s">
        <v>52</v>
      </c>
      <c r="B10" s="768" t="s">
        <v>135</v>
      </c>
      <c r="C10" s="769"/>
      <c r="D10" s="770"/>
      <c r="E10" s="66">
        <f>SUM(E11:E14)</f>
        <v>5.63</v>
      </c>
      <c r="F10" s="66"/>
      <c r="G10" s="67"/>
      <c r="H10" s="68"/>
      <c r="I10" s="69"/>
    </row>
    <row r="11" spans="1:9" ht="15">
      <c r="A11" s="48" t="s">
        <v>53</v>
      </c>
      <c r="B11" s="744" t="s">
        <v>136</v>
      </c>
      <c r="C11" s="745"/>
      <c r="D11" s="746"/>
      <c r="E11" s="45">
        <v>3.45</v>
      </c>
      <c r="F11" s="45"/>
      <c r="G11" s="45"/>
      <c r="H11" s="46"/>
      <c r="I11" s="47"/>
    </row>
    <row r="12" spans="1:9" ht="15">
      <c r="A12" s="48" t="s">
        <v>54</v>
      </c>
      <c r="B12" s="141" t="s">
        <v>207</v>
      </c>
      <c r="C12" s="142"/>
      <c r="D12" s="143"/>
      <c r="E12" s="45">
        <v>0.48</v>
      </c>
      <c r="F12" s="45"/>
      <c r="G12" s="45"/>
      <c r="H12" s="46"/>
      <c r="I12" s="47"/>
    </row>
    <row r="13" spans="1:9" ht="15">
      <c r="A13" s="48" t="s">
        <v>137</v>
      </c>
      <c r="B13" s="744" t="s">
        <v>126</v>
      </c>
      <c r="C13" s="745"/>
      <c r="D13" s="746"/>
      <c r="E13" s="45">
        <v>0.85</v>
      </c>
      <c r="F13" s="45"/>
      <c r="G13" s="45"/>
      <c r="H13" s="46"/>
      <c r="I13" s="47"/>
    </row>
    <row r="14" spans="1:9" ht="15">
      <c r="A14" s="48" t="s">
        <v>206</v>
      </c>
      <c r="B14" s="744" t="s">
        <v>125</v>
      </c>
      <c r="C14" s="745"/>
      <c r="D14" s="746"/>
      <c r="E14" s="45">
        <v>0.85</v>
      </c>
      <c r="F14" s="45"/>
      <c r="G14" s="45"/>
      <c r="H14" s="46"/>
      <c r="I14" s="47"/>
    </row>
    <row r="15" spans="1:9" ht="15">
      <c r="A15" s="49"/>
      <c r="B15" s="777"/>
      <c r="C15" s="778"/>
      <c r="D15" s="779"/>
      <c r="E15" s="50"/>
      <c r="F15" s="51"/>
      <c r="G15" s="50"/>
      <c r="H15" s="52"/>
      <c r="I15" s="53"/>
    </row>
    <row r="16" spans="1:9" ht="15">
      <c r="A16" s="43" t="s">
        <v>39</v>
      </c>
      <c r="B16" s="755" t="s">
        <v>138</v>
      </c>
      <c r="C16" s="745"/>
      <c r="D16" s="746"/>
      <c r="E16" s="44">
        <f>E17</f>
        <v>5.11</v>
      </c>
      <c r="F16" s="44"/>
      <c r="G16" s="45"/>
      <c r="H16" s="46"/>
      <c r="I16" s="47"/>
    </row>
    <row r="17" spans="1:9" ht="15">
      <c r="A17" s="48" t="s">
        <v>50</v>
      </c>
      <c r="B17" s="744" t="s">
        <v>139</v>
      </c>
      <c r="C17" s="745"/>
      <c r="D17" s="746"/>
      <c r="E17" s="45">
        <v>5.11</v>
      </c>
      <c r="F17" s="45"/>
      <c r="G17" s="45"/>
      <c r="H17" s="46"/>
      <c r="I17" s="47"/>
    </row>
    <row r="18" spans="1:9" ht="15">
      <c r="A18" s="54"/>
      <c r="B18" s="786"/>
      <c r="C18" s="787"/>
      <c r="D18" s="788"/>
      <c r="E18" s="55"/>
      <c r="F18" s="56"/>
      <c r="G18" s="55"/>
      <c r="H18" s="57"/>
      <c r="I18" s="58"/>
    </row>
    <row r="19" spans="1:9" ht="15">
      <c r="A19" s="43" t="s">
        <v>40</v>
      </c>
      <c r="B19" s="755" t="s">
        <v>140</v>
      </c>
      <c r="C19" s="745"/>
      <c r="D19" s="746"/>
      <c r="E19" s="44">
        <f>E20+E21+E23+E22</f>
        <v>3.65</v>
      </c>
      <c r="F19" s="44"/>
      <c r="G19" s="45"/>
      <c r="H19" s="59"/>
      <c r="I19" s="47"/>
    </row>
    <row r="20" spans="1:9" ht="15">
      <c r="A20" s="48" t="s">
        <v>48</v>
      </c>
      <c r="B20" s="744" t="s">
        <v>208</v>
      </c>
      <c r="C20" s="745"/>
      <c r="D20" s="746"/>
      <c r="E20" s="76">
        <v>0.65</v>
      </c>
      <c r="F20" s="45"/>
      <c r="G20" s="45"/>
      <c r="H20" s="59"/>
      <c r="I20" s="47"/>
    </row>
    <row r="21" spans="1:9" ht="15">
      <c r="A21" s="48" t="s">
        <v>41</v>
      </c>
      <c r="B21" s="744" t="s">
        <v>209</v>
      </c>
      <c r="C21" s="745"/>
      <c r="D21" s="746"/>
      <c r="E21" s="45">
        <v>3</v>
      </c>
      <c r="F21" s="45"/>
      <c r="G21" s="45"/>
      <c r="H21" s="59"/>
      <c r="I21" s="47"/>
    </row>
    <row r="22" spans="1:9" ht="15">
      <c r="A22" s="48" t="s">
        <v>59</v>
      </c>
      <c r="B22" s="744" t="s">
        <v>210</v>
      </c>
      <c r="C22" s="789"/>
      <c r="D22" s="790"/>
      <c r="E22" s="45">
        <v>0</v>
      </c>
      <c r="F22" s="45"/>
      <c r="G22" s="45"/>
      <c r="H22" s="59"/>
      <c r="I22" s="47"/>
    </row>
    <row r="23" spans="1:9" ht="15">
      <c r="A23" s="48" t="s">
        <v>60</v>
      </c>
      <c r="B23" s="744" t="s">
        <v>127</v>
      </c>
      <c r="C23" s="745"/>
      <c r="D23" s="746"/>
      <c r="E23" s="45">
        <v>0</v>
      </c>
      <c r="F23" s="45"/>
      <c r="G23" s="45"/>
      <c r="H23" s="46"/>
      <c r="I23" s="47"/>
    </row>
    <row r="24" spans="1:9" ht="12.75">
      <c r="A24" s="48"/>
      <c r="B24" s="755" t="s">
        <v>141</v>
      </c>
      <c r="C24" s="745"/>
      <c r="D24" s="746"/>
      <c r="E24" s="60"/>
      <c r="F24" s="60"/>
      <c r="G24" s="61"/>
      <c r="H24" s="62"/>
      <c r="I24" s="63"/>
    </row>
    <row r="25" spans="1:9" ht="12.75">
      <c r="A25" s="756" t="s">
        <v>142</v>
      </c>
      <c r="B25" s="757"/>
      <c r="C25" s="757"/>
      <c r="D25" s="758"/>
      <c r="E25" s="793">
        <f>TRUNC(((((1+((E11+E12+E13)/100))*(1+((E14)/100))*(1+((E16/100)))/(1-((E20+E21+E22+E23)/100)))-1)),4)</f>
        <v>0.1527</v>
      </c>
      <c r="F25" s="780"/>
      <c r="G25" s="780"/>
      <c r="H25" s="780"/>
      <c r="I25" s="791">
        <v>0</v>
      </c>
    </row>
    <row r="26" spans="1:9" ht="23.25" customHeight="1" thickBot="1">
      <c r="A26" s="759"/>
      <c r="B26" s="760"/>
      <c r="C26" s="760"/>
      <c r="D26" s="761"/>
      <c r="E26" s="794"/>
      <c r="F26" s="781"/>
      <c r="G26" s="781"/>
      <c r="H26" s="781"/>
      <c r="I26" s="792"/>
    </row>
    <row r="27" spans="1:9" ht="12.75">
      <c r="A27" s="119"/>
      <c r="B27" s="120"/>
      <c r="C27" s="121"/>
      <c r="D27" s="121"/>
      <c r="E27" s="120"/>
      <c r="F27" s="122"/>
      <c r="G27" s="123"/>
      <c r="H27" s="123"/>
      <c r="I27" s="124"/>
    </row>
    <row r="28" spans="1:9" ht="12.75" customHeight="1">
      <c r="A28" s="74" t="s">
        <v>211</v>
      </c>
      <c r="B28" s="125"/>
      <c r="C28" s="64"/>
      <c r="D28" s="64"/>
      <c r="E28" s="64"/>
      <c r="F28" s="109"/>
      <c r="G28" s="112"/>
      <c r="H28" s="110"/>
      <c r="I28" s="111"/>
    </row>
    <row r="29" spans="1:9" ht="12.75">
      <c r="A29" s="74"/>
      <c r="B29" s="64"/>
      <c r="C29" s="108"/>
      <c r="D29" s="108"/>
      <c r="E29" s="64"/>
      <c r="F29" s="109"/>
      <c r="G29" s="110"/>
      <c r="H29" s="110"/>
      <c r="I29" s="111"/>
    </row>
    <row r="30" spans="1:9" ht="15.75">
      <c r="A30" s="74"/>
      <c r="B30" s="64"/>
      <c r="C30" s="64"/>
      <c r="D30" s="64"/>
      <c r="E30" s="64"/>
      <c r="F30" s="109"/>
      <c r="G30" s="797"/>
      <c r="H30" s="797"/>
      <c r="I30" s="113"/>
    </row>
    <row r="31" spans="1:9" ht="15.75">
      <c r="A31" s="74"/>
      <c r="B31" s="795"/>
      <c r="C31" s="796"/>
      <c r="D31" s="796"/>
      <c r="E31" s="796"/>
      <c r="F31" s="114"/>
      <c r="G31" s="797"/>
      <c r="H31" s="797"/>
      <c r="I31" s="113"/>
    </row>
    <row r="32" spans="1:9" ht="15.75">
      <c r="A32" s="74"/>
      <c r="B32" s="796"/>
      <c r="C32" s="796"/>
      <c r="D32" s="796"/>
      <c r="E32" s="796"/>
      <c r="F32" s="109"/>
      <c r="G32" s="797"/>
      <c r="H32" s="797"/>
      <c r="I32" s="113"/>
    </row>
    <row r="33" spans="1:9" ht="15.75">
      <c r="A33" s="74"/>
      <c r="B33" s="799"/>
      <c r="C33" s="796"/>
      <c r="D33" s="796"/>
      <c r="E33" s="796"/>
      <c r="F33" s="109"/>
      <c r="G33" s="797"/>
      <c r="H33" s="798"/>
      <c r="I33" s="113"/>
    </row>
    <row r="34" spans="1:9" ht="13.5" thickBot="1">
      <c r="A34" s="75"/>
      <c r="B34" s="783"/>
      <c r="C34" s="783"/>
      <c r="D34" s="783"/>
      <c r="E34" s="783"/>
      <c r="F34" s="115"/>
      <c r="G34" s="116"/>
      <c r="H34" s="117"/>
      <c r="I34" s="118"/>
    </row>
  </sheetData>
  <sheetProtection/>
  <mergeCells count="40">
    <mergeCell ref="A3:I3"/>
    <mergeCell ref="A4:I4"/>
    <mergeCell ref="A1:C1"/>
    <mergeCell ref="D1:F1"/>
    <mergeCell ref="G1:I1"/>
    <mergeCell ref="A2:C2"/>
    <mergeCell ref="D2:F2"/>
    <mergeCell ref="G2:I2"/>
    <mergeCell ref="A5:C5"/>
    <mergeCell ref="D5:F5"/>
    <mergeCell ref="G5:I5"/>
    <mergeCell ref="A6:I7"/>
    <mergeCell ref="A8:A9"/>
    <mergeCell ref="B8:D9"/>
    <mergeCell ref="B10:D10"/>
    <mergeCell ref="B11:D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D26"/>
    <mergeCell ref="E25:E26"/>
    <mergeCell ref="F25:F26"/>
    <mergeCell ref="G25:G26"/>
    <mergeCell ref="H25:H26"/>
    <mergeCell ref="I25:I26"/>
    <mergeCell ref="G30:G31"/>
    <mergeCell ref="H30:H31"/>
    <mergeCell ref="B31:E32"/>
    <mergeCell ref="G32:G33"/>
    <mergeCell ref="H32:H33"/>
    <mergeCell ref="B33:E3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1" sqref="A1:K11"/>
    </sheetView>
  </sheetViews>
  <sheetFormatPr defaultColWidth="9.140625" defaultRowHeight="12.75"/>
  <cols>
    <col min="1" max="1" width="35.00390625" style="0" customWidth="1"/>
    <col min="2" max="2" width="3.7109375" style="0" customWidth="1"/>
    <col min="3" max="3" width="2.7109375" style="0" customWidth="1"/>
    <col min="4" max="4" width="6.57421875" style="0" customWidth="1"/>
    <col min="5" max="5" width="4.7109375" style="0" customWidth="1"/>
    <col min="6" max="6" width="2.7109375" style="0" customWidth="1"/>
    <col min="7" max="7" width="5.7109375" style="0" customWidth="1"/>
    <col min="8" max="9" width="11.7109375" style="0" customWidth="1"/>
    <col min="10" max="10" width="11.00390625" style="0" customWidth="1"/>
    <col min="11" max="11" width="35.57421875" style="0" customWidth="1"/>
  </cols>
  <sheetData>
    <row r="1" spans="1:11" ht="12.75">
      <c r="A1" s="350" t="s">
        <v>162</v>
      </c>
      <c r="B1" s="351"/>
      <c r="C1" s="351"/>
      <c r="D1" s="351"/>
      <c r="E1" s="351"/>
      <c r="F1" s="351"/>
      <c r="G1" s="351"/>
      <c r="H1" s="351"/>
      <c r="I1" s="351"/>
      <c r="J1" s="351"/>
      <c r="K1" s="352"/>
    </row>
    <row r="2" spans="1:11" ht="12.75">
      <c r="A2" s="353" t="s">
        <v>409</v>
      </c>
      <c r="B2" s="354"/>
      <c r="C2" s="354"/>
      <c r="D2" s="354"/>
      <c r="E2" s="354"/>
      <c r="F2" s="354"/>
      <c r="G2" s="354"/>
      <c r="H2" s="354"/>
      <c r="I2" s="354"/>
      <c r="J2" s="354"/>
      <c r="K2" s="355"/>
    </row>
    <row r="3" spans="1:11" ht="12.75">
      <c r="A3" s="816" t="s">
        <v>163</v>
      </c>
      <c r="B3" s="817"/>
      <c r="C3" s="817"/>
      <c r="D3" s="817"/>
      <c r="E3" s="817"/>
      <c r="F3" s="817"/>
      <c r="G3" s="817"/>
      <c r="H3" s="817"/>
      <c r="I3" s="817"/>
      <c r="J3" s="818"/>
      <c r="K3" s="819" t="s">
        <v>164</v>
      </c>
    </row>
    <row r="4" spans="1:11" ht="12.75">
      <c r="A4" s="819" t="s">
        <v>98</v>
      </c>
      <c r="B4" s="822" t="s">
        <v>99</v>
      </c>
      <c r="C4" s="823"/>
      <c r="D4" s="823"/>
      <c r="E4" s="823"/>
      <c r="F4" s="823"/>
      <c r="G4" s="824"/>
      <c r="H4" s="825" t="s">
        <v>100</v>
      </c>
      <c r="I4" s="826"/>
      <c r="J4" s="809" t="s">
        <v>165</v>
      </c>
      <c r="K4" s="820"/>
    </row>
    <row r="5" spans="1:11" ht="12.75">
      <c r="A5" s="820"/>
      <c r="B5" s="827" t="s">
        <v>107</v>
      </c>
      <c r="C5" s="828"/>
      <c r="D5" s="829"/>
      <c r="E5" s="827" t="s">
        <v>108</v>
      </c>
      <c r="F5" s="828"/>
      <c r="G5" s="829"/>
      <c r="H5" s="809" t="s">
        <v>113</v>
      </c>
      <c r="I5" s="809" t="s">
        <v>114</v>
      </c>
      <c r="J5" s="572"/>
      <c r="K5" s="820"/>
    </row>
    <row r="6" spans="1:11" ht="12.75">
      <c r="A6" s="821"/>
      <c r="B6" s="830"/>
      <c r="C6" s="831"/>
      <c r="D6" s="832"/>
      <c r="E6" s="830"/>
      <c r="F6" s="831"/>
      <c r="G6" s="832"/>
      <c r="H6" s="573"/>
      <c r="I6" s="573"/>
      <c r="J6" s="573"/>
      <c r="K6" s="821"/>
    </row>
    <row r="7" spans="1:11" ht="12.75">
      <c r="A7" s="360" t="s">
        <v>410</v>
      </c>
      <c r="B7" s="357"/>
      <c r="C7" s="358"/>
      <c r="D7" s="359"/>
      <c r="E7" s="357"/>
      <c r="F7" s="358"/>
      <c r="G7" s="359"/>
      <c r="H7" s="321"/>
      <c r="I7" s="361"/>
      <c r="J7" s="361"/>
      <c r="K7" s="356"/>
    </row>
    <row r="8" spans="1:11" ht="12.75">
      <c r="A8" s="362" t="s">
        <v>411</v>
      </c>
      <c r="B8" s="363">
        <v>6</v>
      </c>
      <c r="C8" s="364" t="s">
        <v>115</v>
      </c>
      <c r="D8" s="7">
        <v>6</v>
      </c>
      <c r="E8" s="363">
        <v>0</v>
      </c>
      <c r="F8" s="364" t="s">
        <v>115</v>
      </c>
      <c r="G8" s="7">
        <v>0</v>
      </c>
      <c r="H8" s="365">
        <f>(B8-E8)*20+(G8-D8)</f>
        <v>114</v>
      </c>
      <c r="I8" s="366">
        <f>H8</f>
        <v>114</v>
      </c>
      <c r="J8" s="367">
        <v>100</v>
      </c>
      <c r="K8" s="368" t="s">
        <v>166</v>
      </c>
    </row>
    <row r="9" spans="1:11" ht="12.75">
      <c r="A9" s="356"/>
      <c r="B9" s="357"/>
      <c r="C9" s="358"/>
      <c r="D9" s="359"/>
      <c r="E9" s="357"/>
      <c r="F9" s="358"/>
      <c r="G9" s="359"/>
      <c r="H9" s="321"/>
      <c r="I9" s="361"/>
      <c r="J9" s="361"/>
      <c r="K9" s="356"/>
    </row>
    <row r="10" spans="1:11" ht="12.75">
      <c r="A10" s="371" t="s">
        <v>167</v>
      </c>
      <c r="B10" s="363"/>
      <c r="C10" s="363"/>
      <c r="D10" s="7"/>
      <c r="E10" s="363"/>
      <c r="F10" s="363"/>
      <c r="G10" s="369"/>
      <c r="H10" s="810">
        <f>H8+I8</f>
        <v>228</v>
      </c>
      <c r="I10" s="811"/>
      <c r="J10" s="370"/>
      <c r="K10" s="368"/>
    </row>
    <row r="11" spans="1:11" ht="12.75">
      <c r="A11" s="812"/>
      <c r="B11" s="813"/>
      <c r="C11" s="813"/>
      <c r="D11" s="813"/>
      <c r="E11" s="813"/>
      <c r="F11" s="813"/>
      <c r="G11" s="813"/>
      <c r="H11" s="814"/>
      <c r="I11" s="814"/>
      <c r="J11" s="813"/>
      <c r="K11" s="815"/>
    </row>
  </sheetData>
  <sheetProtection/>
  <mergeCells count="12">
    <mergeCell ref="B5:D6"/>
    <mergeCell ref="E5:G6"/>
    <mergeCell ref="H5:H6"/>
    <mergeCell ref="I5:I6"/>
    <mergeCell ref="H10:I10"/>
    <mergeCell ref="A11:K11"/>
    <mergeCell ref="A3:J3"/>
    <mergeCell ref="K3:K6"/>
    <mergeCell ref="A4:A6"/>
    <mergeCell ref="B4:G4"/>
    <mergeCell ref="H4:I4"/>
    <mergeCell ref="J4:J6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0"/>
  <sheetViews>
    <sheetView zoomScale="120" zoomScaleNormal="120" zoomScalePageLayoutView="0" workbookViewId="0" topLeftCell="A19">
      <selection activeCell="A1" sqref="A1:G40"/>
    </sheetView>
  </sheetViews>
  <sheetFormatPr defaultColWidth="9.140625" defaultRowHeight="12.75"/>
  <cols>
    <col min="1" max="1" width="13.7109375" style="0" customWidth="1"/>
    <col min="2" max="2" width="16.8515625" style="0" customWidth="1"/>
    <col min="3" max="3" width="15.140625" style="0" customWidth="1"/>
    <col min="4" max="4" width="10.8515625" style="0" bestFit="1" customWidth="1"/>
    <col min="5" max="5" width="10.421875" style="0" customWidth="1"/>
    <col min="6" max="6" width="16.140625" style="0" bestFit="1" customWidth="1"/>
    <col min="7" max="7" width="13.8515625" style="0" customWidth="1"/>
    <col min="17" max="17" width="13.7109375" style="0" customWidth="1"/>
    <col min="18" max="18" width="15.57421875" style="0" customWidth="1"/>
    <col min="19" max="19" width="14.421875" style="0" bestFit="1" customWidth="1"/>
    <col min="20" max="20" width="10.8515625" style="0" bestFit="1" customWidth="1"/>
    <col min="21" max="21" width="10.421875" style="0" customWidth="1"/>
    <col min="22" max="22" width="16.140625" style="0" bestFit="1" customWidth="1"/>
    <col min="23" max="23" width="12.7109375" style="0" customWidth="1"/>
  </cols>
  <sheetData>
    <row r="1" spans="1:7" ht="15.75">
      <c r="A1" s="838" t="s">
        <v>468</v>
      </c>
      <c r="B1" s="838"/>
      <c r="C1" s="838"/>
      <c r="D1" s="838"/>
      <c r="E1" s="838"/>
      <c r="F1" s="838"/>
      <c r="G1" s="838"/>
    </row>
    <row r="2" spans="1:7" ht="12.75">
      <c r="A2" s="839"/>
      <c r="B2" s="840"/>
      <c r="C2" s="840"/>
      <c r="D2" s="840"/>
      <c r="E2" s="840"/>
      <c r="F2" s="840"/>
      <c r="G2" s="841"/>
    </row>
    <row r="3" spans="1:7" ht="12.75">
      <c r="A3" s="834" t="s">
        <v>168</v>
      </c>
      <c r="B3" s="834"/>
      <c r="C3" s="78" t="s">
        <v>169</v>
      </c>
      <c r="D3" s="78" t="s">
        <v>170</v>
      </c>
      <c r="E3" s="6" t="s">
        <v>171</v>
      </c>
      <c r="F3" s="468" t="s">
        <v>172</v>
      </c>
      <c r="G3" s="834"/>
    </row>
    <row r="4" spans="1:7" ht="12.75">
      <c r="A4" s="834"/>
      <c r="B4" s="834"/>
      <c r="C4" s="78" t="s">
        <v>173</v>
      </c>
      <c r="D4" s="78" t="s">
        <v>173</v>
      </c>
      <c r="E4" s="78" t="s">
        <v>174</v>
      </c>
      <c r="F4" s="468"/>
      <c r="G4" s="834"/>
    </row>
    <row r="5" spans="1:7" ht="12.75">
      <c r="A5" s="834" t="s">
        <v>469</v>
      </c>
      <c r="B5" s="834"/>
      <c r="C5" s="834"/>
      <c r="D5" s="834"/>
      <c r="E5" s="834"/>
      <c r="F5" s="834"/>
      <c r="G5" s="23"/>
    </row>
    <row r="6" spans="1:7" ht="12.75">
      <c r="A6" s="82" t="s">
        <v>175</v>
      </c>
      <c r="B6" s="78"/>
      <c r="C6" s="80">
        <v>70.5</v>
      </c>
      <c r="D6" s="81">
        <v>0.1</v>
      </c>
      <c r="E6" s="81">
        <f>D6*C6*0.25</f>
        <v>1.7625000000000002</v>
      </c>
      <c r="F6" s="21" t="s">
        <v>176</v>
      </c>
      <c r="G6" s="23"/>
    </row>
    <row r="7" spans="1:7" ht="12.75">
      <c r="A7" s="82" t="s">
        <v>175</v>
      </c>
      <c r="B7" s="78"/>
      <c r="C7" s="80">
        <v>60</v>
      </c>
      <c r="D7" s="81">
        <v>0.1</v>
      </c>
      <c r="E7" s="81">
        <f>D7*C7</f>
        <v>6</v>
      </c>
      <c r="F7" s="21" t="s">
        <v>177</v>
      </c>
      <c r="G7" s="23"/>
    </row>
    <row r="8" spans="1:7" ht="12.75">
      <c r="A8" s="23"/>
      <c r="B8" s="23"/>
      <c r="C8" s="78"/>
      <c r="D8" s="78"/>
      <c r="E8" s="78"/>
      <c r="F8" s="21"/>
      <c r="G8" s="23"/>
    </row>
    <row r="9" spans="1:7" ht="12.75">
      <c r="A9" s="834" t="s">
        <v>406</v>
      </c>
      <c r="B9" s="834"/>
      <c r="C9" s="834"/>
      <c r="D9" s="834"/>
      <c r="E9" s="834"/>
      <c r="F9" s="834"/>
      <c r="G9" s="23"/>
    </row>
    <row r="10" spans="1:7" ht="12.75">
      <c r="A10" s="82" t="s">
        <v>175</v>
      </c>
      <c r="B10" s="78"/>
      <c r="C10" s="80">
        <v>177.57</v>
      </c>
      <c r="D10" s="81">
        <v>0.1</v>
      </c>
      <c r="E10" s="81">
        <f>D10*C10*0.25</f>
        <v>4.43925</v>
      </c>
      <c r="F10" s="21" t="s">
        <v>176</v>
      </c>
      <c r="G10" s="23"/>
    </row>
    <row r="11" spans="1:7" ht="12.75">
      <c r="A11" s="82" t="s">
        <v>175</v>
      </c>
      <c r="B11" s="78"/>
      <c r="C11" s="80">
        <v>75</v>
      </c>
      <c r="D11" s="81">
        <v>0.1</v>
      </c>
      <c r="E11" s="81">
        <f>D11*C11</f>
        <v>7.5</v>
      </c>
      <c r="F11" s="21" t="s">
        <v>177</v>
      </c>
      <c r="G11" s="23"/>
    </row>
    <row r="12" spans="1:7" ht="12.75">
      <c r="A12" s="23"/>
      <c r="B12" s="23"/>
      <c r="C12" s="78"/>
      <c r="D12" s="78"/>
      <c r="E12" s="78"/>
      <c r="F12" s="21"/>
      <c r="G12" s="23"/>
    </row>
    <row r="13" spans="1:7" ht="12.75">
      <c r="A13" s="834" t="s">
        <v>405</v>
      </c>
      <c r="B13" s="834"/>
      <c r="C13" s="834"/>
      <c r="D13" s="834"/>
      <c r="E13" s="834"/>
      <c r="F13" s="834"/>
      <c r="G13" s="23"/>
    </row>
    <row r="14" spans="1:7" ht="12.75">
      <c r="A14" s="82" t="s">
        <v>175</v>
      </c>
      <c r="B14" s="78"/>
      <c r="C14" s="80">
        <v>34.88</v>
      </c>
      <c r="D14" s="81">
        <v>0.1</v>
      </c>
      <c r="E14" s="81">
        <f>D14*C14*0.25</f>
        <v>0.8720000000000001</v>
      </c>
      <c r="F14" s="21" t="s">
        <v>176</v>
      </c>
      <c r="G14" s="23"/>
    </row>
    <row r="15" spans="1:7" ht="12.75">
      <c r="A15" s="82" t="s">
        <v>175</v>
      </c>
      <c r="B15" s="78"/>
      <c r="C15" s="80">
        <v>30</v>
      </c>
      <c r="D15" s="81">
        <v>0.1</v>
      </c>
      <c r="E15" s="81">
        <f>D15*C15</f>
        <v>3</v>
      </c>
      <c r="F15" s="21" t="s">
        <v>177</v>
      </c>
      <c r="G15" s="23"/>
    </row>
    <row r="16" spans="1:7" ht="12.75">
      <c r="A16" s="23"/>
      <c r="B16" s="23"/>
      <c r="C16" s="78"/>
      <c r="D16" s="78"/>
      <c r="E16" s="78"/>
      <c r="F16" s="21"/>
      <c r="G16" s="23"/>
    </row>
    <row r="17" spans="1:7" ht="12.75">
      <c r="A17" s="834" t="s">
        <v>470</v>
      </c>
      <c r="B17" s="834"/>
      <c r="C17" s="834"/>
      <c r="D17" s="834"/>
      <c r="E17" s="834"/>
      <c r="F17" s="834"/>
      <c r="G17" s="23"/>
    </row>
    <row r="18" spans="1:7" ht="12.75">
      <c r="A18" s="82" t="s">
        <v>175</v>
      </c>
      <c r="B18" s="78"/>
      <c r="C18" s="80">
        <v>35.56</v>
      </c>
      <c r="D18" s="81">
        <v>0.1</v>
      </c>
      <c r="E18" s="81">
        <f>D18*C18*0.25</f>
        <v>0.8890000000000001</v>
      </c>
      <c r="F18" s="21" t="s">
        <v>176</v>
      </c>
      <c r="G18" s="23"/>
    </row>
    <row r="19" spans="1:7" ht="12.75">
      <c r="A19" s="82" t="s">
        <v>175</v>
      </c>
      <c r="B19" s="78"/>
      <c r="C19" s="80">
        <v>30</v>
      </c>
      <c r="D19" s="81">
        <v>0.1</v>
      </c>
      <c r="E19" s="81">
        <f>D19*C19</f>
        <v>3</v>
      </c>
      <c r="F19" s="21" t="s">
        <v>177</v>
      </c>
      <c r="G19" s="23"/>
    </row>
    <row r="20" spans="1:7" ht="12.75">
      <c r="A20" s="400"/>
      <c r="B20" s="401"/>
      <c r="C20" s="402"/>
      <c r="D20" s="403"/>
      <c r="E20" s="403"/>
      <c r="F20" s="404"/>
      <c r="G20" s="23"/>
    </row>
    <row r="21" spans="1:7" ht="12.75">
      <c r="A21" s="834" t="s">
        <v>471</v>
      </c>
      <c r="B21" s="834"/>
      <c r="C21" s="834"/>
      <c r="D21" s="834"/>
      <c r="E21" s="834"/>
      <c r="F21" s="834"/>
      <c r="G21" s="23"/>
    </row>
    <row r="22" spans="1:7" ht="12.75">
      <c r="A22" s="82" t="s">
        <v>175</v>
      </c>
      <c r="B22" s="78"/>
      <c r="C22" s="80">
        <v>127.647</v>
      </c>
      <c r="D22" s="81">
        <v>0.1</v>
      </c>
      <c r="E22" s="81">
        <f>D22*C22*0.25</f>
        <v>3.1911750000000003</v>
      </c>
      <c r="F22" s="21" t="s">
        <v>176</v>
      </c>
      <c r="G22" s="79"/>
    </row>
    <row r="23" spans="1:7" ht="12.75">
      <c r="A23" s="82" t="s">
        <v>175</v>
      </c>
      <c r="B23" s="78"/>
      <c r="C23" s="80">
        <v>0</v>
      </c>
      <c r="D23" s="81">
        <v>0.1</v>
      </c>
      <c r="E23" s="81">
        <f>D23*C23</f>
        <v>0</v>
      </c>
      <c r="F23" s="21" t="s">
        <v>177</v>
      </c>
      <c r="G23" s="79"/>
    </row>
    <row r="24" spans="1:7" ht="12.75">
      <c r="A24" s="82"/>
      <c r="B24" s="78"/>
      <c r="C24" s="80"/>
      <c r="D24" s="81"/>
      <c r="E24" s="81"/>
      <c r="F24" s="21"/>
      <c r="G24" s="79"/>
    </row>
    <row r="25" spans="1:7" ht="12.75">
      <c r="A25" s="834" t="s">
        <v>472</v>
      </c>
      <c r="B25" s="834"/>
      <c r="C25" s="834"/>
      <c r="D25" s="834"/>
      <c r="E25" s="834"/>
      <c r="F25" s="834"/>
      <c r="G25" s="23"/>
    </row>
    <row r="26" spans="1:7" ht="12.75">
      <c r="A26" s="82" t="s">
        <v>175</v>
      </c>
      <c r="B26" s="78"/>
      <c r="C26" s="80">
        <v>805.714</v>
      </c>
      <c r="D26" s="81">
        <v>0.1</v>
      </c>
      <c r="E26" s="81">
        <f>D26*C26*0.25</f>
        <v>20.142850000000003</v>
      </c>
      <c r="F26" s="21" t="s">
        <v>176</v>
      </c>
      <c r="G26" s="79"/>
    </row>
    <row r="27" spans="1:7" ht="12.75">
      <c r="A27" s="82" t="s">
        <v>175</v>
      </c>
      <c r="B27" s="78"/>
      <c r="C27" s="80">
        <v>0</v>
      </c>
      <c r="D27" s="81">
        <v>0.1</v>
      </c>
      <c r="E27" s="81">
        <f>D27*C27</f>
        <v>0</v>
      </c>
      <c r="F27" s="21" t="s">
        <v>177</v>
      </c>
      <c r="G27" s="79"/>
    </row>
    <row r="28" spans="1:7" ht="12.75">
      <c r="A28" s="82"/>
      <c r="B28" s="78"/>
      <c r="C28" s="80"/>
      <c r="D28" s="81"/>
      <c r="E28" s="81"/>
      <c r="F28" s="21"/>
      <c r="G28" s="79"/>
    </row>
    <row r="29" spans="1:7" ht="15.75">
      <c r="A29" s="835" t="s">
        <v>178</v>
      </c>
      <c r="B29" s="835"/>
      <c r="C29" s="835"/>
      <c r="D29" s="835"/>
      <c r="E29" s="835"/>
      <c r="F29" s="835"/>
      <c r="G29" s="835"/>
    </row>
    <row r="30" spans="1:7" ht="12.75">
      <c r="A30" s="78" t="s">
        <v>214</v>
      </c>
      <c r="B30" s="78" t="s">
        <v>16</v>
      </c>
      <c r="C30" s="91">
        <f>C22+C18+C14+C10+C6</f>
        <v>446.157</v>
      </c>
      <c r="D30" s="84" t="s">
        <v>8</v>
      </c>
      <c r="E30" s="83" t="s">
        <v>171</v>
      </c>
      <c r="F30" s="91">
        <f>E22+E18+E14+E10+E6+E26</f>
        <v>31.296775000000004</v>
      </c>
      <c r="G30" s="79" t="s">
        <v>6</v>
      </c>
    </row>
    <row r="31" spans="1:7" ht="12.75">
      <c r="A31" s="78" t="s">
        <v>177</v>
      </c>
      <c r="B31" s="78" t="s">
        <v>179</v>
      </c>
      <c r="C31" s="89">
        <f>C23+C15+C11+C7</f>
        <v>165</v>
      </c>
      <c r="D31" s="86" t="s">
        <v>8</v>
      </c>
      <c r="E31" s="85" t="s">
        <v>171</v>
      </c>
      <c r="F31" s="91">
        <f>E23+E19+E15+E11+E7+E27</f>
        <v>19.5</v>
      </c>
      <c r="G31" s="79" t="s">
        <v>6</v>
      </c>
    </row>
    <row r="32" spans="1:7" ht="12.75">
      <c r="A32" s="836" t="s">
        <v>180</v>
      </c>
      <c r="B32" s="836"/>
      <c r="C32" s="89">
        <f>SUM(C30:C31)</f>
        <v>611.1569999999999</v>
      </c>
      <c r="D32" s="86" t="s">
        <v>8</v>
      </c>
      <c r="E32" s="85"/>
      <c r="F32" s="91">
        <f>SUM(F30:F31)</f>
        <v>50.796775000000004</v>
      </c>
      <c r="G32" s="79" t="s">
        <v>6</v>
      </c>
    </row>
    <row r="33" spans="1:7" ht="12.75">
      <c r="A33" s="78"/>
      <c r="B33" s="78"/>
      <c r="C33" s="85"/>
      <c r="D33" s="85"/>
      <c r="E33" s="85"/>
      <c r="F33" s="87"/>
      <c r="G33" s="88"/>
    </row>
    <row r="34" spans="1:7" ht="15.75">
      <c r="A34" s="837" t="s">
        <v>181</v>
      </c>
      <c r="B34" s="837"/>
      <c r="C34" s="837"/>
      <c r="D34" s="837"/>
      <c r="E34" s="85"/>
      <c r="F34" s="85"/>
      <c r="G34" s="78"/>
    </row>
    <row r="35" spans="1:7" ht="12.75">
      <c r="A35" s="833" t="s">
        <v>182</v>
      </c>
      <c r="B35" s="833"/>
      <c r="C35" s="89">
        <f>1470.243*2*0.1</f>
        <v>294.0486</v>
      </c>
      <c r="D35" s="79" t="s">
        <v>6</v>
      </c>
      <c r="E35" s="85"/>
      <c r="F35" s="85"/>
      <c r="G35" s="81"/>
    </row>
    <row r="36" spans="1:7" ht="12.75">
      <c r="A36" s="833" t="s">
        <v>234</v>
      </c>
      <c r="B36" s="833"/>
      <c r="C36" s="89">
        <f>(4*0.4)*13</f>
        <v>20.8</v>
      </c>
      <c r="D36" s="79" t="s">
        <v>6</v>
      </c>
      <c r="E36" s="85"/>
      <c r="F36" s="85"/>
      <c r="G36" s="78"/>
    </row>
    <row r="37" spans="1:7" ht="12.75">
      <c r="A37" s="833" t="s">
        <v>183</v>
      </c>
      <c r="B37" s="833"/>
      <c r="C37" s="90">
        <f>F30</f>
        <v>31.296775000000004</v>
      </c>
      <c r="D37" s="79" t="s">
        <v>6</v>
      </c>
      <c r="E37" s="85"/>
      <c r="F37" s="85"/>
      <c r="G37" s="78"/>
    </row>
    <row r="38" spans="1:7" ht="12.75">
      <c r="A38" s="79" t="s">
        <v>184</v>
      </c>
      <c r="B38" s="79"/>
      <c r="C38" s="89">
        <f>F31</f>
        <v>19.5</v>
      </c>
      <c r="D38" s="79" t="s">
        <v>6</v>
      </c>
      <c r="E38" s="85"/>
      <c r="F38" s="85"/>
      <c r="G38" s="78"/>
    </row>
    <row r="39" spans="1:7" ht="12.75">
      <c r="A39" s="79" t="s">
        <v>185</v>
      </c>
      <c r="B39" s="79"/>
      <c r="C39" s="89">
        <f>C35+C36+C37+C38</f>
        <v>365.64537500000006</v>
      </c>
      <c r="D39" s="79" t="s">
        <v>6</v>
      </c>
      <c r="E39" s="78"/>
      <c r="F39" s="78"/>
      <c r="G39" s="78"/>
    </row>
    <row r="40" spans="1:7" ht="12.75">
      <c r="A40" s="79" t="s">
        <v>186</v>
      </c>
      <c r="B40" s="78"/>
      <c r="C40" s="89">
        <f>13*3.89</f>
        <v>50.57</v>
      </c>
      <c r="D40" s="79" t="s">
        <v>6</v>
      </c>
      <c r="E40" s="78"/>
      <c r="F40" s="78"/>
      <c r="G40" s="78"/>
    </row>
  </sheetData>
  <sheetProtection/>
  <mergeCells count="17">
    <mergeCell ref="A9:F9"/>
    <mergeCell ref="A13:F13"/>
    <mergeCell ref="A17:F17"/>
    <mergeCell ref="A1:G1"/>
    <mergeCell ref="A2:G2"/>
    <mergeCell ref="A3:B4"/>
    <mergeCell ref="F3:F4"/>
    <mergeCell ref="G3:G4"/>
    <mergeCell ref="A5:F5"/>
    <mergeCell ref="A36:B36"/>
    <mergeCell ref="A37:B37"/>
    <mergeCell ref="A21:F21"/>
    <mergeCell ref="A25:F25"/>
    <mergeCell ref="A29:G29"/>
    <mergeCell ref="A32:B32"/>
    <mergeCell ref="A34:D34"/>
    <mergeCell ref="A35:B35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34">
      <selection activeCell="A1" sqref="A1:F47"/>
    </sheetView>
  </sheetViews>
  <sheetFormatPr defaultColWidth="9.140625" defaultRowHeight="12.75"/>
  <cols>
    <col min="1" max="1" width="49.8515625" style="0" customWidth="1"/>
    <col min="2" max="2" width="25.7109375" style="0" customWidth="1"/>
    <col min="3" max="3" width="15.7109375" style="0" customWidth="1"/>
    <col min="4" max="4" width="19.421875" style="0" customWidth="1"/>
    <col min="5" max="5" width="16.7109375" style="0" customWidth="1"/>
    <col min="6" max="6" width="20.00390625" style="0" customWidth="1"/>
    <col min="7" max="7" width="40.28125" style="0" customWidth="1"/>
    <col min="8" max="8" width="25.7109375" style="0" customWidth="1"/>
    <col min="9" max="9" width="15.7109375" style="0" customWidth="1"/>
    <col min="10" max="10" width="18.7109375" style="0" customWidth="1"/>
    <col min="11" max="11" width="27.421875" style="0" customWidth="1"/>
    <col min="12" max="12" width="14.421875" style="0" bestFit="1" customWidth="1"/>
  </cols>
  <sheetData>
    <row r="1" spans="1:6" ht="12.75">
      <c r="A1" s="842" t="s">
        <v>419</v>
      </c>
      <c r="B1" s="843"/>
      <c r="C1" s="843"/>
      <c r="D1" s="843"/>
      <c r="E1" s="843"/>
      <c r="F1" s="844"/>
    </row>
    <row r="2" spans="1:6" ht="12.75">
      <c r="A2" s="839"/>
      <c r="B2" s="840"/>
      <c r="C2" s="840"/>
      <c r="D2" s="840"/>
      <c r="E2" s="840"/>
      <c r="F2" s="841"/>
    </row>
    <row r="3" spans="1:6" ht="12.75">
      <c r="A3" s="78" t="s">
        <v>187</v>
      </c>
      <c r="B3" s="92" t="s">
        <v>453</v>
      </c>
      <c r="C3" s="92"/>
      <c r="D3" s="92"/>
      <c r="E3" s="92"/>
      <c r="F3" s="78" t="s">
        <v>188</v>
      </c>
    </row>
    <row r="4" spans="1:6" ht="12.75">
      <c r="A4" s="78" t="s">
        <v>189</v>
      </c>
      <c r="B4" s="78" t="s">
        <v>190</v>
      </c>
      <c r="C4" s="78" t="s">
        <v>17</v>
      </c>
      <c r="D4" s="78" t="s">
        <v>191</v>
      </c>
      <c r="E4" s="78" t="s">
        <v>192</v>
      </c>
      <c r="F4" s="78"/>
    </row>
    <row r="5" spans="1:6" ht="12.75">
      <c r="A5" s="839" t="s">
        <v>454</v>
      </c>
      <c r="B5" s="840"/>
      <c r="C5" s="840"/>
      <c r="D5" s="840"/>
      <c r="E5" s="840"/>
      <c r="F5" s="841"/>
    </row>
    <row r="6" spans="1:6" ht="25.5">
      <c r="A6" s="88" t="s">
        <v>455</v>
      </c>
      <c r="B6" s="23" t="s">
        <v>193</v>
      </c>
      <c r="C6" s="93" t="s">
        <v>456</v>
      </c>
      <c r="D6" s="94">
        <v>0.6</v>
      </c>
      <c r="E6" s="95">
        <v>0.283</v>
      </c>
      <c r="F6" s="23"/>
    </row>
    <row r="7" spans="1:6" ht="25.5">
      <c r="A7" s="88" t="s">
        <v>455</v>
      </c>
      <c r="B7" s="23" t="s">
        <v>212</v>
      </c>
      <c r="C7" s="93" t="s">
        <v>213</v>
      </c>
      <c r="D7" s="94" t="s">
        <v>457</v>
      </c>
      <c r="E7" s="95">
        <f>(0.25*0.45)*2</f>
        <v>0.225</v>
      </c>
      <c r="F7" s="23">
        <v>2</v>
      </c>
    </row>
    <row r="8" spans="1:6" ht="25.5">
      <c r="A8" s="88" t="s">
        <v>458</v>
      </c>
      <c r="B8" s="23" t="s">
        <v>193</v>
      </c>
      <c r="C8" s="93" t="s">
        <v>456</v>
      </c>
      <c r="D8" s="94">
        <v>0.6</v>
      </c>
      <c r="E8" s="95">
        <v>0.283</v>
      </c>
      <c r="F8" s="23"/>
    </row>
    <row r="9" spans="1:6" ht="25.5">
      <c r="A9" s="88" t="s">
        <v>458</v>
      </c>
      <c r="B9" s="23" t="s">
        <v>212</v>
      </c>
      <c r="C9" s="93" t="s">
        <v>213</v>
      </c>
      <c r="D9" s="94" t="s">
        <v>457</v>
      </c>
      <c r="E9" s="95">
        <f>(0.25*0.45)*2</f>
        <v>0.225</v>
      </c>
      <c r="F9" s="23">
        <v>2</v>
      </c>
    </row>
    <row r="10" spans="1:6" ht="12.75">
      <c r="A10" s="88"/>
      <c r="B10" s="23"/>
      <c r="C10" s="93"/>
      <c r="D10" s="94"/>
      <c r="E10" s="95"/>
      <c r="F10" s="23"/>
    </row>
    <row r="11" spans="1:6" ht="12.75">
      <c r="A11" s="839" t="s">
        <v>459</v>
      </c>
      <c r="B11" s="840"/>
      <c r="C11" s="840"/>
      <c r="D11" s="840"/>
      <c r="E11" s="840"/>
      <c r="F11" s="841"/>
    </row>
    <row r="12" spans="1:6" ht="25.5">
      <c r="A12" s="88" t="s">
        <v>455</v>
      </c>
      <c r="B12" s="23" t="s">
        <v>193</v>
      </c>
      <c r="C12" s="93" t="s">
        <v>456</v>
      </c>
      <c r="D12" s="94">
        <v>0.6</v>
      </c>
      <c r="E12" s="95">
        <v>0.283</v>
      </c>
      <c r="F12" s="23"/>
    </row>
    <row r="13" spans="1:6" ht="25.5">
      <c r="A13" s="88" t="s">
        <v>455</v>
      </c>
      <c r="B13" s="23" t="s">
        <v>212</v>
      </c>
      <c r="C13" s="93" t="s">
        <v>213</v>
      </c>
      <c r="D13" s="94" t="s">
        <v>457</v>
      </c>
      <c r="E13" s="95">
        <f>(0.25*0.45)*2</f>
        <v>0.225</v>
      </c>
      <c r="F13" s="23">
        <v>2</v>
      </c>
    </row>
    <row r="14" spans="1:6" ht="25.5">
      <c r="A14" s="88" t="s">
        <v>458</v>
      </c>
      <c r="B14" s="23" t="s">
        <v>193</v>
      </c>
      <c r="C14" s="93" t="s">
        <v>456</v>
      </c>
      <c r="D14" s="94">
        <v>0.6</v>
      </c>
      <c r="E14" s="95">
        <v>0.283</v>
      </c>
      <c r="F14" s="23"/>
    </row>
    <row r="15" spans="1:6" ht="25.5">
      <c r="A15" s="88" t="s">
        <v>458</v>
      </c>
      <c r="B15" s="23" t="s">
        <v>212</v>
      </c>
      <c r="C15" s="93" t="s">
        <v>213</v>
      </c>
      <c r="D15" s="94" t="s">
        <v>457</v>
      </c>
      <c r="E15" s="95">
        <f>(0.25*0.45)*2</f>
        <v>0.225</v>
      </c>
      <c r="F15" s="23">
        <v>2</v>
      </c>
    </row>
    <row r="16" spans="1:6" ht="12.75">
      <c r="A16" s="188"/>
      <c r="B16" s="189"/>
      <c r="C16" s="189"/>
      <c r="D16" s="189"/>
      <c r="E16" s="189"/>
      <c r="F16" s="190"/>
    </row>
    <row r="17" spans="1:6" ht="12.75">
      <c r="A17" s="839" t="s">
        <v>460</v>
      </c>
      <c r="B17" s="840"/>
      <c r="C17" s="840"/>
      <c r="D17" s="840"/>
      <c r="E17" s="840"/>
      <c r="F17" s="841"/>
    </row>
    <row r="18" spans="1:6" ht="25.5">
      <c r="A18" s="88" t="s">
        <v>461</v>
      </c>
      <c r="B18" s="23" t="s">
        <v>193</v>
      </c>
      <c r="C18" s="93" t="s">
        <v>456</v>
      </c>
      <c r="D18" s="94">
        <v>0.6</v>
      </c>
      <c r="E18" s="95">
        <v>0.283</v>
      </c>
      <c r="F18" s="23"/>
    </row>
    <row r="19" spans="1:6" ht="25.5">
      <c r="A19" s="88" t="s">
        <v>461</v>
      </c>
      <c r="B19" s="23" t="s">
        <v>212</v>
      </c>
      <c r="C19" s="93" t="s">
        <v>213</v>
      </c>
      <c r="D19" s="94" t="s">
        <v>457</v>
      </c>
      <c r="E19" s="95">
        <f>(0.25*0.45)*2</f>
        <v>0.225</v>
      </c>
      <c r="F19" s="23">
        <v>2</v>
      </c>
    </row>
    <row r="20" spans="1:6" ht="25.5">
      <c r="A20" s="88" t="s">
        <v>455</v>
      </c>
      <c r="B20" s="23" t="s">
        <v>193</v>
      </c>
      <c r="C20" s="93" t="s">
        <v>456</v>
      </c>
      <c r="D20" s="94">
        <v>0.6</v>
      </c>
      <c r="E20" s="95">
        <v>0.283</v>
      </c>
      <c r="F20" s="23"/>
    </row>
    <row r="21" spans="1:6" ht="25.5">
      <c r="A21" s="88" t="s">
        <v>455</v>
      </c>
      <c r="B21" s="23" t="s">
        <v>212</v>
      </c>
      <c r="C21" s="93" t="s">
        <v>213</v>
      </c>
      <c r="D21" s="94" t="s">
        <v>457</v>
      </c>
      <c r="E21" s="95">
        <f>(0.25*0.45)*2</f>
        <v>0.225</v>
      </c>
      <c r="F21" s="23">
        <v>2</v>
      </c>
    </row>
    <row r="22" spans="1:6" ht="25.5">
      <c r="A22" s="88" t="s">
        <v>458</v>
      </c>
      <c r="B22" s="23" t="s">
        <v>193</v>
      </c>
      <c r="C22" s="93" t="s">
        <v>456</v>
      </c>
      <c r="D22" s="94">
        <v>0.6</v>
      </c>
      <c r="E22" s="95">
        <v>0.283</v>
      </c>
      <c r="F22" s="23"/>
    </row>
    <row r="23" spans="1:6" ht="25.5">
      <c r="A23" s="88" t="s">
        <v>458</v>
      </c>
      <c r="B23" s="23" t="s">
        <v>212</v>
      </c>
      <c r="C23" s="93" t="s">
        <v>213</v>
      </c>
      <c r="D23" s="94" t="s">
        <v>457</v>
      </c>
      <c r="E23" s="95">
        <f>(0.25*0.45)*2</f>
        <v>0.225</v>
      </c>
      <c r="F23" s="23">
        <v>2</v>
      </c>
    </row>
    <row r="24" spans="1:6" ht="12.75">
      <c r="A24" s="188"/>
      <c r="B24" s="189"/>
      <c r="C24" s="189"/>
      <c r="D24" s="189"/>
      <c r="E24" s="189"/>
      <c r="F24" s="190"/>
    </row>
    <row r="25" spans="1:6" ht="12.75">
      <c r="A25" s="839" t="s">
        <v>462</v>
      </c>
      <c r="B25" s="840"/>
      <c r="C25" s="840"/>
      <c r="D25" s="840"/>
      <c r="E25" s="840"/>
      <c r="F25" s="841"/>
    </row>
    <row r="26" spans="1:6" ht="25.5">
      <c r="A26" s="88" t="s">
        <v>455</v>
      </c>
      <c r="B26" s="23" t="s">
        <v>193</v>
      </c>
      <c r="C26" s="93" t="s">
        <v>456</v>
      </c>
      <c r="D26" s="94">
        <v>0.6</v>
      </c>
      <c r="E26" s="95">
        <v>0.283</v>
      </c>
      <c r="F26" s="23"/>
    </row>
    <row r="27" spans="1:6" ht="25.5">
      <c r="A27" s="88" t="s">
        <v>455</v>
      </c>
      <c r="B27" s="23" t="s">
        <v>212</v>
      </c>
      <c r="C27" s="93" t="s">
        <v>213</v>
      </c>
      <c r="D27" s="94" t="s">
        <v>457</v>
      </c>
      <c r="E27" s="95">
        <f>(0.25*0.45)*2</f>
        <v>0.225</v>
      </c>
      <c r="F27" s="23">
        <v>2</v>
      </c>
    </row>
    <row r="28" spans="1:6" ht="25.5">
      <c r="A28" s="88" t="s">
        <v>461</v>
      </c>
      <c r="B28" s="23" t="s">
        <v>193</v>
      </c>
      <c r="C28" s="93" t="s">
        <v>456</v>
      </c>
      <c r="D28" s="94">
        <v>0.6</v>
      </c>
      <c r="E28" s="95">
        <v>0.283</v>
      </c>
      <c r="F28" s="23"/>
    </row>
    <row r="29" spans="1:6" ht="25.5">
      <c r="A29" s="88" t="s">
        <v>461</v>
      </c>
      <c r="B29" s="23" t="s">
        <v>212</v>
      </c>
      <c r="C29" s="93" t="s">
        <v>213</v>
      </c>
      <c r="D29" s="94" t="s">
        <v>457</v>
      </c>
      <c r="E29" s="95">
        <f>(0.25*0.45)*2</f>
        <v>0.225</v>
      </c>
      <c r="F29" s="23">
        <v>2</v>
      </c>
    </row>
    <row r="30" spans="1:6" ht="12.75">
      <c r="A30" s="188"/>
      <c r="B30" s="189"/>
      <c r="C30" s="189"/>
      <c r="D30" s="189"/>
      <c r="E30" s="189"/>
      <c r="F30" s="190"/>
    </row>
    <row r="31" spans="1:6" ht="12.75">
      <c r="A31" s="839" t="s">
        <v>463</v>
      </c>
      <c r="B31" s="840"/>
      <c r="C31" s="840"/>
      <c r="D31" s="840"/>
      <c r="E31" s="840"/>
      <c r="F31" s="841"/>
    </row>
    <row r="32" spans="1:6" ht="25.5">
      <c r="A32" s="88" t="s">
        <v>455</v>
      </c>
      <c r="B32" s="23" t="s">
        <v>193</v>
      </c>
      <c r="C32" s="93" t="s">
        <v>456</v>
      </c>
      <c r="D32" s="94">
        <v>0.6</v>
      </c>
      <c r="E32" s="95">
        <v>0.283</v>
      </c>
      <c r="F32" s="23"/>
    </row>
    <row r="33" spans="1:6" ht="25.5">
      <c r="A33" s="88" t="s">
        <v>455</v>
      </c>
      <c r="B33" s="23" t="s">
        <v>212</v>
      </c>
      <c r="C33" s="93" t="s">
        <v>213</v>
      </c>
      <c r="D33" s="94" t="s">
        <v>457</v>
      </c>
      <c r="E33" s="95">
        <f>(0.25*0.45)*2</f>
        <v>0.225</v>
      </c>
      <c r="F33" s="23">
        <v>2</v>
      </c>
    </row>
    <row r="34" spans="1:6" ht="12.75">
      <c r="A34" s="188"/>
      <c r="B34" s="189"/>
      <c r="C34" s="189"/>
      <c r="D34" s="189"/>
      <c r="E34" s="189"/>
      <c r="F34" s="190"/>
    </row>
    <row r="35" spans="1:6" ht="12.75">
      <c r="A35" s="839" t="s">
        <v>464</v>
      </c>
      <c r="B35" s="840"/>
      <c r="C35" s="840"/>
      <c r="D35" s="840"/>
      <c r="E35" s="840"/>
      <c r="F35" s="841"/>
    </row>
    <row r="36" spans="1:6" ht="25.5">
      <c r="A36" s="88" t="s">
        <v>461</v>
      </c>
      <c r="B36" s="23" t="s">
        <v>193</v>
      </c>
      <c r="C36" s="93" t="s">
        <v>456</v>
      </c>
      <c r="D36" s="94">
        <v>0.6</v>
      </c>
      <c r="E36" s="95">
        <v>0.283</v>
      </c>
      <c r="F36" s="23"/>
    </row>
    <row r="37" spans="1:6" ht="25.5">
      <c r="A37" s="88" t="s">
        <v>461</v>
      </c>
      <c r="B37" s="23" t="s">
        <v>212</v>
      </c>
      <c r="C37" s="93" t="s">
        <v>213</v>
      </c>
      <c r="D37" s="94" t="s">
        <v>457</v>
      </c>
      <c r="E37" s="95">
        <f>(0.25*0.45)*2</f>
        <v>0.225</v>
      </c>
      <c r="F37" s="23">
        <v>2</v>
      </c>
    </row>
    <row r="38" spans="1:6" ht="12.75">
      <c r="A38" s="88"/>
      <c r="B38" s="23"/>
      <c r="C38" s="93"/>
      <c r="D38" s="94"/>
      <c r="E38" s="95"/>
      <c r="F38" s="23"/>
    </row>
    <row r="39" spans="1:6" ht="12.75">
      <c r="A39" s="839" t="s">
        <v>465</v>
      </c>
      <c r="B39" s="840"/>
      <c r="C39" s="840"/>
      <c r="D39" s="840"/>
      <c r="E39" s="840"/>
      <c r="F39" s="841"/>
    </row>
    <row r="40" spans="1:6" ht="25.5">
      <c r="A40" s="88" t="s">
        <v>455</v>
      </c>
      <c r="B40" s="23" t="s">
        <v>193</v>
      </c>
      <c r="C40" s="93" t="s">
        <v>456</v>
      </c>
      <c r="D40" s="94">
        <v>0.6</v>
      </c>
      <c r="E40" s="95">
        <v>0.283</v>
      </c>
      <c r="F40" s="23"/>
    </row>
    <row r="41" spans="1:6" ht="25.5">
      <c r="A41" s="88" t="s">
        <v>455</v>
      </c>
      <c r="B41" s="23" t="s">
        <v>212</v>
      </c>
      <c r="C41" s="93" t="s">
        <v>213</v>
      </c>
      <c r="D41" s="94" t="s">
        <v>457</v>
      </c>
      <c r="E41" s="95">
        <f>(0.25*0.45)*2</f>
        <v>0.225</v>
      </c>
      <c r="F41" s="23">
        <v>2</v>
      </c>
    </row>
    <row r="42" spans="1:6" ht="12.75">
      <c r="A42" s="839" t="s">
        <v>466</v>
      </c>
      <c r="B42" s="840"/>
      <c r="C42" s="840"/>
      <c r="D42" s="840"/>
      <c r="E42" s="840"/>
      <c r="F42" s="841"/>
    </row>
    <row r="43" spans="1:6" ht="25.5">
      <c r="A43" s="88" t="s">
        <v>461</v>
      </c>
      <c r="B43" s="23" t="s">
        <v>193</v>
      </c>
      <c r="C43" s="93" t="s">
        <v>456</v>
      </c>
      <c r="D43" s="94">
        <v>0.6</v>
      </c>
      <c r="E43" s="95">
        <v>0.283</v>
      </c>
      <c r="F43" s="23"/>
    </row>
    <row r="44" spans="1:6" ht="25.5">
      <c r="A44" s="88" t="s">
        <v>461</v>
      </c>
      <c r="B44" s="23" t="s">
        <v>212</v>
      </c>
      <c r="C44" s="93" t="s">
        <v>213</v>
      </c>
      <c r="D44" s="94" t="s">
        <v>457</v>
      </c>
      <c r="E44" s="95">
        <f>(0.25*0.45)*2</f>
        <v>0.225</v>
      </c>
      <c r="F44" s="23">
        <v>2</v>
      </c>
    </row>
    <row r="45" spans="1:6" ht="12.75">
      <c r="A45" s="88"/>
      <c r="B45" s="23"/>
      <c r="C45" s="93"/>
      <c r="D45" s="94"/>
      <c r="E45" s="95"/>
      <c r="F45" s="23"/>
    </row>
    <row r="46" spans="1:6" ht="12.75">
      <c r="A46" s="23" t="s">
        <v>193</v>
      </c>
      <c r="B46" s="21"/>
      <c r="C46" s="21"/>
      <c r="D46" s="21" t="s">
        <v>194</v>
      </c>
      <c r="E46" s="77">
        <f>E43+E40+E36+E32+E28+E26+E22+E20+E18+E14+E12+E8+E6</f>
        <v>3.6789999999999994</v>
      </c>
      <c r="F46" s="22"/>
    </row>
    <row r="47" spans="1:6" ht="12.75">
      <c r="A47" s="23" t="s">
        <v>212</v>
      </c>
      <c r="B47" s="21"/>
      <c r="C47" s="21"/>
      <c r="D47" s="21" t="s">
        <v>467</v>
      </c>
      <c r="E47" s="77">
        <f>F44+F41+F37+F33+F29+F27+F23+F21+F19+F15+F13+F9+F7</f>
        <v>26</v>
      </c>
      <c r="F47" s="22"/>
    </row>
  </sheetData>
  <sheetProtection/>
  <mergeCells count="10">
    <mergeCell ref="A1:F1"/>
    <mergeCell ref="A2:F2"/>
    <mergeCell ref="A5:F5"/>
    <mergeCell ref="A42:F42"/>
    <mergeCell ref="A11:F11"/>
    <mergeCell ref="A17:F17"/>
    <mergeCell ref="A25:F25"/>
    <mergeCell ref="A31:F31"/>
    <mergeCell ref="A35:F35"/>
    <mergeCell ref="A39:F3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X43"/>
  <sheetViews>
    <sheetView zoomScalePageLayoutView="0" workbookViewId="0" topLeftCell="A25">
      <selection activeCell="R18" sqref="R18:T18"/>
    </sheetView>
  </sheetViews>
  <sheetFormatPr defaultColWidth="9.140625" defaultRowHeight="12.75"/>
  <cols>
    <col min="1" max="11" width="4.140625" style="0" customWidth="1"/>
    <col min="12" max="12" width="6.8515625" style="0" customWidth="1"/>
    <col min="13" max="20" width="4.140625" style="0" customWidth="1"/>
    <col min="21" max="21" width="12.7109375" style="0" customWidth="1"/>
  </cols>
  <sheetData>
    <row r="1" spans="1:21" ht="19.5">
      <c r="A1" s="862" t="s">
        <v>64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138">
        <v>43101</v>
      </c>
    </row>
    <row r="2" spans="1:21" ht="12.75">
      <c r="A2" s="668" t="s">
        <v>65</v>
      </c>
      <c r="B2" s="669"/>
      <c r="C2" s="669"/>
      <c r="D2" s="669"/>
      <c r="E2" s="670"/>
      <c r="F2" s="668" t="s">
        <v>382</v>
      </c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70"/>
      <c r="U2" s="26" t="s">
        <v>66</v>
      </c>
    </row>
    <row r="3" spans="1:21" ht="12.75">
      <c r="A3" s="671" t="s">
        <v>67</v>
      </c>
      <c r="B3" s="672"/>
      <c r="C3" s="672"/>
      <c r="D3" s="672"/>
      <c r="E3" s="673"/>
      <c r="F3" s="864" t="s">
        <v>452</v>
      </c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6"/>
      <c r="U3" s="27" t="s">
        <v>4</v>
      </c>
    </row>
    <row r="4" spans="1:21" ht="12.75">
      <c r="A4" s="677" t="s">
        <v>68</v>
      </c>
      <c r="B4" s="677"/>
      <c r="C4" s="677"/>
      <c r="D4" s="677"/>
      <c r="E4" s="677"/>
      <c r="F4" s="677"/>
      <c r="G4" s="677"/>
      <c r="H4" s="677"/>
      <c r="I4" s="677"/>
      <c r="J4" s="677"/>
      <c r="K4" s="678" t="s">
        <v>13</v>
      </c>
      <c r="L4" s="678"/>
      <c r="M4" s="678" t="s">
        <v>69</v>
      </c>
      <c r="N4" s="678"/>
      <c r="O4" s="678"/>
      <c r="P4" s="678"/>
      <c r="Q4" s="678" t="s">
        <v>70</v>
      </c>
      <c r="R4" s="678"/>
      <c r="S4" s="678"/>
      <c r="T4" s="678"/>
      <c r="U4" s="678" t="s">
        <v>63</v>
      </c>
    </row>
    <row r="5" spans="1:21" ht="12.75">
      <c r="A5" s="677"/>
      <c r="B5" s="677"/>
      <c r="C5" s="677"/>
      <c r="D5" s="677"/>
      <c r="E5" s="677"/>
      <c r="F5" s="677"/>
      <c r="G5" s="677"/>
      <c r="H5" s="677"/>
      <c r="I5" s="677"/>
      <c r="J5" s="677"/>
      <c r="K5" s="678"/>
      <c r="L5" s="678"/>
      <c r="M5" s="678" t="s">
        <v>71</v>
      </c>
      <c r="N5" s="678"/>
      <c r="O5" s="678" t="s">
        <v>72</v>
      </c>
      <c r="P5" s="678"/>
      <c r="Q5" s="678" t="s">
        <v>71</v>
      </c>
      <c r="R5" s="678"/>
      <c r="S5" s="678" t="s">
        <v>72</v>
      </c>
      <c r="T5" s="678"/>
      <c r="U5" s="678"/>
    </row>
    <row r="6" spans="1:24" ht="12.75">
      <c r="A6" s="679" t="s">
        <v>392</v>
      </c>
      <c r="B6" s="679"/>
      <c r="C6" s="679"/>
      <c r="D6" s="679"/>
      <c r="E6" s="679"/>
      <c r="F6" s="679"/>
      <c r="G6" s="679"/>
      <c r="H6" s="679"/>
      <c r="I6" s="679"/>
      <c r="J6" s="679"/>
      <c r="K6" s="858">
        <v>1</v>
      </c>
      <c r="L6" s="858"/>
      <c r="M6" s="858">
        <v>1</v>
      </c>
      <c r="N6" s="858"/>
      <c r="O6" s="858">
        <v>0</v>
      </c>
      <c r="P6" s="858"/>
      <c r="Q6" s="681">
        <v>141.14</v>
      </c>
      <c r="R6" s="681"/>
      <c r="S6" s="681">
        <v>54.855</v>
      </c>
      <c r="T6" s="681"/>
      <c r="U6" s="139">
        <f>K6*TRUNC((M6*Q6+O6*S6),2)</f>
        <v>141.14</v>
      </c>
      <c r="X6" t="s">
        <v>383</v>
      </c>
    </row>
    <row r="7" spans="1:24" ht="26.25" customHeight="1">
      <c r="A7" s="859" t="s">
        <v>393</v>
      </c>
      <c r="B7" s="860"/>
      <c r="C7" s="860"/>
      <c r="D7" s="860"/>
      <c r="E7" s="860"/>
      <c r="F7" s="860"/>
      <c r="G7" s="860"/>
      <c r="H7" s="860"/>
      <c r="I7" s="860"/>
      <c r="J7" s="861"/>
      <c r="K7" s="858">
        <v>1</v>
      </c>
      <c r="L7" s="858"/>
      <c r="M7" s="858">
        <v>0.44</v>
      </c>
      <c r="N7" s="858"/>
      <c r="O7" s="858">
        <v>0.56</v>
      </c>
      <c r="P7" s="858"/>
      <c r="Q7" s="681">
        <v>105.6559</v>
      </c>
      <c r="R7" s="681"/>
      <c r="S7" s="681">
        <v>37.8401</v>
      </c>
      <c r="T7" s="681"/>
      <c r="U7" s="139">
        <f>K7*TRUNC((M7*Q7+O7*S7),2)</f>
        <v>67.67</v>
      </c>
      <c r="X7" t="s">
        <v>384</v>
      </c>
    </row>
    <row r="8" spans="1:24" ht="25.5" customHeight="1">
      <c r="A8" s="855" t="s">
        <v>389</v>
      </c>
      <c r="B8" s="856"/>
      <c r="C8" s="856"/>
      <c r="D8" s="856"/>
      <c r="E8" s="856"/>
      <c r="F8" s="856"/>
      <c r="G8" s="856"/>
      <c r="H8" s="856"/>
      <c r="I8" s="856"/>
      <c r="J8" s="857"/>
      <c r="K8" s="858">
        <v>1</v>
      </c>
      <c r="L8" s="858"/>
      <c r="M8" s="858">
        <v>1</v>
      </c>
      <c r="N8" s="858"/>
      <c r="O8" s="858">
        <v>0</v>
      </c>
      <c r="P8" s="858"/>
      <c r="Q8" s="681">
        <v>180.0794</v>
      </c>
      <c r="R8" s="681"/>
      <c r="S8" s="681">
        <v>35.08015</v>
      </c>
      <c r="T8" s="681"/>
      <c r="U8" s="139">
        <f>K8*TRUNC((M8*Q8+O8*S8),2)</f>
        <v>180.07</v>
      </c>
      <c r="X8" t="s">
        <v>385</v>
      </c>
    </row>
    <row r="9" spans="1:21" ht="13.5" thickBot="1">
      <c r="A9" s="682"/>
      <c r="B9" s="682"/>
      <c r="C9" s="682"/>
      <c r="D9" s="682"/>
      <c r="E9" s="682"/>
      <c r="F9" s="682"/>
      <c r="G9" s="682"/>
      <c r="H9" s="682"/>
      <c r="I9" s="682"/>
      <c r="J9" s="682"/>
      <c r="K9" s="854"/>
      <c r="L9" s="854"/>
      <c r="M9" s="854"/>
      <c r="N9" s="854"/>
      <c r="O9" s="854"/>
      <c r="P9" s="854"/>
      <c r="Q9" s="683"/>
      <c r="R9" s="683"/>
      <c r="S9" s="683"/>
      <c r="T9" s="683"/>
      <c r="U9" s="28"/>
    </row>
    <row r="10" spans="1:21" ht="14.25">
      <c r="A10" s="682"/>
      <c r="B10" s="682"/>
      <c r="C10" s="682"/>
      <c r="D10" s="682"/>
      <c r="E10" s="682"/>
      <c r="F10" s="682"/>
      <c r="G10" s="682"/>
      <c r="H10" s="682"/>
      <c r="I10" s="682"/>
      <c r="J10" s="682"/>
      <c r="K10" s="854"/>
      <c r="L10" s="854"/>
      <c r="M10" s="854"/>
      <c r="N10" s="854"/>
      <c r="O10" s="854"/>
      <c r="P10" s="854"/>
      <c r="Q10" s="278"/>
      <c r="R10" s="278"/>
      <c r="S10" s="683"/>
      <c r="T10" s="683"/>
      <c r="U10" s="28"/>
    </row>
    <row r="11" spans="1:21" ht="12.75">
      <c r="A11" s="682"/>
      <c r="B11" s="682"/>
      <c r="C11" s="682"/>
      <c r="D11" s="682"/>
      <c r="E11" s="682"/>
      <c r="F11" s="682"/>
      <c r="G11" s="682"/>
      <c r="H11" s="682"/>
      <c r="I11" s="682"/>
      <c r="J11" s="682"/>
      <c r="K11" s="854"/>
      <c r="L11" s="854"/>
      <c r="M11" s="854"/>
      <c r="N11" s="854"/>
      <c r="O11" s="854"/>
      <c r="P11" s="854"/>
      <c r="Q11" s="683"/>
      <c r="R11" s="683"/>
      <c r="S11" s="683"/>
      <c r="T11" s="683"/>
      <c r="U11" s="28"/>
    </row>
    <row r="12" spans="1:21" ht="12.75">
      <c r="A12" s="619"/>
      <c r="B12" s="619"/>
      <c r="C12" s="619"/>
      <c r="D12" s="619"/>
      <c r="E12" s="619"/>
      <c r="F12" s="619"/>
      <c r="G12" s="619"/>
      <c r="H12" s="619"/>
      <c r="I12" s="619"/>
      <c r="J12" s="619"/>
      <c r="K12" s="854"/>
      <c r="L12" s="854"/>
      <c r="M12" s="854"/>
      <c r="N12" s="854"/>
      <c r="O12" s="854"/>
      <c r="P12" s="854"/>
      <c r="Q12" s="683"/>
      <c r="R12" s="683"/>
      <c r="S12" s="683"/>
      <c r="T12" s="683"/>
      <c r="U12" s="28"/>
    </row>
    <row r="13" spans="1:21" ht="12.75">
      <c r="A13" s="619"/>
      <c r="B13" s="619"/>
      <c r="C13" s="619"/>
      <c r="D13" s="619"/>
      <c r="E13" s="619"/>
      <c r="F13" s="619"/>
      <c r="G13" s="619"/>
      <c r="H13" s="619"/>
      <c r="I13" s="619"/>
      <c r="J13" s="619"/>
      <c r="K13" s="854"/>
      <c r="L13" s="854"/>
      <c r="M13" s="854"/>
      <c r="N13" s="854"/>
      <c r="O13" s="854"/>
      <c r="P13" s="854"/>
      <c r="Q13" s="683"/>
      <c r="R13" s="683"/>
      <c r="S13" s="683"/>
      <c r="T13" s="683"/>
      <c r="U13" s="28"/>
    </row>
    <row r="14" spans="1:21" ht="12.75">
      <c r="A14" s="682"/>
      <c r="B14" s="682"/>
      <c r="C14" s="682"/>
      <c r="D14" s="682"/>
      <c r="E14" s="682"/>
      <c r="F14" s="682"/>
      <c r="G14" s="682"/>
      <c r="H14" s="682"/>
      <c r="I14" s="682"/>
      <c r="J14" s="682"/>
      <c r="K14" s="854"/>
      <c r="L14" s="854"/>
      <c r="M14" s="854"/>
      <c r="N14" s="854"/>
      <c r="O14" s="854"/>
      <c r="P14" s="854"/>
      <c r="Q14" s="683"/>
      <c r="R14" s="683"/>
      <c r="S14" s="683"/>
      <c r="T14" s="683"/>
      <c r="U14" s="28"/>
    </row>
    <row r="15" spans="1:21" ht="12.75">
      <c r="A15" s="851"/>
      <c r="B15" s="851"/>
      <c r="C15" s="851"/>
      <c r="D15" s="851"/>
      <c r="E15" s="851"/>
      <c r="F15" s="851"/>
      <c r="G15" s="851"/>
      <c r="H15" s="851"/>
      <c r="I15" s="851"/>
      <c r="J15" s="851"/>
      <c r="K15" s="852"/>
      <c r="L15" s="852"/>
      <c r="M15" s="697"/>
      <c r="N15" s="697"/>
      <c r="O15" s="697"/>
      <c r="P15" s="697"/>
      <c r="Q15" s="853"/>
      <c r="R15" s="853"/>
      <c r="S15" s="853"/>
      <c r="T15" s="853"/>
      <c r="U15" s="28"/>
    </row>
    <row r="16" spans="1:21" ht="12.75">
      <c r="A16" s="845"/>
      <c r="B16" s="845"/>
      <c r="C16" s="845"/>
      <c r="D16" s="845"/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685" t="s">
        <v>73</v>
      </c>
      <c r="S16" s="685"/>
      <c r="T16" s="685"/>
      <c r="U16" s="29">
        <f>SUM(U6:U15)</f>
        <v>388.88</v>
      </c>
    </row>
    <row r="17" spans="1:21" ht="24">
      <c r="A17" s="677" t="s">
        <v>74</v>
      </c>
      <c r="B17" s="677"/>
      <c r="C17" s="677"/>
      <c r="D17" s="677"/>
      <c r="E17" s="677"/>
      <c r="F17" s="677"/>
      <c r="G17" s="677"/>
      <c r="H17" s="677"/>
      <c r="I17" s="677"/>
      <c r="J17" s="677"/>
      <c r="K17" s="677"/>
      <c r="L17" s="677"/>
      <c r="M17" s="677"/>
      <c r="N17" s="677"/>
      <c r="O17" s="678" t="s">
        <v>2</v>
      </c>
      <c r="P17" s="678"/>
      <c r="Q17" s="678"/>
      <c r="R17" s="678" t="s">
        <v>75</v>
      </c>
      <c r="S17" s="678"/>
      <c r="T17" s="678"/>
      <c r="U17" s="131" t="s">
        <v>63</v>
      </c>
    </row>
    <row r="18" spans="1:21" ht="12.75">
      <c r="A18" s="686" t="s">
        <v>476</v>
      </c>
      <c r="B18" s="686"/>
      <c r="C18" s="686"/>
      <c r="D18" s="686"/>
      <c r="E18" s="686"/>
      <c r="F18" s="686"/>
      <c r="G18" s="686"/>
      <c r="H18" s="686"/>
      <c r="I18" s="686"/>
      <c r="J18" s="686"/>
      <c r="K18" s="686"/>
      <c r="L18" s="686"/>
      <c r="M18" s="686"/>
      <c r="N18" s="686"/>
      <c r="O18" s="658">
        <v>1.5</v>
      </c>
      <c r="P18" s="658"/>
      <c r="Q18" s="658"/>
      <c r="R18" s="614">
        <v>5.5986</v>
      </c>
      <c r="S18" s="614"/>
      <c r="T18" s="614"/>
      <c r="U18" s="30">
        <f>ROUND(R18*O18,2)</f>
        <v>8.4</v>
      </c>
    </row>
    <row r="19" spans="1:21" ht="12.75">
      <c r="A19" s="686"/>
      <c r="B19" s="686"/>
      <c r="C19" s="686"/>
      <c r="D19" s="686"/>
      <c r="E19" s="686"/>
      <c r="F19" s="686"/>
      <c r="G19" s="686"/>
      <c r="H19" s="686"/>
      <c r="I19" s="686"/>
      <c r="J19" s="686"/>
      <c r="K19" s="686"/>
      <c r="L19" s="686"/>
      <c r="M19" s="686"/>
      <c r="N19" s="686"/>
      <c r="O19" s="658"/>
      <c r="P19" s="658"/>
      <c r="Q19" s="658"/>
      <c r="R19" s="614"/>
      <c r="S19" s="614"/>
      <c r="T19" s="614"/>
      <c r="U19" s="30"/>
    </row>
    <row r="20" spans="1:21" ht="12.75">
      <c r="A20" s="687"/>
      <c r="B20" s="687"/>
      <c r="C20" s="687"/>
      <c r="D20" s="687"/>
      <c r="E20" s="687"/>
      <c r="F20" s="687"/>
      <c r="G20" s="687"/>
      <c r="H20" s="687"/>
      <c r="I20" s="687"/>
      <c r="J20" s="687"/>
      <c r="K20" s="687"/>
      <c r="L20" s="687"/>
      <c r="M20" s="687"/>
      <c r="N20" s="687"/>
      <c r="O20" s="688"/>
      <c r="P20" s="688"/>
      <c r="Q20" s="688"/>
      <c r="R20" s="689"/>
      <c r="S20" s="689"/>
      <c r="T20" s="689"/>
      <c r="U20" s="31"/>
    </row>
    <row r="21" spans="1:21" ht="12.75">
      <c r="A21" s="845"/>
      <c r="B21" s="845"/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685" t="s">
        <v>76</v>
      </c>
      <c r="S21" s="685"/>
      <c r="T21" s="685"/>
      <c r="U21" s="32">
        <f>SUM(U18:U20)</f>
        <v>8.4</v>
      </c>
    </row>
    <row r="22" spans="1:21" ht="12.75">
      <c r="A22" s="690" t="s">
        <v>77</v>
      </c>
      <c r="B22" s="690"/>
      <c r="C22" s="690"/>
      <c r="D22" s="690"/>
      <c r="E22" s="690"/>
      <c r="F22" s="690"/>
      <c r="G22" s="690"/>
      <c r="H22" s="690"/>
      <c r="I22" s="691"/>
      <c r="J22" s="692">
        <v>1.5</v>
      </c>
      <c r="K22" s="693"/>
      <c r="L22" s="693"/>
      <c r="M22" s="694" t="s">
        <v>78</v>
      </c>
      <c r="N22" s="694"/>
      <c r="O22" s="694"/>
      <c r="P22" s="694"/>
      <c r="Q22" s="694"/>
      <c r="R22" s="694"/>
      <c r="S22" s="694"/>
      <c r="T22" s="694"/>
      <c r="U22" s="32">
        <f>SUM(U16,U21)</f>
        <v>397.28</v>
      </c>
    </row>
    <row r="23" spans="1:21" ht="12.75">
      <c r="A23" s="695"/>
      <c r="B23" s="695"/>
      <c r="C23" s="695"/>
      <c r="D23" s="695" t="s">
        <v>79</v>
      </c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32">
        <f>U22/J22</f>
        <v>264.8533333333333</v>
      </c>
    </row>
    <row r="24" spans="1:21" ht="24">
      <c r="A24" s="677" t="s">
        <v>80</v>
      </c>
      <c r="B24" s="677"/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8" t="s">
        <v>1</v>
      </c>
      <c r="N24" s="678"/>
      <c r="O24" s="678" t="s">
        <v>81</v>
      </c>
      <c r="P24" s="678"/>
      <c r="Q24" s="678"/>
      <c r="R24" s="678" t="s">
        <v>82</v>
      </c>
      <c r="S24" s="678"/>
      <c r="T24" s="678"/>
      <c r="U24" s="131" t="s">
        <v>83</v>
      </c>
    </row>
    <row r="25" spans="1:21" ht="12.75">
      <c r="A25" s="626" t="s">
        <v>268</v>
      </c>
      <c r="B25" s="627"/>
      <c r="C25" s="627"/>
      <c r="D25" s="627"/>
      <c r="E25" s="627"/>
      <c r="F25" s="627"/>
      <c r="G25" s="627"/>
      <c r="H25" s="627"/>
      <c r="I25" s="627"/>
      <c r="J25" s="627"/>
      <c r="K25" s="627"/>
      <c r="L25" s="628"/>
      <c r="M25" s="661" t="s">
        <v>4</v>
      </c>
      <c r="N25" s="662"/>
      <c r="O25" s="663">
        <v>1.15</v>
      </c>
      <c r="P25" s="664"/>
      <c r="Q25" s="665"/>
      <c r="R25" s="848">
        <v>74.45</v>
      </c>
      <c r="S25" s="849"/>
      <c r="T25" s="850"/>
      <c r="U25" s="30">
        <f>TRUNC(O25*R25,2)</f>
        <v>85.61</v>
      </c>
    </row>
    <row r="26" spans="1:21" ht="12.75">
      <c r="A26" s="619"/>
      <c r="B26" s="619"/>
      <c r="C26" s="619"/>
      <c r="D26" s="619"/>
      <c r="E26" s="619"/>
      <c r="F26" s="619"/>
      <c r="G26" s="619"/>
      <c r="H26" s="619"/>
      <c r="I26" s="619"/>
      <c r="J26" s="619"/>
      <c r="K26" s="619"/>
      <c r="L26" s="619"/>
      <c r="M26" s="659"/>
      <c r="N26" s="659"/>
      <c r="O26" s="660"/>
      <c r="P26" s="660"/>
      <c r="Q26" s="660"/>
      <c r="R26" s="621"/>
      <c r="S26" s="621"/>
      <c r="T26" s="621"/>
      <c r="U26" s="30"/>
    </row>
    <row r="27" spans="1:21" ht="12.75">
      <c r="A27" s="619"/>
      <c r="B27" s="619"/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59"/>
      <c r="N27" s="659"/>
      <c r="O27" s="658"/>
      <c r="P27" s="658"/>
      <c r="Q27" s="658"/>
      <c r="R27" s="614"/>
      <c r="S27" s="614"/>
      <c r="T27" s="614"/>
      <c r="U27" s="30"/>
    </row>
    <row r="28" spans="1:21" ht="12.75">
      <c r="A28" s="619"/>
      <c r="B28" s="619"/>
      <c r="C28" s="619"/>
      <c r="D28" s="619"/>
      <c r="E28" s="619"/>
      <c r="F28" s="619"/>
      <c r="G28" s="619"/>
      <c r="H28" s="619"/>
      <c r="I28" s="619"/>
      <c r="J28" s="619"/>
      <c r="K28" s="619"/>
      <c r="L28" s="619"/>
      <c r="M28" s="659"/>
      <c r="N28" s="659"/>
      <c r="O28" s="658"/>
      <c r="P28" s="658"/>
      <c r="Q28" s="658"/>
      <c r="R28" s="614"/>
      <c r="S28" s="614"/>
      <c r="T28" s="614"/>
      <c r="U28" s="30"/>
    </row>
    <row r="29" spans="1:21" ht="12.75">
      <c r="A29" s="635"/>
      <c r="B29" s="635"/>
      <c r="C29" s="635"/>
      <c r="D29" s="635"/>
      <c r="E29" s="635"/>
      <c r="F29" s="635"/>
      <c r="G29" s="635"/>
      <c r="H29" s="635"/>
      <c r="I29" s="635"/>
      <c r="J29" s="635"/>
      <c r="K29" s="635"/>
      <c r="L29" s="635"/>
      <c r="M29" s="659"/>
      <c r="N29" s="659"/>
      <c r="O29" s="658"/>
      <c r="P29" s="658"/>
      <c r="Q29" s="658"/>
      <c r="R29" s="847"/>
      <c r="S29" s="847"/>
      <c r="T29" s="847"/>
      <c r="U29" s="30"/>
    </row>
    <row r="30" spans="1:21" ht="12.75">
      <c r="A30" s="626"/>
      <c r="B30" s="627"/>
      <c r="C30" s="627"/>
      <c r="D30" s="627"/>
      <c r="E30" s="627"/>
      <c r="F30" s="627"/>
      <c r="G30" s="627"/>
      <c r="H30" s="627"/>
      <c r="I30" s="627"/>
      <c r="J30" s="627"/>
      <c r="K30" s="627"/>
      <c r="L30" s="628"/>
      <c r="M30" s="661"/>
      <c r="N30" s="662"/>
      <c r="O30" s="663"/>
      <c r="P30" s="664"/>
      <c r="Q30" s="665"/>
      <c r="R30" s="848"/>
      <c r="S30" s="849"/>
      <c r="T30" s="850"/>
      <c r="U30" s="30"/>
    </row>
    <row r="31" spans="1:21" ht="12.75">
      <c r="A31" s="696"/>
      <c r="B31" s="696"/>
      <c r="C31" s="696"/>
      <c r="D31" s="696"/>
      <c r="E31" s="696"/>
      <c r="F31" s="696"/>
      <c r="G31" s="696"/>
      <c r="H31" s="696"/>
      <c r="I31" s="696"/>
      <c r="J31" s="696"/>
      <c r="K31" s="696"/>
      <c r="L31" s="696"/>
      <c r="M31" s="697"/>
      <c r="N31" s="697"/>
      <c r="O31" s="688"/>
      <c r="P31" s="688"/>
      <c r="Q31" s="688"/>
      <c r="R31" s="689"/>
      <c r="S31" s="689"/>
      <c r="T31" s="689"/>
      <c r="U31" s="33"/>
    </row>
    <row r="32" spans="1:21" ht="12.75">
      <c r="A32" s="845"/>
      <c r="B32" s="845"/>
      <c r="C32" s="845"/>
      <c r="D32" s="845"/>
      <c r="E32" s="845"/>
      <c r="F32" s="845"/>
      <c r="G32" s="845"/>
      <c r="H32" s="845"/>
      <c r="I32" s="845"/>
      <c r="J32" s="845"/>
      <c r="K32" s="845"/>
      <c r="L32" s="845"/>
      <c r="M32" s="845"/>
      <c r="N32" s="845"/>
      <c r="O32" s="845"/>
      <c r="P32" s="845"/>
      <c r="Q32" s="845"/>
      <c r="R32" s="685" t="s">
        <v>84</v>
      </c>
      <c r="S32" s="685"/>
      <c r="T32" s="685"/>
      <c r="U32" s="32">
        <f>SUM(U25:U31)</f>
        <v>85.61</v>
      </c>
    </row>
    <row r="33" spans="1:21" ht="12.75">
      <c r="A33" s="677" t="s">
        <v>85</v>
      </c>
      <c r="B33" s="677"/>
      <c r="C33" s="677"/>
      <c r="D33" s="677"/>
      <c r="E33" s="677"/>
      <c r="F33" s="677"/>
      <c r="G33" s="677"/>
      <c r="H33" s="677"/>
      <c r="I33" s="695" t="s">
        <v>86</v>
      </c>
      <c r="J33" s="695"/>
      <c r="K33" s="695"/>
      <c r="L33" s="695"/>
      <c r="M33" s="695"/>
      <c r="N33" s="695"/>
      <c r="O33" s="678" t="s">
        <v>87</v>
      </c>
      <c r="P33" s="678"/>
      <c r="Q33" s="678"/>
      <c r="R33" s="678" t="s">
        <v>82</v>
      </c>
      <c r="S33" s="678"/>
      <c r="T33" s="678"/>
      <c r="U33" s="678" t="s">
        <v>83</v>
      </c>
    </row>
    <row r="34" spans="1:21" ht="12.75">
      <c r="A34" s="677"/>
      <c r="B34" s="677"/>
      <c r="C34" s="677"/>
      <c r="D34" s="677"/>
      <c r="E34" s="677"/>
      <c r="F34" s="677"/>
      <c r="G34" s="677"/>
      <c r="H34" s="677"/>
      <c r="I34" s="695" t="s">
        <v>88</v>
      </c>
      <c r="J34" s="695"/>
      <c r="K34" s="695" t="s">
        <v>89</v>
      </c>
      <c r="L34" s="695"/>
      <c r="M34" s="695" t="s">
        <v>16</v>
      </c>
      <c r="N34" s="695"/>
      <c r="O34" s="678"/>
      <c r="P34" s="678"/>
      <c r="Q34" s="678"/>
      <c r="R34" s="678"/>
      <c r="S34" s="678"/>
      <c r="T34" s="678"/>
      <c r="U34" s="678"/>
    </row>
    <row r="35" spans="1:21" ht="12.75">
      <c r="A35" s="698"/>
      <c r="B35" s="698"/>
      <c r="C35" s="698"/>
      <c r="D35" s="698"/>
      <c r="E35" s="698"/>
      <c r="F35" s="698"/>
      <c r="G35" s="698"/>
      <c r="H35" s="698"/>
      <c r="I35" s="699"/>
      <c r="J35" s="699"/>
      <c r="K35" s="699"/>
      <c r="L35" s="699"/>
      <c r="M35" s="699"/>
      <c r="N35" s="699"/>
      <c r="O35" s="700"/>
      <c r="P35" s="700"/>
      <c r="Q35" s="700"/>
      <c r="R35" s="701"/>
      <c r="S35" s="701"/>
      <c r="T35" s="701"/>
      <c r="U35" s="134">
        <f>INT((M35*O35*R35)*100)/100</f>
        <v>0</v>
      </c>
    </row>
    <row r="36" spans="1:21" ht="12.75">
      <c r="A36" s="702"/>
      <c r="B36" s="702"/>
      <c r="C36" s="702"/>
      <c r="D36" s="702"/>
      <c r="E36" s="702"/>
      <c r="F36" s="702"/>
      <c r="G36" s="702"/>
      <c r="H36" s="702"/>
      <c r="I36" s="703"/>
      <c r="J36" s="703"/>
      <c r="K36" s="703"/>
      <c r="L36" s="703"/>
      <c r="M36" s="703"/>
      <c r="N36" s="703"/>
      <c r="O36" s="704"/>
      <c r="P36" s="704"/>
      <c r="Q36" s="704"/>
      <c r="R36" s="705"/>
      <c r="S36" s="705"/>
      <c r="T36" s="705"/>
      <c r="U36" s="133">
        <f>INT((M36*O36*R36)*100)/100</f>
        <v>0</v>
      </c>
    </row>
    <row r="37" spans="1:21" ht="12.75">
      <c r="A37" s="702"/>
      <c r="B37" s="702"/>
      <c r="C37" s="702"/>
      <c r="D37" s="702"/>
      <c r="E37" s="702"/>
      <c r="F37" s="702"/>
      <c r="G37" s="702"/>
      <c r="H37" s="702"/>
      <c r="I37" s="703"/>
      <c r="J37" s="703"/>
      <c r="K37" s="703"/>
      <c r="L37" s="703"/>
      <c r="M37" s="703">
        <f>SUM(I37:L37)</f>
        <v>0</v>
      </c>
      <c r="N37" s="703"/>
      <c r="O37" s="704"/>
      <c r="P37" s="704"/>
      <c r="Q37" s="704"/>
      <c r="R37" s="705"/>
      <c r="S37" s="705"/>
      <c r="T37" s="705"/>
      <c r="U37" s="133">
        <f>INT((M37*O37*R37)*100)/100</f>
        <v>0</v>
      </c>
    </row>
    <row r="38" spans="1:21" ht="12.75">
      <c r="A38" s="706"/>
      <c r="B38" s="706"/>
      <c r="C38" s="706"/>
      <c r="D38" s="706"/>
      <c r="E38" s="706"/>
      <c r="F38" s="706"/>
      <c r="G38" s="706"/>
      <c r="H38" s="706"/>
      <c r="I38" s="707"/>
      <c r="J38" s="707"/>
      <c r="K38" s="707"/>
      <c r="L38" s="707"/>
      <c r="M38" s="707">
        <f>SUM(I38:L38)</f>
        <v>0</v>
      </c>
      <c r="N38" s="707"/>
      <c r="O38" s="708"/>
      <c r="P38" s="708"/>
      <c r="Q38" s="708"/>
      <c r="R38" s="709"/>
      <c r="S38" s="709"/>
      <c r="T38" s="709"/>
      <c r="U38" s="132">
        <f>INT((M38*O38*R38)*100)/100</f>
        <v>0</v>
      </c>
    </row>
    <row r="39" spans="1:21" ht="12.75">
      <c r="A39" s="845"/>
      <c r="B39" s="845"/>
      <c r="C39" s="845"/>
      <c r="D39" s="845"/>
      <c r="E39" s="845"/>
      <c r="F39" s="845"/>
      <c r="G39" s="845"/>
      <c r="H39" s="845"/>
      <c r="I39" s="845"/>
      <c r="J39" s="845"/>
      <c r="K39" s="845"/>
      <c r="L39" s="845"/>
      <c r="M39" s="845"/>
      <c r="N39" s="845"/>
      <c r="O39" s="845"/>
      <c r="P39" s="845"/>
      <c r="Q39" s="845"/>
      <c r="R39" s="685" t="s">
        <v>90</v>
      </c>
      <c r="S39" s="685"/>
      <c r="T39" s="685"/>
      <c r="U39" s="34">
        <f>SUM(U35:U38)</f>
        <v>0</v>
      </c>
    </row>
    <row r="40" spans="1:21" ht="12.75">
      <c r="A40" s="845"/>
      <c r="B40" s="845"/>
      <c r="C40" s="845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845"/>
      <c r="O40" s="845"/>
      <c r="P40" s="845"/>
      <c r="Q40" s="845"/>
      <c r="R40" s="845"/>
      <c r="S40" s="845"/>
      <c r="T40" s="845"/>
      <c r="U40" s="845"/>
    </row>
    <row r="41" spans="1:21" ht="12.75">
      <c r="A41" s="710" t="s">
        <v>91</v>
      </c>
      <c r="B41" s="710"/>
      <c r="C41" s="710"/>
      <c r="D41" s="710"/>
      <c r="E41" s="710"/>
      <c r="F41" s="710"/>
      <c r="G41" s="710"/>
      <c r="H41" s="710"/>
      <c r="I41" s="710"/>
      <c r="J41" s="710"/>
      <c r="K41" s="710"/>
      <c r="L41" s="710"/>
      <c r="M41" s="710"/>
      <c r="N41" s="710"/>
      <c r="O41" s="710"/>
      <c r="P41" s="710"/>
      <c r="Q41" s="710"/>
      <c r="R41" s="710"/>
      <c r="S41" s="710"/>
      <c r="T41" s="710"/>
      <c r="U41" s="35">
        <f>SUM(U23,U32,U39)</f>
        <v>350.4633333333333</v>
      </c>
    </row>
    <row r="42" spans="1:21" ht="12.75">
      <c r="A42" s="36" t="s">
        <v>92</v>
      </c>
      <c r="B42" s="37"/>
      <c r="C42" s="37"/>
      <c r="D42" s="37"/>
      <c r="E42" s="37"/>
      <c r="F42" s="37"/>
      <c r="G42" s="37"/>
      <c r="H42" s="38" t="s">
        <v>93</v>
      </c>
      <c r="I42" s="711">
        <v>0</v>
      </c>
      <c r="J42" s="711"/>
      <c r="K42" s="37" t="s">
        <v>94</v>
      </c>
      <c r="L42" s="37"/>
      <c r="M42" s="37"/>
      <c r="N42" s="37"/>
      <c r="O42" s="37"/>
      <c r="P42" s="37"/>
      <c r="Q42" s="37"/>
      <c r="R42" s="37"/>
      <c r="S42" s="37"/>
      <c r="T42" s="37"/>
      <c r="U42" s="39">
        <f>TRUNC((U41*I42),2)</f>
        <v>0</v>
      </c>
    </row>
    <row r="43" spans="1:21" ht="18.75">
      <c r="A43" s="846" t="s">
        <v>95</v>
      </c>
      <c r="B43" s="846"/>
      <c r="C43" s="846"/>
      <c r="D43" s="846"/>
      <c r="E43" s="846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846"/>
      <c r="Q43" s="846"/>
      <c r="R43" s="846"/>
      <c r="S43" s="846"/>
      <c r="T43" s="846"/>
      <c r="U43" s="39">
        <f>TRUNC((U42+U41),2)</f>
        <v>350.46</v>
      </c>
    </row>
  </sheetData>
  <sheetProtection/>
  <mergeCells count="166">
    <mergeCell ref="A1:T1"/>
    <mergeCell ref="A2:E2"/>
    <mergeCell ref="F2:T2"/>
    <mergeCell ref="A3:E3"/>
    <mergeCell ref="F3:T3"/>
    <mergeCell ref="A4:J5"/>
    <mergeCell ref="K4:L5"/>
    <mergeCell ref="M4:P4"/>
    <mergeCell ref="Q4:T4"/>
    <mergeCell ref="U4:U5"/>
    <mergeCell ref="M5:N5"/>
    <mergeCell ref="O5:P5"/>
    <mergeCell ref="Q5:R5"/>
    <mergeCell ref="S5:T5"/>
    <mergeCell ref="A6:J6"/>
    <mergeCell ref="K6:L6"/>
    <mergeCell ref="M6:N6"/>
    <mergeCell ref="O6:P6"/>
    <mergeCell ref="Q6:R6"/>
    <mergeCell ref="S6:T6"/>
    <mergeCell ref="A7:J7"/>
    <mergeCell ref="K7:L7"/>
    <mergeCell ref="M7:N7"/>
    <mergeCell ref="O7:P7"/>
    <mergeCell ref="Q7:R7"/>
    <mergeCell ref="S7:T7"/>
    <mergeCell ref="S9:T9"/>
    <mergeCell ref="A8:J8"/>
    <mergeCell ref="K8:L8"/>
    <mergeCell ref="M8:N8"/>
    <mergeCell ref="O8:P8"/>
    <mergeCell ref="Q8:R8"/>
    <mergeCell ref="S8:T8"/>
    <mergeCell ref="A10:J10"/>
    <mergeCell ref="K10:L10"/>
    <mergeCell ref="M10:N10"/>
    <mergeCell ref="O10:P10"/>
    <mergeCell ref="S10:T10"/>
    <mergeCell ref="A9:J9"/>
    <mergeCell ref="K9:L9"/>
    <mergeCell ref="M9:N9"/>
    <mergeCell ref="O9:P9"/>
    <mergeCell ref="Q9:R9"/>
    <mergeCell ref="A11:J11"/>
    <mergeCell ref="K11:L11"/>
    <mergeCell ref="M11:N11"/>
    <mergeCell ref="O11:P11"/>
    <mergeCell ref="Q11:R11"/>
    <mergeCell ref="S11:T11"/>
    <mergeCell ref="A12:J12"/>
    <mergeCell ref="K12:L12"/>
    <mergeCell ref="M12:N12"/>
    <mergeCell ref="O12:P12"/>
    <mergeCell ref="Q12:R12"/>
    <mergeCell ref="S12:T12"/>
    <mergeCell ref="A13:J13"/>
    <mergeCell ref="K13:L13"/>
    <mergeCell ref="M13:N13"/>
    <mergeCell ref="O13:P13"/>
    <mergeCell ref="Q13:R13"/>
    <mergeCell ref="S13:T13"/>
    <mergeCell ref="S15:T15"/>
    <mergeCell ref="A14:J14"/>
    <mergeCell ref="K14:L14"/>
    <mergeCell ref="M14:N14"/>
    <mergeCell ref="O14:P14"/>
    <mergeCell ref="Q14:R14"/>
    <mergeCell ref="S14:T14"/>
    <mergeCell ref="A16:Q16"/>
    <mergeCell ref="R16:T16"/>
    <mergeCell ref="A17:N17"/>
    <mergeCell ref="O17:Q17"/>
    <mergeCell ref="R17:T17"/>
    <mergeCell ref="A15:J15"/>
    <mergeCell ref="K15:L15"/>
    <mergeCell ref="M15:N15"/>
    <mergeCell ref="O15:P15"/>
    <mergeCell ref="Q15:R15"/>
    <mergeCell ref="A18:N18"/>
    <mergeCell ref="O18:Q18"/>
    <mergeCell ref="R18:T18"/>
    <mergeCell ref="A19:N19"/>
    <mergeCell ref="O19:Q19"/>
    <mergeCell ref="R19:T19"/>
    <mergeCell ref="A20:N20"/>
    <mergeCell ref="O20:Q20"/>
    <mergeCell ref="R20:T20"/>
    <mergeCell ref="A21:Q21"/>
    <mergeCell ref="R21:T21"/>
    <mergeCell ref="A22:I22"/>
    <mergeCell ref="J22:L22"/>
    <mergeCell ref="M22:T22"/>
    <mergeCell ref="A23:C23"/>
    <mergeCell ref="D23:T23"/>
    <mergeCell ref="A24:L24"/>
    <mergeCell ref="M24:N24"/>
    <mergeCell ref="O24:Q24"/>
    <mergeCell ref="R24:T24"/>
    <mergeCell ref="A25:L25"/>
    <mergeCell ref="M25:N25"/>
    <mergeCell ref="O25:Q25"/>
    <mergeCell ref="R25:T25"/>
    <mergeCell ref="A26:L26"/>
    <mergeCell ref="M26:N26"/>
    <mergeCell ref="O26:Q26"/>
    <mergeCell ref="R26:T26"/>
    <mergeCell ref="A27:L27"/>
    <mergeCell ref="M27:N27"/>
    <mergeCell ref="O27:Q27"/>
    <mergeCell ref="R27:T27"/>
    <mergeCell ref="A28:L28"/>
    <mergeCell ref="M28:N28"/>
    <mergeCell ref="O28:Q28"/>
    <mergeCell ref="R28:T28"/>
    <mergeCell ref="A29:L29"/>
    <mergeCell ref="M29:N29"/>
    <mergeCell ref="O29:Q29"/>
    <mergeCell ref="R29:T29"/>
    <mergeCell ref="A30:L30"/>
    <mergeCell ref="M30:N30"/>
    <mergeCell ref="O30:Q30"/>
    <mergeCell ref="R30:T30"/>
    <mergeCell ref="A31:L31"/>
    <mergeCell ref="M31:N31"/>
    <mergeCell ref="O31:Q31"/>
    <mergeCell ref="R31:T31"/>
    <mergeCell ref="A32:Q32"/>
    <mergeCell ref="R32:T32"/>
    <mergeCell ref="A33:H34"/>
    <mergeCell ref="I33:N33"/>
    <mergeCell ref="O33:Q34"/>
    <mergeCell ref="R33:T34"/>
    <mergeCell ref="U33:U34"/>
    <mergeCell ref="I34:J34"/>
    <mergeCell ref="K34:L34"/>
    <mergeCell ref="M34:N34"/>
    <mergeCell ref="A35:H35"/>
    <mergeCell ref="I35:J35"/>
    <mergeCell ref="K35:L35"/>
    <mergeCell ref="M35:N35"/>
    <mergeCell ref="O35:Q35"/>
    <mergeCell ref="R35:T35"/>
    <mergeCell ref="A36:H36"/>
    <mergeCell ref="I36:J36"/>
    <mergeCell ref="K36:L36"/>
    <mergeCell ref="M36:N36"/>
    <mergeCell ref="O36:Q36"/>
    <mergeCell ref="R36:T36"/>
    <mergeCell ref="A37:H37"/>
    <mergeCell ref="I37:J37"/>
    <mergeCell ref="K37:L37"/>
    <mergeCell ref="M37:N37"/>
    <mergeCell ref="O37:Q37"/>
    <mergeCell ref="R37:T37"/>
    <mergeCell ref="A38:H38"/>
    <mergeCell ref="I38:J38"/>
    <mergeCell ref="K38:L38"/>
    <mergeCell ref="M38:N38"/>
    <mergeCell ref="O38:Q38"/>
    <mergeCell ref="R38:T38"/>
    <mergeCell ref="A39:Q39"/>
    <mergeCell ref="R39:T39"/>
    <mergeCell ref="A40:U40"/>
    <mergeCell ref="A41:T41"/>
    <mergeCell ref="I42:J42"/>
    <mergeCell ref="A43:T43"/>
  </mergeCells>
  <conditionalFormatting sqref="O6:P6 O9:P14">
    <cfRule type="cellIs" priority="3" dxfId="0" operator="equal" stopIfTrue="1">
      <formula>1</formula>
    </cfRule>
  </conditionalFormatting>
  <conditionalFormatting sqref="O7:P7">
    <cfRule type="cellIs" priority="2" dxfId="0" operator="equal" stopIfTrue="1">
      <formula>1</formula>
    </cfRule>
  </conditionalFormatting>
  <conditionalFormatting sqref="O8:P8">
    <cfRule type="cellIs" priority="1" dxfId="0" operator="equal" stopIfTrue="1">
      <formula>1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11" sqref="E11"/>
    </sheetView>
  </sheetViews>
  <sheetFormatPr defaultColWidth="9.140625" defaultRowHeight="12.75"/>
  <sheetData/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zoomScale="90" zoomScaleNormal="90" zoomScaleSheetLayoutView="100" zoomScalePageLayoutView="0" workbookViewId="0" topLeftCell="A2">
      <selection activeCell="A5" sqref="A5:IV49"/>
    </sheetView>
  </sheetViews>
  <sheetFormatPr defaultColWidth="9.140625" defaultRowHeight="12.75"/>
  <cols>
    <col min="1" max="1" width="7.140625" style="0" customWidth="1"/>
    <col min="2" max="2" width="11.28125" style="25" customWidth="1"/>
    <col min="3" max="3" width="10.57421875" style="0" bestFit="1" customWidth="1"/>
    <col min="4" max="4" width="70.57421875" style="0" customWidth="1"/>
    <col min="5" max="5" width="9.57421875" style="0" customWidth="1"/>
    <col min="6" max="6" width="12.140625" style="0" customWidth="1"/>
  </cols>
  <sheetData>
    <row r="1" spans="1:6" ht="18.75" customHeight="1">
      <c r="A1" s="462" t="s">
        <v>144</v>
      </c>
      <c r="B1" s="463"/>
      <c r="C1" s="463"/>
      <c r="D1" s="463"/>
      <c r="E1" s="463"/>
      <c r="F1" s="460" t="s">
        <v>47</v>
      </c>
    </row>
    <row r="2" spans="1:6" ht="15.75" customHeight="1">
      <c r="A2" s="464" t="s">
        <v>415</v>
      </c>
      <c r="B2" s="465"/>
      <c r="C2" s="465"/>
      <c r="D2" s="465"/>
      <c r="E2" s="465"/>
      <c r="F2" s="461"/>
    </row>
    <row r="3" spans="1:6" ht="15.75" customHeight="1">
      <c r="A3" s="464" t="s">
        <v>417</v>
      </c>
      <c r="B3" s="465"/>
      <c r="C3" s="465"/>
      <c r="D3" s="465"/>
      <c r="E3" s="465"/>
      <c r="F3" s="289">
        <f>'TERRAP E PAVIM'!S24</f>
        <v>10305.55</v>
      </c>
    </row>
    <row r="4" spans="1:6" ht="15.75">
      <c r="A4" s="464" t="s">
        <v>416</v>
      </c>
      <c r="B4" s="465"/>
      <c r="C4" s="465"/>
      <c r="D4" s="465"/>
      <c r="E4" s="465"/>
      <c r="F4" s="290"/>
    </row>
    <row r="5" spans="1:6" s="137" customFormat="1" ht="19.5" customHeight="1">
      <c r="A5" s="291" t="s">
        <v>38</v>
      </c>
      <c r="B5" s="144" t="s">
        <v>269</v>
      </c>
      <c r="C5" s="98" t="s">
        <v>270</v>
      </c>
      <c r="D5" s="22" t="s">
        <v>0</v>
      </c>
      <c r="E5" s="22" t="s">
        <v>1</v>
      </c>
      <c r="F5" s="412" t="s">
        <v>2</v>
      </c>
    </row>
    <row r="6" spans="1:6" ht="12.75">
      <c r="A6" s="291" t="s">
        <v>52</v>
      </c>
      <c r="B6" s="144"/>
      <c r="C6" s="11"/>
      <c r="D6" s="145" t="s">
        <v>32</v>
      </c>
      <c r="E6" s="21"/>
      <c r="F6" s="292"/>
    </row>
    <row r="7" spans="1:6" s="42" customFormat="1" ht="15" customHeight="1">
      <c r="A7" s="293" t="s">
        <v>53</v>
      </c>
      <c r="B7" s="127" t="s">
        <v>224</v>
      </c>
      <c r="C7" s="127" t="s">
        <v>271</v>
      </c>
      <c r="D7" s="126" t="s">
        <v>225</v>
      </c>
      <c r="E7" s="127" t="s">
        <v>6</v>
      </c>
      <c r="F7" s="294">
        <v>12</v>
      </c>
    </row>
    <row r="8" spans="1:6" ht="15" customHeight="1">
      <c r="A8" s="293" t="s">
        <v>54</v>
      </c>
      <c r="B8" s="127">
        <v>93584</v>
      </c>
      <c r="C8" s="127" t="s">
        <v>271</v>
      </c>
      <c r="D8" s="126" t="s">
        <v>237</v>
      </c>
      <c r="E8" s="127" t="s">
        <v>6</v>
      </c>
      <c r="F8" s="295">
        <v>30</v>
      </c>
    </row>
    <row r="9" spans="1:6" s="42" customFormat="1" ht="38.25">
      <c r="A9" s="296" t="s">
        <v>137</v>
      </c>
      <c r="B9" s="127" t="s">
        <v>116</v>
      </c>
      <c r="C9" s="127" t="s">
        <v>271</v>
      </c>
      <c r="D9" s="147" t="s">
        <v>57</v>
      </c>
      <c r="E9" s="127" t="s">
        <v>58</v>
      </c>
      <c r="F9" s="294">
        <v>6</v>
      </c>
    </row>
    <row r="10" spans="1:6" ht="15" customHeight="1">
      <c r="A10" s="296" t="s">
        <v>206</v>
      </c>
      <c r="B10" s="127">
        <v>5213417</v>
      </c>
      <c r="C10" s="127" t="s">
        <v>272</v>
      </c>
      <c r="D10" s="126" t="s">
        <v>264</v>
      </c>
      <c r="E10" s="127" t="s">
        <v>6</v>
      </c>
      <c r="F10" s="295">
        <v>20</v>
      </c>
    </row>
    <row r="11" spans="1:6" ht="15" customHeight="1">
      <c r="A11" s="293"/>
      <c r="B11" s="127"/>
      <c r="C11" s="127"/>
      <c r="D11" s="127"/>
      <c r="E11" s="21"/>
      <c r="F11" s="294"/>
    </row>
    <row r="12" spans="1:6" ht="15" customHeight="1">
      <c r="A12" s="291" t="s">
        <v>39</v>
      </c>
      <c r="B12" s="144" t="s">
        <v>29</v>
      </c>
      <c r="C12" s="127"/>
      <c r="D12" s="145" t="s">
        <v>236</v>
      </c>
      <c r="E12" s="127"/>
      <c r="F12" s="295"/>
    </row>
    <row r="13" spans="1:7" ht="15" customHeight="1">
      <c r="A13" s="293" t="s">
        <v>50</v>
      </c>
      <c r="B13" s="127">
        <v>93565</v>
      </c>
      <c r="C13" s="127" t="s">
        <v>271</v>
      </c>
      <c r="D13" s="126" t="s">
        <v>251</v>
      </c>
      <c r="E13" s="127" t="s">
        <v>58</v>
      </c>
      <c r="F13" s="297">
        <v>1</v>
      </c>
      <c r="G13" s="399" t="e">
        <f>'ORÇA '!#REF!</f>
        <v>#REF!</v>
      </c>
    </row>
    <row r="14" spans="1:6" ht="15" customHeight="1">
      <c r="A14" s="293" t="s">
        <v>51</v>
      </c>
      <c r="B14" s="127">
        <v>94296</v>
      </c>
      <c r="C14" s="127" t="s">
        <v>271</v>
      </c>
      <c r="D14" s="126" t="s">
        <v>252</v>
      </c>
      <c r="E14" s="127" t="s">
        <v>58</v>
      </c>
      <c r="F14" s="297">
        <v>1</v>
      </c>
    </row>
    <row r="15" spans="1:6" ht="15" customHeight="1">
      <c r="A15" s="293" t="s">
        <v>226</v>
      </c>
      <c r="B15" s="127">
        <v>88253</v>
      </c>
      <c r="C15" s="127" t="s">
        <v>271</v>
      </c>
      <c r="D15" s="126" t="s">
        <v>253</v>
      </c>
      <c r="E15" s="127" t="s">
        <v>58</v>
      </c>
      <c r="F15" s="297">
        <v>1</v>
      </c>
    </row>
    <row r="16" spans="1:6" ht="15" customHeight="1">
      <c r="A16" s="293" t="s">
        <v>150</v>
      </c>
      <c r="B16" s="127">
        <v>94295</v>
      </c>
      <c r="C16" s="127" t="s">
        <v>271</v>
      </c>
      <c r="D16" s="126" t="s">
        <v>254</v>
      </c>
      <c r="E16" s="127" t="s">
        <v>58</v>
      </c>
      <c r="F16" s="297">
        <v>2</v>
      </c>
    </row>
    <row r="17" spans="1:6" ht="15" customHeight="1">
      <c r="A17" s="293" t="s">
        <v>228</v>
      </c>
      <c r="B17" s="127">
        <v>93566</v>
      </c>
      <c r="C17" s="127" t="s">
        <v>271</v>
      </c>
      <c r="D17" s="126" t="s">
        <v>255</v>
      </c>
      <c r="E17" s="127" t="s">
        <v>58</v>
      </c>
      <c r="F17" s="297">
        <v>3</v>
      </c>
    </row>
    <row r="18" spans="1:6" ht="15" customHeight="1">
      <c r="A18" s="293" t="s">
        <v>274</v>
      </c>
      <c r="B18" s="127">
        <v>93564</v>
      </c>
      <c r="C18" s="127" t="s">
        <v>271</v>
      </c>
      <c r="D18" s="126" t="s">
        <v>256</v>
      </c>
      <c r="E18" s="127" t="s">
        <v>58</v>
      </c>
      <c r="F18" s="297">
        <v>3</v>
      </c>
    </row>
    <row r="19" spans="1:6" ht="15" customHeight="1">
      <c r="A19" s="296"/>
      <c r="B19" s="127"/>
      <c r="C19" s="127"/>
      <c r="D19" s="286"/>
      <c r="E19" s="149"/>
      <c r="F19" s="294"/>
    </row>
    <row r="20" spans="1:6" s="137" customFormat="1" ht="15" customHeight="1">
      <c r="A20" s="298" t="s">
        <v>40</v>
      </c>
      <c r="B20" s="136" t="s">
        <v>30</v>
      </c>
      <c r="C20" s="127"/>
      <c r="D20" s="145" t="s">
        <v>215</v>
      </c>
      <c r="E20" s="135"/>
      <c r="F20" s="294"/>
    </row>
    <row r="21" spans="1:6" ht="15" customHeight="1">
      <c r="A21" s="296" t="s">
        <v>48</v>
      </c>
      <c r="B21" s="127" t="s">
        <v>216</v>
      </c>
      <c r="C21" s="127" t="s">
        <v>271</v>
      </c>
      <c r="D21" s="126" t="s">
        <v>217</v>
      </c>
      <c r="E21" s="127" t="s">
        <v>6</v>
      </c>
      <c r="F21" s="294">
        <f>'TERRAP E PAVIM'!P24</f>
        <v>12881.94</v>
      </c>
    </row>
    <row r="22" spans="1:6" ht="15" customHeight="1">
      <c r="A22" s="296" t="s">
        <v>41</v>
      </c>
      <c r="B22" s="127" t="s">
        <v>218</v>
      </c>
      <c r="C22" s="127" t="s">
        <v>271</v>
      </c>
      <c r="D22" s="126" t="s">
        <v>227</v>
      </c>
      <c r="E22" s="127" t="s">
        <v>4</v>
      </c>
      <c r="F22" s="294">
        <f>'TERRAP E PAVIM'!Q24</f>
        <v>2576.3800000000006</v>
      </c>
    </row>
    <row r="23" spans="1:6" ht="15" customHeight="1">
      <c r="A23" s="296" t="s">
        <v>59</v>
      </c>
      <c r="B23" s="127" t="s">
        <v>218</v>
      </c>
      <c r="C23" s="127" t="s">
        <v>271</v>
      </c>
      <c r="D23" s="126" t="s">
        <v>219</v>
      </c>
      <c r="E23" s="127" t="s">
        <v>4</v>
      </c>
      <c r="F23" s="294">
        <f>'TERRAP E PAVIM'!R24</f>
        <v>2576.3800000000006</v>
      </c>
    </row>
    <row r="24" spans="1:6" ht="15" customHeight="1">
      <c r="A24" s="296" t="s">
        <v>60</v>
      </c>
      <c r="B24" s="127" t="s">
        <v>220</v>
      </c>
      <c r="C24" s="127" t="s">
        <v>271</v>
      </c>
      <c r="D24" s="126" t="s">
        <v>249</v>
      </c>
      <c r="E24" s="127" t="s">
        <v>223</v>
      </c>
      <c r="F24" s="294">
        <f>('TERRAP E PAVIM'!U24*2.4)/10</f>
        <v>98.93328</v>
      </c>
    </row>
    <row r="25" spans="1:6" ht="25.5">
      <c r="A25" s="296" t="s">
        <v>244</v>
      </c>
      <c r="B25" s="127" t="s">
        <v>221</v>
      </c>
      <c r="C25" s="127" t="s">
        <v>271</v>
      </c>
      <c r="D25" s="147" t="s">
        <v>235</v>
      </c>
      <c r="E25" s="127" t="s">
        <v>222</v>
      </c>
      <c r="F25" s="294">
        <f>'TERRAP E PAVIM'!V24/200</f>
        <v>15.437429999999999</v>
      </c>
    </row>
    <row r="26" spans="1:6" ht="15" customHeight="1">
      <c r="A26" s="293"/>
      <c r="B26" s="146"/>
      <c r="C26" s="127"/>
      <c r="D26" s="21"/>
      <c r="E26" s="21"/>
      <c r="F26" s="299"/>
    </row>
    <row r="27" spans="1:6" ht="15" customHeight="1">
      <c r="A27" s="300" t="s">
        <v>44</v>
      </c>
      <c r="B27" s="22" t="s">
        <v>31</v>
      </c>
      <c r="C27" s="127"/>
      <c r="D27" s="181" t="s">
        <v>3</v>
      </c>
      <c r="E27" s="21"/>
      <c r="F27" s="299"/>
    </row>
    <row r="28" spans="1:6" s="42" customFormat="1" ht="15" customHeight="1">
      <c r="A28" s="301" t="s">
        <v>45</v>
      </c>
      <c r="B28" s="127" t="s">
        <v>148</v>
      </c>
      <c r="C28" s="127" t="s">
        <v>271</v>
      </c>
      <c r="D28" s="41" t="s">
        <v>147</v>
      </c>
      <c r="E28" s="21" t="s">
        <v>6</v>
      </c>
      <c r="F28" s="294">
        <f>'TERRAP E PAVIM'!M24</f>
        <v>4830.729</v>
      </c>
    </row>
    <row r="29" spans="1:6" s="42" customFormat="1" ht="25.5">
      <c r="A29" s="301" t="s">
        <v>424</v>
      </c>
      <c r="B29" s="127" t="s">
        <v>425</v>
      </c>
      <c r="C29" s="127" t="s">
        <v>271</v>
      </c>
      <c r="D29" s="147" t="s">
        <v>426</v>
      </c>
      <c r="E29" s="127" t="s">
        <v>4</v>
      </c>
      <c r="F29" s="295">
        <f>'TERRAP E PAVIM'!N24*0.6-'TERRAP E PAVIM'!O24*1.15</f>
        <v>4530.544000000001</v>
      </c>
    </row>
    <row r="30" spans="1:6" s="42" customFormat="1" ht="25.5">
      <c r="A30" s="301"/>
      <c r="B30" s="127" t="s">
        <v>436</v>
      </c>
      <c r="C30" s="127" t="s">
        <v>271</v>
      </c>
      <c r="D30" s="393" t="s">
        <v>427</v>
      </c>
      <c r="E30" s="127" t="s">
        <v>4</v>
      </c>
      <c r="F30" s="294">
        <f>'TERRAP E PAVIM'!N24*0.4</f>
        <v>3021.0680000000007</v>
      </c>
    </row>
    <row r="31" spans="1:6" s="42" customFormat="1" ht="25.5">
      <c r="A31" s="301" t="s">
        <v>428</v>
      </c>
      <c r="B31" s="127">
        <v>72888</v>
      </c>
      <c r="C31" s="127" t="s">
        <v>271</v>
      </c>
      <c r="D31" s="147" t="s">
        <v>429</v>
      </c>
      <c r="E31" s="127" t="s">
        <v>4</v>
      </c>
      <c r="F31" s="294">
        <f>F29+F30</f>
        <v>7551.612000000001</v>
      </c>
    </row>
    <row r="32" spans="1:6" s="42" customFormat="1" ht="12.75">
      <c r="A32" s="301" t="s">
        <v>448</v>
      </c>
      <c r="B32" s="127">
        <v>5503041</v>
      </c>
      <c r="C32" s="127" t="s">
        <v>272</v>
      </c>
      <c r="D32" s="41" t="s">
        <v>449</v>
      </c>
      <c r="E32" s="127" t="s">
        <v>4</v>
      </c>
      <c r="F32" s="294">
        <f>'TERRAP E PAVIM'!O24</f>
        <v>0.92</v>
      </c>
    </row>
    <row r="33" spans="1:6" s="42" customFormat="1" ht="25.5">
      <c r="A33" s="301" t="s">
        <v>430</v>
      </c>
      <c r="B33" s="127">
        <v>93589</v>
      </c>
      <c r="C33" s="127" t="s">
        <v>271</v>
      </c>
      <c r="D33" s="183" t="s">
        <v>431</v>
      </c>
      <c r="E33" s="127" t="s">
        <v>275</v>
      </c>
      <c r="F33" s="294">
        <f>TRANSP!J8</f>
        <v>15103.224000000002</v>
      </c>
    </row>
    <row r="34" spans="1:6" s="42" customFormat="1" ht="25.5">
      <c r="A34" s="301" t="s">
        <v>432</v>
      </c>
      <c r="B34" s="127">
        <v>95875</v>
      </c>
      <c r="C34" s="127" t="s">
        <v>271</v>
      </c>
      <c r="D34" s="183" t="s">
        <v>433</v>
      </c>
      <c r="E34" s="127" t="s">
        <v>275</v>
      </c>
      <c r="F34" s="294">
        <f>TRANSP!J15</f>
        <v>49840.639200000005</v>
      </c>
    </row>
    <row r="35" spans="1:6" s="42" customFormat="1" ht="15" customHeight="1">
      <c r="A35" s="301" t="s">
        <v>434</v>
      </c>
      <c r="B35" s="127">
        <v>83344</v>
      </c>
      <c r="C35" s="127" t="s">
        <v>271</v>
      </c>
      <c r="D35" s="126" t="s">
        <v>435</v>
      </c>
      <c r="E35" s="127" t="s">
        <v>4</v>
      </c>
      <c r="F35" s="294">
        <f>F29+F30</f>
        <v>7551.612000000001</v>
      </c>
    </row>
    <row r="36" spans="1:6" ht="15" customHeight="1">
      <c r="A36" s="301"/>
      <c r="B36" s="150"/>
      <c r="C36" s="127"/>
      <c r="D36" s="182"/>
      <c r="E36" s="21"/>
      <c r="F36" s="294"/>
    </row>
    <row r="37" spans="1:6" ht="15" customHeight="1">
      <c r="A37" s="300" t="s">
        <v>46</v>
      </c>
      <c r="B37" s="22" t="s">
        <v>33</v>
      </c>
      <c r="C37" s="127"/>
      <c r="D37" s="181" t="s">
        <v>5</v>
      </c>
      <c r="E37" s="21"/>
      <c r="F37" s="294"/>
    </row>
    <row r="38" spans="1:6" ht="15" customHeight="1">
      <c r="A38" s="301" t="s">
        <v>49</v>
      </c>
      <c r="B38" s="127">
        <v>72961</v>
      </c>
      <c r="C38" s="127" t="s">
        <v>271</v>
      </c>
      <c r="D38" s="126" t="s">
        <v>149</v>
      </c>
      <c r="E38" s="21" t="s">
        <v>6</v>
      </c>
      <c r="F38" s="294">
        <f>'TERRAP E PAVIM'!P24</f>
        <v>12881.94</v>
      </c>
    </row>
    <row r="39" spans="1:6" ht="15" customHeight="1">
      <c r="A39" s="301" t="s">
        <v>55</v>
      </c>
      <c r="B39" s="127" t="s">
        <v>238</v>
      </c>
      <c r="C39" s="127" t="s">
        <v>273</v>
      </c>
      <c r="D39" s="126" t="s">
        <v>239</v>
      </c>
      <c r="E39" s="127" t="s">
        <v>4</v>
      </c>
      <c r="F39" s="295">
        <f>('TERRAP E PAVIM'!Q24+'TERRAP E PAVIM'!R24)*1.15</f>
        <v>5925.674000000001</v>
      </c>
    </row>
    <row r="40" spans="1:6" ht="25.5">
      <c r="A40" s="301" t="s">
        <v>487</v>
      </c>
      <c r="B40" s="127" t="s">
        <v>153</v>
      </c>
      <c r="C40" s="127" t="s">
        <v>271</v>
      </c>
      <c r="D40" s="147" t="s">
        <v>151</v>
      </c>
      <c r="E40" s="127" t="s">
        <v>4</v>
      </c>
      <c r="F40" s="295">
        <f>'TERRAP E PAVIM'!Q24</f>
        <v>2576.3800000000006</v>
      </c>
    </row>
    <row r="41" spans="1:6" ht="25.5">
      <c r="A41" s="301" t="s">
        <v>240</v>
      </c>
      <c r="B41" s="127" t="s">
        <v>153</v>
      </c>
      <c r="C41" s="127" t="s">
        <v>271</v>
      </c>
      <c r="D41" s="147" t="s">
        <v>152</v>
      </c>
      <c r="E41" s="127" t="s">
        <v>4</v>
      </c>
      <c r="F41" s="295">
        <f>'TERRAP E PAVIM'!R24</f>
        <v>2576.3800000000006</v>
      </c>
    </row>
    <row r="42" spans="1:6" ht="15" customHeight="1">
      <c r="A42" s="301" t="s">
        <v>241</v>
      </c>
      <c r="B42" s="127">
        <v>96401</v>
      </c>
      <c r="C42" s="127" t="s">
        <v>271</v>
      </c>
      <c r="D42" s="126" t="s">
        <v>154</v>
      </c>
      <c r="E42" s="21" t="s">
        <v>6</v>
      </c>
      <c r="F42" s="294">
        <f>'TERRAP E PAVIM'!S24</f>
        <v>10305.55</v>
      </c>
    </row>
    <row r="43" spans="1:6" ht="12.75">
      <c r="A43" s="301" t="s">
        <v>242</v>
      </c>
      <c r="B43" s="127">
        <v>72943</v>
      </c>
      <c r="C43" s="127" t="s">
        <v>271</v>
      </c>
      <c r="D43" s="126" t="s">
        <v>250</v>
      </c>
      <c r="E43" s="21" t="s">
        <v>6</v>
      </c>
      <c r="F43" s="294">
        <f>'TERRAP E PAVIM'!T24</f>
        <v>10305.55</v>
      </c>
    </row>
    <row r="44" spans="1:6" s="42" customFormat="1" ht="25.5">
      <c r="A44" s="301" t="s">
        <v>243</v>
      </c>
      <c r="B44" s="127">
        <v>95993</v>
      </c>
      <c r="C44" s="127" t="s">
        <v>271</v>
      </c>
      <c r="D44" s="147" t="s">
        <v>257</v>
      </c>
      <c r="E44" s="21" t="s">
        <v>4</v>
      </c>
      <c r="F44" s="294">
        <f>'TERRAP E PAVIM'!U24</f>
        <v>412.222</v>
      </c>
    </row>
    <row r="45" spans="1:6" ht="25.5">
      <c r="A45" s="301" t="s">
        <v>245</v>
      </c>
      <c r="B45" s="127">
        <v>93595</v>
      </c>
      <c r="C45" s="127" t="s">
        <v>271</v>
      </c>
      <c r="D45" s="147" t="s">
        <v>375</v>
      </c>
      <c r="E45" s="21" t="s">
        <v>61</v>
      </c>
      <c r="F45" s="294">
        <f>TRANSP!J23</f>
        <v>18962.156800000004</v>
      </c>
    </row>
    <row r="46" spans="1:6" ht="25.5">
      <c r="A46" s="301" t="s">
        <v>246</v>
      </c>
      <c r="B46" s="127">
        <v>95878</v>
      </c>
      <c r="C46" s="127" t="s">
        <v>271</v>
      </c>
      <c r="D46" s="147" t="s">
        <v>373</v>
      </c>
      <c r="E46" s="21" t="s">
        <v>61</v>
      </c>
      <c r="F46" s="294">
        <f>TRANSP!J30</f>
        <v>81537.27424000001</v>
      </c>
    </row>
    <row r="47" spans="1:6" ht="25.5">
      <c r="A47" s="301" t="s">
        <v>247</v>
      </c>
      <c r="B47" s="127">
        <v>95303</v>
      </c>
      <c r="C47" s="127" t="s">
        <v>271</v>
      </c>
      <c r="D47" s="147" t="s">
        <v>481</v>
      </c>
      <c r="E47" s="21" t="s">
        <v>275</v>
      </c>
      <c r="F47" s="294">
        <f>TRANSP!J36</f>
        <v>10099.43</v>
      </c>
    </row>
    <row r="48" spans="1:6" ht="15" customHeight="1">
      <c r="A48" s="301"/>
      <c r="B48" s="21"/>
      <c r="C48" s="127"/>
      <c r="D48" s="21"/>
      <c r="E48" s="21"/>
      <c r="F48" s="294"/>
    </row>
    <row r="49" spans="1:6" ht="15" customHeight="1">
      <c r="A49" s="300" t="s">
        <v>156</v>
      </c>
      <c r="B49" s="22" t="s">
        <v>36</v>
      </c>
      <c r="C49" s="127"/>
      <c r="D49" s="171" t="s">
        <v>157</v>
      </c>
      <c r="E49" s="127"/>
      <c r="F49" s="295"/>
    </row>
    <row r="50" spans="1:6" ht="15" customHeight="1">
      <c r="A50" s="301" t="s">
        <v>158</v>
      </c>
      <c r="B50" s="127">
        <v>72947</v>
      </c>
      <c r="C50" s="127" t="s">
        <v>271</v>
      </c>
      <c r="D50" s="126" t="s">
        <v>159</v>
      </c>
      <c r="E50" s="127" t="s">
        <v>6</v>
      </c>
      <c r="F50" s="295">
        <f>'SN HOR'!C39</f>
        <v>365.64537500000006</v>
      </c>
    </row>
    <row r="51" spans="1:6" ht="15" customHeight="1">
      <c r="A51" s="301" t="s">
        <v>160</v>
      </c>
      <c r="B51" s="127">
        <v>5213405</v>
      </c>
      <c r="C51" s="127" t="s">
        <v>272</v>
      </c>
      <c r="D51" s="126" t="s">
        <v>265</v>
      </c>
      <c r="E51" s="127" t="s">
        <v>6</v>
      </c>
      <c r="F51" s="295">
        <f>'SN HOR'!C40</f>
        <v>50.57</v>
      </c>
    </row>
    <row r="52" spans="1:6" ht="15" customHeight="1">
      <c r="A52" s="301" t="s">
        <v>161</v>
      </c>
      <c r="B52" s="127">
        <v>5213417</v>
      </c>
      <c r="C52" s="127" t="s">
        <v>272</v>
      </c>
      <c r="D52" s="126" t="s">
        <v>264</v>
      </c>
      <c r="E52" s="127" t="s">
        <v>6</v>
      </c>
      <c r="F52" s="295">
        <f>'SN VERT'!E46</f>
        <v>3.6789999999999994</v>
      </c>
    </row>
    <row r="53" spans="1:6" ht="25.5">
      <c r="A53" s="301" t="s">
        <v>363</v>
      </c>
      <c r="B53" s="21">
        <v>5213855</v>
      </c>
      <c r="C53" s="127" t="s">
        <v>272</v>
      </c>
      <c r="D53" s="183" t="s">
        <v>362</v>
      </c>
      <c r="E53" s="21" t="s">
        <v>9</v>
      </c>
      <c r="F53" s="294">
        <v>13</v>
      </c>
    </row>
    <row r="54" spans="1:6" ht="15" customHeight="1">
      <c r="A54" s="301"/>
      <c r="B54" s="21"/>
      <c r="C54" s="127"/>
      <c r="D54" s="21"/>
      <c r="E54" s="21"/>
      <c r="F54" s="294"/>
    </row>
    <row r="55" spans="1:6" ht="12.75">
      <c r="A55" s="300" t="s">
        <v>229</v>
      </c>
      <c r="B55" s="22" t="s">
        <v>195</v>
      </c>
      <c r="C55" s="127"/>
      <c r="D55" s="171" t="s">
        <v>10</v>
      </c>
      <c r="E55" s="127"/>
      <c r="F55" s="295"/>
    </row>
    <row r="56" spans="1:6" ht="25.5">
      <c r="A56" s="296" t="s">
        <v>230</v>
      </c>
      <c r="B56" s="127">
        <v>94267</v>
      </c>
      <c r="C56" s="127" t="s">
        <v>271</v>
      </c>
      <c r="D56" s="147" t="s">
        <v>155</v>
      </c>
      <c r="E56" s="127" t="s">
        <v>8</v>
      </c>
      <c r="F56" s="295">
        <f>'TERRAP E PAVIM'!V24</f>
        <v>3087.486</v>
      </c>
    </row>
    <row r="57" spans="1:6" s="24" customFormat="1" ht="15" customHeight="1">
      <c r="A57" s="301" t="s">
        <v>286</v>
      </c>
      <c r="B57" s="127" t="s">
        <v>284</v>
      </c>
      <c r="C57" s="127" t="s">
        <v>271</v>
      </c>
      <c r="D57" s="126" t="s">
        <v>285</v>
      </c>
      <c r="E57" s="127" t="s">
        <v>9</v>
      </c>
      <c r="F57" s="295">
        <f>'SN VERT'!E46</f>
        <v>3.6789999999999994</v>
      </c>
    </row>
    <row r="58" spans="1:6" ht="12.75">
      <c r="A58" s="301"/>
      <c r="B58" s="21"/>
      <c r="C58" s="127"/>
      <c r="D58" s="21"/>
      <c r="E58" s="21"/>
      <c r="F58" s="294"/>
    </row>
    <row r="59" spans="1:6" s="24" customFormat="1" ht="12.75">
      <c r="A59" s="300" t="s">
        <v>231</v>
      </c>
      <c r="B59" s="22"/>
      <c r="C59" s="22"/>
      <c r="D59" s="466" t="s">
        <v>7</v>
      </c>
      <c r="E59" s="466"/>
      <c r="F59" s="302"/>
    </row>
    <row r="60" spans="1:6" s="24" customFormat="1" ht="15" customHeight="1">
      <c r="A60" s="296" t="s">
        <v>232</v>
      </c>
      <c r="B60" s="127">
        <v>5213417</v>
      </c>
      <c r="C60" s="127" t="s">
        <v>287</v>
      </c>
      <c r="D60" s="126" t="s">
        <v>264</v>
      </c>
      <c r="E60" s="127" t="s">
        <v>6</v>
      </c>
      <c r="F60" s="303">
        <v>20</v>
      </c>
    </row>
    <row r="61" spans="1:6" s="24" customFormat="1" ht="12.75">
      <c r="A61" s="296" t="s">
        <v>233</v>
      </c>
      <c r="B61" s="127">
        <v>85424</v>
      </c>
      <c r="C61" s="127" t="s">
        <v>271</v>
      </c>
      <c r="D61" s="148" t="s">
        <v>146</v>
      </c>
      <c r="E61" s="127" t="s">
        <v>6</v>
      </c>
      <c r="F61" s="303">
        <v>10</v>
      </c>
    </row>
    <row r="62" spans="1:6" s="24" customFormat="1" ht="12.75" customHeight="1">
      <c r="A62" s="296" t="s">
        <v>280</v>
      </c>
      <c r="B62" s="127" t="s">
        <v>288</v>
      </c>
      <c r="C62" s="127" t="s">
        <v>271</v>
      </c>
      <c r="D62" s="126" t="s">
        <v>289</v>
      </c>
      <c r="E62" s="127" t="s">
        <v>6</v>
      </c>
      <c r="F62" s="295">
        <v>10</v>
      </c>
    </row>
    <row r="63" spans="1:6" s="24" customFormat="1" ht="12.75" customHeight="1">
      <c r="A63" s="296" t="s">
        <v>267</v>
      </c>
      <c r="B63" s="127">
        <v>90091</v>
      </c>
      <c r="C63" s="127" t="s">
        <v>271</v>
      </c>
      <c r="D63" s="194" t="s">
        <v>290</v>
      </c>
      <c r="E63" s="127" t="s">
        <v>4</v>
      </c>
      <c r="F63" s="304">
        <f>'MEMORIAL DE CALCULO'!D56</f>
        <v>1393.8532799999998</v>
      </c>
    </row>
    <row r="64" spans="1:6" s="24" customFormat="1" ht="12.75" customHeight="1">
      <c r="A64" s="296" t="s">
        <v>281</v>
      </c>
      <c r="B64" s="127">
        <v>94097</v>
      </c>
      <c r="C64" s="127" t="s">
        <v>271</v>
      </c>
      <c r="D64" s="126" t="s">
        <v>291</v>
      </c>
      <c r="E64" s="127" t="s">
        <v>6</v>
      </c>
      <c r="F64" s="295">
        <f>'MEMORIAL DE CALCULO'!D59</f>
        <v>630.4000000000001</v>
      </c>
    </row>
    <row r="65" spans="1:6" s="192" customFormat="1" ht="12.75" customHeight="1">
      <c r="A65" s="296" t="s">
        <v>282</v>
      </c>
      <c r="B65" s="127">
        <v>94103</v>
      </c>
      <c r="C65" s="127" t="s">
        <v>271</v>
      </c>
      <c r="D65" s="126" t="s">
        <v>292</v>
      </c>
      <c r="E65" s="127" t="s">
        <v>4</v>
      </c>
      <c r="F65" s="295">
        <f>'MEMORIAL DE CALCULO'!D60</f>
        <v>148.15910000000002</v>
      </c>
    </row>
    <row r="66" spans="1:6" s="24" customFormat="1" ht="38.25">
      <c r="A66" s="296" t="s">
        <v>283</v>
      </c>
      <c r="B66" s="127">
        <v>93381</v>
      </c>
      <c r="C66" s="127" t="s">
        <v>271</v>
      </c>
      <c r="D66" s="194" t="s">
        <v>293</v>
      </c>
      <c r="E66" s="127" t="s">
        <v>4</v>
      </c>
      <c r="F66" s="303">
        <f>'MEMORIAL DE CALCULO'!D58</f>
        <v>1217.5972799999997</v>
      </c>
    </row>
    <row r="67" spans="1:6" s="24" customFormat="1" ht="25.5">
      <c r="A67" s="296" t="s">
        <v>248</v>
      </c>
      <c r="B67" s="127">
        <v>93595</v>
      </c>
      <c r="C67" s="127" t="s">
        <v>271</v>
      </c>
      <c r="D67" s="147" t="s">
        <v>375</v>
      </c>
      <c r="E67" s="21" t="s">
        <v>61</v>
      </c>
      <c r="F67" s="303">
        <f>TRANSP!J43</f>
        <v>4480.7579903999995</v>
      </c>
    </row>
    <row r="68" spans="1:6" s="24" customFormat="1" ht="25.5">
      <c r="A68" s="296" t="s">
        <v>296</v>
      </c>
      <c r="B68" s="127">
        <v>95878</v>
      </c>
      <c r="C68" s="127" t="s">
        <v>271</v>
      </c>
      <c r="D68" s="147" t="s">
        <v>373</v>
      </c>
      <c r="E68" s="21" t="s">
        <v>61</v>
      </c>
      <c r="F68" s="304">
        <f>TRANSP!J49</f>
        <v>19267.259358719995</v>
      </c>
    </row>
    <row r="69" spans="1:6" ht="25.5">
      <c r="A69" s="296" t="s">
        <v>298</v>
      </c>
      <c r="B69" s="127" t="s">
        <v>294</v>
      </c>
      <c r="C69" s="127" t="s">
        <v>271</v>
      </c>
      <c r="D69" s="194" t="s">
        <v>295</v>
      </c>
      <c r="E69" s="127" t="s">
        <v>4</v>
      </c>
      <c r="F69" s="303">
        <f>'MEMORIAL DE CALCULO'!D57</f>
        <v>555.489102</v>
      </c>
    </row>
    <row r="70" spans="1:6" ht="12.75" customHeight="1">
      <c r="A70" s="296" t="s">
        <v>300</v>
      </c>
      <c r="B70" s="127">
        <v>83344</v>
      </c>
      <c r="C70" s="127" t="s">
        <v>271</v>
      </c>
      <c r="D70" s="194" t="s">
        <v>297</v>
      </c>
      <c r="E70" s="127" t="s">
        <v>4</v>
      </c>
      <c r="F70" s="303">
        <f>F69</f>
        <v>555.489102</v>
      </c>
    </row>
    <row r="71" spans="1:6" ht="38.25">
      <c r="A71" s="296" t="s">
        <v>351</v>
      </c>
      <c r="B71" s="127">
        <v>94038</v>
      </c>
      <c r="C71" s="127" t="s">
        <v>271</v>
      </c>
      <c r="D71" s="194" t="s">
        <v>299</v>
      </c>
      <c r="E71" s="127" t="s">
        <v>6</v>
      </c>
      <c r="F71" s="303">
        <f>(F80+F81)*0.1*2</f>
        <v>96.2</v>
      </c>
    </row>
    <row r="72" spans="1:6" ht="25.5">
      <c r="A72" s="296" t="s">
        <v>352</v>
      </c>
      <c r="B72" s="127">
        <v>93589</v>
      </c>
      <c r="C72" s="127" t="s">
        <v>271</v>
      </c>
      <c r="D72" s="254" t="s">
        <v>376</v>
      </c>
      <c r="E72" s="127" t="s">
        <v>275</v>
      </c>
      <c r="F72" s="304">
        <f>TRANSP!J55</f>
        <v>5554.89102</v>
      </c>
    </row>
    <row r="73" spans="1:6" ht="12.75">
      <c r="A73" s="296"/>
      <c r="B73" s="127"/>
      <c r="C73" s="127"/>
      <c r="D73" s="126"/>
      <c r="E73" s="127"/>
      <c r="F73" s="303"/>
    </row>
    <row r="74" spans="1:6" ht="12.75">
      <c r="A74" s="298" t="s">
        <v>301</v>
      </c>
      <c r="B74" s="136"/>
      <c r="C74" s="136"/>
      <c r="D74" s="193" t="s">
        <v>355</v>
      </c>
      <c r="E74" s="127"/>
      <c r="F74" s="303"/>
    </row>
    <row r="75" spans="1:6" ht="12.75">
      <c r="A75" s="296" t="s">
        <v>302</v>
      </c>
      <c r="B75" s="127">
        <v>7725</v>
      </c>
      <c r="C75" s="127" t="s">
        <v>271</v>
      </c>
      <c r="D75" s="147" t="s">
        <v>473</v>
      </c>
      <c r="E75" s="127" t="s">
        <v>8</v>
      </c>
      <c r="F75" s="303">
        <f>'MEMORIAL DE CALCULO'!C46+'MEMORIAL DE CALCULO'!C47</f>
        <v>240</v>
      </c>
    </row>
    <row r="76" spans="1:6" ht="12.75">
      <c r="A76" s="296" t="s">
        <v>303</v>
      </c>
      <c r="B76" s="127">
        <v>7750</v>
      </c>
      <c r="C76" s="127" t="s">
        <v>271</v>
      </c>
      <c r="D76" s="147" t="s">
        <v>474</v>
      </c>
      <c r="E76" s="127" t="s">
        <v>8</v>
      </c>
      <c r="F76" s="303">
        <f>'MEMORIAL DE CALCULO'!C48</f>
        <v>241</v>
      </c>
    </row>
    <row r="77" spans="1:6" ht="12.75">
      <c r="A77" s="296" t="s">
        <v>347</v>
      </c>
      <c r="B77" s="127">
        <v>7753</v>
      </c>
      <c r="C77" s="127" t="s">
        <v>271</v>
      </c>
      <c r="D77" s="147" t="s">
        <v>475</v>
      </c>
      <c r="E77" s="127" t="s">
        <v>8</v>
      </c>
      <c r="F77" s="303">
        <f>'MEMORIAL DE CALCULO'!C49</f>
        <v>14</v>
      </c>
    </row>
    <row r="78" spans="1:6" ht="12.75">
      <c r="A78" s="296"/>
      <c r="B78" s="287"/>
      <c r="C78" s="127"/>
      <c r="D78" s="288"/>
      <c r="E78" s="127"/>
      <c r="F78" s="303"/>
    </row>
    <row r="79" spans="1:6" ht="28.5" customHeight="1">
      <c r="A79" s="298" t="s">
        <v>304</v>
      </c>
      <c r="B79" s="136"/>
      <c r="C79" s="136"/>
      <c r="D79" s="193" t="s">
        <v>305</v>
      </c>
      <c r="E79" s="127"/>
      <c r="F79" s="303"/>
    </row>
    <row r="80" spans="1:6" ht="25.5">
      <c r="A80" s="296" t="s">
        <v>306</v>
      </c>
      <c r="B80" s="127">
        <v>92824</v>
      </c>
      <c r="C80" s="127" t="s">
        <v>271</v>
      </c>
      <c r="D80" s="147" t="s">
        <v>354</v>
      </c>
      <c r="E80" s="127" t="s">
        <v>8</v>
      </c>
      <c r="F80" s="303">
        <f>F75</f>
        <v>240</v>
      </c>
    </row>
    <row r="81" spans="1:6" ht="25.5">
      <c r="A81" s="296" t="s">
        <v>307</v>
      </c>
      <c r="B81" s="127">
        <v>92826</v>
      </c>
      <c r="C81" s="127" t="s">
        <v>271</v>
      </c>
      <c r="D81" s="147" t="s">
        <v>437</v>
      </c>
      <c r="E81" s="127" t="s">
        <v>8</v>
      </c>
      <c r="F81" s="303">
        <f>F76</f>
        <v>241</v>
      </c>
    </row>
    <row r="82" spans="1:6" ht="25.5">
      <c r="A82" s="296" t="s">
        <v>348</v>
      </c>
      <c r="B82" s="127">
        <v>92828</v>
      </c>
      <c r="C82" s="127" t="s">
        <v>271</v>
      </c>
      <c r="D82" s="147" t="s">
        <v>353</v>
      </c>
      <c r="E82" s="127" t="s">
        <v>8</v>
      </c>
      <c r="F82" s="303">
        <f>F77</f>
        <v>14</v>
      </c>
    </row>
    <row r="83" spans="1:6" ht="12.75">
      <c r="A83" s="296"/>
      <c r="B83" s="127"/>
      <c r="C83" s="127"/>
      <c r="D83" s="148"/>
      <c r="E83" s="127"/>
      <c r="F83" s="303"/>
    </row>
    <row r="84" spans="1:6" ht="12.75">
      <c r="A84" s="298" t="s">
        <v>308</v>
      </c>
      <c r="B84" s="136"/>
      <c r="C84" s="136"/>
      <c r="D84" s="193" t="s">
        <v>309</v>
      </c>
      <c r="E84" s="127"/>
      <c r="F84" s="303"/>
    </row>
    <row r="85" spans="1:6" ht="12.75" customHeight="1">
      <c r="A85" s="296" t="s">
        <v>310</v>
      </c>
      <c r="B85" s="127" t="s">
        <v>311</v>
      </c>
      <c r="C85" s="127" t="s">
        <v>287</v>
      </c>
      <c r="D85" s="194" t="s">
        <v>450</v>
      </c>
      <c r="E85" s="23" t="s">
        <v>9</v>
      </c>
      <c r="F85" s="303">
        <f>'MEMORIAL DE CALCULO'!C51</f>
        <v>14</v>
      </c>
    </row>
    <row r="86" spans="1:6" ht="12.75" customHeight="1">
      <c r="A86" s="296" t="s">
        <v>312</v>
      </c>
      <c r="B86" s="127" t="s">
        <v>311</v>
      </c>
      <c r="C86" s="127" t="s">
        <v>287</v>
      </c>
      <c r="D86" s="194" t="s">
        <v>56</v>
      </c>
      <c r="E86" s="23" t="s">
        <v>9</v>
      </c>
      <c r="F86" s="303">
        <f>'MEMORIAL DE CALCULO'!C52</f>
        <v>8</v>
      </c>
    </row>
    <row r="87" spans="1:6" ht="12.75" customHeight="1">
      <c r="A87" s="296" t="s">
        <v>313</v>
      </c>
      <c r="B87" s="127" t="s">
        <v>311</v>
      </c>
      <c r="C87" s="127" t="s">
        <v>287</v>
      </c>
      <c r="D87" s="194" t="s">
        <v>438</v>
      </c>
      <c r="E87" s="23" t="s">
        <v>9</v>
      </c>
      <c r="F87" s="303">
        <f>'MEMORIAL DE CALCULO'!C53</f>
        <v>2</v>
      </c>
    </row>
    <row r="88" spans="1:6" ht="12.75" customHeight="1">
      <c r="A88" s="296" t="s">
        <v>483</v>
      </c>
      <c r="B88" s="127">
        <v>2003644</v>
      </c>
      <c r="C88" s="127" t="s">
        <v>287</v>
      </c>
      <c r="D88" s="194" t="s">
        <v>482</v>
      </c>
      <c r="E88" s="23" t="s">
        <v>9</v>
      </c>
      <c r="F88" s="303">
        <f>'MEMORIAL DE CALCULO'!C44</f>
        <v>5</v>
      </c>
    </row>
    <row r="89" spans="1:6" ht="12.75" customHeight="1">
      <c r="A89" s="296" t="s">
        <v>315</v>
      </c>
      <c r="B89" s="127">
        <v>83712</v>
      </c>
      <c r="C89" s="127" t="s">
        <v>271</v>
      </c>
      <c r="D89" s="194" t="s">
        <v>350</v>
      </c>
      <c r="E89" s="23" t="s">
        <v>9</v>
      </c>
      <c r="F89" s="303">
        <f>'MEMORIAL DE CALCULO'!C45</f>
        <v>7</v>
      </c>
    </row>
    <row r="90" spans="1:6" ht="12.75" customHeight="1">
      <c r="A90" s="296" t="s">
        <v>484</v>
      </c>
      <c r="B90" s="127">
        <v>2003718</v>
      </c>
      <c r="C90" s="127" t="s">
        <v>287</v>
      </c>
      <c r="D90" s="194" t="s">
        <v>314</v>
      </c>
      <c r="E90" s="23" t="s">
        <v>9</v>
      </c>
      <c r="F90" s="303">
        <f>F89</f>
        <v>7</v>
      </c>
    </row>
    <row r="91" spans="1:6" ht="12.75" customHeight="1">
      <c r="A91" s="296" t="s">
        <v>318</v>
      </c>
      <c r="B91" s="127">
        <v>2003578</v>
      </c>
      <c r="C91" s="127" t="s">
        <v>287</v>
      </c>
      <c r="D91" s="194" t="s">
        <v>316</v>
      </c>
      <c r="E91" s="23" t="s">
        <v>8</v>
      </c>
      <c r="F91" s="303">
        <f>DRENO!H10</f>
        <v>228</v>
      </c>
    </row>
    <row r="92" spans="1:6" ht="12.75">
      <c r="A92" s="296" t="s">
        <v>378</v>
      </c>
      <c r="B92" s="127">
        <v>2003387</v>
      </c>
      <c r="C92" s="127" t="s">
        <v>287</v>
      </c>
      <c r="D92" s="194" t="s">
        <v>317</v>
      </c>
      <c r="E92" s="23" t="s">
        <v>9</v>
      </c>
      <c r="F92" s="303">
        <v>1</v>
      </c>
    </row>
    <row r="93" spans="1:6" ht="12.75">
      <c r="A93" s="296" t="s">
        <v>485</v>
      </c>
      <c r="B93" s="127">
        <v>2003391</v>
      </c>
      <c r="C93" s="127" t="s">
        <v>287</v>
      </c>
      <c r="D93" s="194" t="s">
        <v>319</v>
      </c>
      <c r="E93" s="23" t="s">
        <v>8</v>
      </c>
      <c r="F93" s="303">
        <v>2.5</v>
      </c>
    </row>
    <row r="94" spans="1:6" ht="12.75">
      <c r="A94" s="296" t="s">
        <v>486</v>
      </c>
      <c r="B94" s="239">
        <v>804393</v>
      </c>
      <c r="C94" s="127" t="s">
        <v>287</v>
      </c>
      <c r="D94" s="11" t="s">
        <v>451</v>
      </c>
      <c r="E94" s="23" t="s">
        <v>9</v>
      </c>
      <c r="F94" s="303">
        <v>1</v>
      </c>
    </row>
    <row r="95" ht="12.75">
      <c r="F95" s="249"/>
    </row>
    <row r="96" ht="12.75">
      <c r="F96" s="249"/>
    </row>
    <row r="111" ht="24">
      <c r="D111" s="252" t="s">
        <v>368</v>
      </c>
    </row>
    <row r="113" ht="12.75">
      <c r="D113" s="42" t="s">
        <v>369</v>
      </c>
    </row>
  </sheetData>
  <sheetProtection/>
  <mergeCells count="6">
    <mergeCell ref="F1:F2"/>
    <mergeCell ref="A1:E1"/>
    <mergeCell ref="A2:E2"/>
    <mergeCell ref="A3:E3"/>
    <mergeCell ref="A4:E4"/>
    <mergeCell ref="D59:E59"/>
  </mergeCells>
  <hyperlinks>
    <hyperlink ref="B75" r:id="rId1" display="https://www.orcafascio.com/banco/sinapi/insumos/5b05f7f614fef9480be9ed4e"/>
    <hyperlink ref="B76" r:id="rId2" display="https://www.orcafascio.com/banco/sinapi/insumos/5a8dbb6fca63ed44a8fa2f59"/>
    <hyperlink ref="B77" r:id="rId3" display="https://www.orcafascio.com/banco/sinapi/insumos/5a8dbb6fca63ed44a8fa2f5b"/>
  </hyperlinks>
  <printOptions horizontalCentered="1"/>
  <pageMargins left="0.31496062992125984" right="0.31496062992125984" top="0.5511811023622047" bottom="0.3937007874015748" header="0.31496062992125984" footer="0.31496062992125984"/>
  <pageSetup fitToWidth="2" horizontalDpi="300" verticalDpi="300" orientation="portrait" paperSize="9" scale="85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104"/>
  <sheetViews>
    <sheetView tabSelected="1" zoomScale="80" zoomScaleNormal="80" zoomScalePageLayoutView="0" workbookViewId="0" topLeftCell="A1">
      <selection activeCell="L21" sqref="L21"/>
    </sheetView>
  </sheetViews>
  <sheetFormatPr defaultColWidth="9.140625" defaultRowHeight="15" customHeight="1"/>
  <cols>
    <col min="1" max="1" width="7.140625" style="173" customWidth="1"/>
    <col min="2" max="2" width="11.28125" style="2" customWidth="1"/>
    <col min="3" max="3" width="12.7109375" style="2" customWidth="1"/>
    <col min="4" max="4" width="90.421875" style="1" customWidth="1"/>
    <col min="5" max="5" width="7.140625" style="2" customWidth="1"/>
    <col min="6" max="6" width="15.28125" style="407" bestFit="1" customWidth="1"/>
    <col min="7" max="7" width="12.421875" style="186" customWidth="1"/>
    <col min="8" max="8" width="17.140625" style="4" customWidth="1"/>
    <col min="9" max="9" width="14.28125" style="4" customWidth="1"/>
    <col min="10" max="10" width="19.7109375" style="4" customWidth="1"/>
    <col min="11" max="11" width="9.57421875" style="1" customWidth="1"/>
    <col min="12" max="12" width="28.00390625" style="1" bestFit="1" customWidth="1"/>
    <col min="13" max="13" width="9.140625" style="1" customWidth="1"/>
    <col min="14" max="14" width="23.8515625" style="1" bestFit="1" customWidth="1"/>
    <col min="15" max="15" width="10.140625" style="1" bestFit="1" customWidth="1"/>
    <col min="16" max="17" width="9.140625" style="1" customWidth="1"/>
    <col min="18" max="18" width="9.8515625" style="1" bestFit="1" customWidth="1"/>
    <col min="19" max="16384" width="9.140625" style="1" customWidth="1"/>
  </cols>
  <sheetData>
    <row r="1" spans="1:236" s="5" customFormat="1" ht="21" customHeight="1">
      <c r="A1" s="470" t="str">
        <f>QUANT!A1</f>
        <v>PREFEITURA MUNICIPAL DE VÁRZEA GRANDE</v>
      </c>
      <c r="B1" s="470"/>
      <c r="C1" s="470"/>
      <c r="D1" s="474" t="s">
        <v>479</v>
      </c>
      <c r="E1" s="474"/>
      <c r="F1" s="474"/>
      <c r="G1" s="474"/>
      <c r="H1" s="474"/>
      <c r="I1" s="474"/>
      <c r="J1" s="7" t="s">
        <v>123</v>
      </c>
      <c r="IB1" s="5" t="s">
        <v>11</v>
      </c>
    </row>
    <row r="2" spans="1:10" ht="18.75" customHeight="1">
      <c r="A2" s="470"/>
      <c r="B2" s="470"/>
      <c r="C2" s="470"/>
      <c r="D2" s="475" t="str">
        <f>QUANT!A3</f>
        <v>LOGRADOUROS: Rua Noronha dos Santos, Calógeras, Rio Amazonas, Rio Xingu, Rio Negro e Cancioneiro</v>
      </c>
      <c r="E2" s="475"/>
      <c r="F2" s="475"/>
      <c r="G2" s="475"/>
      <c r="H2" s="475"/>
      <c r="I2" s="475"/>
      <c r="J2" s="151" t="str">
        <f>RESUMO!C5</f>
        <v>JAN/2018 SINAPI</v>
      </c>
    </row>
    <row r="3" spans="1:10" ht="15.75">
      <c r="A3" s="470"/>
      <c r="B3" s="470"/>
      <c r="C3" s="470"/>
      <c r="D3" s="469" t="str">
        <f>QUANT!A4</f>
        <v>OBRA: Pavimentação de Vias Urbanas</v>
      </c>
      <c r="E3" s="469"/>
      <c r="F3" s="469"/>
      <c r="G3" s="469"/>
      <c r="H3" s="469"/>
      <c r="I3" s="469"/>
      <c r="J3" s="7" t="str">
        <f>RESUMO!C6</f>
        <v>JAN/2018 SICRO 3</v>
      </c>
    </row>
    <row r="4" spans="1:10" ht="21" customHeight="1">
      <c r="A4" s="471" t="s">
        <v>145</v>
      </c>
      <c r="B4" s="472"/>
      <c r="C4" s="472"/>
      <c r="D4" s="282">
        <f>BDI!E25</f>
        <v>0.207</v>
      </c>
      <c r="E4" s="468" t="s">
        <v>122</v>
      </c>
      <c r="F4" s="468"/>
      <c r="G4" s="255">
        <f>'TERRAP E PAVIM'!S24</f>
        <v>10305.55</v>
      </c>
      <c r="H4" s="409" t="s">
        <v>386</v>
      </c>
      <c r="I4" s="408">
        <f>'TERRAP E PAVIM'!H24</f>
        <v>1610.243</v>
      </c>
      <c r="J4" s="7" t="s">
        <v>480</v>
      </c>
    </row>
    <row r="5" spans="1:10" ht="18.75" customHeight="1">
      <c r="A5" s="471" t="s">
        <v>277</v>
      </c>
      <c r="B5" s="472"/>
      <c r="C5" s="473"/>
      <c r="D5" s="279">
        <f>'BDI DIFERENCIADO'!E25</f>
        <v>0.1527</v>
      </c>
      <c r="F5" s="417"/>
      <c r="G5" s="410"/>
      <c r="H5" s="410"/>
      <c r="I5" s="409"/>
      <c r="J5" s="408"/>
    </row>
    <row r="6" spans="1:11" s="140" customFormat="1" ht="12.75">
      <c r="A6" s="171" t="str">
        <f>QUANT!A5</f>
        <v>ITEM</v>
      </c>
      <c r="B6" s="171" t="str">
        <f>QUANT!B5</f>
        <v>CODIGO</v>
      </c>
      <c r="C6" s="22" t="str">
        <f>QUANT!C5</f>
        <v>BANCO</v>
      </c>
      <c r="D6" s="171" t="str">
        <f>QUANT!D5</f>
        <v>DISCRIMINAÇÃO</v>
      </c>
      <c r="E6" s="22" t="s">
        <v>12</v>
      </c>
      <c r="F6" s="406" t="s">
        <v>13</v>
      </c>
      <c r="G6" s="237" t="s">
        <v>14</v>
      </c>
      <c r="H6" s="144" t="s">
        <v>391</v>
      </c>
      <c r="I6" s="22" t="s">
        <v>15</v>
      </c>
      <c r="J6" s="22" t="s">
        <v>16</v>
      </c>
      <c r="K6" s="416"/>
    </row>
    <row r="7" spans="1:11" ht="15" customHeight="1">
      <c r="A7" s="22" t="str">
        <f>QUANT!A6</f>
        <v>1.0</v>
      </c>
      <c r="B7" s="231"/>
      <c r="C7" s="231"/>
      <c r="D7" s="232" t="str">
        <f>QUANT!D6</f>
        <v>SERVIÇOS PRELIMINARES</v>
      </c>
      <c r="E7" s="21"/>
      <c r="F7" s="405"/>
      <c r="G7" s="238"/>
      <c r="H7" s="191"/>
      <c r="I7" s="191"/>
      <c r="J7" s="9"/>
      <c r="K7" s="416"/>
    </row>
    <row r="8" spans="1:11" ht="15" customHeight="1">
      <c r="A8" s="21" t="str">
        <f>QUANT!A7</f>
        <v>1.1</v>
      </c>
      <c r="B8" s="6" t="str">
        <f>QUANT!B7</f>
        <v>74209/001</v>
      </c>
      <c r="C8" s="6" t="str">
        <f>QUANT!C7</f>
        <v>SINAPI</v>
      </c>
      <c r="D8" s="8" t="str">
        <f>QUANT!D7</f>
        <v>Placa de obra em chapa de aço galvanizado</v>
      </c>
      <c r="E8" s="21" t="str">
        <f>QUANT!E7</f>
        <v>m²</v>
      </c>
      <c r="F8" s="405">
        <f>QUANT!F7</f>
        <v>12</v>
      </c>
      <c r="G8" s="405">
        <v>475.68</v>
      </c>
      <c r="H8" s="405">
        <f>TRUNC((G8*(1+($D$4))),2)</f>
        <v>574.14</v>
      </c>
      <c r="I8" s="405">
        <f>TRUNC(F8*H8,2)</f>
        <v>6889.68</v>
      </c>
      <c r="J8" s="10"/>
      <c r="K8" s="416"/>
    </row>
    <row r="9" spans="1:11" ht="15" customHeight="1">
      <c r="A9" s="21" t="str">
        <f>QUANT!A8</f>
        <v>1.2</v>
      </c>
      <c r="B9" s="6">
        <f>QUANT!B8</f>
        <v>93584</v>
      </c>
      <c r="C9" s="6" t="str">
        <f>QUANT!C8</f>
        <v>SINAPI</v>
      </c>
      <c r="D9" s="8" t="str">
        <f>QUANT!D8</f>
        <v>Execução de depósito em canteiro de obra</v>
      </c>
      <c r="E9" s="21" t="str">
        <f>QUANT!E8</f>
        <v>m²</v>
      </c>
      <c r="F9" s="405">
        <f>QUANT!F8</f>
        <v>30</v>
      </c>
      <c r="G9" s="405">
        <v>394.59</v>
      </c>
      <c r="H9" s="405">
        <f>TRUNC((G9*(1+($D$4))),2)</f>
        <v>476.27</v>
      </c>
      <c r="I9" s="405">
        <f aca="true" t="shared" si="0" ref="I9:I72">TRUNC(F9*H9,2)</f>
        <v>14288.1</v>
      </c>
      <c r="J9" s="10"/>
      <c r="K9" s="416"/>
    </row>
    <row r="10" spans="1:12" ht="25.5">
      <c r="A10" s="21" t="str">
        <f>QUANT!A9</f>
        <v>1.3</v>
      </c>
      <c r="B10" s="41" t="str">
        <f>QUANT!B9</f>
        <v>73847/001</v>
      </c>
      <c r="C10" s="21" t="str">
        <f>QUANT!C9</f>
        <v>SINAPI</v>
      </c>
      <c r="D10" s="183" t="str">
        <f>QUANT!D9</f>
        <v>Aluguel container/sanit c/2 vasos/1 lavat/1 mic/4 chuv larg2,20m compr=6,20m alt=2,50m chapa aco c/nerv trapez forro c/isolam termo/acustico chassis reforc piso compens naval inclinst eletr/hidr excl transp/carga/descarga</v>
      </c>
      <c r="E10" s="21" t="str">
        <f>QUANT!E9</f>
        <v>mês</v>
      </c>
      <c r="F10" s="405">
        <f>QUANT!F9</f>
        <v>6</v>
      </c>
      <c r="G10" s="405">
        <v>394.53</v>
      </c>
      <c r="H10" s="405">
        <f>TRUNC((G10*(1+($D$4))),2)</f>
        <v>476.19</v>
      </c>
      <c r="I10" s="405">
        <f t="shared" si="0"/>
        <v>2857.14</v>
      </c>
      <c r="J10" s="241"/>
      <c r="K10" s="416"/>
      <c r="L10" s="263" t="s">
        <v>480</v>
      </c>
    </row>
    <row r="11" spans="1:11" ht="15" customHeight="1">
      <c r="A11" s="21" t="str">
        <f>QUANT!A10</f>
        <v>1.4</v>
      </c>
      <c r="B11" s="6">
        <f>QUANT!B10</f>
        <v>5213417</v>
      </c>
      <c r="C11" s="6" t="str">
        <f>QUANT!C10</f>
        <v>SICRO 3</v>
      </c>
      <c r="D11" s="8" t="str">
        <f>QUANT!D10</f>
        <v>Confecção de placa em aço nº 16 galvanizado, com película retrorrefletiva tipo I + III</v>
      </c>
      <c r="E11" s="21" t="str">
        <f>QUANT!E10</f>
        <v>m²</v>
      </c>
      <c r="F11" s="405">
        <f>QUANT!F10</f>
        <v>20</v>
      </c>
      <c r="G11" s="405">
        <v>260.73</v>
      </c>
      <c r="H11" s="405">
        <f>TRUNC((G11*(1+($D$4))),2)</f>
        <v>314.7</v>
      </c>
      <c r="I11" s="405">
        <f t="shared" si="0"/>
        <v>6294</v>
      </c>
      <c r="J11" s="172">
        <f>SUM(I8:I11)</f>
        <v>30328.92</v>
      </c>
      <c r="K11" s="416"/>
    </row>
    <row r="12" spans="1:11" ht="15" customHeight="1" thickBot="1">
      <c r="A12" s="21"/>
      <c r="B12" s="6"/>
      <c r="C12" s="6"/>
      <c r="D12" s="8"/>
      <c r="E12" s="21"/>
      <c r="F12" s="405"/>
      <c r="G12" s="405"/>
      <c r="H12" s="405"/>
      <c r="I12" s="405"/>
      <c r="J12" s="172"/>
      <c r="K12" s="416"/>
    </row>
    <row r="13" spans="1:18" ht="15" customHeight="1">
      <c r="A13" s="22" t="str">
        <f>QUANT!A12</f>
        <v>2.0</v>
      </c>
      <c r="B13" s="231"/>
      <c r="C13" s="231"/>
      <c r="D13" s="232" t="str">
        <f>QUANT!D12</f>
        <v>ADMINISTRAÇÃO LOCAL</v>
      </c>
      <c r="E13" s="21"/>
      <c r="F13" s="405"/>
      <c r="G13" s="405"/>
      <c r="H13" s="405"/>
      <c r="I13" s="405"/>
      <c r="J13" s="172"/>
      <c r="K13" s="416"/>
      <c r="L13" s="161" t="s">
        <v>258</v>
      </c>
      <c r="M13" s="162" t="s">
        <v>259</v>
      </c>
      <c r="N13" s="162" t="s">
        <v>260</v>
      </c>
      <c r="O13" s="162" t="s">
        <v>261</v>
      </c>
      <c r="P13" s="162" t="s">
        <v>129</v>
      </c>
      <c r="Q13" s="162" t="s">
        <v>262</v>
      </c>
      <c r="R13" s="163" t="s">
        <v>263</v>
      </c>
    </row>
    <row r="14" spans="1:18" ht="15" customHeight="1">
      <c r="A14" s="21" t="str">
        <f>QUANT!A13</f>
        <v>2.1</v>
      </c>
      <c r="B14" s="6">
        <f>QUANT!B13</f>
        <v>93565</v>
      </c>
      <c r="C14" s="6" t="str">
        <f>QUANT!C13</f>
        <v>SINAPI</v>
      </c>
      <c r="D14" s="8" t="str">
        <f>QUANT!D13</f>
        <v>Engenheiro civil de obra júnior com encargos complementares</v>
      </c>
      <c r="E14" s="21" t="str">
        <f>QUANT!E13</f>
        <v>mês</v>
      </c>
      <c r="F14" s="405">
        <f>QUANT!F13</f>
        <v>1</v>
      </c>
      <c r="G14" s="405">
        <v>16441.82</v>
      </c>
      <c r="H14" s="405">
        <f aca="true" t="shared" si="1" ref="H14:H19">TRUNC((G14*(1+($D$4))),2)</f>
        <v>19845.27</v>
      </c>
      <c r="I14" s="405">
        <f t="shared" si="0"/>
        <v>19845.27</v>
      </c>
      <c r="J14" s="172"/>
      <c r="K14" s="416"/>
      <c r="L14" s="164"/>
      <c r="M14" s="165"/>
      <c r="N14" s="165"/>
      <c r="O14" s="165"/>
      <c r="P14" s="165"/>
      <c r="Q14" s="165"/>
      <c r="R14" s="166"/>
    </row>
    <row r="15" spans="1:18" ht="15" customHeight="1">
      <c r="A15" s="21" t="str">
        <f>QUANT!A14</f>
        <v>2.2</v>
      </c>
      <c r="B15" s="6">
        <f>QUANT!B14</f>
        <v>94296</v>
      </c>
      <c r="C15" s="6" t="str">
        <f>QUANT!C14</f>
        <v>SINAPI</v>
      </c>
      <c r="D15" s="8" t="str">
        <f>QUANT!D14</f>
        <v>Topografo com encargos complementares</v>
      </c>
      <c r="E15" s="21" t="str">
        <f>QUANT!E14</f>
        <v>mês</v>
      </c>
      <c r="F15" s="405">
        <f>QUANT!F14</f>
        <v>1</v>
      </c>
      <c r="G15" s="405">
        <v>3205.41</v>
      </c>
      <c r="H15" s="405">
        <f t="shared" si="1"/>
        <v>3868.92</v>
      </c>
      <c r="I15" s="405">
        <f t="shared" si="0"/>
        <v>3868.92</v>
      </c>
      <c r="J15" s="172"/>
      <c r="K15" s="416"/>
      <c r="L15" s="164"/>
      <c r="M15" s="165"/>
      <c r="N15" s="165"/>
      <c r="O15" s="165"/>
      <c r="P15" s="165"/>
      <c r="Q15" s="165"/>
      <c r="R15" s="166"/>
    </row>
    <row r="16" spans="1:18" ht="15" customHeight="1">
      <c r="A16" s="21" t="str">
        <f>QUANT!A15</f>
        <v>2.3</v>
      </c>
      <c r="B16" s="6">
        <f>QUANT!B15</f>
        <v>88253</v>
      </c>
      <c r="C16" s="6" t="str">
        <f>QUANT!C15</f>
        <v>SINAPI</v>
      </c>
      <c r="D16" s="8" t="str">
        <f>QUANT!D15</f>
        <v>Auxiliar de topógrafo com encargos complementares</v>
      </c>
      <c r="E16" s="21" t="str">
        <f>QUANT!E15</f>
        <v>mês</v>
      </c>
      <c r="F16" s="405">
        <f>QUANT!F15</f>
        <v>1</v>
      </c>
      <c r="G16" s="405">
        <f>R16</f>
        <v>2742.966784096628</v>
      </c>
      <c r="H16" s="405">
        <f t="shared" si="1"/>
        <v>3310.76</v>
      </c>
      <c r="I16" s="405">
        <f t="shared" si="0"/>
        <v>3310.76</v>
      </c>
      <c r="J16" s="172"/>
      <c r="K16" s="416"/>
      <c r="L16" s="167">
        <v>15.55</v>
      </c>
      <c r="M16" s="167">
        <f>L16/2.1857</f>
        <v>7.114425584480944</v>
      </c>
      <c r="N16" s="167">
        <f>M16*1.7525</f>
        <v>12.468030836802855</v>
      </c>
      <c r="O16" s="168">
        <f>N16*220</f>
        <v>2742.966784096628</v>
      </c>
      <c r="P16" s="169">
        <f>1+C4</f>
        <v>1</v>
      </c>
      <c r="Q16" s="167">
        <f>F16</f>
        <v>1</v>
      </c>
      <c r="R16" s="170">
        <f>220*N16*P16*Q16</f>
        <v>2742.966784096628</v>
      </c>
    </row>
    <row r="17" spans="1:11" ht="15" customHeight="1">
      <c r="A17" s="21" t="str">
        <f>QUANT!A16</f>
        <v>2.4</v>
      </c>
      <c r="B17" s="6">
        <f>QUANT!B16</f>
        <v>94295</v>
      </c>
      <c r="C17" s="6" t="str">
        <f>QUANT!C16</f>
        <v>SINAPI</v>
      </c>
      <c r="D17" s="8" t="str">
        <f>QUANT!D16</f>
        <v>Mestre de obras com encargos complementares</v>
      </c>
      <c r="E17" s="21" t="str">
        <f>QUANT!E16</f>
        <v>mês</v>
      </c>
      <c r="F17" s="405">
        <f>QUANT!F16</f>
        <v>2</v>
      </c>
      <c r="G17" s="405">
        <v>5940.33</v>
      </c>
      <c r="H17" s="405">
        <f t="shared" si="1"/>
        <v>7169.97</v>
      </c>
      <c r="I17" s="405">
        <f t="shared" si="0"/>
        <v>14339.94</v>
      </c>
      <c r="J17" s="172"/>
      <c r="K17" s="416"/>
    </row>
    <row r="18" spans="1:11" ht="15" customHeight="1">
      <c r="A18" s="21" t="str">
        <f>QUANT!A17</f>
        <v>2.5</v>
      </c>
      <c r="B18" s="6">
        <f>QUANT!B17</f>
        <v>93566</v>
      </c>
      <c r="C18" s="6" t="str">
        <f>QUANT!C17</f>
        <v>SINAPI</v>
      </c>
      <c r="D18" s="8" t="str">
        <f>QUANT!D17</f>
        <v>Chefe de escritório com encargos complementares</v>
      </c>
      <c r="E18" s="21" t="str">
        <f>QUANT!E17</f>
        <v>mês</v>
      </c>
      <c r="F18" s="405">
        <f>QUANT!F17</f>
        <v>3</v>
      </c>
      <c r="G18" s="405">
        <v>3480.51</v>
      </c>
      <c r="H18" s="405">
        <f t="shared" si="1"/>
        <v>4200.97</v>
      </c>
      <c r="I18" s="405">
        <f t="shared" si="0"/>
        <v>12602.91</v>
      </c>
      <c r="J18" s="172"/>
      <c r="K18" s="416"/>
    </row>
    <row r="19" spans="1:12" ht="15" customHeight="1">
      <c r="A19" s="21" t="str">
        <f>QUANT!A18</f>
        <v>2.6</v>
      </c>
      <c r="B19" s="6">
        <f>QUANT!B18</f>
        <v>93564</v>
      </c>
      <c r="C19" s="6" t="str">
        <f>QUANT!C18</f>
        <v>SINAPI</v>
      </c>
      <c r="D19" s="8" t="str">
        <f>QUANT!D18</f>
        <v>Apontador ou apropriador com encargos complementares</v>
      </c>
      <c r="E19" s="21" t="str">
        <f>QUANT!E18</f>
        <v>mês</v>
      </c>
      <c r="F19" s="405">
        <f>QUANT!F18</f>
        <v>3</v>
      </c>
      <c r="G19" s="405">
        <v>3080.88</v>
      </c>
      <c r="H19" s="405">
        <f t="shared" si="1"/>
        <v>3718.62</v>
      </c>
      <c r="I19" s="405">
        <f t="shared" si="0"/>
        <v>11155.86</v>
      </c>
      <c r="J19" s="172">
        <f>SUM(I14:I19)</f>
        <v>65123.66</v>
      </c>
      <c r="K19" s="416"/>
      <c r="L19" s="280">
        <f>J19/J96</f>
        <v>0.0477780048752102</v>
      </c>
    </row>
    <row r="20" spans="1:11" ht="15" customHeight="1">
      <c r="A20" s="21"/>
      <c r="B20" s="6"/>
      <c r="C20" s="6"/>
      <c r="D20" s="8"/>
      <c r="E20" s="21"/>
      <c r="F20" s="405"/>
      <c r="G20" s="405"/>
      <c r="H20" s="405"/>
      <c r="I20" s="405"/>
      <c r="J20" s="172"/>
      <c r="K20" s="416"/>
    </row>
    <row r="21" spans="1:11" ht="15" customHeight="1">
      <c r="A21" s="22" t="str">
        <f>QUANT!A20</f>
        <v>3.0</v>
      </c>
      <c r="B21" s="231"/>
      <c r="C21" s="231"/>
      <c r="D21" s="232" t="str">
        <f>QUANT!D20</f>
        <v>ENSAIOS TECNOLÓGICOS DE SOLO E ASFALTO</v>
      </c>
      <c r="E21" s="21"/>
      <c r="F21" s="405"/>
      <c r="G21" s="405"/>
      <c r="H21" s="405"/>
      <c r="I21" s="405"/>
      <c r="J21" s="172"/>
      <c r="K21" s="416"/>
    </row>
    <row r="22" spans="1:11" ht="15" customHeight="1">
      <c r="A22" s="21" t="str">
        <f>QUANT!A21</f>
        <v>3.1</v>
      </c>
      <c r="B22" s="6" t="str">
        <f>QUANT!B21</f>
        <v>74021/003</v>
      </c>
      <c r="C22" s="6" t="str">
        <f>QUANT!C21</f>
        <v>SINAPI</v>
      </c>
      <c r="D22" s="8" t="str">
        <f>QUANT!D21</f>
        <v>Ensaio de regularição de sub-leito</v>
      </c>
      <c r="E22" s="21" t="str">
        <f>QUANT!E21</f>
        <v>m²</v>
      </c>
      <c r="F22" s="405">
        <f>QUANT!F21</f>
        <v>12881.94</v>
      </c>
      <c r="G22" s="405">
        <v>0.63</v>
      </c>
      <c r="H22" s="405">
        <f>TRUNC((G22*(1+($D$4))),2)</f>
        <v>0.76</v>
      </c>
      <c r="I22" s="405">
        <f t="shared" si="0"/>
        <v>9790.27</v>
      </c>
      <c r="J22" s="172"/>
      <c r="K22" s="416"/>
    </row>
    <row r="23" spans="1:11" ht="15" customHeight="1">
      <c r="A23" s="21" t="str">
        <f>QUANT!A22</f>
        <v>3.2</v>
      </c>
      <c r="B23" s="6" t="str">
        <f>QUANT!B22</f>
        <v>74021/006</v>
      </c>
      <c r="C23" s="6" t="str">
        <f>QUANT!C22</f>
        <v>SINAPI</v>
      </c>
      <c r="D23" s="8" t="str">
        <f>QUANT!D22</f>
        <v>Ensaio de Sub-base estabilizada granulometricamente)</v>
      </c>
      <c r="E23" s="21" t="str">
        <f>QUANT!E22</f>
        <v>m³</v>
      </c>
      <c r="F23" s="405">
        <f>QUANT!F22</f>
        <v>2576.3800000000006</v>
      </c>
      <c r="G23" s="405">
        <v>1.28</v>
      </c>
      <c r="H23" s="405">
        <f>TRUNC((G23*(1+($D$4))),2)</f>
        <v>1.54</v>
      </c>
      <c r="I23" s="405">
        <f t="shared" si="0"/>
        <v>3967.62</v>
      </c>
      <c r="J23" s="172"/>
      <c r="K23" s="416"/>
    </row>
    <row r="24" spans="1:11" ht="15" customHeight="1">
      <c r="A24" s="21" t="str">
        <f>QUANT!A23</f>
        <v>3.3</v>
      </c>
      <c r="B24" s="6" t="str">
        <f>QUANT!B23</f>
        <v>74021/006</v>
      </c>
      <c r="C24" s="6" t="str">
        <f>QUANT!C23</f>
        <v>SINAPI</v>
      </c>
      <c r="D24" s="8" t="str">
        <f>QUANT!D23</f>
        <v>Ensaio de base estabilizada granulometricamente</v>
      </c>
      <c r="E24" s="21" t="str">
        <f>QUANT!E23</f>
        <v>m³</v>
      </c>
      <c r="F24" s="405">
        <f>QUANT!F23</f>
        <v>2576.3800000000006</v>
      </c>
      <c r="G24" s="405">
        <v>1.28</v>
      </c>
      <c r="H24" s="405">
        <f>TRUNC((G24*(1+($D$4))),2)</f>
        <v>1.54</v>
      </c>
      <c r="I24" s="405">
        <f t="shared" si="0"/>
        <v>3967.62</v>
      </c>
      <c r="J24" s="172"/>
      <c r="K24" s="416"/>
    </row>
    <row r="25" spans="1:11" ht="15" customHeight="1">
      <c r="A25" s="21" t="str">
        <f>QUANT!A24</f>
        <v>3.4</v>
      </c>
      <c r="B25" s="6" t="str">
        <f>QUANT!B24</f>
        <v>73900/012</v>
      </c>
      <c r="C25" s="6" t="str">
        <f>QUANT!C24</f>
        <v>SINAPI</v>
      </c>
      <c r="D25" s="8" t="str">
        <f>QUANT!D24</f>
        <v>Ensaio de concreto asfáltico para cada 10 ton </v>
      </c>
      <c r="E25" s="21" t="str">
        <f>QUANT!E24</f>
        <v>ton</v>
      </c>
      <c r="F25" s="405">
        <f>QUANT!F24</f>
        <v>98.93328</v>
      </c>
      <c r="G25" s="405">
        <v>37.73</v>
      </c>
      <c r="H25" s="405">
        <f>TRUNC((G25*(1+($D$4))),2)</f>
        <v>45.54</v>
      </c>
      <c r="I25" s="405">
        <f t="shared" si="0"/>
        <v>4505.42</v>
      </c>
      <c r="J25" s="172"/>
      <c r="K25" s="416"/>
    </row>
    <row r="26" spans="1:11" ht="25.5">
      <c r="A26" s="21" t="str">
        <f>QUANT!A25</f>
        <v>3.5</v>
      </c>
      <c r="B26" s="21" t="str">
        <f>QUANT!B25</f>
        <v>74022/030</v>
      </c>
      <c r="C26" s="21" t="str">
        <f>QUANT!C25</f>
        <v>SINAPI</v>
      </c>
      <c r="D26" s="184" t="str">
        <f>QUANT!D25</f>
        <v>Ensaio de resistência a compressão simples do concreto - meio-fio, sarjetas e calçadas 
(considerado 1,0 amostra a cada 200 m)</v>
      </c>
      <c r="E26" s="21" t="str">
        <f>QUANT!E25</f>
        <v>un</v>
      </c>
      <c r="F26" s="405">
        <f>QUANT!F25</f>
        <v>15.437429999999999</v>
      </c>
      <c r="G26" s="405">
        <v>108.13</v>
      </c>
      <c r="H26" s="405">
        <f>TRUNC((G26*(1+($D$4))),2)</f>
        <v>130.51</v>
      </c>
      <c r="I26" s="405">
        <f t="shared" si="0"/>
        <v>2014.73</v>
      </c>
      <c r="J26" s="172">
        <f>SUM(I22:I26)</f>
        <v>24245.66</v>
      </c>
      <c r="K26" s="416"/>
    </row>
    <row r="27" spans="1:11" ht="15.75" customHeight="1">
      <c r="A27" s="21"/>
      <c r="B27" s="6"/>
      <c r="C27" s="6"/>
      <c r="D27" s="8"/>
      <c r="E27" s="21"/>
      <c r="F27" s="405"/>
      <c r="G27" s="405"/>
      <c r="H27" s="405"/>
      <c r="I27" s="405"/>
      <c r="J27" s="191"/>
      <c r="K27" s="416"/>
    </row>
    <row r="28" spans="1:11" ht="15" customHeight="1">
      <c r="A28" s="22" t="str">
        <f>QUANT!A27</f>
        <v>4.0</v>
      </c>
      <c r="B28" s="231"/>
      <c r="C28" s="231"/>
      <c r="D28" s="232" t="str">
        <f>QUANT!D27</f>
        <v>TERRAPLENAGEM</v>
      </c>
      <c r="E28" s="21"/>
      <c r="F28" s="405"/>
      <c r="G28" s="405"/>
      <c r="H28" s="405"/>
      <c r="I28" s="405"/>
      <c r="J28" s="191"/>
      <c r="K28" s="416"/>
    </row>
    <row r="29" spans="1:11" ht="12.75">
      <c r="A29" s="21" t="str">
        <f>QUANT!A28</f>
        <v>4.1</v>
      </c>
      <c r="B29" s="6" t="str">
        <f>QUANT!B28</f>
        <v>73822/002</v>
      </c>
      <c r="C29" s="6" t="str">
        <f>QUANT!C28</f>
        <v>SINAPI</v>
      </c>
      <c r="D29" s="184" t="str">
        <f>QUANT!D28</f>
        <v>Limpeza mecanizada de área com remoção de camada vegetal, utilizando motoniveladora</v>
      </c>
      <c r="E29" s="21" t="str">
        <f>QUANT!E28</f>
        <v>m²</v>
      </c>
      <c r="F29" s="405">
        <f>QUANT!F28</f>
        <v>4830.729</v>
      </c>
      <c r="G29" s="405">
        <v>0.52</v>
      </c>
      <c r="H29" s="405">
        <f aca="true" t="shared" si="2" ref="H29:H73">TRUNC((G29*(1+($D$4))),2)</f>
        <v>0.62</v>
      </c>
      <c r="I29" s="405">
        <f t="shared" si="0"/>
        <v>2995.05</v>
      </c>
      <c r="J29" s="191"/>
      <c r="K29" s="416"/>
    </row>
    <row r="30" spans="1:11" ht="12.75">
      <c r="A30" s="21" t="s">
        <v>477</v>
      </c>
      <c r="B30" s="6" t="str">
        <f>QUANT!B29</f>
        <v>74205/001</v>
      </c>
      <c r="C30" s="6" t="str">
        <f>QUANT!C29</f>
        <v>SINAPI</v>
      </c>
      <c r="D30" s="184" t="str">
        <f>QUANT!D29</f>
        <v>Escavacao mecanica de material 1a. categoria, proveniente de corte de subleito (c/trator esteiras 160hp)</v>
      </c>
      <c r="E30" s="21" t="str">
        <f>QUANT!E29</f>
        <v>m³</v>
      </c>
      <c r="F30" s="405">
        <f>QUANT!F29</f>
        <v>4530.544000000001</v>
      </c>
      <c r="G30" s="405">
        <v>1.43</v>
      </c>
      <c r="H30" s="405">
        <f t="shared" si="2"/>
        <v>1.72</v>
      </c>
      <c r="I30" s="405">
        <f t="shared" si="0"/>
        <v>7792.53</v>
      </c>
      <c r="J30" s="191"/>
      <c r="K30" s="416"/>
    </row>
    <row r="31" spans="1:11" ht="26.25" customHeight="1">
      <c r="A31" s="21" t="s">
        <v>448</v>
      </c>
      <c r="B31" s="6" t="str">
        <f>QUANT!B30</f>
        <v>74155/002</v>
      </c>
      <c r="C31" s="21" t="str">
        <f>QUANT!C30</f>
        <v>SINAPI</v>
      </c>
      <c r="D31" s="184" t="str">
        <f>QUANT!D30</f>
        <v>Escavação e transporte de material de 2a cat dmt 50m com trator sobre  esteiras 347 hp com lamina e escarificador</v>
      </c>
      <c r="E31" s="21" t="str">
        <f>QUANT!E30</f>
        <v>m³</v>
      </c>
      <c r="F31" s="405">
        <f>QUANT!F30</f>
        <v>3021.0680000000007</v>
      </c>
      <c r="G31" s="405">
        <v>2.82</v>
      </c>
      <c r="H31" s="405">
        <f t="shared" si="2"/>
        <v>3.4</v>
      </c>
      <c r="I31" s="405">
        <f t="shared" si="0"/>
        <v>10271.63</v>
      </c>
      <c r="J31" s="191"/>
      <c r="K31" s="416"/>
    </row>
    <row r="32" spans="1:11" ht="12.75">
      <c r="A32" s="21" t="str">
        <f>QUANT!A31</f>
        <v>4.6</v>
      </c>
      <c r="B32" s="6">
        <f>QUANT!B31</f>
        <v>72888</v>
      </c>
      <c r="C32" s="6" t="str">
        <f>QUANT!C31</f>
        <v>SINAPI</v>
      </c>
      <c r="D32" s="184" t="str">
        <f>QUANT!D31</f>
        <v>Carga, manobras e descarga de areia, brita, pedra de mao e solos com caminhao basculante 6 m3 (descarga livre)</v>
      </c>
      <c r="E32" s="21" t="str">
        <f>QUANT!E31</f>
        <v>m³</v>
      </c>
      <c r="F32" s="405">
        <f>QUANT!F31</f>
        <v>7551.612000000001</v>
      </c>
      <c r="G32" s="405">
        <v>1.11</v>
      </c>
      <c r="H32" s="405">
        <f>TRUNC((G32*(1+($D$4))),2)</f>
        <v>1.33</v>
      </c>
      <c r="I32" s="405">
        <f t="shared" si="0"/>
        <v>10043.64</v>
      </c>
      <c r="J32" s="191"/>
      <c r="K32" s="416"/>
    </row>
    <row r="33" spans="1:11" ht="12.75">
      <c r="A33" s="21" t="s">
        <v>424</v>
      </c>
      <c r="B33" s="6">
        <f>QUANT!B32</f>
        <v>5503041</v>
      </c>
      <c r="C33" s="6" t="str">
        <f>QUANT!C32</f>
        <v>SICRO 3</v>
      </c>
      <c r="D33" s="184" t="str">
        <f>QUANT!D32</f>
        <v>Compactação de aterros a 100% do Proctor intermediário</v>
      </c>
      <c r="E33" s="21" t="str">
        <f>QUANT!E32</f>
        <v>m³</v>
      </c>
      <c r="F33" s="405">
        <f>QUANT!F32</f>
        <v>0.92</v>
      </c>
      <c r="G33" s="405">
        <v>4.72</v>
      </c>
      <c r="H33" s="405">
        <f>TRUNC((G33*(1+($D$4))),2)</f>
        <v>5.69</v>
      </c>
      <c r="I33" s="405">
        <f t="shared" si="0"/>
        <v>5.23</v>
      </c>
      <c r="J33" s="191"/>
      <c r="K33" s="416"/>
    </row>
    <row r="34" spans="1:11" ht="25.5">
      <c r="A34" s="21" t="s">
        <v>478</v>
      </c>
      <c r="B34" s="6">
        <f>QUANT!B33</f>
        <v>93589</v>
      </c>
      <c r="C34" s="6" t="str">
        <f>QUANT!C33</f>
        <v>SINAPI</v>
      </c>
      <c r="D34" s="184" t="str">
        <f>QUANT!D33</f>
        <v>Transporte com caminhão basculante de 10 m3, em via urbana em revestimento primário (unidade: txkm). af_04/2016</v>
      </c>
      <c r="E34" s="21" t="str">
        <f>QUANT!E33</f>
        <v>m³xkm</v>
      </c>
      <c r="F34" s="405">
        <f>QUANT!F33</f>
        <v>15103.224000000002</v>
      </c>
      <c r="G34" s="405">
        <v>1.14</v>
      </c>
      <c r="H34" s="405">
        <f>TRUNC((G34*(1+($D$4))),2)</f>
        <v>1.37</v>
      </c>
      <c r="I34" s="405">
        <f t="shared" si="0"/>
        <v>20691.41</v>
      </c>
      <c r="J34" s="191"/>
      <c r="K34" s="416"/>
    </row>
    <row r="35" spans="1:11" ht="25.5">
      <c r="A35" s="21" t="str">
        <f>QUANT!A34</f>
        <v>4.8</v>
      </c>
      <c r="B35" s="6">
        <f>QUANT!B34</f>
        <v>95875</v>
      </c>
      <c r="C35" s="6" t="str">
        <f>QUANT!C34</f>
        <v>SINAPI</v>
      </c>
      <c r="D35" s="184" t="str">
        <f>QUANT!D34</f>
        <v>Transporte com caminhão basculante de 10 m3, em via urbana pavimentada, dmt até 30 km (unidade: txkm). af_12/2016</v>
      </c>
      <c r="E35" s="21" t="str">
        <f>QUANT!E34</f>
        <v>m³xkm</v>
      </c>
      <c r="F35" s="405">
        <f>QUANT!F34</f>
        <v>49840.639200000005</v>
      </c>
      <c r="G35" s="405">
        <v>1.06</v>
      </c>
      <c r="H35" s="405">
        <f>TRUNC((G35*(1+($D$4))),2)</f>
        <v>1.27</v>
      </c>
      <c r="I35" s="405">
        <f t="shared" si="0"/>
        <v>63297.61</v>
      </c>
      <c r="J35" s="191"/>
      <c r="K35" s="416"/>
    </row>
    <row r="36" spans="1:11" ht="12.75">
      <c r="A36" s="21" t="s">
        <v>428</v>
      </c>
      <c r="B36" s="6">
        <f>QUANT!B35</f>
        <v>83344</v>
      </c>
      <c r="C36" s="6" t="str">
        <f>QUANT!C35</f>
        <v>SINAPI</v>
      </c>
      <c r="D36" s="184" t="str">
        <f>QUANT!D35</f>
        <v>Espalhamento de material em bota fora, com utilização de trator de esteiras de 165 hp</v>
      </c>
      <c r="E36" s="21" t="str">
        <f>QUANT!E35</f>
        <v>m³</v>
      </c>
      <c r="F36" s="405">
        <f>QUANT!F35</f>
        <v>7551.612000000001</v>
      </c>
      <c r="G36" s="405">
        <v>0.89</v>
      </c>
      <c r="H36" s="405">
        <f>TRUNC((G36*(1+($D$4))),2)</f>
        <v>1.07</v>
      </c>
      <c r="I36" s="405">
        <f t="shared" si="0"/>
        <v>8080.22</v>
      </c>
      <c r="J36" s="172">
        <f>SUM(I29:I36)</f>
        <v>123177.32</v>
      </c>
      <c r="K36" s="416"/>
    </row>
    <row r="37" spans="1:11" s="3" customFormat="1" ht="15" customHeight="1">
      <c r="A37" s="21"/>
      <c r="B37" s="6"/>
      <c r="C37" s="6"/>
      <c r="D37" s="8"/>
      <c r="E37" s="21"/>
      <c r="F37" s="405"/>
      <c r="G37" s="405"/>
      <c r="H37" s="405"/>
      <c r="I37" s="405"/>
      <c r="J37" s="172"/>
      <c r="K37" s="416"/>
    </row>
    <row r="38" spans="1:11" s="3" customFormat="1" ht="15" customHeight="1">
      <c r="A38" s="22" t="str">
        <f>QUANT!A37</f>
        <v>5.0</v>
      </c>
      <c r="B38" s="231"/>
      <c r="C38" s="231"/>
      <c r="D38" s="232" t="str">
        <f>QUANT!D37</f>
        <v>PAVIMENTAÇÃO</v>
      </c>
      <c r="E38" s="21"/>
      <c r="F38" s="405"/>
      <c r="G38" s="405"/>
      <c r="H38" s="405"/>
      <c r="I38" s="405"/>
      <c r="J38" s="172"/>
      <c r="K38" s="416"/>
    </row>
    <row r="39" spans="1:11" s="3" customFormat="1" ht="15" customHeight="1">
      <c r="A39" s="21" t="str">
        <f>QUANT!A38</f>
        <v>5.1</v>
      </c>
      <c r="B39" s="6">
        <f>QUANT!B38</f>
        <v>72961</v>
      </c>
      <c r="C39" s="6" t="str">
        <f>QUANT!C38</f>
        <v>SINAPI</v>
      </c>
      <c r="D39" s="8" t="str">
        <f>QUANT!D38</f>
        <v>Regularização e compactação de subleito até 20 cm de espessura</v>
      </c>
      <c r="E39" s="21" t="str">
        <f>QUANT!E38</f>
        <v>m²</v>
      </c>
      <c r="F39" s="405">
        <f>QUANT!F38</f>
        <v>12881.94</v>
      </c>
      <c r="G39" s="405">
        <v>1.22</v>
      </c>
      <c r="H39" s="405">
        <f t="shared" si="2"/>
        <v>1.47</v>
      </c>
      <c r="I39" s="405">
        <f t="shared" si="0"/>
        <v>18936.45</v>
      </c>
      <c r="J39" s="172"/>
      <c r="K39" s="416"/>
    </row>
    <row r="40" spans="1:11" s="3" customFormat="1" ht="12.75">
      <c r="A40" s="21" t="str">
        <f>QUANT!A39</f>
        <v>5.2</v>
      </c>
      <c r="B40" s="6" t="str">
        <f>QUANT!B39</f>
        <v>(M980) (S/C)</v>
      </c>
      <c r="C40" s="6" t="str">
        <f>QUANT!C39</f>
        <v>COTAÇÃO</v>
      </c>
      <c r="D40" s="184" t="str">
        <f>QUANT!D39</f>
        <v>Indenização de jazida não condiz com o preço praticado na região (Preço praticado na jazida)</v>
      </c>
      <c r="E40" s="21" t="str">
        <f>QUANT!E39</f>
        <v>m³</v>
      </c>
      <c r="F40" s="405">
        <f>QUANT!F39</f>
        <v>5925.674000000001</v>
      </c>
      <c r="G40" s="405">
        <v>10</v>
      </c>
      <c r="H40" s="405">
        <f>TRUNC((G40*(1+($D$5))),2)</f>
        <v>11.52</v>
      </c>
      <c r="I40" s="405">
        <f t="shared" si="0"/>
        <v>68263.76</v>
      </c>
      <c r="J40" s="172"/>
      <c r="K40" s="416"/>
    </row>
    <row r="41" spans="1:11" s="3" customFormat="1" ht="25.5">
      <c r="A41" s="21" t="str">
        <f>QUANT!A40</f>
        <v>5.3</v>
      </c>
      <c r="B41" s="6" t="str">
        <f>QUANT!B40</f>
        <v>96387</v>
      </c>
      <c r="C41" s="6" t="str">
        <f>QUANT!C40</f>
        <v>SINAPI</v>
      </c>
      <c r="D41" s="184" t="str">
        <f>QUANT!D40</f>
        <v>Execução e compactação de sub base com solo estabilizado granulometricamente - exclusive escavação, carga e transporte e solo. af_09/2017</v>
      </c>
      <c r="E41" s="21" t="str">
        <f>QUANT!E40</f>
        <v>m³</v>
      </c>
      <c r="F41" s="405">
        <f>QUANT!F40</f>
        <v>2576.3800000000006</v>
      </c>
      <c r="G41" s="405">
        <v>6.3</v>
      </c>
      <c r="H41" s="405">
        <f t="shared" si="2"/>
        <v>7.6</v>
      </c>
      <c r="I41" s="405">
        <f t="shared" si="0"/>
        <v>19580.48</v>
      </c>
      <c r="J41" s="172"/>
      <c r="K41" s="416"/>
    </row>
    <row r="42" spans="1:11" s="3" customFormat="1" ht="25.5">
      <c r="A42" s="21" t="str">
        <f>QUANT!A41</f>
        <v>5.4</v>
      </c>
      <c r="B42" s="6" t="str">
        <f>QUANT!B41</f>
        <v>96387</v>
      </c>
      <c r="C42" s="6" t="str">
        <f>QUANT!C41</f>
        <v>SINAPI</v>
      </c>
      <c r="D42" s="184" t="str">
        <f>QUANT!D41</f>
        <v>Execução e compactação de base com solo estabilizado granulometricamente - exclusive escavação, carga e transporte e solo. af_09/2017</v>
      </c>
      <c r="E42" s="21" t="str">
        <f>QUANT!E41</f>
        <v>m³</v>
      </c>
      <c r="F42" s="405">
        <f>QUANT!F41</f>
        <v>2576.3800000000006</v>
      </c>
      <c r="G42" s="405">
        <v>6.3</v>
      </c>
      <c r="H42" s="405">
        <f t="shared" si="2"/>
        <v>7.6</v>
      </c>
      <c r="I42" s="405">
        <f t="shared" si="0"/>
        <v>19580.48</v>
      </c>
      <c r="J42" s="172"/>
      <c r="K42" s="416"/>
    </row>
    <row r="43" spans="1:11" s="3" customFormat="1" ht="15" customHeight="1">
      <c r="A43" s="21" t="str">
        <f>QUANT!A42</f>
        <v>5.5</v>
      </c>
      <c r="B43" s="6">
        <f>QUANT!B42</f>
        <v>96401</v>
      </c>
      <c r="C43" s="6" t="str">
        <f>QUANT!C42</f>
        <v>SINAPI</v>
      </c>
      <c r="D43" s="8" t="str">
        <f>QUANT!D42</f>
        <v>Execução de imprimação com asfalto diluído CM-30. af_09/2017</v>
      </c>
      <c r="E43" s="21" t="str">
        <f>QUANT!E42</f>
        <v>m²</v>
      </c>
      <c r="F43" s="405">
        <f>QUANT!F42</f>
        <v>10305.55</v>
      </c>
      <c r="G43" s="405">
        <v>4.76</v>
      </c>
      <c r="H43" s="405">
        <f t="shared" si="2"/>
        <v>5.74</v>
      </c>
      <c r="I43" s="405">
        <f t="shared" si="0"/>
        <v>59153.85</v>
      </c>
      <c r="J43" s="172"/>
      <c r="K43" s="416"/>
    </row>
    <row r="44" spans="1:11" s="3" customFormat="1" ht="15" customHeight="1">
      <c r="A44" s="21" t="str">
        <f>QUANT!A43</f>
        <v>5.6</v>
      </c>
      <c r="B44" s="6">
        <f>QUANT!B43</f>
        <v>72943</v>
      </c>
      <c r="C44" s="6" t="str">
        <f>QUANT!C43</f>
        <v>SINAPI</v>
      </c>
      <c r="D44" s="8" t="str">
        <f>QUANT!D43</f>
        <v>Pintura de ligação com emulsão RR-2C</v>
      </c>
      <c r="E44" s="21" t="str">
        <f>QUANT!E43</f>
        <v>m²</v>
      </c>
      <c r="F44" s="405">
        <f>QUANT!F43</f>
        <v>10305.55</v>
      </c>
      <c r="G44" s="405">
        <v>1.43</v>
      </c>
      <c r="H44" s="405">
        <f t="shared" si="2"/>
        <v>1.72</v>
      </c>
      <c r="I44" s="405">
        <f t="shared" si="0"/>
        <v>17725.54</v>
      </c>
      <c r="J44" s="172"/>
      <c r="K44" s="416"/>
    </row>
    <row r="45" spans="1:11" ht="25.5">
      <c r="A45" s="21" t="str">
        <f>QUANT!A44</f>
        <v>5.7</v>
      </c>
      <c r="B45" s="6">
        <f>QUANT!B44</f>
        <v>95993</v>
      </c>
      <c r="C45" s="6" t="str">
        <f>QUANT!C44</f>
        <v>SINAPI</v>
      </c>
      <c r="D45" s="284" t="str">
        <f>QUANT!D44</f>
        <v>Construção de pavimento com aplicação de concreto betuminoso usinado a quente (cbuq), camada de rolamento, com espessura de 4,0 cm  exclusive transporte. af_03/2017</v>
      </c>
      <c r="E45" s="21" t="str">
        <f>QUANT!E44</f>
        <v>m³</v>
      </c>
      <c r="F45" s="405">
        <f>QUANT!F44</f>
        <v>412.222</v>
      </c>
      <c r="G45" s="405">
        <v>704.24</v>
      </c>
      <c r="H45" s="405">
        <f t="shared" si="2"/>
        <v>850.01</v>
      </c>
      <c r="I45" s="405">
        <f t="shared" si="0"/>
        <v>350392.82</v>
      </c>
      <c r="J45" s="172"/>
      <c r="K45" s="416"/>
    </row>
    <row r="46" spans="1:11" ht="25.5">
      <c r="A46" s="21" t="str">
        <f>QUANT!A45</f>
        <v>5.8</v>
      </c>
      <c r="B46" s="6">
        <f>QUANT!B45</f>
        <v>93595</v>
      </c>
      <c r="C46" s="6" t="str">
        <f>QUANT!C45</f>
        <v>SINAPI</v>
      </c>
      <c r="D46" s="284" t="str">
        <f>QUANT!D45</f>
        <v>Transporte com caminhão basculante de 10 m3, em via urbana em revestimento primário (unidade: tonxkm). af_04/2016</v>
      </c>
      <c r="E46" s="21" t="str">
        <f>QUANT!E45</f>
        <v>txkm</v>
      </c>
      <c r="F46" s="405">
        <f>QUANT!F45</f>
        <v>18962.156800000004</v>
      </c>
      <c r="G46" s="405">
        <v>0.75</v>
      </c>
      <c r="H46" s="405">
        <f>TRUNC((G46*(1+($D$4))),2)</f>
        <v>0.9</v>
      </c>
      <c r="I46" s="405">
        <f t="shared" si="0"/>
        <v>17065.94</v>
      </c>
      <c r="J46" s="172"/>
      <c r="K46" s="416"/>
    </row>
    <row r="47" spans="1:11" ht="25.5">
      <c r="A47" s="21" t="str">
        <f>QUANT!A46</f>
        <v>5.9</v>
      </c>
      <c r="B47" s="6">
        <f>QUANT!B46</f>
        <v>95878</v>
      </c>
      <c r="C47" s="6" t="str">
        <f>QUANT!C46</f>
        <v>SINAPI</v>
      </c>
      <c r="D47" s="284" t="str">
        <f>QUANT!D46</f>
        <v>Transporte com caminhão basculante de 10 m3, em via urbana pavimentada, dmt até 30 km (unidade: tonxkm). af_12/2016</v>
      </c>
      <c r="E47" s="21" t="str">
        <f>QUANT!E46</f>
        <v>txkm</v>
      </c>
      <c r="F47" s="405">
        <f>QUANT!F46</f>
        <v>81537.27424000001</v>
      </c>
      <c r="G47" s="405">
        <v>0.71</v>
      </c>
      <c r="H47" s="405">
        <f>TRUNC((G47*(1+($D$4))),2)</f>
        <v>0.85</v>
      </c>
      <c r="I47" s="405">
        <f t="shared" si="0"/>
        <v>69306.68</v>
      </c>
      <c r="J47" s="172"/>
      <c r="K47" s="416"/>
    </row>
    <row r="48" spans="1:11" ht="12.75">
      <c r="A48" s="21" t="str">
        <f>QUANT!A47</f>
        <v>5.10</v>
      </c>
      <c r="B48" s="6">
        <f>QUANT!B47</f>
        <v>95303</v>
      </c>
      <c r="C48" s="6" t="str">
        <f>QUANT!C47</f>
        <v>SINAPI</v>
      </c>
      <c r="D48" s="284" t="str">
        <f>QUANT!D47</f>
        <v>Transporte com caminhão basculante 10 m3 de massa asfáltica para pavimentação urbana</v>
      </c>
      <c r="E48" s="21" t="str">
        <f>QUANT!E47</f>
        <v>m³xkm</v>
      </c>
      <c r="F48" s="405">
        <f>QUANT!F47</f>
        <v>10099.43</v>
      </c>
      <c r="G48" s="405">
        <v>0.96</v>
      </c>
      <c r="H48" s="405">
        <f>TRUNC((G48*(1+($D$4))),2)</f>
        <v>1.15</v>
      </c>
      <c r="I48" s="405">
        <f t="shared" si="0"/>
        <v>11614.34</v>
      </c>
      <c r="J48" s="172">
        <f>SUM(I39:I48)</f>
        <v>651620.34</v>
      </c>
      <c r="K48" s="416"/>
    </row>
    <row r="49" spans="1:11" ht="15" customHeight="1">
      <c r="A49" s="21"/>
      <c r="B49" s="6"/>
      <c r="C49" s="6"/>
      <c r="D49" s="8"/>
      <c r="E49" s="21"/>
      <c r="F49" s="405"/>
      <c r="G49" s="405"/>
      <c r="H49" s="405"/>
      <c r="I49" s="405"/>
      <c r="J49" s="191"/>
      <c r="K49" s="416"/>
    </row>
    <row r="50" spans="1:11" ht="15" customHeight="1">
      <c r="A50" s="22" t="str">
        <f>QUANT!A49</f>
        <v>6.0</v>
      </c>
      <c r="B50" s="231"/>
      <c r="C50" s="231"/>
      <c r="D50" s="232" t="str">
        <f>QUANT!D49</f>
        <v>SINALIZAÇÃO HORIZONTAL/VERTICAL</v>
      </c>
      <c r="E50" s="21"/>
      <c r="F50" s="405"/>
      <c r="G50" s="405"/>
      <c r="H50" s="405"/>
      <c r="I50" s="405"/>
      <c r="J50" s="191"/>
      <c r="K50" s="416"/>
    </row>
    <row r="51" spans="1:11" ht="12.75">
      <c r="A51" s="21" t="str">
        <f>QUANT!A50</f>
        <v>6.1</v>
      </c>
      <c r="B51" s="6">
        <f>QUANT!B50</f>
        <v>72947</v>
      </c>
      <c r="C51" s="6" t="str">
        <f>QUANT!C50</f>
        <v>SINAPI</v>
      </c>
      <c r="D51" s="184" t="str">
        <f>QUANT!D50</f>
        <v>Sinalizacao horizontal com tinta retrorrefletiva a base de resina acrilica  c/ micro esfera de vidro</v>
      </c>
      <c r="E51" s="21" t="str">
        <f>QUANT!E50</f>
        <v>m²</v>
      </c>
      <c r="F51" s="405">
        <f>QUANT!F50</f>
        <v>365.64537500000006</v>
      </c>
      <c r="G51" s="405">
        <v>27.25</v>
      </c>
      <c r="H51" s="405">
        <f t="shared" si="2"/>
        <v>32.89</v>
      </c>
      <c r="I51" s="405">
        <f t="shared" si="0"/>
        <v>12026.07</v>
      </c>
      <c r="J51" s="191"/>
      <c r="K51" s="416"/>
    </row>
    <row r="52" spans="1:11" ht="15" customHeight="1">
      <c r="A52" s="21" t="str">
        <f>QUANT!A51</f>
        <v>6.2</v>
      </c>
      <c r="B52" s="6">
        <f>QUANT!B51</f>
        <v>5213405</v>
      </c>
      <c r="C52" s="6" t="str">
        <f>QUANT!C51</f>
        <v>SICRO 3</v>
      </c>
      <c r="D52" s="8" t="str">
        <f>QUANT!D51</f>
        <v>Pintura de setas e zebrados - tinta base acrílica - espessura de 0,6 mm</v>
      </c>
      <c r="E52" s="21" t="str">
        <f>QUANT!E51</f>
        <v>m²</v>
      </c>
      <c r="F52" s="405">
        <f>QUANT!F51</f>
        <v>50.57</v>
      </c>
      <c r="G52" s="405">
        <v>31.88</v>
      </c>
      <c r="H52" s="405">
        <f t="shared" si="2"/>
        <v>38.47</v>
      </c>
      <c r="I52" s="405">
        <f t="shared" si="0"/>
        <v>1945.42</v>
      </c>
      <c r="J52" s="191"/>
      <c r="K52" s="416"/>
    </row>
    <row r="53" spans="1:11" ht="12.75">
      <c r="A53" s="21" t="str">
        <f>QUANT!A52</f>
        <v>6.3</v>
      </c>
      <c r="B53" s="6">
        <f>QUANT!B52</f>
        <v>5213417</v>
      </c>
      <c r="C53" s="6" t="str">
        <f>QUANT!C52</f>
        <v>SICRO 3</v>
      </c>
      <c r="D53" s="184" t="str">
        <f>QUANT!D52</f>
        <v>Confecção de placa em aço nº 16 galvanizado, com película retrorrefletiva tipo I + III</v>
      </c>
      <c r="E53" s="21" t="str">
        <f>QUANT!E52</f>
        <v>m²</v>
      </c>
      <c r="F53" s="405">
        <f>QUANT!F52</f>
        <v>3.6789999999999994</v>
      </c>
      <c r="G53" s="405">
        <v>260.73</v>
      </c>
      <c r="H53" s="405">
        <f t="shared" si="2"/>
        <v>314.7</v>
      </c>
      <c r="I53" s="405">
        <f t="shared" si="0"/>
        <v>1157.78</v>
      </c>
      <c r="J53" s="172"/>
      <c r="K53" s="416"/>
    </row>
    <row r="54" spans="1:11" ht="12.75">
      <c r="A54" s="21" t="str">
        <f>QUANT!A53</f>
        <v>6.4</v>
      </c>
      <c r="B54" s="6">
        <f>QUANT!B53</f>
        <v>5213855</v>
      </c>
      <c r="C54" s="6" t="str">
        <f>QUANT!C53</f>
        <v>SICRO 3</v>
      </c>
      <c r="D54" s="184" t="str">
        <f>QUANT!D53</f>
        <v>Fornecimento e implantação de suporte metálico galvanizado para placa de regulamentação - R1 - lado de 0,248 m</v>
      </c>
      <c r="E54" s="21"/>
      <c r="F54" s="405">
        <f>QUANT!F53</f>
        <v>13</v>
      </c>
      <c r="G54" s="405">
        <v>199.63</v>
      </c>
      <c r="H54" s="405">
        <f t="shared" si="2"/>
        <v>240.95</v>
      </c>
      <c r="I54" s="405">
        <f t="shared" si="0"/>
        <v>3132.35</v>
      </c>
      <c r="J54" s="172">
        <f>SUM(I51:I54)</f>
        <v>18261.62</v>
      </c>
      <c r="K54" s="416"/>
    </row>
    <row r="55" spans="1:19" ht="15" customHeight="1">
      <c r="A55" s="21"/>
      <c r="B55" s="6"/>
      <c r="C55" s="6"/>
      <c r="D55" s="8"/>
      <c r="E55" s="21"/>
      <c r="F55" s="405"/>
      <c r="G55" s="405"/>
      <c r="H55" s="405"/>
      <c r="I55" s="405"/>
      <c r="J55" s="191"/>
      <c r="K55" s="416"/>
      <c r="M55" s="233"/>
      <c r="N55" s="233"/>
      <c r="O55" s="233"/>
      <c r="P55" s="233"/>
      <c r="Q55" s="233"/>
      <c r="R55" s="233"/>
      <c r="S55" s="233"/>
    </row>
    <row r="56" spans="1:19" ht="15" customHeight="1">
      <c r="A56" s="22" t="str">
        <f>QUANT!A55</f>
        <v>7.0</v>
      </c>
      <c r="B56" s="231"/>
      <c r="C56" s="231"/>
      <c r="D56" s="232" t="str">
        <f>QUANT!D55</f>
        <v>OBRAS COMPLEMENTARES</v>
      </c>
      <c r="E56" s="21"/>
      <c r="F56" s="405"/>
      <c r="G56" s="405"/>
      <c r="H56" s="405"/>
      <c r="I56" s="405"/>
      <c r="J56" s="191"/>
      <c r="K56" s="416"/>
      <c r="M56" s="165"/>
      <c r="N56" s="165"/>
      <c r="O56" s="165"/>
      <c r="P56" s="165"/>
      <c r="Q56" s="165"/>
      <c r="R56" s="165"/>
      <c r="S56" s="165"/>
    </row>
    <row r="57" spans="1:19" ht="25.5">
      <c r="A57" s="21" t="str">
        <f>QUANT!A56</f>
        <v>7.1</v>
      </c>
      <c r="B57" s="6">
        <f>QUANT!B56</f>
        <v>94267</v>
      </c>
      <c r="C57" s="6" t="str">
        <f>QUANT!C56</f>
        <v>SINAPI</v>
      </c>
      <c r="D57" s="184" t="str">
        <f>QUANT!D56</f>
        <v>Guia (meio-fio) e sarjeta conjugados de concreto, moldada in loco em trecho reto com extrusora, guia 13 cm base x 22 cm altura, sarjeta 30 cm base x 8,5 cm altura. af_06/2016</v>
      </c>
      <c r="E57" s="21" t="str">
        <f>QUANT!E56</f>
        <v>m</v>
      </c>
      <c r="F57" s="405">
        <f>QUANT!F56</f>
        <v>3087.486</v>
      </c>
      <c r="G57" s="405">
        <v>32.77</v>
      </c>
      <c r="H57" s="405">
        <f t="shared" si="2"/>
        <v>39.55</v>
      </c>
      <c r="I57" s="405">
        <f t="shared" si="0"/>
        <v>122110.07</v>
      </c>
      <c r="J57" s="191"/>
      <c r="K57" s="416"/>
      <c r="M57" s="165"/>
      <c r="N57" s="165"/>
      <c r="O57" s="165"/>
      <c r="P57" s="165"/>
      <c r="Q57" s="165"/>
      <c r="R57" s="165"/>
      <c r="S57" s="165"/>
    </row>
    <row r="58" spans="1:11" s="2" customFormat="1" ht="12.75">
      <c r="A58" s="21" t="s">
        <v>279</v>
      </c>
      <c r="B58" s="6" t="str">
        <f>QUANT!B57</f>
        <v>73916/002</v>
      </c>
      <c r="C58" s="6" t="str">
        <f>QUANT!C57</f>
        <v>SINAPI</v>
      </c>
      <c r="D58" s="185" t="str">
        <f>QUANT!D57</f>
        <v>Placa esmaltada para identificação NR de Rua, dimensões 45X25cm</v>
      </c>
      <c r="E58" s="21" t="str">
        <f>QUANT!E57</f>
        <v>unid</v>
      </c>
      <c r="F58" s="405">
        <f>QUANT!F57</f>
        <v>3.6789999999999994</v>
      </c>
      <c r="G58" s="405">
        <v>139.02</v>
      </c>
      <c r="H58" s="405">
        <f t="shared" si="2"/>
        <v>167.79</v>
      </c>
      <c r="I58" s="405">
        <f t="shared" si="0"/>
        <v>617.29</v>
      </c>
      <c r="J58" s="172">
        <f>SUM(I57:I58)</f>
        <v>122727.36</v>
      </c>
      <c r="K58" s="416"/>
    </row>
    <row r="59" spans="1:11" ht="15" customHeight="1">
      <c r="A59" s="21"/>
      <c r="B59" s="6"/>
      <c r="C59" s="6"/>
      <c r="D59" s="8"/>
      <c r="E59" s="21"/>
      <c r="F59" s="405"/>
      <c r="G59" s="405"/>
      <c r="H59" s="405"/>
      <c r="I59" s="405"/>
      <c r="J59" s="191"/>
      <c r="K59" s="416"/>
    </row>
    <row r="60" spans="1:11" ht="15" customHeight="1">
      <c r="A60" s="22" t="str">
        <f>QUANT!A59</f>
        <v>8.0</v>
      </c>
      <c r="B60" s="231"/>
      <c r="C60" s="231"/>
      <c r="D60" s="232" t="str">
        <f>QUANT!D59</f>
        <v>DRENAGEM</v>
      </c>
      <c r="E60" s="21"/>
      <c r="F60" s="405"/>
      <c r="G60" s="405"/>
      <c r="H60" s="405"/>
      <c r="I60" s="405"/>
      <c r="J60" s="172"/>
      <c r="K60" s="416"/>
    </row>
    <row r="61" spans="1:11" ht="12.75">
      <c r="A61" s="21" t="str">
        <f>QUANT!A60</f>
        <v>8.1</v>
      </c>
      <c r="B61" s="21">
        <f>QUANT!B60</f>
        <v>5213417</v>
      </c>
      <c r="C61" s="21" t="str">
        <f>QUANT!C60</f>
        <v>SICRO 03</v>
      </c>
      <c r="D61" s="184" t="str">
        <f>QUANT!D60</f>
        <v>Confecção de placa em aço nº 16 galvanizado, com película retrorrefletiva tipo I + III</v>
      </c>
      <c r="E61" s="21" t="str">
        <f>QUANT!E60</f>
        <v>m²</v>
      </c>
      <c r="F61" s="405">
        <f>QUANT!F60</f>
        <v>20</v>
      </c>
      <c r="G61" s="405">
        <v>260.73</v>
      </c>
      <c r="H61" s="405">
        <f t="shared" si="2"/>
        <v>314.7</v>
      </c>
      <c r="I61" s="405">
        <f t="shared" si="0"/>
        <v>6294</v>
      </c>
      <c r="J61" s="172"/>
      <c r="K61" s="416"/>
    </row>
    <row r="62" spans="1:18" s="3" customFormat="1" ht="22.5" customHeight="1">
      <c r="A62" s="21" t="str">
        <f>QUANT!A61</f>
        <v>8.2</v>
      </c>
      <c r="B62" s="21">
        <f>QUANT!B61</f>
        <v>85424</v>
      </c>
      <c r="C62" s="21" t="str">
        <f>QUANT!C61</f>
        <v>SINAPI</v>
      </c>
      <c r="D62" s="184" t="str">
        <f>QUANT!D61</f>
        <v>Isolamento de obra com tela plástica com malha de 5mm e estrutura de madeira pontaleteada</v>
      </c>
      <c r="E62" s="21" t="str">
        <f>QUANT!E61</f>
        <v>m²</v>
      </c>
      <c r="F62" s="405">
        <f>QUANT!F61</f>
        <v>10</v>
      </c>
      <c r="G62" s="405">
        <v>19.8</v>
      </c>
      <c r="H62" s="405">
        <f t="shared" si="2"/>
        <v>23.89</v>
      </c>
      <c r="I62" s="405">
        <f t="shared" si="0"/>
        <v>238.9</v>
      </c>
      <c r="J62" s="172"/>
      <c r="K62" s="416"/>
      <c r="L62" s="233"/>
      <c r="M62" s="233"/>
      <c r="N62" s="233"/>
      <c r="O62" s="233"/>
      <c r="P62" s="233"/>
      <c r="Q62" s="233"/>
      <c r="R62" s="233"/>
    </row>
    <row r="63" spans="1:18" s="3" customFormat="1" ht="12.75">
      <c r="A63" s="21" t="str">
        <f>QUANT!A62</f>
        <v>8.3</v>
      </c>
      <c r="B63" s="21" t="str">
        <f>QUANT!B62</f>
        <v>74219/001</v>
      </c>
      <c r="C63" s="21" t="str">
        <f>QUANT!C62</f>
        <v>SINAPI</v>
      </c>
      <c r="D63" s="184" t="str">
        <f>QUANT!D62</f>
        <v>Passadicos de madeira para pedestres</v>
      </c>
      <c r="E63" s="21" t="str">
        <f>QUANT!E62</f>
        <v>m²</v>
      </c>
      <c r="F63" s="405">
        <f>QUANT!F62</f>
        <v>10</v>
      </c>
      <c r="G63" s="405">
        <v>47.83</v>
      </c>
      <c r="H63" s="405">
        <f t="shared" si="2"/>
        <v>57.73</v>
      </c>
      <c r="I63" s="405">
        <f t="shared" si="0"/>
        <v>577.3</v>
      </c>
      <c r="J63" s="172"/>
      <c r="K63" s="416"/>
      <c r="L63" s="165"/>
      <c r="M63" s="165"/>
      <c r="N63" s="165"/>
      <c r="O63" s="165"/>
      <c r="P63" s="165"/>
      <c r="Q63" s="165"/>
      <c r="R63" s="165"/>
    </row>
    <row r="64" spans="1:18" s="3" customFormat="1" ht="38.25">
      <c r="A64" s="21" t="str">
        <f>QUANT!A63</f>
        <v>8.4</v>
      </c>
      <c r="B64" s="21">
        <f>QUANT!B63</f>
        <v>90091</v>
      </c>
      <c r="C64" s="21" t="str">
        <f>QUANT!C63</f>
        <v>SINAPI</v>
      </c>
      <c r="D64" s="184" t="str">
        <f>QUANT!D63</f>
        <v>Escavação mecanizada de vala com prof. até 1,5 m (média entre montante e jusante/uma composição por trecho), com retroescavadeira (0,26 m3/88 hp), larg. de 1,5 m a 2,5 m, em solo de 1a categoria, em locais com baixo nível de interferência. af_01/2015</v>
      </c>
      <c r="E64" s="21" t="str">
        <f>QUANT!E63</f>
        <v>m³</v>
      </c>
      <c r="F64" s="405">
        <f>QUANT!F63</f>
        <v>1393.8532799999998</v>
      </c>
      <c r="G64" s="405">
        <v>5.02</v>
      </c>
      <c r="H64" s="405">
        <f t="shared" si="2"/>
        <v>6.05</v>
      </c>
      <c r="I64" s="405">
        <f t="shared" si="0"/>
        <v>8432.81</v>
      </c>
      <c r="J64" s="172"/>
      <c r="K64" s="416"/>
      <c r="L64" s="234"/>
      <c r="M64" s="234"/>
      <c r="N64" s="234"/>
      <c r="O64" s="413"/>
      <c r="P64" s="414"/>
      <c r="Q64" s="234"/>
      <c r="R64" s="415"/>
    </row>
    <row r="65" spans="1:18" s="3" customFormat="1" ht="15" customHeight="1">
      <c r="A65" s="21" t="str">
        <f>QUANT!A64</f>
        <v>8.5</v>
      </c>
      <c r="B65" s="21">
        <f>QUANT!B64</f>
        <v>94097</v>
      </c>
      <c r="C65" s="21" t="str">
        <f>QUANT!C64</f>
        <v>SINAPI</v>
      </c>
      <c r="D65" s="184" t="str">
        <f>QUANT!D64</f>
        <v>Regularizacao e compactacao manual de terreno (fundo de valas)</v>
      </c>
      <c r="E65" s="21" t="str">
        <f>QUANT!E64</f>
        <v>m²</v>
      </c>
      <c r="F65" s="405">
        <f>QUANT!F64</f>
        <v>630.4000000000001</v>
      </c>
      <c r="G65" s="405">
        <v>4.69</v>
      </c>
      <c r="H65" s="405">
        <f t="shared" si="2"/>
        <v>5.66</v>
      </c>
      <c r="I65" s="405">
        <f t="shared" si="0"/>
        <v>3568.06</v>
      </c>
      <c r="J65" s="172"/>
      <c r="K65" s="416"/>
      <c r="L65" s="234"/>
      <c r="M65" s="234"/>
      <c r="N65" s="234"/>
      <c r="O65" s="413"/>
      <c r="P65" s="414"/>
      <c r="Q65" s="234"/>
      <c r="R65" s="415"/>
    </row>
    <row r="66" spans="1:11" s="3" customFormat="1" ht="12.75">
      <c r="A66" s="21" t="str">
        <f>QUANT!A65</f>
        <v>8.6</v>
      </c>
      <c r="B66" s="21">
        <f>QUANT!B65</f>
        <v>94103</v>
      </c>
      <c r="C66" s="21" t="str">
        <f>QUANT!C65</f>
        <v>SINAPI</v>
      </c>
      <c r="D66" s="184" t="str">
        <f>QUANT!D65</f>
        <v>Fornecimento e aplicação de Lastro de Brita  (com preparo de fundo de valas)</v>
      </c>
      <c r="E66" s="21" t="str">
        <f>QUANT!E65</f>
        <v>m³</v>
      </c>
      <c r="F66" s="405">
        <f>QUANT!F65</f>
        <v>148.15910000000002</v>
      </c>
      <c r="G66" s="405">
        <v>185.14</v>
      </c>
      <c r="H66" s="405">
        <f t="shared" si="2"/>
        <v>223.46</v>
      </c>
      <c r="I66" s="405">
        <f t="shared" si="0"/>
        <v>33107.63</v>
      </c>
      <c r="J66" s="172"/>
      <c r="K66" s="416"/>
    </row>
    <row r="67" spans="1:11" s="3" customFormat="1" ht="38.25">
      <c r="A67" s="21" t="str">
        <f>QUANT!A66</f>
        <v>8.7</v>
      </c>
      <c r="B67" s="21">
        <f>QUANT!B66</f>
        <v>93381</v>
      </c>
      <c r="C67" s="21" t="str">
        <f>QUANT!C66</f>
        <v>SINAPI</v>
      </c>
      <c r="D67" s="184" t="str">
        <f>QUANT!D66</f>
        <v>Reaterro mecanizado de vala com retroescavadeira (capacidade da caçamb a da retro: 0,26 m³ / potência: 88 hp), largura de 0,8 a 1,5 m, profun didade de 1,5 a 3,0 m, com solo (sem substituição) de 1ª categoria em locais com baixo nível de interferência. af_04/2016</v>
      </c>
      <c r="E67" s="21" t="str">
        <f>QUANT!E66</f>
        <v>m³</v>
      </c>
      <c r="F67" s="405">
        <f>QUANT!F66</f>
        <v>1217.5972799999997</v>
      </c>
      <c r="G67" s="405">
        <v>6.34</v>
      </c>
      <c r="H67" s="405">
        <f t="shared" si="2"/>
        <v>7.65</v>
      </c>
      <c r="I67" s="405">
        <f t="shared" si="0"/>
        <v>9314.61</v>
      </c>
      <c r="J67" s="172"/>
      <c r="K67" s="416"/>
    </row>
    <row r="68" spans="1:11" s="3" customFormat="1" ht="25.5">
      <c r="A68" s="21" t="str">
        <f>QUANT!A67</f>
        <v>8.8</v>
      </c>
      <c r="B68" s="21">
        <f>QUANT!B67</f>
        <v>93595</v>
      </c>
      <c r="C68" s="21" t="str">
        <f>QUANT!C67</f>
        <v>SINAPI</v>
      </c>
      <c r="D68" s="184" t="str">
        <f>QUANT!D67</f>
        <v>Transporte com caminhão basculante de 10 m3, em via urbana em revestimento primário (unidade: tonxkm). af_04/2016</v>
      </c>
      <c r="E68" s="21" t="str">
        <f>QUANT!E67</f>
        <v>txkm</v>
      </c>
      <c r="F68" s="405">
        <f>QUANT!F67</f>
        <v>4480.7579903999995</v>
      </c>
      <c r="G68" s="405">
        <v>0.75</v>
      </c>
      <c r="H68" s="405">
        <f t="shared" si="2"/>
        <v>0.9</v>
      </c>
      <c r="I68" s="405">
        <f t="shared" si="0"/>
        <v>4032.68</v>
      </c>
      <c r="J68" s="172"/>
      <c r="K68" s="416"/>
    </row>
    <row r="69" spans="1:11" s="3" customFormat="1" ht="25.5">
      <c r="A69" s="21" t="str">
        <f>QUANT!A68</f>
        <v>8.9</v>
      </c>
      <c r="B69" s="21">
        <f>QUANT!B68</f>
        <v>95878</v>
      </c>
      <c r="C69" s="21" t="str">
        <f>QUANT!C68</f>
        <v>SINAPI</v>
      </c>
      <c r="D69" s="184" t="str">
        <f>QUANT!D68</f>
        <v>Transporte com caminhão basculante de 10 m3, em via urbana pavimentada, dmt até 30 km (unidade: tonxkm). af_12/2016</v>
      </c>
      <c r="E69" s="21" t="str">
        <f>QUANT!E68</f>
        <v>txkm</v>
      </c>
      <c r="F69" s="405">
        <f>QUANT!F68</f>
        <v>19267.259358719995</v>
      </c>
      <c r="G69" s="405">
        <v>0.71</v>
      </c>
      <c r="H69" s="405">
        <f t="shared" si="2"/>
        <v>0.85</v>
      </c>
      <c r="I69" s="405">
        <f t="shared" si="0"/>
        <v>16377.17</v>
      </c>
      <c r="J69" s="172"/>
      <c r="K69" s="416"/>
    </row>
    <row r="70" spans="1:11" ht="25.5">
      <c r="A70" s="21" t="str">
        <f>QUANT!A69</f>
        <v>8.10</v>
      </c>
      <c r="B70" s="21" t="str">
        <f>QUANT!B69</f>
        <v>74010/001</v>
      </c>
      <c r="C70" s="21" t="str">
        <f>QUANT!C69</f>
        <v>SINAPI</v>
      </c>
      <c r="D70" s="184" t="str">
        <f>QUANT!D69</f>
        <v>Carga e descarga mecânica de solo utilizando caminhão basculante 5m³ /11t e pa carregadeira sobre pneus * 105 hp * cap. 1,72m3</v>
      </c>
      <c r="E70" s="21" t="str">
        <f>QUANT!E69</f>
        <v>m³</v>
      </c>
      <c r="F70" s="405">
        <f>QUANT!F69</f>
        <v>555.489102</v>
      </c>
      <c r="G70" s="405">
        <v>1.52</v>
      </c>
      <c r="H70" s="405">
        <f t="shared" si="2"/>
        <v>1.83</v>
      </c>
      <c r="I70" s="405">
        <f t="shared" si="0"/>
        <v>1016.54</v>
      </c>
      <c r="J70" s="172"/>
      <c r="K70" s="416"/>
    </row>
    <row r="71" spans="1:11" ht="12.75">
      <c r="A71" s="21" t="str">
        <f>QUANT!A70</f>
        <v>8.11</v>
      </c>
      <c r="B71" s="21">
        <f>QUANT!B70</f>
        <v>83344</v>
      </c>
      <c r="C71" s="21" t="str">
        <f>QUANT!C70</f>
        <v>SINAPI</v>
      </c>
      <c r="D71" s="184" t="str">
        <f>QUANT!D70</f>
        <v>Espalhamento de material em bota fora, com utilizacao de trator de esteiras de 165 HP</v>
      </c>
      <c r="E71" s="21" t="str">
        <f>QUANT!E70</f>
        <v>m³</v>
      </c>
      <c r="F71" s="405">
        <f>QUANT!F70</f>
        <v>555.489102</v>
      </c>
      <c r="G71" s="405">
        <v>0.89</v>
      </c>
      <c r="H71" s="405">
        <f t="shared" si="2"/>
        <v>1.07</v>
      </c>
      <c r="I71" s="405">
        <f t="shared" si="0"/>
        <v>594.37</v>
      </c>
      <c r="J71" s="172"/>
      <c r="K71" s="416"/>
    </row>
    <row r="72" spans="1:11" ht="25.5">
      <c r="A72" s="21" t="str">
        <f>QUANT!A71</f>
        <v>8.12</v>
      </c>
      <c r="B72" s="21">
        <f>QUANT!B71</f>
        <v>94038</v>
      </c>
      <c r="C72" s="21" t="str">
        <f>QUANT!C71</f>
        <v>SINAPI</v>
      </c>
      <c r="D72" s="184" t="str">
        <f>QUANT!D71</f>
        <v>Escoramento de vala, tipo pontaleteamento, com profundidade de 0 a 1,5 m, largura maior ou igual a 1,5 m e menor que 2,5 m, em local com nível alto de interferência. af_06/2016</v>
      </c>
      <c r="E72" s="21" t="str">
        <f>QUANT!E71</f>
        <v>m²</v>
      </c>
      <c r="F72" s="405">
        <f>QUANT!F71</f>
        <v>96.2</v>
      </c>
      <c r="G72" s="405">
        <v>20.8</v>
      </c>
      <c r="H72" s="405">
        <f t="shared" si="2"/>
        <v>25.1</v>
      </c>
      <c r="I72" s="405">
        <f t="shared" si="0"/>
        <v>2414.62</v>
      </c>
      <c r="J72" s="172"/>
      <c r="K72" s="416"/>
    </row>
    <row r="73" spans="1:11" ht="24.75" customHeight="1">
      <c r="A73" s="21" t="str">
        <f>QUANT!A72</f>
        <v>8.13</v>
      </c>
      <c r="B73" s="21">
        <f>QUANT!B72</f>
        <v>93589</v>
      </c>
      <c r="C73" s="21" t="str">
        <f>QUANT!C72</f>
        <v>SINAPI</v>
      </c>
      <c r="D73" s="185" t="str">
        <f>QUANT!D72</f>
        <v>Transporte com caminhão basculante de 10 m3, em via urbana em em revestimento primário (unidade: m³xkm). AF_04/2016</v>
      </c>
      <c r="E73" s="21" t="str">
        <f>QUANT!E72</f>
        <v>m³xkm</v>
      </c>
      <c r="F73" s="405">
        <f>QUANT!F72</f>
        <v>5554.89102</v>
      </c>
      <c r="G73" s="405">
        <v>1.14</v>
      </c>
      <c r="H73" s="405">
        <f t="shared" si="2"/>
        <v>1.37</v>
      </c>
      <c r="I73" s="405">
        <f aca="true" t="shared" si="3" ref="I73:I95">TRUNC(F73*H73,2)</f>
        <v>7610.2</v>
      </c>
      <c r="J73" s="172">
        <f>SUM(I61:I73)</f>
        <v>93578.88999999997</v>
      </c>
      <c r="K73" s="416"/>
    </row>
    <row r="74" spans="1:11" ht="15" customHeight="1">
      <c r="A74" s="21"/>
      <c r="B74" s="21"/>
      <c r="C74" s="21"/>
      <c r="D74" s="184"/>
      <c r="E74" s="21"/>
      <c r="F74" s="405"/>
      <c r="G74" s="405"/>
      <c r="H74" s="405"/>
      <c r="I74" s="405"/>
      <c r="J74" s="172"/>
      <c r="K74" s="416"/>
    </row>
    <row r="75" spans="1:11" s="236" customFormat="1" ht="15" customHeight="1">
      <c r="A75" s="22" t="str">
        <f>QUANT!A74</f>
        <v>9.0</v>
      </c>
      <c r="B75" s="22"/>
      <c r="C75" s="22"/>
      <c r="D75" s="235" t="str">
        <f>QUANT!D74</f>
        <v>FORNECIMENTO/ASSENTAMENTO DE TUBOS TIPO PA-1</v>
      </c>
      <c r="E75" s="22"/>
      <c r="F75" s="405"/>
      <c r="G75" s="405"/>
      <c r="H75" s="405"/>
      <c r="I75" s="405"/>
      <c r="J75" s="172"/>
      <c r="K75" s="416"/>
    </row>
    <row r="76" spans="1:11" ht="24" customHeight="1">
      <c r="A76" s="21" t="str">
        <f>QUANT!A75</f>
        <v>9.1</v>
      </c>
      <c r="B76" s="21">
        <f>QUANT!B75</f>
        <v>7725</v>
      </c>
      <c r="C76" s="21" t="str">
        <f>QUANT!C80</f>
        <v>SINAPI</v>
      </c>
      <c r="D76" s="183" t="str">
        <f>QUANT!D75</f>
        <v>Tubo concreto armado, classe PA-1, pb, dn 600 mm, para aguas pluviais (nbr 8890)</v>
      </c>
      <c r="E76" s="21" t="str">
        <f>QUANT!E80</f>
        <v>m</v>
      </c>
      <c r="F76" s="405">
        <f>QUANT!F80</f>
        <v>240</v>
      </c>
      <c r="G76" s="405">
        <v>82</v>
      </c>
      <c r="H76" s="405">
        <f>TRUNC((G76*(1+($D$5))),2)</f>
        <v>94.52</v>
      </c>
      <c r="I76" s="405">
        <f t="shared" si="3"/>
        <v>22684.8</v>
      </c>
      <c r="J76" s="172"/>
      <c r="K76" s="416"/>
    </row>
    <row r="77" spans="1:11" ht="23.25" customHeight="1">
      <c r="A77" s="21" t="str">
        <f>QUANT!A76</f>
        <v>9.2</v>
      </c>
      <c r="B77" s="21">
        <f>QUANT!B76</f>
        <v>7750</v>
      </c>
      <c r="C77" s="21" t="str">
        <f>QUANT!C81</f>
        <v>SINAPI</v>
      </c>
      <c r="D77" s="183" t="str">
        <f>QUANT!D76</f>
        <v>Tubo concreto armado, classe PA-1, pb, dn 800 mm, para aguas pluviais (nbr 8890)</v>
      </c>
      <c r="E77" s="21" t="str">
        <f>QUANT!E81</f>
        <v>m</v>
      </c>
      <c r="F77" s="405">
        <f>QUANT!F81</f>
        <v>241</v>
      </c>
      <c r="G77" s="405">
        <v>130.52</v>
      </c>
      <c r="H77" s="405">
        <f>TRUNC((G77*(1+($D$5))),2)</f>
        <v>150.45</v>
      </c>
      <c r="I77" s="405">
        <f t="shared" si="3"/>
        <v>36258.45</v>
      </c>
      <c r="J77" s="172"/>
      <c r="K77" s="416"/>
    </row>
    <row r="78" spans="1:11" ht="26.25" customHeight="1">
      <c r="A78" s="21" t="str">
        <f>QUANT!A77</f>
        <v>9.3</v>
      </c>
      <c r="B78" s="21">
        <f>QUANT!B77</f>
        <v>7753</v>
      </c>
      <c r="C78" s="21" t="str">
        <f>QUANT!C82</f>
        <v>SINAPI</v>
      </c>
      <c r="D78" s="183" t="str">
        <f>QUANT!D77</f>
        <v>Tubo concreto armado, classe PA-1, pb, dn 1000 mm, para aguas pluviais (nbr 8890)</v>
      </c>
      <c r="E78" s="21" t="str">
        <f>QUANT!E82</f>
        <v>m</v>
      </c>
      <c r="F78" s="405">
        <f>QUANT!F82</f>
        <v>14</v>
      </c>
      <c r="G78" s="405">
        <v>179.15</v>
      </c>
      <c r="H78" s="405">
        <f>TRUNC((G78*(1+($D$5))),2)</f>
        <v>206.5</v>
      </c>
      <c r="I78" s="405">
        <f t="shared" si="3"/>
        <v>2891</v>
      </c>
      <c r="J78" s="172">
        <f>SUM(I76:I78)</f>
        <v>61834.25</v>
      </c>
      <c r="K78" s="416"/>
    </row>
    <row r="79" spans="1:11" ht="15" customHeight="1">
      <c r="A79" s="21"/>
      <c r="B79" s="21"/>
      <c r="C79" s="21"/>
      <c r="D79" s="184"/>
      <c r="E79" s="21"/>
      <c r="F79" s="405"/>
      <c r="G79" s="405"/>
      <c r="H79" s="405"/>
      <c r="I79" s="405"/>
      <c r="J79" s="172"/>
      <c r="K79" s="416"/>
    </row>
    <row r="80" spans="1:11" s="236" customFormat="1" ht="15" customHeight="1">
      <c r="A80" s="22" t="str">
        <f>QUANT!A79</f>
        <v>10.0</v>
      </c>
      <c r="B80" s="22"/>
      <c r="C80" s="22"/>
      <c r="D80" s="235" t="str">
        <f>QUANT!D79</f>
        <v>ASSENTAMENTO E REJUNTAMENTO DE TUBO DE CONCRETO </v>
      </c>
      <c r="E80" s="22"/>
      <c r="F80" s="405"/>
      <c r="G80" s="405"/>
      <c r="H80" s="405"/>
      <c r="I80" s="405"/>
      <c r="J80" s="172"/>
      <c r="K80" s="416"/>
    </row>
    <row r="81" spans="1:11" ht="25.5">
      <c r="A81" s="21" t="str">
        <f>QUANT!A80</f>
        <v>10.1</v>
      </c>
      <c r="B81" s="21">
        <f>QUANT!B80</f>
        <v>92824</v>
      </c>
      <c r="C81" s="21" t="str">
        <f>QUANT!C80</f>
        <v>SINAPI</v>
      </c>
      <c r="D81" s="184" t="str">
        <f>QUANT!D80</f>
        <v>Assentamento de tubo de concreto para redes coletoras de águas pluviais, diâmetro de 600 mm, junta rígida, instalado em local com alto nível</v>
      </c>
      <c r="E81" s="21" t="str">
        <f>QUANT!E80</f>
        <v>m</v>
      </c>
      <c r="F81" s="405">
        <f>QUANT!F80</f>
        <v>240</v>
      </c>
      <c r="G81" s="405">
        <v>62.99</v>
      </c>
      <c r="H81" s="405">
        <f>TRUNC((G81*(1+($D$4))),2)</f>
        <v>76.02</v>
      </c>
      <c r="I81" s="405">
        <f t="shared" si="3"/>
        <v>18244.8</v>
      </c>
      <c r="J81" s="172"/>
      <c r="K81" s="416"/>
    </row>
    <row r="82" spans="1:11" ht="25.5">
      <c r="A82" s="21" t="str">
        <f>QUANT!A81</f>
        <v>10.2</v>
      </c>
      <c r="B82" s="21">
        <f>QUANT!B81</f>
        <v>92826</v>
      </c>
      <c r="C82" s="21" t="str">
        <f>QUANT!C81</f>
        <v>SINAPI</v>
      </c>
      <c r="D82" s="184" t="str">
        <f>QUANT!D81</f>
        <v>Assentamento de tubo de concreto para redes coletoras de águas pluviai s, diâmetro de 800 mm, junta rígida, instalado em local com alto níve</v>
      </c>
      <c r="E82" s="21" t="str">
        <f>QUANT!E81</f>
        <v>m</v>
      </c>
      <c r="F82" s="405">
        <f>QUANT!F81</f>
        <v>241</v>
      </c>
      <c r="G82" s="405">
        <v>84.02</v>
      </c>
      <c r="H82" s="405">
        <f>TRUNC((G82*(1+($D$4))),2)</f>
        <v>101.41</v>
      </c>
      <c r="I82" s="405">
        <f t="shared" si="3"/>
        <v>24439.81</v>
      </c>
      <c r="J82" s="172"/>
      <c r="K82" s="416"/>
    </row>
    <row r="83" spans="1:11" ht="25.5">
      <c r="A83" s="21" t="str">
        <f>QUANT!A82</f>
        <v>10.3</v>
      </c>
      <c r="B83" s="21">
        <f>QUANT!B82</f>
        <v>92828</v>
      </c>
      <c r="C83" s="21" t="str">
        <f>QUANT!C82</f>
        <v>SINAPI</v>
      </c>
      <c r="D83" s="184" t="str">
        <f>QUANT!D82</f>
        <v>Assentamento de tubo de concreto para redes coletoras de águas pluviai s, diâmetro de 1000 mm, junta rígida, instalado em local com alto níve</v>
      </c>
      <c r="E83" s="21" t="str">
        <f>QUANT!E82</f>
        <v>m</v>
      </c>
      <c r="F83" s="405">
        <f>QUANT!F82</f>
        <v>14</v>
      </c>
      <c r="G83" s="405">
        <v>108.79</v>
      </c>
      <c r="H83" s="405">
        <f>TRUNC((G83*(1+($D$4))),2)</f>
        <v>131.3</v>
      </c>
      <c r="I83" s="405">
        <f t="shared" si="3"/>
        <v>1838.2</v>
      </c>
      <c r="J83" s="172">
        <f>SUM(I80:I83)</f>
        <v>44522.81</v>
      </c>
      <c r="K83" s="416"/>
    </row>
    <row r="84" spans="1:11" ht="15" customHeight="1">
      <c r="A84" s="21"/>
      <c r="B84" s="21"/>
      <c r="C84" s="21"/>
      <c r="D84" s="184"/>
      <c r="E84" s="21"/>
      <c r="F84" s="405"/>
      <c r="G84" s="405"/>
      <c r="H84" s="405"/>
      <c r="I84" s="405"/>
      <c r="J84" s="191"/>
      <c r="K84" s="416"/>
    </row>
    <row r="85" spans="1:11" s="236" customFormat="1" ht="15" customHeight="1">
      <c r="A85" s="22" t="str">
        <f>QUANT!A84</f>
        <v>11.0</v>
      </c>
      <c r="B85" s="22"/>
      <c r="C85" s="22"/>
      <c r="D85" s="235" t="str">
        <f>QUANT!D84</f>
        <v>ÓRGÃOS ACESSÓRIOS</v>
      </c>
      <c r="E85" s="22"/>
      <c r="F85" s="405"/>
      <c r="G85" s="405"/>
      <c r="H85" s="405"/>
      <c r="I85" s="405"/>
      <c r="J85" s="172"/>
      <c r="K85" s="416"/>
    </row>
    <row r="86" spans="1:11" ht="12.75">
      <c r="A86" s="21" t="str">
        <f>QUANT!A85</f>
        <v>11.1</v>
      </c>
      <c r="B86" s="21" t="str">
        <f>QUANT!B85</f>
        <v>COMP.</v>
      </c>
      <c r="C86" s="21" t="str">
        <f>QUANT!C85</f>
        <v>SICRO 03</v>
      </c>
      <c r="D86" s="184" t="str">
        <f>QUANT!D85</f>
        <v>BLS - Boca de lobo simples, c/abertura pela guia 1,00m - conforme protjeto tipo</v>
      </c>
      <c r="E86" s="21" t="str">
        <f>QUANT!E85</f>
        <v>unid</v>
      </c>
      <c r="F86" s="405">
        <f>QUANT!F85</f>
        <v>14</v>
      </c>
      <c r="G86" s="405">
        <v>873.74</v>
      </c>
      <c r="H86" s="405">
        <f aca="true" t="shared" si="4" ref="H86:H95">TRUNC((G86*(1+($D$4))),2)</f>
        <v>1054.6</v>
      </c>
      <c r="I86" s="405">
        <f t="shared" si="3"/>
        <v>14764.4</v>
      </c>
      <c r="J86" s="191"/>
      <c r="K86" s="416"/>
    </row>
    <row r="87" spans="1:11" ht="12.75">
      <c r="A87" s="21" t="str">
        <f>QUANT!A86</f>
        <v>11.2</v>
      </c>
      <c r="B87" s="21" t="str">
        <f>QUANT!B86</f>
        <v>COMP.</v>
      </c>
      <c r="C87" s="21" t="str">
        <f>QUANT!C86</f>
        <v>SICRO 03</v>
      </c>
      <c r="D87" s="184" t="str">
        <f>QUANT!D86</f>
        <v>BLD - Boca de lobo dupla, c/abertura pela guia 1,00m - conforme protjeto tipo</v>
      </c>
      <c r="E87" s="21" t="str">
        <f>QUANT!E86</f>
        <v>unid</v>
      </c>
      <c r="F87" s="405">
        <f>QUANT!F86</f>
        <v>8</v>
      </c>
      <c r="G87" s="405">
        <v>1589.3</v>
      </c>
      <c r="H87" s="405">
        <f>TRUNC((G87*(1+($D$4))),2)</f>
        <v>1918.28</v>
      </c>
      <c r="I87" s="405">
        <f t="shared" si="3"/>
        <v>15346.24</v>
      </c>
      <c r="J87" s="191"/>
      <c r="K87" s="416"/>
    </row>
    <row r="88" spans="1:11" ht="12.75">
      <c r="A88" s="21" t="str">
        <f>QUANT!A87</f>
        <v>11.3</v>
      </c>
      <c r="B88" s="21" t="str">
        <f>QUANT!B87</f>
        <v>COMP.</v>
      </c>
      <c r="C88" s="21" t="str">
        <f>QUANT!C87</f>
        <v>SICRO 03</v>
      </c>
      <c r="D88" s="184" t="str">
        <f>QUANT!D87</f>
        <v>BLT - Boca de lobo tripla, c/abertura pela guia 1,00m - conforme protjeto tipo</v>
      </c>
      <c r="E88" s="21" t="str">
        <f>QUANT!E87</f>
        <v>unid</v>
      </c>
      <c r="F88" s="405">
        <f>QUANT!F87</f>
        <v>2</v>
      </c>
      <c r="G88" s="405">
        <v>2505.49</v>
      </c>
      <c r="H88" s="405">
        <f>TRUNC((G88*(1+($D$4))),2)</f>
        <v>3024.12</v>
      </c>
      <c r="I88" s="405">
        <f t="shared" si="3"/>
        <v>6048.24</v>
      </c>
      <c r="J88" s="191"/>
      <c r="K88" s="416"/>
    </row>
    <row r="89" spans="1:11" ht="12.75">
      <c r="A89" s="21" t="str">
        <f>QUANT!A88</f>
        <v>11.4</v>
      </c>
      <c r="B89" s="21">
        <f>QUANT!B88</f>
        <v>2003644</v>
      </c>
      <c r="C89" s="21" t="str">
        <f>QUANT!C88</f>
        <v>SICRO 03</v>
      </c>
      <c r="D89" s="184" t="str">
        <f>QUANT!D88</f>
        <v>Caixa de ligação e passagem - CLP 02 - areia e brita comerciais</v>
      </c>
      <c r="E89" s="21" t="str">
        <f>QUANT!E88</f>
        <v>unid</v>
      </c>
      <c r="F89" s="405">
        <f>QUANT!F88</f>
        <v>5</v>
      </c>
      <c r="G89" s="405">
        <v>1128.38</v>
      </c>
      <c r="H89" s="405">
        <f>TRUNC((G89*(1+($D$4))),2)</f>
        <v>1361.95</v>
      </c>
      <c r="I89" s="405">
        <f t="shared" si="3"/>
        <v>6809.75</v>
      </c>
      <c r="J89" s="191"/>
      <c r="K89" s="416"/>
    </row>
    <row r="90" spans="1:11" ht="12.75">
      <c r="A90" s="21" t="str">
        <f>QUANT!A89</f>
        <v>11.5</v>
      </c>
      <c r="B90" s="21">
        <f>QUANT!B89</f>
        <v>83712</v>
      </c>
      <c r="C90" s="21" t="str">
        <f>QUANT!C89</f>
        <v>SINAPI</v>
      </c>
      <c r="D90" s="184" t="str">
        <f>QUANT!D89</f>
        <v>Poco de visita em alvenaria, para rede d=1,20 m, parte fixa c/ 1,00 m de altura</v>
      </c>
      <c r="E90" s="21" t="str">
        <f>QUANT!E89</f>
        <v>unid</v>
      </c>
      <c r="F90" s="405">
        <f>QUANT!F89</f>
        <v>7</v>
      </c>
      <c r="G90" s="405">
        <v>4600.58</v>
      </c>
      <c r="H90" s="405">
        <f t="shared" si="4"/>
        <v>5552.9</v>
      </c>
      <c r="I90" s="405">
        <f t="shared" si="3"/>
        <v>38870.3</v>
      </c>
      <c r="J90" s="191"/>
      <c r="K90" s="416"/>
    </row>
    <row r="91" spans="1:11" ht="15" customHeight="1">
      <c r="A91" s="21" t="str">
        <f>QUANT!A90</f>
        <v>11.6</v>
      </c>
      <c r="B91" s="21">
        <f>QUANT!B90</f>
        <v>2003718</v>
      </c>
      <c r="C91" s="21" t="str">
        <f>QUANT!C90</f>
        <v>SICRO 03</v>
      </c>
      <c r="D91" s="184" t="str">
        <f>QUANT!D90</f>
        <v>Chaminé dos poços de visita - CPV 03 - areia e brita comerciais</v>
      </c>
      <c r="E91" s="21" t="str">
        <f>QUANT!E90</f>
        <v>unid</v>
      </c>
      <c r="F91" s="405">
        <f>QUANT!F90</f>
        <v>7</v>
      </c>
      <c r="G91" s="405">
        <v>1466.5</v>
      </c>
      <c r="H91" s="405">
        <f t="shared" si="4"/>
        <v>1770.06</v>
      </c>
      <c r="I91" s="405">
        <f t="shared" si="3"/>
        <v>12390.42</v>
      </c>
      <c r="J91" s="191"/>
      <c r="K91" s="416"/>
    </row>
    <row r="92" spans="1:11" ht="12.75">
      <c r="A92" s="21" t="str">
        <f>QUANT!A91</f>
        <v>11.7</v>
      </c>
      <c r="B92" s="21">
        <f>QUANT!B91</f>
        <v>2003578</v>
      </c>
      <c r="C92" s="21" t="str">
        <f>QUANT!C91</f>
        <v>SICRO 03</v>
      </c>
      <c r="D92" s="184" t="str">
        <f>QUANT!D91</f>
        <v>Dreno longitudinal profundo para corte em solo - DPS 13 - tubo PEAD e brita comercial</v>
      </c>
      <c r="E92" s="21" t="str">
        <f>QUANT!E91</f>
        <v>m</v>
      </c>
      <c r="F92" s="405">
        <f>QUANT!F91</f>
        <v>228</v>
      </c>
      <c r="G92" s="405">
        <v>109.84</v>
      </c>
      <c r="H92" s="405">
        <f t="shared" si="4"/>
        <v>132.57</v>
      </c>
      <c r="I92" s="405">
        <f t="shared" si="3"/>
        <v>30225.96</v>
      </c>
      <c r="J92" s="172"/>
      <c r="K92" s="416"/>
    </row>
    <row r="93" spans="1:11" ht="15" customHeight="1">
      <c r="A93" s="21" t="str">
        <f>QUANT!A92</f>
        <v>11.8</v>
      </c>
      <c r="B93" s="21">
        <f>QUANT!B92</f>
        <v>2003387</v>
      </c>
      <c r="C93" s="21" t="str">
        <f>QUANT!C92</f>
        <v>SICRO 03</v>
      </c>
      <c r="D93" s="184" t="str">
        <f>QUANT!D92</f>
        <v>Entrada para descida d'água - EDA 02 - areia e brita comerciais</v>
      </c>
      <c r="E93" s="21" t="str">
        <f>QUANT!E92</f>
        <v>unid</v>
      </c>
      <c r="F93" s="405">
        <f>QUANT!F92</f>
        <v>1</v>
      </c>
      <c r="G93" s="405">
        <v>51.27</v>
      </c>
      <c r="H93" s="405">
        <f t="shared" si="4"/>
        <v>61.88</v>
      </c>
      <c r="I93" s="405">
        <f t="shared" si="3"/>
        <v>61.88</v>
      </c>
      <c r="J93" s="172"/>
      <c r="K93" s="416"/>
    </row>
    <row r="94" spans="1:11" ht="15" customHeight="1">
      <c r="A94" s="21" t="str">
        <f>QUANT!A93</f>
        <v>11.9</v>
      </c>
      <c r="B94" s="21">
        <f>QUANT!B93</f>
        <v>2003391</v>
      </c>
      <c r="C94" s="21" t="str">
        <f>QUANT!C93</f>
        <v>SICRO 03</v>
      </c>
      <c r="D94" s="184" t="str">
        <f>QUANT!D93</f>
        <v>Descida d'água de aterros tipo rápido - DAR 02 - areia e brita comerciais</v>
      </c>
      <c r="E94" s="21" t="str">
        <f>QUANT!E93</f>
        <v>m</v>
      </c>
      <c r="F94" s="405">
        <f>QUANT!F93</f>
        <v>2.5</v>
      </c>
      <c r="G94" s="405">
        <v>116.84</v>
      </c>
      <c r="H94" s="405">
        <f t="shared" si="4"/>
        <v>141.02</v>
      </c>
      <c r="I94" s="405">
        <f t="shared" si="3"/>
        <v>352.55</v>
      </c>
      <c r="J94" s="172"/>
      <c r="K94" s="416"/>
    </row>
    <row r="95" spans="1:11" ht="12.75">
      <c r="A95" s="21" t="str">
        <f>QUANT!A94</f>
        <v>11.10</v>
      </c>
      <c r="B95" s="21">
        <f>QUANT!B94</f>
        <v>804393</v>
      </c>
      <c r="C95" s="21" t="str">
        <f>QUANT!C94</f>
        <v>SICRO 03</v>
      </c>
      <c r="D95" s="184" t="str">
        <f>QUANT!D94</f>
        <v>Boca BSTC D = 1,00 m - esconsidade 0° - areia e brita comerciais - alas esconsas</v>
      </c>
      <c r="E95" s="21" t="str">
        <f>QUANT!E94</f>
        <v>unid</v>
      </c>
      <c r="F95" s="405">
        <f>QUANT!F94</f>
        <v>1</v>
      </c>
      <c r="G95" s="405">
        <v>2283.6</v>
      </c>
      <c r="H95" s="405">
        <f t="shared" si="4"/>
        <v>2756.3</v>
      </c>
      <c r="I95" s="405">
        <f t="shared" si="3"/>
        <v>2756.3</v>
      </c>
      <c r="J95" s="172">
        <f>SUM(I86:I95)</f>
        <v>127626.04000000001</v>
      </c>
      <c r="K95" s="416"/>
    </row>
    <row r="96" spans="1:14" ht="15" customHeight="1">
      <c r="A96" s="21"/>
      <c r="B96" s="6"/>
      <c r="C96" s="6"/>
      <c r="D96" s="8"/>
      <c r="E96" s="6"/>
      <c r="F96" s="405"/>
      <c r="G96" s="405"/>
      <c r="H96" s="405"/>
      <c r="I96" s="406" t="s">
        <v>16</v>
      </c>
      <c r="J96" s="281">
        <f>SUM(J11:J95)</f>
        <v>1363046.8699999999</v>
      </c>
      <c r="K96" s="416"/>
      <c r="L96" s="411"/>
      <c r="N96" s="4"/>
    </row>
    <row r="98" spans="6:10" ht="15" customHeight="1">
      <c r="F98" s="467"/>
      <c r="G98" s="467"/>
      <c r="J98" s="249"/>
    </row>
    <row r="99" spans="6:7" ht="15" customHeight="1">
      <c r="F99" s="467"/>
      <c r="G99" s="467"/>
    </row>
    <row r="100" spans="10:12" ht="15" customHeight="1">
      <c r="J100" s="418"/>
      <c r="K100" s="419"/>
      <c r="L100" s="419"/>
    </row>
    <row r="101" ht="15" customHeight="1">
      <c r="J101" s="280"/>
    </row>
    <row r="104" ht="15" customHeight="1">
      <c r="J104" s="42"/>
    </row>
  </sheetData>
  <sheetProtection/>
  <mergeCells count="9">
    <mergeCell ref="F99:G99"/>
    <mergeCell ref="E4:F4"/>
    <mergeCell ref="D3:I3"/>
    <mergeCell ref="A1:C3"/>
    <mergeCell ref="A4:C4"/>
    <mergeCell ref="A5:C5"/>
    <mergeCell ref="D1:I1"/>
    <mergeCell ref="D2:I2"/>
    <mergeCell ref="F98:G98"/>
  </mergeCells>
  <printOptions horizontalCentered="1"/>
  <pageMargins left="0.3937007874015748" right="0.1968503937007874" top="0.984251968503937" bottom="0.3937007874015748" header="0.5118110236220472" footer="0.5118110236220472"/>
  <pageSetup fitToHeight="0" fitToWidth="4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="90" zoomScaleNormal="90" zoomScalePageLayoutView="0" workbookViewId="0" topLeftCell="A25">
      <selection activeCell="J36" sqref="J36"/>
    </sheetView>
  </sheetViews>
  <sheetFormatPr defaultColWidth="9.140625" defaultRowHeight="14.25" customHeight="1"/>
  <cols>
    <col min="1" max="1" width="13.7109375" style="0" customWidth="1"/>
    <col min="2" max="2" width="59.00390625" style="0" customWidth="1"/>
    <col min="3" max="3" width="12.7109375" style="0" customWidth="1"/>
    <col min="4" max="4" width="12.140625" style="0" customWidth="1"/>
    <col min="5" max="5" width="8.00390625" style="0" customWidth="1"/>
    <col min="6" max="6" width="13.421875" style="0" bestFit="1" customWidth="1"/>
    <col min="8" max="8" width="12.8515625" style="0" customWidth="1"/>
    <col min="9" max="9" width="9.28125" style="0" bestFit="1" customWidth="1"/>
    <col min="10" max="10" width="21.57421875" style="0" customWidth="1"/>
  </cols>
  <sheetData>
    <row r="1" spans="1:10" ht="23.25" customHeight="1">
      <c r="A1" s="285" t="str">
        <f>QUANT!A3</f>
        <v>LOGRADOUROS: Rua Noronha dos Santos, Calógeras, Rio Amazonas, Rio Xingu, Rio Negro e Cancioneiro</v>
      </c>
      <c r="B1" s="270"/>
      <c r="C1" s="270"/>
      <c r="D1" s="270"/>
      <c r="E1" s="270"/>
      <c r="F1" s="270"/>
      <c r="G1" s="270"/>
      <c r="H1" s="270"/>
      <c r="I1" s="270"/>
      <c r="J1" s="271"/>
    </row>
    <row r="2" spans="1:10" ht="23.25" customHeight="1">
      <c r="A2" s="179" t="str">
        <f>'ORÇA '!A28</f>
        <v>4.0</v>
      </c>
      <c r="B2" s="275" t="str">
        <f>'ORÇA '!D28</f>
        <v>TERRAPLENAGEM</v>
      </c>
      <c r="C2" s="276"/>
      <c r="D2" s="276"/>
      <c r="E2" s="276"/>
      <c r="F2" s="276"/>
      <c r="G2" s="276"/>
      <c r="H2" s="276"/>
      <c r="I2" s="276"/>
      <c r="J2" s="277"/>
    </row>
    <row r="3" spans="1:10" ht="23.25" customHeight="1">
      <c r="A3" s="267" t="s">
        <v>371</v>
      </c>
      <c r="B3" s="268"/>
      <c r="C3" s="268"/>
      <c r="D3" s="268"/>
      <c r="E3" s="268"/>
      <c r="F3" s="268"/>
      <c r="G3" s="268"/>
      <c r="H3" s="269"/>
      <c r="I3" s="11"/>
      <c r="J3" s="17"/>
    </row>
    <row r="4" spans="1:10" ht="23.25" customHeight="1">
      <c r="A4" s="242" t="s">
        <v>17</v>
      </c>
      <c r="B4" s="242" t="s">
        <v>18</v>
      </c>
      <c r="C4" s="242" t="s">
        <v>19</v>
      </c>
      <c r="D4" s="242" t="s">
        <v>13</v>
      </c>
      <c r="E4" s="242" t="s">
        <v>20</v>
      </c>
      <c r="F4" s="12" t="s">
        <v>21</v>
      </c>
      <c r="G4" s="12"/>
      <c r="H4" s="266" t="s">
        <v>22</v>
      </c>
      <c r="I4" s="242" t="s">
        <v>23</v>
      </c>
      <c r="J4" s="242" t="s">
        <v>24</v>
      </c>
    </row>
    <row r="5" spans="1:10" ht="23.25" customHeight="1">
      <c r="A5" s="242"/>
      <c r="B5" s="242"/>
      <c r="C5" s="242"/>
      <c r="D5" s="242"/>
      <c r="E5" s="242"/>
      <c r="F5" s="12" t="s">
        <v>25</v>
      </c>
      <c r="G5" s="12" t="s">
        <v>12</v>
      </c>
      <c r="H5" s="266"/>
      <c r="I5" s="242"/>
      <c r="J5" s="242"/>
    </row>
    <row r="6" spans="1:10" ht="23.25" customHeight="1">
      <c r="A6" s="129" t="str">
        <f>QUANT!B29</f>
        <v>74205/001</v>
      </c>
      <c r="B6" s="152" t="str">
        <f>QUANT!D29</f>
        <v>Escavacao mecanica de material 1a. categoria, proveniente de corte de subleito (c/trator esteiras 160hp)</v>
      </c>
      <c r="C6" s="12" t="s">
        <v>26</v>
      </c>
      <c r="D6" s="174">
        <f>QUANT!F29</f>
        <v>4530.544000000001</v>
      </c>
      <c r="E6" s="12" t="s">
        <v>4</v>
      </c>
      <c r="F6" s="12">
        <v>1</v>
      </c>
      <c r="G6" s="12" t="s">
        <v>370</v>
      </c>
      <c r="H6" s="16">
        <f>D6*F6</f>
        <v>4530.544000000001</v>
      </c>
      <c r="I6" s="12">
        <v>2</v>
      </c>
      <c r="J6" s="17">
        <f>H6*I6</f>
        <v>9061.088000000002</v>
      </c>
    </row>
    <row r="7" spans="1:10" ht="23.25" customHeight="1">
      <c r="A7" s="129" t="str">
        <f>QUANT!B30</f>
        <v>74155/002</v>
      </c>
      <c r="B7" s="152" t="str">
        <f>QUANT!D30</f>
        <v>Escavação e transporte de material de 2a cat dmt 50m com trator sobre  esteiras 347 hp com lamina e escarificador</v>
      </c>
      <c r="C7" s="12" t="s">
        <v>26</v>
      </c>
      <c r="D7" s="174">
        <f>QUANT!F30</f>
        <v>3021.0680000000007</v>
      </c>
      <c r="E7" s="12" t="s">
        <v>4</v>
      </c>
      <c r="F7" s="12">
        <v>1</v>
      </c>
      <c r="G7" s="12" t="s">
        <v>370</v>
      </c>
      <c r="H7" s="16">
        <f>D7*F7</f>
        <v>3021.0680000000007</v>
      </c>
      <c r="I7" s="12">
        <v>2</v>
      </c>
      <c r="J7" s="17">
        <f>H7*I7</f>
        <v>6042.136000000001</v>
      </c>
    </row>
    <row r="8" spans="1:10" ht="14.25" customHeight="1">
      <c r="A8" s="12" t="s">
        <v>16</v>
      </c>
      <c r="B8" s="11"/>
      <c r="C8" s="11"/>
      <c r="D8" s="11"/>
      <c r="E8" s="11"/>
      <c r="F8" s="11"/>
      <c r="G8" s="11"/>
      <c r="H8" s="11"/>
      <c r="I8" s="11"/>
      <c r="J8" s="19">
        <f>SUM(J6:J7)</f>
        <v>15103.224000000002</v>
      </c>
    </row>
    <row r="9" spans="1:10" ht="23.25" customHeight="1">
      <c r="A9" s="272"/>
      <c r="B9" s="273"/>
      <c r="C9" s="273"/>
      <c r="D9" s="273"/>
      <c r="E9" s="273"/>
      <c r="F9" s="273"/>
      <c r="G9" s="273"/>
      <c r="H9" s="273"/>
      <c r="I9" s="273"/>
      <c r="J9" s="274"/>
    </row>
    <row r="10" spans="1:10" ht="14.25" customHeight="1">
      <c r="A10" s="267" t="s">
        <v>372</v>
      </c>
      <c r="B10" s="268"/>
      <c r="C10" s="268"/>
      <c r="D10" s="268"/>
      <c r="E10" s="268"/>
      <c r="F10" s="268"/>
      <c r="G10" s="268"/>
      <c r="H10" s="269"/>
      <c r="I10" s="11"/>
      <c r="J10" s="17"/>
    </row>
    <row r="11" spans="1:10" ht="34.5" customHeight="1">
      <c r="A11" s="242" t="s">
        <v>17</v>
      </c>
      <c r="B11" s="242" t="s">
        <v>18</v>
      </c>
      <c r="C11" s="242" t="s">
        <v>19</v>
      </c>
      <c r="D11" s="242" t="s">
        <v>13</v>
      </c>
      <c r="E11" s="242" t="s">
        <v>20</v>
      </c>
      <c r="F11" s="12" t="s">
        <v>21</v>
      </c>
      <c r="G11" s="12"/>
      <c r="H11" s="266" t="s">
        <v>22</v>
      </c>
      <c r="I11" s="242" t="s">
        <v>23</v>
      </c>
      <c r="J11" s="242" t="s">
        <v>276</v>
      </c>
    </row>
    <row r="12" spans="1:10" ht="22.5" customHeight="1">
      <c r="A12" s="242"/>
      <c r="B12" s="242"/>
      <c r="C12" s="242"/>
      <c r="D12" s="242"/>
      <c r="E12" s="242"/>
      <c r="F12" s="12" t="s">
        <v>25</v>
      </c>
      <c r="G12" s="12" t="s">
        <v>12</v>
      </c>
      <c r="H12" s="266"/>
      <c r="I12" s="242"/>
      <c r="J12" s="242"/>
    </row>
    <row r="13" spans="1:10" ht="24" customHeight="1">
      <c r="A13" s="129" t="str">
        <f>QUANT!B29</f>
        <v>74205/001</v>
      </c>
      <c r="B13" s="152" t="str">
        <f>QUANT!D29</f>
        <v>Escavacao mecanica de material 1a. categoria, proveniente de corte de subleito (c/trator esteiras 160hp)</v>
      </c>
      <c r="C13" s="12" t="s">
        <v>26</v>
      </c>
      <c r="D13" s="174">
        <f>QUANT!F29</f>
        <v>4530.544000000001</v>
      </c>
      <c r="E13" s="12" t="s">
        <v>4</v>
      </c>
      <c r="F13" s="12">
        <v>1</v>
      </c>
      <c r="G13" s="12" t="s">
        <v>4</v>
      </c>
      <c r="H13" s="16">
        <f>D13*F13</f>
        <v>4530.544000000001</v>
      </c>
      <c r="I13" s="12">
        <v>6.6</v>
      </c>
      <c r="J13" s="17">
        <f>H13*I13</f>
        <v>29901.590400000005</v>
      </c>
    </row>
    <row r="14" spans="1:10" ht="24" customHeight="1">
      <c r="A14" s="129" t="str">
        <f>QUANT!B30</f>
        <v>74155/002</v>
      </c>
      <c r="B14" s="152" t="str">
        <f>QUANT!D30</f>
        <v>Escavação e transporte de material de 2a cat dmt 50m com trator sobre  esteiras 347 hp com lamina e escarificador</v>
      </c>
      <c r="C14" s="12" t="s">
        <v>26</v>
      </c>
      <c r="D14" s="174">
        <f>QUANT!F30</f>
        <v>3021.0680000000007</v>
      </c>
      <c r="E14" s="12" t="s">
        <v>4</v>
      </c>
      <c r="F14" s="12">
        <v>1</v>
      </c>
      <c r="G14" s="12" t="s">
        <v>4</v>
      </c>
      <c r="H14" s="16">
        <f>D14*F14</f>
        <v>3021.0680000000007</v>
      </c>
      <c r="I14" s="12">
        <v>6.6</v>
      </c>
      <c r="J14" s="17">
        <f>H14*I14</f>
        <v>19939.048800000004</v>
      </c>
    </row>
    <row r="15" spans="1:10" ht="14.25" customHeight="1">
      <c r="A15" s="12" t="s">
        <v>16</v>
      </c>
      <c r="B15" s="11"/>
      <c r="C15" s="11"/>
      <c r="D15" s="11"/>
      <c r="E15" s="11"/>
      <c r="F15" s="11"/>
      <c r="G15" s="11"/>
      <c r="H15" s="11"/>
      <c r="I15" s="11"/>
      <c r="J15" s="19">
        <f>SUM(J13:J14)</f>
        <v>49840.639200000005</v>
      </c>
    </row>
    <row r="16" spans="1:10" ht="12" customHeight="1">
      <c r="A16" s="176"/>
      <c r="B16" s="177"/>
      <c r="C16" s="177"/>
      <c r="D16" s="177"/>
      <c r="E16" s="177"/>
      <c r="F16" s="177"/>
      <c r="G16" s="177"/>
      <c r="H16" s="177"/>
      <c r="I16" s="177"/>
      <c r="J16" s="178"/>
    </row>
    <row r="17" spans="1:10" ht="17.25" customHeight="1">
      <c r="A17" s="175" t="str">
        <f>'ORÇA '!A38</f>
        <v>5.0</v>
      </c>
      <c r="B17" s="180" t="str">
        <f>'ORÇA '!D38</f>
        <v>PAVIMENTAÇÃO</v>
      </c>
      <c r="C17" s="177"/>
      <c r="D17" s="177"/>
      <c r="E17" s="177"/>
      <c r="F17" s="177"/>
      <c r="G17" s="177"/>
      <c r="H17" s="177"/>
      <c r="I17" s="177"/>
      <c r="J17" s="178"/>
    </row>
    <row r="18" spans="1:10" ht="14.25" customHeight="1">
      <c r="A18" s="265" t="s">
        <v>367</v>
      </c>
      <c r="B18" s="265"/>
      <c r="C18" s="265"/>
      <c r="D18" s="265"/>
      <c r="E18" s="265"/>
      <c r="F18" s="265"/>
      <c r="G18" s="265"/>
      <c r="H18" s="265"/>
      <c r="I18" s="265"/>
      <c r="J18" s="265"/>
    </row>
    <row r="19" spans="1:10" ht="21.75" customHeight="1">
      <c r="A19" s="242" t="s">
        <v>17</v>
      </c>
      <c r="B19" s="242" t="s">
        <v>18</v>
      </c>
      <c r="C19" s="242" t="s">
        <v>19</v>
      </c>
      <c r="D19" s="242" t="s">
        <v>13</v>
      </c>
      <c r="E19" s="242" t="s">
        <v>20</v>
      </c>
      <c r="F19" s="12" t="s">
        <v>21</v>
      </c>
      <c r="G19" s="12"/>
      <c r="H19" s="242" t="s">
        <v>22</v>
      </c>
      <c r="I19" s="242" t="s">
        <v>23</v>
      </c>
      <c r="J19" s="242" t="s">
        <v>24</v>
      </c>
    </row>
    <row r="20" spans="1:10" ht="14.25" customHeight="1">
      <c r="A20" s="242"/>
      <c r="B20" s="242"/>
      <c r="C20" s="242"/>
      <c r="D20" s="242"/>
      <c r="E20" s="242"/>
      <c r="F20" s="12" t="s">
        <v>25</v>
      </c>
      <c r="G20" s="12" t="s">
        <v>12</v>
      </c>
      <c r="H20" s="242"/>
      <c r="I20" s="242"/>
      <c r="J20" s="242"/>
    </row>
    <row r="21" spans="1:10" ht="38.25" customHeight="1">
      <c r="A21" s="12" t="str">
        <f>QUANT!B40</f>
        <v>96387</v>
      </c>
      <c r="B21" s="244" t="str">
        <f>QUANT!D40</f>
        <v>Execução e compactação de sub base com solo estabilizado granulometricamente - exclusive escavação, carga e transporte e solo. af_09/2017</v>
      </c>
      <c r="C21" s="129" t="s">
        <v>26</v>
      </c>
      <c r="D21" s="15">
        <f>QUANT!F40</f>
        <v>2576.3800000000006</v>
      </c>
      <c r="E21" s="12" t="s">
        <v>4</v>
      </c>
      <c r="F21" s="12">
        <v>1.84</v>
      </c>
      <c r="G21" s="12" t="s">
        <v>27</v>
      </c>
      <c r="H21" s="16">
        <f>D21*F21</f>
        <v>4740.539200000001</v>
      </c>
      <c r="I21" s="12">
        <v>2</v>
      </c>
      <c r="J21" s="17">
        <f>H21*I21</f>
        <v>9481.078400000002</v>
      </c>
    </row>
    <row r="22" spans="1:10" ht="38.25" customHeight="1">
      <c r="A22" s="12" t="s">
        <v>28</v>
      </c>
      <c r="B22" s="244" t="str">
        <f>QUANT!D41</f>
        <v>Execução e compactação de base com solo estabilizado granulometricamente - exclusive escavação, carga e transporte e solo. af_09/2017</v>
      </c>
      <c r="C22" s="129" t="s">
        <v>26</v>
      </c>
      <c r="D22" s="15">
        <f>QUANT!F41</f>
        <v>2576.3800000000006</v>
      </c>
      <c r="E22" s="12" t="s">
        <v>4</v>
      </c>
      <c r="F22" s="12">
        <v>1.84</v>
      </c>
      <c r="G22" s="12" t="s">
        <v>27</v>
      </c>
      <c r="H22" s="16">
        <f>D22*F22</f>
        <v>4740.539200000001</v>
      </c>
      <c r="I22" s="12">
        <v>2</v>
      </c>
      <c r="J22" s="17">
        <f>H22*I22</f>
        <v>9481.078400000002</v>
      </c>
    </row>
    <row r="23" spans="1:10" ht="14.25" customHeight="1">
      <c r="A23" s="12" t="s">
        <v>16</v>
      </c>
      <c r="B23" s="11"/>
      <c r="C23" s="11"/>
      <c r="D23" s="11"/>
      <c r="E23" s="11"/>
      <c r="F23" s="11"/>
      <c r="G23" s="11"/>
      <c r="H23" s="11"/>
      <c r="I23" s="11"/>
      <c r="J23" s="19">
        <f>SUM(J21:J22)</f>
        <v>18962.156800000004</v>
      </c>
    </row>
    <row r="24" spans="1:10" ht="14.25" customHeight="1">
      <c r="A24" s="12"/>
      <c r="B24" s="11"/>
      <c r="C24" s="11"/>
      <c r="D24" s="11"/>
      <c r="E24" s="11"/>
      <c r="F24" s="11"/>
      <c r="G24" s="11"/>
      <c r="H24" s="11"/>
      <c r="I24" s="11"/>
      <c r="J24" s="17"/>
    </row>
    <row r="25" spans="1:10" ht="12.75">
      <c r="A25" s="264" t="s">
        <v>366</v>
      </c>
      <c r="B25" s="264"/>
      <c r="C25" s="264"/>
      <c r="D25" s="264"/>
      <c r="E25" s="264"/>
      <c r="F25" s="264"/>
      <c r="G25" s="264"/>
      <c r="H25" s="264"/>
      <c r="I25" s="11"/>
      <c r="J25" s="17"/>
    </row>
    <row r="26" spans="1:10" ht="38.25">
      <c r="A26" s="242" t="s">
        <v>17</v>
      </c>
      <c r="B26" s="242" t="s">
        <v>18</v>
      </c>
      <c r="C26" s="242" t="s">
        <v>19</v>
      </c>
      <c r="D26" s="242" t="s">
        <v>13</v>
      </c>
      <c r="E26" s="242" t="s">
        <v>20</v>
      </c>
      <c r="F26" s="12" t="s">
        <v>21</v>
      </c>
      <c r="G26" s="12"/>
      <c r="H26" s="242" t="s">
        <v>22</v>
      </c>
      <c r="I26" s="242" t="s">
        <v>23</v>
      </c>
      <c r="J26" s="242" t="s">
        <v>24</v>
      </c>
    </row>
    <row r="27" spans="1:10" ht="14.25" customHeight="1">
      <c r="A27" s="242"/>
      <c r="B27" s="242"/>
      <c r="C27" s="242"/>
      <c r="D27" s="242"/>
      <c r="E27" s="242"/>
      <c r="F27" s="12" t="s">
        <v>25</v>
      </c>
      <c r="G27" s="12" t="s">
        <v>12</v>
      </c>
      <c r="H27" s="242"/>
      <c r="I27" s="242"/>
      <c r="J27" s="242"/>
    </row>
    <row r="28" spans="1:10" ht="38.25">
      <c r="A28" s="12" t="str">
        <f>QUANT!B40</f>
        <v>96387</v>
      </c>
      <c r="B28" s="244" t="str">
        <f>QUANT!D40</f>
        <v>Execução e compactação de sub base com solo estabilizado granulometricamente - exclusive escavação, carga e transporte e solo. af_09/2017</v>
      </c>
      <c r="C28" s="12" t="s">
        <v>26</v>
      </c>
      <c r="D28" s="15">
        <f>QUANT!F40</f>
        <v>2576.3800000000006</v>
      </c>
      <c r="E28" s="12" t="s">
        <v>4</v>
      </c>
      <c r="F28" s="12">
        <v>1.84</v>
      </c>
      <c r="G28" s="12" t="s">
        <v>27</v>
      </c>
      <c r="H28" s="16">
        <f>D28*F28</f>
        <v>4740.539200000001</v>
      </c>
      <c r="I28" s="12">
        <v>8.6</v>
      </c>
      <c r="J28" s="17">
        <f>H28*I28</f>
        <v>40768.63712000001</v>
      </c>
    </row>
    <row r="29" spans="1:10" ht="38.25">
      <c r="A29" s="12" t="str">
        <f>QUANT!B41</f>
        <v>96387</v>
      </c>
      <c r="B29" s="244" t="str">
        <f>QUANT!D41</f>
        <v>Execução e compactação de base com solo estabilizado granulometricamente - exclusive escavação, carga e transporte e solo. af_09/2017</v>
      </c>
      <c r="C29" s="12" t="s">
        <v>26</v>
      </c>
      <c r="D29" s="15">
        <f>QUANT!F41</f>
        <v>2576.3800000000006</v>
      </c>
      <c r="E29" s="12" t="s">
        <v>4</v>
      </c>
      <c r="F29" s="12">
        <v>1.84</v>
      </c>
      <c r="G29" s="12" t="s">
        <v>27</v>
      </c>
      <c r="H29" s="16">
        <f>D29*F29</f>
        <v>4740.539200000001</v>
      </c>
      <c r="I29" s="12">
        <v>8.6</v>
      </c>
      <c r="J29" s="17">
        <f>H29*I29</f>
        <v>40768.63712000001</v>
      </c>
    </row>
    <row r="30" spans="1:10" ht="14.25" customHeight="1">
      <c r="A30" s="12" t="s">
        <v>16</v>
      </c>
      <c r="B30" s="11"/>
      <c r="C30" s="11"/>
      <c r="D30" s="11"/>
      <c r="E30" s="11"/>
      <c r="F30" s="11"/>
      <c r="G30" s="11"/>
      <c r="H30" s="11"/>
      <c r="I30" s="11"/>
      <c r="J30" s="19">
        <f>SUM(J28:J29)</f>
        <v>81537.27424000001</v>
      </c>
    </row>
    <row r="31" spans="1:10" ht="14.25" customHeight="1">
      <c r="A31" s="12"/>
      <c r="B31" s="11"/>
      <c r="C31" s="11"/>
      <c r="D31" s="11"/>
      <c r="E31" s="11"/>
      <c r="F31" s="11"/>
      <c r="G31" s="11"/>
      <c r="H31" s="11"/>
      <c r="I31" s="11"/>
      <c r="J31" s="17"/>
    </row>
    <row r="32" spans="1:10" ht="14.25" customHeight="1">
      <c r="A32" s="265" t="s">
        <v>374</v>
      </c>
      <c r="B32" s="265"/>
      <c r="C32" s="265"/>
      <c r="D32" s="265"/>
      <c r="E32" s="265"/>
      <c r="F32" s="265"/>
      <c r="G32" s="265"/>
      <c r="H32" s="265"/>
      <c r="I32" s="265"/>
      <c r="J32" s="265"/>
    </row>
    <row r="33" spans="1:10" ht="38.25">
      <c r="A33" s="242" t="s">
        <v>17</v>
      </c>
      <c r="B33" s="242" t="s">
        <v>18</v>
      </c>
      <c r="C33" s="242" t="s">
        <v>19</v>
      </c>
      <c r="D33" s="242" t="s">
        <v>13</v>
      </c>
      <c r="E33" s="242" t="s">
        <v>20</v>
      </c>
      <c r="F33" s="129" t="s">
        <v>21</v>
      </c>
      <c r="G33" s="12"/>
      <c r="H33" s="242" t="s">
        <v>22</v>
      </c>
      <c r="I33" s="242" t="s">
        <v>23</v>
      </c>
      <c r="J33" s="242" t="s">
        <v>24</v>
      </c>
    </row>
    <row r="34" spans="1:10" ht="14.25" customHeight="1">
      <c r="A34" s="242"/>
      <c r="B34" s="242"/>
      <c r="C34" s="242"/>
      <c r="D34" s="242"/>
      <c r="E34" s="242"/>
      <c r="F34" s="12" t="s">
        <v>25</v>
      </c>
      <c r="G34" s="12" t="s">
        <v>12</v>
      </c>
      <c r="H34" s="242"/>
      <c r="I34" s="242"/>
      <c r="J34" s="242"/>
    </row>
    <row r="35" spans="1:10" ht="38.25">
      <c r="A35" s="253">
        <f>QUANT!B44</f>
        <v>95993</v>
      </c>
      <c r="B35" s="152" t="str">
        <f>QUANT!D44</f>
        <v>Construção de pavimento com aplicação de concreto betuminoso usinado a quente (cbuq), camada de rolamento, com espessura de 4,0 cm  exclusive transporte. af_03/2017</v>
      </c>
      <c r="C35" s="12" t="s">
        <v>62</v>
      </c>
      <c r="D35" s="15">
        <f>QUANT!F44</f>
        <v>412.222</v>
      </c>
      <c r="E35" s="12" t="s">
        <v>4</v>
      </c>
      <c r="F35" s="18">
        <v>1</v>
      </c>
      <c r="G35" s="12" t="s">
        <v>370</v>
      </c>
      <c r="H35" s="16">
        <f>D35*F35</f>
        <v>412.222</v>
      </c>
      <c r="I35" s="12">
        <v>24.5</v>
      </c>
      <c r="J35" s="17">
        <f>INT(H35*I35*100)/100</f>
        <v>10099.43</v>
      </c>
    </row>
    <row r="36" spans="1:10" ht="14.25" customHeight="1">
      <c r="A36" s="12" t="s">
        <v>16</v>
      </c>
      <c r="B36" s="11"/>
      <c r="C36" s="11"/>
      <c r="D36" s="11"/>
      <c r="E36" s="11"/>
      <c r="F36" s="11"/>
      <c r="G36" s="11"/>
      <c r="H36" s="11"/>
      <c r="I36" s="11"/>
      <c r="J36" s="19">
        <f>SUM(J35:J35)</f>
        <v>10099.43</v>
      </c>
    </row>
    <row r="37" spans="1:10" ht="14.25" customHeight="1">
      <c r="A37" s="12"/>
      <c r="B37" s="11"/>
      <c r="C37" s="11"/>
      <c r="D37" s="11"/>
      <c r="E37" s="11"/>
      <c r="F37" s="11"/>
      <c r="G37" s="11"/>
      <c r="H37" s="11"/>
      <c r="I37" s="11"/>
      <c r="J37" s="17"/>
    </row>
    <row r="38" spans="1:10" ht="14.25" customHeight="1">
      <c r="A38" s="250" t="str">
        <f>QUANT!A59</f>
        <v>8.0</v>
      </c>
      <c r="B38" s="250" t="str">
        <f>QUANT!D59</f>
        <v>DRENAGEM</v>
      </c>
      <c r="C38" s="240"/>
      <c r="D38" s="240"/>
      <c r="E38" s="240"/>
      <c r="F38" s="240"/>
      <c r="G38" s="240"/>
      <c r="H38" s="240"/>
      <c r="I38" s="240"/>
      <c r="J38" s="240"/>
    </row>
    <row r="39" spans="1:10" ht="14.25" customHeight="1">
      <c r="A39" s="265" t="s">
        <v>367</v>
      </c>
      <c r="B39" s="265"/>
      <c r="C39" s="265"/>
      <c r="D39" s="265"/>
      <c r="E39" s="265"/>
      <c r="F39" s="265"/>
      <c r="G39" s="265"/>
      <c r="H39" s="265"/>
      <c r="I39" s="265"/>
      <c r="J39" s="265"/>
    </row>
    <row r="40" spans="1:10" ht="38.25">
      <c r="A40" s="242" t="s">
        <v>17</v>
      </c>
      <c r="B40" s="242" t="s">
        <v>18</v>
      </c>
      <c r="C40" s="242" t="s">
        <v>19</v>
      </c>
      <c r="D40" s="242" t="s">
        <v>13</v>
      </c>
      <c r="E40" s="242" t="s">
        <v>20</v>
      </c>
      <c r="F40" s="283" t="s">
        <v>21</v>
      </c>
      <c r="G40" s="12"/>
      <c r="H40" s="242" t="s">
        <v>22</v>
      </c>
      <c r="I40" s="242" t="s">
        <v>23</v>
      </c>
      <c r="J40" s="242" t="s">
        <v>24</v>
      </c>
    </row>
    <row r="41" spans="1:10" ht="14.25" customHeight="1">
      <c r="A41" s="242"/>
      <c r="B41" s="242"/>
      <c r="C41" s="242"/>
      <c r="D41" s="242"/>
      <c r="E41" s="242"/>
      <c r="F41" s="12" t="s">
        <v>25</v>
      </c>
      <c r="G41" s="12" t="s">
        <v>12</v>
      </c>
      <c r="H41" s="242"/>
      <c r="I41" s="242"/>
      <c r="J41" s="242"/>
    </row>
    <row r="42" spans="1:10" ht="51">
      <c r="A42" s="243">
        <f>QUANT!B66</f>
        <v>93381</v>
      </c>
      <c r="B42" s="152" t="str">
        <f>QUANT!D66</f>
        <v>Reaterro mecanizado de vala com retroescavadeira (capacidade da caçamb a da retro: 0,26 m³ / potência: 88 hp), largura de 0,8 a 1,5 m, profun didade de 1,5 a 3,0 m, com solo (sem substituição) de 1ª categoria em locais com baixo nível de interferência. af_04/2016</v>
      </c>
      <c r="C42" s="242" t="s">
        <v>356</v>
      </c>
      <c r="D42" s="15">
        <f>QUANT!F66</f>
        <v>1217.5972799999997</v>
      </c>
      <c r="E42" s="12" t="s">
        <v>4</v>
      </c>
      <c r="F42" s="12">
        <v>1.84</v>
      </c>
      <c r="G42" s="12" t="s">
        <v>27</v>
      </c>
      <c r="H42" s="16">
        <f>D42*F42</f>
        <v>2240.3789951999997</v>
      </c>
      <c r="I42" s="12">
        <v>2</v>
      </c>
      <c r="J42" s="17">
        <f>H42*I42</f>
        <v>4480.7579903999995</v>
      </c>
    </row>
    <row r="43" spans="1:10" ht="12.75">
      <c r="A43" s="12" t="s">
        <v>16</v>
      </c>
      <c r="B43" s="152"/>
      <c r="C43" s="242"/>
      <c r="D43" s="15"/>
      <c r="E43" s="12"/>
      <c r="F43" s="12"/>
      <c r="G43" s="12"/>
      <c r="H43" s="16"/>
      <c r="I43" s="12"/>
      <c r="J43" s="251">
        <f>J42</f>
        <v>4480.7579903999995</v>
      </c>
    </row>
    <row r="44" spans="1:10" ht="14.25" customHeight="1">
      <c r="A44" s="240"/>
      <c r="B44" s="240"/>
      <c r="C44" s="240"/>
      <c r="D44" s="240"/>
      <c r="E44" s="240"/>
      <c r="F44" s="240"/>
      <c r="G44" s="240"/>
      <c r="H44" s="240"/>
      <c r="I44" s="240"/>
      <c r="J44" s="240"/>
    </row>
    <row r="45" spans="1:10" ht="14.25" customHeight="1">
      <c r="A45" s="264" t="s">
        <v>366</v>
      </c>
      <c r="B45" s="264"/>
      <c r="C45" s="264"/>
      <c r="D45" s="264"/>
      <c r="E45" s="264"/>
      <c r="F45" s="264"/>
      <c r="G45" s="264"/>
      <c r="H45" s="264"/>
      <c r="I45" s="11"/>
      <c r="J45" s="17"/>
    </row>
    <row r="46" spans="1:10" ht="38.25">
      <c r="A46" s="242" t="s">
        <v>17</v>
      </c>
      <c r="B46" s="242" t="s">
        <v>18</v>
      </c>
      <c r="C46" s="242" t="s">
        <v>19</v>
      </c>
      <c r="D46" s="242" t="s">
        <v>13</v>
      </c>
      <c r="E46" s="242" t="s">
        <v>20</v>
      </c>
      <c r="F46" s="129" t="s">
        <v>21</v>
      </c>
      <c r="G46" s="12"/>
      <c r="H46" s="242" t="s">
        <v>22</v>
      </c>
      <c r="I46" s="242" t="s">
        <v>23</v>
      </c>
      <c r="J46" s="242" t="s">
        <v>24</v>
      </c>
    </row>
    <row r="47" spans="1:10" ht="14.25" customHeight="1">
      <c r="A47" s="242"/>
      <c r="B47" s="242"/>
      <c r="C47" s="242"/>
      <c r="D47" s="242"/>
      <c r="E47" s="242"/>
      <c r="F47" s="12" t="s">
        <v>25</v>
      </c>
      <c r="G47" s="12" t="s">
        <v>12</v>
      </c>
      <c r="H47" s="242"/>
      <c r="I47" s="242"/>
      <c r="J47" s="242"/>
    </row>
    <row r="48" spans="1:10" ht="51">
      <c r="A48" s="243">
        <f>QUANT!B66</f>
        <v>93381</v>
      </c>
      <c r="B48" s="244" t="str">
        <f>QUANT!D66</f>
        <v>Reaterro mecanizado de vala com retroescavadeira (capacidade da caçamb a da retro: 0,26 m³ / potência: 88 hp), largura de 0,8 a 1,5 m, profun didade de 1,5 a 3,0 m, com solo (sem substituição) de 1ª categoria em locais com baixo nível de interferência. af_04/2016</v>
      </c>
      <c r="C48" s="12" t="s">
        <v>26</v>
      </c>
      <c r="D48" s="15">
        <f>QUANT!F66</f>
        <v>1217.5972799999997</v>
      </c>
      <c r="E48" s="12" t="s">
        <v>4</v>
      </c>
      <c r="F48" s="12">
        <v>1.84</v>
      </c>
      <c r="G48" s="12" t="s">
        <v>27</v>
      </c>
      <c r="H48" s="16">
        <f>D48*F48</f>
        <v>2240.3789951999997</v>
      </c>
      <c r="I48" s="12">
        <v>8.6</v>
      </c>
      <c r="J48" s="17">
        <f>H48*I48</f>
        <v>19267.259358719995</v>
      </c>
    </row>
    <row r="49" spans="1:10" ht="14.25" customHeight="1">
      <c r="A49" s="12" t="s">
        <v>16</v>
      </c>
      <c r="B49" s="240"/>
      <c r="C49" s="240"/>
      <c r="D49" s="240"/>
      <c r="E49" s="240"/>
      <c r="F49" s="240"/>
      <c r="G49" s="240"/>
      <c r="H49" s="240"/>
      <c r="I49" s="240"/>
      <c r="J49" s="251">
        <f>J48</f>
        <v>19267.259358719995</v>
      </c>
    </row>
    <row r="51" spans="1:10" ht="14.25" customHeight="1">
      <c r="A51" s="264" t="s">
        <v>377</v>
      </c>
      <c r="B51" s="264"/>
      <c r="C51" s="264"/>
      <c r="D51" s="264"/>
      <c r="E51" s="264"/>
      <c r="F51" s="264"/>
      <c r="G51" s="264"/>
      <c r="H51" s="264"/>
      <c r="I51" s="11"/>
      <c r="J51" s="17"/>
    </row>
    <row r="52" spans="1:10" ht="38.25">
      <c r="A52" s="242" t="s">
        <v>17</v>
      </c>
      <c r="B52" s="242" t="s">
        <v>18</v>
      </c>
      <c r="C52" s="242" t="s">
        <v>19</v>
      </c>
      <c r="D52" s="242" t="s">
        <v>13</v>
      </c>
      <c r="E52" s="242" t="s">
        <v>20</v>
      </c>
      <c r="F52" s="129" t="s">
        <v>21</v>
      </c>
      <c r="G52" s="12"/>
      <c r="H52" s="242" t="s">
        <v>22</v>
      </c>
      <c r="I52" s="242" t="s">
        <v>23</v>
      </c>
      <c r="J52" s="242" t="s">
        <v>24</v>
      </c>
    </row>
    <row r="53" spans="1:10" ht="17.25" customHeight="1">
      <c r="A53" s="242"/>
      <c r="B53" s="242"/>
      <c r="C53" s="242"/>
      <c r="D53" s="242"/>
      <c r="E53" s="242"/>
      <c r="F53" s="12" t="s">
        <v>25</v>
      </c>
      <c r="G53" s="12" t="s">
        <v>12</v>
      </c>
      <c r="H53" s="242"/>
      <c r="I53" s="242"/>
      <c r="J53" s="242"/>
    </row>
    <row r="54" spans="1:10" ht="25.5">
      <c r="A54" s="243" t="str">
        <f>QUANT!B69</f>
        <v>74010/001</v>
      </c>
      <c r="B54" s="244" t="str">
        <f>QUANT!D72</f>
        <v>Transporte com caminhão basculante de 10 m3, em via urbana em em revestimento primário (unidade: m³xkm). AF_04/2016</v>
      </c>
      <c r="C54" s="12" t="s">
        <v>26</v>
      </c>
      <c r="D54" s="15">
        <f>QUANT!F69</f>
        <v>555.489102</v>
      </c>
      <c r="E54" s="12" t="s">
        <v>4</v>
      </c>
      <c r="F54" s="12">
        <v>1</v>
      </c>
      <c r="G54" s="12" t="s">
        <v>27</v>
      </c>
      <c r="H54" s="16">
        <f>D54*F54</f>
        <v>555.489102</v>
      </c>
      <c r="I54" s="12">
        <v>10</v>
      </c>
      <c r="J54" s="17">
        <f>H54*I54</f>
        <v>5554.89102</v>
      </c>
    </row>
    <row r="55" spans="1:10" ht="14.25" customHeight="1">
      <c r="A55" s="12" t="s">
        <v>16</v>
      </c>
      <c r="B55" s="240"/>
      <c r="C55" s="240"/>
      <c r="D55" s="240"/>
      <c r="E55" s="240"/>
      <c r="F55" s="240"/>
      <c r="G55" s="240"/>
      <c r="H55" s="240"/>
      <c r="I55" s="240"/>
      <c r="J55" s="251">
        <f>J54</f>
        <v>5554.89102</v>
      </c>
    </row>
  </sheetData>
  <sheetProtection/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4"/>
  <sheetViews>
    <sheetView zoomScale="130" zoomScaleNormal="130" zoomScalePageLayoutView="0" workbookViewId="0" topLeftCell="I30">
      <selection activeCell="U42" sqref="A1:W42"/>
    </sheetView>
  </sheetViews>
  <sheetFormatPr defaultColWidth="9.140625" defaultRowHeight="12.75"/>
  <cols>
    <col min="1" max="1" width="5.8515625" style="0" customWidth="1"/>
    <col min="2" max="2" width="6.140625" style="0" customWidth="1"/>
    <col min="3" max="3" width="28.57421875" style="0" customWidth="1"/>
    <col min="4" max="4" width="9.28125" style="0" customWidth="1"/>
    <col min="5" max="5" width="13.8515625" style="0" customWidth="1"/>
    <col min="6" max="23" width="6.7109375" style="0" customWidth="1"/>
    <col min="24" max="24" width="11.7109375" style="0" bestFit="1" customWidth="1"/>
    <col min="25" max="25" width="18.7109375" style="0" customWidth="1"/>
  </cols>
  <sheetData>
    <row r="1" spans="1:23" ht="12.75" customHeight="1">
      <c r="A1" s="544" t="s">
        <v>388</v>
      </c>
      <c r="B1" s="545"/>
      <c r="C1" s="545"/>
      <c r="D1" s="545"/>
      <c r="E1" s="546"/>
      <c r="F1" s="553" t="s">
        <v>43</v>
      </c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5"/>
    </row>
    <row r="2" spans="1:23" ht="12.75" customHeight="1">
      <c r="A2" s="547"/>
      <c r="B2" s="548"/>
      <c r="C2" s="548"/>
      <c r="D2" s="548"/>
      <c r="E2" s="549"/>
      <c r="F2" s="556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8"/>
    </row>
    <row r="3" spans="1:23" ht="12.75" customHeight="1">
      <c r="A3" s="550"/>
      <c r="B3" s="551"/>
      <c r="C3" s="551"/>
      <c r="D3" s="551"/>
      <c r="E3" s="552"/>
      <c r="F3" s="559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1"/>
    </row>
    <row r="4" spans="1:23" ht="20.25">
      <c r="A4" s="562" t="s">
        <v>399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4"/>
    </row>
    <row r="5" spans="1:23" ht="15.75">
      <c r="A5" s="565"/>
      <c r="B5" s="566"/>
      <c r="C5" s="566"/>
      <c r="D5" s="566"/>
      <c r="E5" s="567"/>
      <c r="F5" s="568" t="s">
        <v>196</v>
      </c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9"/>
    </row>
    <row r="6" spans="1:23" ht="12.75">
      <c r="A6" s="98" t="s">
        <v>197</v>
      </c>
      <c r="B6" s="570" t="s">
        <v>198</v>
      </c>
      <c r="C6" s="571"/>
      <c r="D6" s="98" t="s">
        <v>199</v>
      </c>
      <c r="E6" s="98" t="s">
        <v>200</v>
      </c>
      <c r="F6" s="543">
        <v>30</v>
      </c>
      <c r="G6" s="543"/>
      <c r="H6" s="543"/>
      <c r="I6" s="543">
        <v>60</v>
      </c>
      <c r="J6" s="543"/>
      <c r="K6" s="543"/>
      <c r="L6" s="543">
        <v>90</v>
      </c>
      <c r="M6" s="543"/>
      <c r="N6" s="543"/>
      <c r="O6" s="542">
        <v>120</v>
      </c>
      <c r="P6" s="543"/>
      <c r="Q6" s="543"/>
      <c r="R6" s="542">
        <v>150</v>
      </c>
      <c r="S6" s="543"/>
      <c r="T6" s="543"/>
      <c r="U6" s="543">
        <v>180</v>
      </c>
      <c r="V6" s="543"/>
      <c r="W6" s="543"/>
    </row>
    <row r="7" spans="1:25" ht="12.75">
      <c r="A7" s="509" t="str">
        <f>RESUMO!A9</f>
        <v>1.0</v>
      </c>
      <c r="B7" s="521" t="str">
        <f>'[1]RESUMO'!B9</f>
        <v>SERVIÇOS PRELIMINARES</v>
      </c>
      <c r="C7" s="522"/>
      <c r="D7" s="531">
        <f>E7/$E$40*100</f>
        <v>2.2250826928644063</v>
      </c>
      <c r="E7" s="518">
        <f>RESUMO!C9</f>
        <v>30328.92</v>
      </c>
      <c r="F7" s="506">
        <f>$E$7*F9</f>
        <v>13648.014</v>
      </c>
      <c r="G7" s="507"/>
      <c r="H7" s="508"/>
      <c r="I7" s="506">
        <f>$E$7*I9</f>
        <v>9098.676</v>
      </c>
      <c r="J7" s="507"/>
      <c r="K7" s="508"/>
      <c r="L7" s="506">
        <f>$E$7*L9</f>
        <v>3032.892</v>
      </c>
      <c r="M7" s="507"/>
      <c r="N7" s="508"/>
      <c r="O7" s="506">
        <f>$E$7*O9</f>
        <v>1516.446</v>
      </c>
      <c r="P7" s="507"/>
      <c r="Q7" s="508"/>
      <c r="R7" s="506">
        <f>$E$7*R9</f>
        <v>1516.446</v>
      </c>
      <c r="S7" s="507"/>
      <c r="T7" s="508"/>
      <c r="U7" s="506">
        <f>$E$7*U9</f>
        <v>1516.446</v>
      </c>
      <c r="V7" s="507"/>
      <c r="W7" s="508"/>
      <c r="X7" s="20">
        <f>SUM(F7:W7)</f>
        <v>30328.92</v>
      </c>
      <c r="Y7" s="20">
        <f>X7-E7</f>
        <v>0</v>
      </c>
    </row>
    <row r="8" spans="1:23" ht="12.75">
      <c r="A8" s="510"/>
      <c r="B8" s="523"/>
      <c r="C8" s="524"/>
      <c r="D8" s="532"/>
      <c r="E8" s="519"/>
      <c r="F8" s="536"/>
      <c r="G8" s="537"/>
      <c r="H8" s="538"/>
      <c r="I8" s="100"/>
      <c r="J8" s="100"/>
      <c r="K8" s="101"/>
      <c r="L8" s="99"/>
      <c r="M8" s="100"/>
      <c r="N8" s="101"/>
      <c r="O8" s="100"/>
      <c r="P8" s="100"/>
      <c r="Q8" s="101"/>
      <c r="R8" s="100"/>
      <c r="S8" s="100"/>
      <c r="T8" s="100"/>
      <c r="U8" s="536"/>
      <c r="V8" s="537"/>
      <c r="W8" s="538"/>
    </row>
    <row r="9" spans="1:24" ht="12.75">
      <c r="A9" s="510"/>
      <c r="B9" s="523"/>
      <c r="C9" s="524"/>
      <c r="D9" s="532"/>
      <c r="E9" s="520"/>
      <c r="F9" s="533">
        <v>0.45</v>
      </c>
      <c r="G9" s="534"/>
      <c r="H9" s="535"/>
      <c r="I9" s="533">
        <v>0.3</v>
      </c>
      <c r="J9" s="534"/>
      <c r="K9" s="535"/>
      <c r="L9" s="533">
        <v>0.1</v>
      </c>
      <c r="M9" s="534"/>
      <c r="N9" s="535"/>
      <c r="O9" s="533">
        <v>0.05</v>
      </c>
      <c r="P9" s="534"/>
      <c r="Q9" s="535"/>
      <c r="R9" s="533">
        <v>0.05</v>
      </c>
      <c r="S9" s="534"/>
      <c r="T9" s="535"/>
      <c r="U9" s="533">
        <v>0.05</v>
      </c>
      <c r="V9" s="534"/>
      <c r="W9" s="535"/>
      <c r="X9" s="153">
        <f>SUM(F9:W9)</f>
        <v>1</v>
      </c>
    </row>
    <row r="10" spans="1:25" ht="12.75">
      <c r="A10" s="509" t="str">
        <f>RESUMO!A12</f>
        <v>2.0</v>
      </c>
      <c r="B10" s="521" t="str">
        <f>'[1]RESUMO'!B12</f>
        <v>ADMINISTRAÇÃO LOCAL</v>
      </c>
      <c r="C10" s="522"/>
      <c r="D10" s="531">
        <f>E10/$E$40*100</f>
        <v>4.77780048752102</v>
      </c>
      <c r="E10" s="518">
        <f>RESUMO!C12</f>
        <v>65123.66</v>
      </c>
      <c r="F10" s="506">
        <f>$E$10*F12</f>
        <v>11396.6405</v>
      </c>
      <c r="G10" s="507"/>
      <c r="H10" s="508"/>
      <c r="I10" s="506">
        <f>$E$10*I12</f>
        <v>10745.403900000001</v>
      </c>
      <c r="J10" s="507"/>
      <c r="K10" s="508"/>
      <c r="L10" s="506">
        <f>$E$10*L12</f>
        <v>10745.403900000001</v>
      </c>
      <c r="M10" s="507"/>
      <c r="N10" s="508"/>
      <c r="O10" s="506">
        <f>$E$10*O12</f>
        <v>10745.403900000001</v>
      </c>
      <c r="P10" s="507"/>
      <c r="Q10" s="508"/>
      <c r="R10" s="506">
        <f>$E$10*R12</f>
        <v>10745.403900000001</v>
      </c>
      <c r="S10" s="507"/>
      <c r="T10" s="508"/>
      <c r="U10" s="506">
        <f>$E$10*U12</f>
        <v>10745.403900000001</v>
      </c>
      <c r="V10" s="507"/>
      <c r="W10" s="508"/>
      <c r="X10" s="20">
        <f>SUM(F10:W10)</f>
        <v>65123.66000000002</v>
      </c>
      <c r="Y10" s="20">
        <f>X10-E10</f>
        <v>0</v>
      </c>
    </row>
    <row r="11" spans="1:23" ht="12.75">
      <c r="A11" s="510"/>
      <c r="B11" s="523"/>
      <c r="C11" s="524"/>
      <c r="D11" s="532"/>
      <c r="E11" s="519"/>
      <c r="F11" s="536"/>
      <c r="G11" s="537"/>
      <c r="H11" s="538"/>
      <c r="I11" s="100"/>
      <c r="J11" s="100"/>
      <c r="K11" s="101"/>
      <c r="L11" s="99"/>
      <c r="M11" s="100"/>
      <c r="N11" s="101"/>
      <c r="O11" s="100"/>
      <c r="P11" s="100"/>
      <c r="Q11" s="101"/>
      <c r="R11" s="100"/>
      <c r="S11" s="100"/>
      <c r="T11" s="100"/>
      <c r="U11" s="536"/>
      <c r="V11" s="537"/>
      <c r="W11" s="538"/>
    </row>
    <row r="12" spans="1:24" ht="12.75">
      <c r="A12" s="510"/>
      <c r="B12" s="523"/>
      <c r="C12" s="524"/>
      <c r="D12" s="532"/>
      <c r="E12" s="520"/>
      <c r="F12" s="533">
        <v>0.175</v>
      </c>
      <c r="G12" s="534"/>
      <c r="H12" s="535"/>
      <c r="I12" s="533">
        <v>0.165</v>
      </c>
      <c r="J12" s="534"/>
      <c r="K12" s="535"/>
      <c r="L12" s="533">
        <v>0.165</v>
      </c>
      <c r="M12" s="534"/>
      <c r="N12" s="535"/>
      <c r="O12" s="533">
        <v>0.165</v>
      </c>
      <c r="P12" s="534"/>
      <c r="Q12" s="535"/>
      <c r="R12" s="533">
        <v>0.165</v>
      </c>
      <c r="S12" s="534"/>
      <c r="T12" s="535"/>
      <c r="U12" s="533">
        <v>0.165</v>
      </c>
      <c r="V12" s="534"/>
      <c r="W12" s="535"/>
      <c r="X12" s="153">
        <f>SUM(F12:W12)</f>
        <v>1</v>
      </c>
    </row>
    <row r="13" spans="1:25" ht="12.75" customHeight="1">
      <c r="A13" s="509" t="str">
        <f>RESUMO!A15</f>
        <v>3.0</v>
      </c>
      <c r="B13" s="511" t="str">
        <f>'[1]RESUMO'!B15</f>
        <v>ENSAIOS TECNOLÓGICOS DE SOLO E ASFALTO</v>
      </c>
      <c r="C13" s="512"/>
      <c r="D13" s="531">
        <f>E13/$E$40*100</f>
        <v>1.7787840267004171</v>
      </c>
      <c r="E13" s="518">
        <f>RESUMO!C15</f>
        <v>24245.66</v>
      </c>
      <c r="F13" s="506">
        <f>$E$13*F15</f>
        <v>2424.5660000000003</v>
      </c>
      <c r="G13" s="507"/>
      <c r="H13" s="508"/>
      <c r="I13" s="506">
        <f>$E$13*I15</f>
        <v>4364.2188</v>
      </c>
      <c r="J13" s="507"/>
      <c r="K13" s="508"/>
      <c r="L13" s="506">
        <f>$E$13*L15</f>
        <v>4364.2188</v>
      </c>
      <c r="M13" s="507"/>
      <c r="N13" s="508"/>
      <c r="O13" s="506">
        <f>$E$13*O15</f>
        <v>4364.2188</v>
      </c>
      <c r="P13" s="507"/>
      <c r="Q13" s="508"/>
      <c r="R13" s="506">
        <f>$E$13*R15</f>
        <v>4364.2188</v>
      </c>
      <c r="S13" s="507"/>
      <c r="T13" s="508"/>
      <c r="U13" s="506">
        <f>$E$13*U15</f>
        <v>4364.2188</v>
      </c>
      <c r="V13" s="507"/>
      <c r="W13" s="508"/>
      <c r="X13" s="20">
        <f>SUM(F13:W13)</f>
        <v>24245.659999999996</v>
      </c>
      <c r="Y13" s="20">
        <f>X13-E13</f>
        <v>0</v>
      </c>
    </row>
    <row r="14" spans="1:23" ht="12.75">
      <c r="A14" s="510"/>
      <c r="B14" s="513"/>
      <c r="C14" s="514"/>
      <c r="D14" s="532"/>
      <c r="E14" s="519"/>
      <c r="F14" s="536"/>
      <c r="G14" s="537"/>
      <c r="H14" s="538"/>
      <c r="I14" s="100"/>
      <c r="J14" s="100"/>
      <c r="K14" s="101"/>
      <c r="L14" s="99"/>
      <c r="M14" s="100"/>
      <c r="N14" s="101"/>
      <c r="O14" s="100"/>
      <c r="P14" s="100"/>
      <c r="Q14" s="101"/>
      <c r="R14" s="100"/>
      <c r="S14" s="100"/>
      <c r="T14" s="100"/>
      <c r="U14" s="536"/>
      <c r="V14" s="537"/>
      <c r="W14" s="538"/>
    </row>
    <row r="15" spans="1:24" ht="12.75">
      <c r="A15" s="510"/>
      <c r="B15" s="515"/>
      <c r="C15" s="516"/>
      <c r="D15" s="532"/>
      <c r="E15" s="520"/>
      <c r="F15" s="533">
        <v>0.1</v>
      </c>
      <c r="G15" s="534"/>
      <c r="H15" s="535"/>
      <c r="I15" s="533">
        <v>0.18</v>
      </c>
      <c r="J15" s="534"/>
      <c r="K15" s="535"/>
      <c r="L15" s="533">
        <v>0.18</v>
      </c>
      <c r="M15" s="534"/>
      <c r="N15" s="535"/>
      <c r="O15" s="533">
        <v>0.18</v>
      </c>
      <c r="P15" s="534"/>
      <c r="Q15" s="535"/>
      <c r="R15" s="533">
        <v>0.18</v>
      </c>
      <c r="S15" s="534"/>
      <c r="T15" s="535"/>
      <c r="U15" s="533">
        <v>0.18</v>
      </c>
      <c r="V15" s="534"/>
      <c r="W15" s="535"/>
      <c r="X15" s="153">
        <f>SUM(F15:W15)</f>
        <v>1</v>
      </c>
    </row>
    <row r="16" spans="1:23" ht="12.75">
      <c r="A16" s="509" t="str">
        <f>RESUMO!A18</f>
        <v>4.0</v>
      </c>
      <c r="B16" s="521" t="str">
        <f>'[1]RESUMO'!B18</f>
        <v>TERRAPLENAGEM</v>
      </c>
      <c r="C16" s="522"/>
      <c r="D16" s="531">
        <f>E16/$E$40*100</f>
        <v>9.036910080722317</v>
      </c>
      <c r="E16" s="518">
        <f>RESUMO!C19</f>
        <v>123177.32</v>
      </c>
      <c r="F16" s="506">
        <f>$E$16*F18</f>
        <v>12317.732000000002</v>
      </c>
      <c r="G16" s="507"/>
      <c r="H16" s="508"/>
      <c r="I16" s="506">
        <f>$E$16*I18</f>
        <v>36953.196</v>
      </c>
      <c r="J16" s="507"/>
      <c r="K16" s="508"/>
      <c r="L16" s="506">
        <f>$E$16*L18</f>
        <v>36953.196</v>
      </c>
      <c r="M16" s="507"/>
      <c r="N16" s="508"/>
      <c r="O16" s="506">
        <f>$E$16*O18</f>
        <v>36953.196</v>
      </c>
      <c r="P16" s="507"/>
      <c r="Q16" s="508"/>
      <c r="R16" s="506"/>
      <c r="S16" s="507"/>
      <c r="T16" s="508"/>
      <c r="U16" s="506"/>
      <c r="V16" s="507"/>
      <c r="W16" s="508"/>
    </row>
    <row r="17" spans="1:23" ht="12.75">
      <c r="A17" s="510"/>
      <c r="B17" s="523"/>
      <c r="C17" s="524"/>
      <c r="D17" s="532"/>
      <c r="E17" s="519"/>
      <c r="F17" s="536"/>
      <c r="G17" s="537"/>
      <c r="H17" s="538"/>
      <c r="I17" s="100"/>
      <c r="J17" s="100"/>
      <c r="K17" s="101"/>
      <c r="L17" s="99"/>
      <c r="M17" s="100"/>
      <c r="N17" s="101"/>
      <c r="O17" s="100"/>
      <c r="P17" s="100"/>
      <c r="Q17" s="101"/>
      <c r="R17" s="258"/>
      <c r="S17" s="258"/>
      <c r="T17" s="258"/>
      <c r="U17" s="539"/>
      <c r="V17" s="540"/>
      <c r="W17" s="541"/>
    </row>
    <row r="18" spans="1:24" ht="12.75">
      <c r="A18" s="510"/>
      <c r="B18" s="523"/>
      <c r="C18" s="524"/>
      <c r="D18" s="532"/>
      <c r="E18" s="520"/>
      <c r="F18" s="533">
        <v>0.1</v>
      </c>
      <c r="G18" s="534"/>
      <c r="H18" s="535"/>
      <c r="I18" s="533">
        <v>0.3</v>
      </c>
      <c r="J18" s="534"/>
      <c r="K18" s="535"/>
      <c r="L18" s="533">
        <v>0.3</v>
      </c>
      <c r="M18" s="534"/>
      <c r="N18" s="535"/>
      <c r="O18" s="533">
        <v>0.3</v>
      </c>
      <c r="P18" s="534"/>
      <c r="Q18" s="535"/>
      <c r="R18" s="533"/>
      <c r="S18" s="534"/>
      <c r="T18" s="535"/>
      <c r="U18" s="533"/>
      <c r="V18" s="534"/>
      <c r="W18" s="535"/>
      <c r="X18" s="153">
        <f>SUM(F18:W18)</f>
        <v>1</v>
      </c>
    </row>
    <row r="19" spans="1:25" ht="12.75">
      <c r="A19" s="509" t="str">
        <f>RESUMO!A21</f>
        <v>5.0</v>
      </c>
      <c r="B19" s="521" t="str">
        <f>'[1]RESUMO'!B21</f>
        <v>PAVIMENTAÇÃO</v>
      </c>
      <c r="C19" s="522"/>
      <c r="D19" s="531">
        <f>E19/$E$40*100</f>
        <v>47.80615797899892</v>
      </c>
      <c r="E19" s="518">
        <f>RESUMO!C22</f>
        <v>651620.34</v>
      </c>
      <c r="F19" s="506">
        <f>$E$19*F21</f>
        <v>32581.017</v>
      </c>
      <c r="G19" s="507"/>
      <c r="H19" s="508"/>
      <c r="I19" s="506">
        <f>$E$19*I21</f>
        <v>162905.085</v>
      </c>
      <c r="J19" s="507"/>
      <c r="K19" s="508"/>
      <c r="L19" s="506">
        <f>$E$19*L21</f>
        <v>228067.11899999998</v>
      </c>
      <c r="M19" s="507"/>
      <c r="N19" s="508"/>
      <c r="O19" s="506">
        <f>$E$19*O21</f>
        <v>228067.11899999998</v>
      </c>
      <c r="P19" s="507"/>
      <c r="Q19" s="508"/>
      <c r="R19" s="503"/>
      <c r="S19" s="504"/>
      <c r="T19" s="505"/>
      <c r="U19" s="506"/>
      <c r="V19" s="507"/>
      <c r="W19" s="508"/>
      <c r="X19" s="20">
        <f>SUM(F19:W19)</f>
        <v>651620.34</v>
      </c>
      <c r="Y19" s="20">
        <f>X19-E19</f>
        <v>0</v>
      </c>
    </row>
    <row r="20" spans="1:23" ht="12.75">
      <c r="A20" s="510"/>
      <c r="B20" s="523"/>
      <c r="C20" s="524"/>
      <c r="D20" s="532"/>
      <c r="E20" s="519"/>
      <c r="F20" s="536"/>
      <c r="G20" s="537"/>
      <c r="H20" s="538"/>
      <c r="I20" s="100"/>
      <c r="J20" s="100"/>
      <c r="K20" s="101"/>
      <c r="L20" s="99"/>
      <c r="M20" s="100"/>
      <c r="N20" s="101"/>
      <c r="O20" s="100"/>
      <c r="P20" s="100"/>
      <c r="Q20" s="101"/>
      <c r="R20" s="258"/>
      <c r="S20" s="258"/>
      <c r="T20" s="258"/>
      <c r="U20" s="257"/>
      <c r="V20" s="258"/>
      <c r="W20" s="259"/>
    </row>
    <row r="21" spans="1:24" ht="12.75">
      <c r="A21" s="510"/>
      <c r="B21" s="523"/>
      <c r="C21" s="524"/>
      <c r="D21" s="532"/>
      <c r="E21" s="520"/>
      <c r="F21" s="533">
        <v>0.05</v>
      </c>
      <c r="G21" s="534"/>
      <c r="H21" s="535"/>
      <c r="I21" s="533">
        <v>0.25</v>
      </c>
      <c r="J21" s="534"/>
      <c r="K21" s="535"/>
      <c r="L21" s="533">
        <v>0.35</v>
      </c>
      <c r="M21" s="534"/>
      <c r="N21" s="535"/>
      <c r="O21" s="533">
        <v>0.35</v>
      </c>
      <c r="P21" s="534"/>
      <c r="Q21" s="535"/>
      <c r="R21" s="495"/>
      <c r="S21" s="496"/>
      <c r="T21" s="497"/>
      <c r="U21" s="498"/>
      <c r="V21" s="499"/>
      <c r="W21" s="500"/>
      <c r="X21" s="153">
        <f>SUM(F21:W21)</f>
        <v>0.9999999999999999</v>
      </c>
    </row>
    <row r="22" spans="1:25" ht="12.75">
      <c r="A22" s="509" t="str">
        <f>RESUMO!A24</f>
        <v>6.0</v>
      </c>
      <c r="B22" s="521" t="str">
        <f>'[1]RESUMO'!B24</f>
        <v>SINALIZAÇÃO HORIZONTAL/VERTICAL</v>
      </c>
      <c r="C22" s="522"/>
      <c r="D22" s="260"/>
      <c r="E22" s="518">
        <f>RESUMO!C25</f>
        <v>18261.62</v>
      </c>
      <c r="F22" s="528"/>
      <c r="G22" s="529"/>
      <c r="H22" s="530"/>
      <c r="I22" s="503"/>
      <c r="J22" s="504"/>
      <c r="K22" s="505"/>
      <c r="L22" s="503"/>
      <c r="M22" s="504"/>
      <c r="N22" s="505"/>
      <c r="O22" s="503"/>
      <c r="P22" s="504"/>
      <c r="Q22" s="505"/>
      <c r="R22" s="503">
        <f>$E$22*R24</f>
        <v>3652.324</v>
      </c>
      <c r="S22" s="504"/>
      <c r="T22" s="505"/>
      <c r="U22" s="503">
        <f>$E$22*U24</f>
        <v>14609.296</v>
      </c>
      <c r="V22" s="504"/>
      <c r="W22" s="505"/>
      <c r="X22" s="20">
        <f>SUM(F22:W22)</f>
        <v>18261.62</v>
      </c>
      <c r="Y22" s="20">
        <f>X22-E22</f>
        <v>0</v>
      </c>
    </row>
    <row r="23" spans="1:23" ht="12.75">
      <c r="A23" s="510"/>
      <c r="B23" s="523"/>
      <c r="C23" s="524"/>
      <c r="D23" s="256">
        <f>E22/$E$40*100</f>
        <v>1.3397646406685928</v>
      </c>
      <c r="E23" s="519"/>
      <c r="F23" s="154"/>
      <c r="G23" s="155"/>
      <c r="H23" s="155"/>
      <c r="I23" s="258"/>
      <c r="J23" s="258"/>
      <c r="K23" s="259"/>
      <c r="L23" s="257"/>
      <c r="M23" s="258"/>
      <c r="N23" s="259"/>
      <c r="O23" s="258"/>
      <c r="P23" s="258"/>
      <c r="Q23" s="259"/>
      <c r="R23" s="100"/>
      <c r="S23" s="100"/>
      <c r="T23" s="100"/>
      <c r="U23" s="99"/>
      <c r="V23" s="100"/>
      <c r="W23" s="101"/>
    </row>
    <row r="24" spans="1:24" ht="12.75">
      <c r="A24" s="510"/>
      <c r="B24" s="523"/>
      <c r="C24" s="524"/>
      <c r="D24" s="261"/>
      <c r="E24" s="520"/>
      <c r="F24" s="525"/>
      <c r="G24" s="526"/>
      <c r="H24" s="527"/>
      <c r="I24" s="495"/>
      <c r="J24" s="496"/>
      <c r="K24" s="497"/>
      <c r="L24" s="495"/>
      <c r="M24" s="496"/>
      <c r="N24" s="497"/>
      <c r="O24" s="495"/>
      <c r="P24" s="496"/>
      <c r="Q24" s="497"/>
      <c r="R24" s="495">
        <v>0.2</v>
      </c>
      <c r="S24" s="496"/>
      <c r="T24" s="497"/>
      <c r="U24" s="498">
        <v>0.8</v>
      </c>
      <c r="V24" s="499"/>
      <c r="W24" s="500"/>
      <c r="X24" s="153">
        <f>SUM(F24:W24)</f>
        <v>1</v>
      </c>
    </row>
    <row r="25" spans="1:25" ht="12.75">
      <c r="A25" s="509" t="str">
        <f>RESUMO!A27</f>
        <v>7.0</v>
      </c>
      <c r="B25" s="521">
        <f>'[1]RESUMO'!B27</f>
        <v>0</v>
      </c>
      <c r="C25" s="522"/>
      <c r="D25" s="531">
        <f>E25/$E$40*100</f>
        <v>9.003898743408582</v>
      </c>
      <c r="E25" s="518">
        <f>RESUMO!C28</f>
        <v>122727.36</v>
      </c>
      <c r="F25" s="528"/>
      <c r="G25" s="529"/>
      <c r="H25" s="530"/>
      <c r="I25" s="503"/>
      <c r="J25" s="504"/>
      <c r="K25" s="505"/>
      <c r="L25" s="503"/>
      <c r="M25" s="504"/>
      <c r="N25" s="505"/>
      <c r="O25" s="503">
        <f>$E$25*O27</f>
        <v>24545.472</v>
      </c>
      <c r="P25" s="504"/>
      <c r="Q25" s="505"/>
      <c r="R25" s="503">
        <f>$E$25*R27</f>
        <v>49090.944</v>
      </c>
      <c r="S25" s="504"/>
      <c r="T25" s="505"/>
      <c r="U25" s="503">
        <f>$E$25*U27</f>
        <v>49090.944</v>
      </c>
      <c r="V25" s="504"/>
      <c r="W25" s="505"/>
      <c r="X25" s="20">
        <f>SUM(F25:W25)</f>
        <v>122727.36</v>
      </c>
      <c r="Y25" s="20">
        <f>X25-E25</f>
        <v>0</v>
      </c>
    </row>
    <row r="26" spans="1:23" ht="12.75">
      <c r="A26" s="510"/>
      <c r="B26" s="523"/>
      <c r="C26" s="524"/>
      <c r="D26" s="532"/>
      <c r="E26" s="519"/>
      <c r="F26" s="154"/>
      <c r="G26" s="155"/>
      <c r="H26" s="155"/>
      <c r="I26" s="258"/>
      <c r="J26" s="258"/>
      <c r="K26" s="259"/>
      <c r="L26" s="257"/>
      <c r="M26" s="258"/>
      <c r="N26" s="259"/>
      <c r="O26" s="100"/>
      <c r="P26" s="100"/>
      <c r="Q26" s="101"/>
      <c r="R26" s="100"/>
      <c r="S26" s="100"/>
      <c r="T26" s="100"/>
      <c r="U26" s="99"/>
      <c r="V26" s="100"/>
      <c r="W26" s="101"/>
    </row>
    <row r="27" spans="1:24" ht="12.75">
      <c r="A27" s="510"/>
      <c r="B27" s="523"/>
      <c r="C27" s="524"/>
      <c r="D27" s="532"/>
      <c r="E27" s="520"/>
      <c r="F27" s="525"/>
      <c r="G27" s="526"/>
      <c r="H27" s="527"/>
      <c r="I27" s="495"/>
      <c r="J27" s="496"/>
      <c r="K27" s="497"/>
      <c r="L27" s="495"/>
      <c r="M27" s="496"/>
      <c r="N27" s="497"/>
      <c r="O27" s="495">
        <v>0.2</v>
      </c>
      <c r="P27" s="496"/>
      <c r="Q27" s="497"/>
      <c r="R27" s="495">
        <v>0.4</v>
      </c>
      <c r="S27" s="496"/>
      <c r="T27" s="497"/>
      <c r="U27" s="498">
        <v>0.4</v>
      </c>
      <c r="V27" s="499"/>
      <c r="W27" s="500"/>
      <c r="X27" s="153">
        <f>SUM(F27:W27)</f>
        <v>1</v>
      </c>
    </row>
    <row r="28" spans="1:25" ht="12.75">
      <c r="A28" s="509" t="str">
        <f>RESUMO!A30</f>
        <v>8.0</v>
      </c>
      <c r="B28" s="521" t="str">
        <f>'[1]RESUMO'!B30</f>
        <v>DRENAGEM</v>
      </c>
      <c r="C28" s="522"/>
      <c r="D28" s="531">
        <f>E28/$E$40*100</f>
        <v>6.8654198222838785</v>
      </c>
      <c r="E28" s="518">
        <f>RESUMO!C31</f>
        <v>93578.88999999997</v>
      </c>
      <c r="F28" s="528"/>
      <c r="G28" s="529"/>
      <c r="H28" s="530"/>
      <c r="I28" s="503">
        <f>$E$28*I30</f>
        <v>28073.66699999999</v>
      </c>
      <c r="J28" s="504"/>
      <c r="K28" s="505"/>
      <c r="L28" s="503">
        <f>$E$28*L30</f>
        <v>14036.833499999995</v>
      </c>
      <c r="M28" s="504"/>
      <c r="N28" s="505"/>
      <c r="O28" s="503">
        <f>$E$28*O30</f>
        <v>18715.777999999995</v>
      </c>
      <c r="P28" s="504"/>
      <c r="Q28" s="505"/>
      <c r="R28" s="503">
        <f>$E$28*R30</f>
        <v>18715.777999999995</v>
      </c>
      <c r="S28" s="504"/>
      <c r="T28" s="505"/>
      <c r="U28" s="503">
        <f>$E$28*U30</f>
        <v>14036.833499999995</v>
      </c>
      <c r="V28" s="504"/>
      <c r="W28" s="505"/>
      <c r="X28" s="20">
        <f>SUM(F28:W28)</f>
        <v>93578.88999999997</v>
      </c>
      <c r="Y28" s="20">
        <f>X28-E28</f>
        <v>0</v>
      </c>
    </row>
    <row r="29" spans="1:23" ht="12.75">
      <c r="A29" s="510"/>
      <c r="B29" s="523"/>
      <c r="C29" s="524"/>
      <c r="D29" s="532"/>
      <c r="E29" s="519"/>
      <c r="F29" s="154"/>
      <c r="G29" s="155"/>
      <c r="H29" s="155"/>
      <c r="I29" s="99"/>
      <c r="J29" s="100"/>
      <c r="K29" s="101"/>
      <c r="L29" s="99"/>
      <c r="M29" s="100"/>
      <c r="N29" s="101"/>
      <c r="O29" s="100"/>
      <c r="P29" s="100"/>
      <c r="Q29" s="101"/>
      <c r="R29" s="100"/>
      <c r="S29" s="100"/>
      <c r="T29" s="100"/>
      <c r="U29" s="99"/>
      <c r="V29" s="100"/>
      <c r="W29" s="101"/>
    </row>
    <row r="30" spans="1:24" ht="12.75">
      <c r="A30" s="510"/>
      <c r="B30" s="523"/>
      <c r="C30" s="524"/>
      <c r="D30" s="532"/>
      <c r="E30" s="520"/>
      <c r="F30" s="525"/>
      <c r="G30" s="526"/>
      <c r="H30" s="527"/>
      <c r="I30" s="495">
        <v>0.3</v>
      </c>
      <c r="J30" s="496"/>
      <c r="K30" s="497"/>
      <c r="L30" s="495">
        <v>0.15</v>
      </c>
      <c r="M30" s="496"/>
      <c r="N30" s="497"/>
      <c r="O30" s="495">
        <v>0.2</v>
      </c>
      <c r="P30" s="496"/>
      <c r="Q30" s="497"/>
      <c r="R30" s="495">
        <v>0.2</v>
      </c>
      <c r="S30" s="496"/>
      <c r="T30" s="497"/>
      <c r="U30" s="498">
        <v>0.15</v>
      </c>
      <c r="V30" s="499"/>
      <c r="W30" s="500"/>
      <c r="X30" s="153">
        <f>SUM(F30:W30)</f>
        <v>0.9999999999999999</v>
      </c>
    </row>
    <row r="31" spans="1:25" ht="12.75" customHeight="1">
      <c r="A31" s="509" t="str">
        <f>RESUMO!A33</f>
        <v>9.0</v>
      </c>
      <c r="B31" s="511" t="str">
        <f>'[1]RESUMO'!B33</f>
        <v>FORNECIMENTO/ASSENTAMENTO DE TUBOS TIPO PA-1 e PA-2</v>
      </c>
      <c r="C31" s="512"/>
      <c r="D31" s="531">
        <f>E31/$E$40*100</f>
        <v>4.536472762671764</v>
      </c>
      <c r="E31" s="518">
        <f>RESUMO!C34</f>
        <v>61834.25</v>
      </c>
      <c r="F31" s="528"/>
      <c r="G31" s="529"/>
      <c r="H31" s="530"/>
      <c r="I31" s="503">
        <f>$E$31*I33</f>
        <v>37100.549999999996</v>
      </c>
      <c r="J31" s="504"/>
      <c r="K31" s="505"/>
      <c r="L31" s="503">
        <f>$E$31*L33</f>
        <v>24733.7</v>
      </c>
      <c r="M31" s="504"/>
      <c r="N31" s="505"/>
      <c r="O31" s="503"/>
      <c r="P31" s="504"/>
      <c r="Q31" s="505"/>
      <c r="R31" s="503"/>
      <c r="S31" s="504"/>
      <c r="T31" s="505"/>
      <c r="U31" s="506"/>
      <c r="V31" s="507"/>
      <c r="W31" s="508"/>
      <c r="X31" s="20">
        <f>SUM(F31:W31)</f>
        <v>61834.25</v>
      </c>
      <c r="Y31" s="20">
        <f>X31-E31</f>
        <v>0</v>
      </c>
    </row>
    <row r="32" spans="1:23" ht="12.75">
      <c r="A32" s="510"/>
      <c r="B32" s="513"/>
      <c r="C32" s="514"/>
      <c r="D32" s="532"/>
      <c r="E32" s="519"/>
      <c r="F32" s="154"/>
      <c r="G32" s="155"/>
      <c r="H32" s="155"/>
      <c r="I32" s="99"/>
      <c r="J32" s="100"/>
      <c r="K32" s="101"/>
      <c r="L32" s="99"/>
      <c r="M32" s="100"/>
      <c r="N32" s="101"/>
      <c r="O32" s="258"/>
      <c r="P32" s="258"/>
      <c r="Q32" s="259"/>
      <c r="R32" s="258"/>
      <c r="S32" s="258"/>
      <c r="T32" s="258"/>
      <c r="U32" s="257"/>
      <c r="V32" s="258"/>
      <c r="W32" s="259"/>
    </row>
    <row r="33" spans="1:24" ht="12.75">
      <c r="A33" s="510"/>
      <c r="B33" s="515"/>
      <c r="C33" s="516"/>
      <c r="D33" s="532"/>
      <c r="E33" s="520"/>
      <c r="F33" s="525"/>
      <c r="G33" s="526"/>
      <c r="H33" s="527"/>
      <c r="I33" s="495">
        <v>0.6</v>
      </c>
      <c r="J33" s="496"/>
      <c r="K33" s="497"/>
      <c r="L33" s="495">
        <v>0.4</v>
      </c>
      <c r="M33" s="496"/>
      <c r="N33" s="497"/>
      <c r="O33" s="495"/>
      <c r="P33" s="496"/>
      <c r="Q33" s="497"/>
      <c r="R33" s="495"/>
      <c r="S33" s="496"/>
      <c r="T33" s="497"/>
      <c r="U33" s="498"/>
      <c r="V33" s="499"/>
      <c r="W33" s="500"/>
      <c r="X33" s="153">
        <f>SUM(F33:W33)</f>
        <v>1</v>
      </c>
    </row>
    <row r="34" spans="1:25" ht="12.75" customHeight="1">
      <c r="A34" s="509" t="str">
        <f>RESUMO!A36</f>
        <v>10.0</v>
      </c>
      <c r="B34" s="511" t="str">
        <f>'[1]RESUMO'!B36</f>
        <v>ASSENTAMENTO E REJUNTAMENTO DE TUBO DE CONCRETO </v>
      </c>
      <c r="C34" s="512"/>
      <c r="D34" s="517">
        <f>E34/$E$40*100</f>
        <v>3.2664181239783785</v>
      </c>
      <c r="E34" s="518">
        <f>RESUMO!C37</f>
        <v>44522.81</v>
      </c>
      <c r="F34" s="528"/>
      <c r="G34" s="529"/>
      <c r="H34" s="530"/>
      <c r="I34" s="503">
        <f>$E$34*I36</f>
        <v>13356.842999999999</v>
      </c>
      <c r="J34" s="504"/>
      <c r="K34" s="505"/>
      <c r="L34" s="503">
        <f>$E$34*L36</f>
        <v>17809.124</v>
      </c>
      <c r="M34" s="504"/>
      <c r="N34" s="505"/>
      <c r="O34" s="503">
        <f>$E$34*O36</f>
        <v>13356.842999999999</v>
      </c>
      <c r="P34" s="504"/>
      <c r="Q34" s="505"/>
      <c r="R34" s="503"/>
      <c r="S34" s="504"/>
      <c r="T34" s="505"/>
      <c r="U34" s="506"/>
      <c r="V34" s="507"/>
      <c r="W34" s="508"/>
      <c r="X34" s="20">
        <f>SUM(F34:W34)</f>
        <v>44522.81</v>
      </c>
      <c r="Y34" s="20">
        <f>X34-E34</f>
        <v>0</v>
      </c>
    </row>
    <row r="35" spans="1:23" ht="12.75">
      <c r="A35" s="510"/>
      <c r="B35" s="513"/>
      <c r="C35" s="514"/>
      <c r="D35" s="517"/>
      <c r="E35" s="519"/>
      <c r="F35" s="154"/>
      <c r="G35" s="155"/>
      <c r="H35" s="155"/>
      <c r="I35" s="99"/>
      <c r="J35" s="100"/>
      <c r="K35" s="101"/>
      <c r="L35" s="99"/>
      <c r="M35" s="100"/>
      <c r="N35" s="101"/>
      <c r="O35" s="100"/>
      <c r="P35" s="100"/>
      <c r="Q35" s="101"/>
      <c r="R35" s="258"/>
      <c r="S35" s="258"/>
      <c r="T35" s="258"/>
      <c r="U35" s="257"/>
      <c r="V35" s="258"/>
      <c r="W35" s="259"/>
    </row>
    <row r="36" spans="1:24" ht="12.75">
      <c r="A36" s="510"/>
      <c r="B36" s="515"/>
      <c r="C36" s="516"/>
      <c r="D36" s="517"/>
      <c r="E36" s="520"/>
      <c r="F36" s="525"/>
      <c r="G36" s="526"/>
      <c r="H36" s="527"/>
      <c r="I36" s="495">
        <v>0.3</v>
      </c>
      <c r="J36" s="496"/>
      <c r="K36" s="497"/>
      <c r="L36" s="495">
        <v>0.4</v>
      </c>
      <c r="M36" s="496"/>
      <c r="N36" s="497"/>
      <c r="O36" s="495">
        <v>0.3</v>
      </c>
      <c r="P36" s="496"/>
      <c r="Q36" s="497"/>
      <c r="R36" s="495"/>
      <c r="S36" s="496"/>
      <c r="T36" s="497"/>
      <c r="U36" s="498"/>
      <c r="V36" s="499"/>
      <c r="W36" s="500"/>
      <c r="X36" s="153">
        <f>SUM(F36:W36)</f>
        <v>1</v>
      </c>
    </row>
    <row r="37" spans="1:25" ht="12.75">
      <c r="A37" s="509" t="str">
        <f>RESUMO!A39</f>
        <v>11.0</v>
      </c>
      <c r="B37" s="521" t="str">
        <f>'[1]RESUMO'!B39</f>
        <v>ÓRGÃOS ACESSÓRIOS</v>
      </c>
      <c r="C37" s="522"/>
      <c r="D37" s="517">
        <f>E37/$E$40*100</f>
        <v>9.363290640181729</v>
      </c>
      <c r="E37" s="518">
        <f>RESUMO!C40</f>
        <v>127626.04000000001</v>
      </c>
      <c r="F37" s="501"/>
      <c r="G37" s="502"/>
      <c r="H37" s="502"/>
      <c r="I37" s="503">
        <f>$E$37*I39</f>
        <v>38287.812</v>
      </c>
      <c r="J37" s="504"/>
      <c r="K37" s="505"/>
      <c r="L37" s="503">
        <f>$E$37*L39</f>
        <v>51050.416000000005</v>
      </c>
      <c r="M37" s="504"/>
      <c r="N37" s="505"/>
      <c r="O37" s="503">
        <f>$E$37*O39</f>
        <v>38287.812</v>
      </c>
      <c r="P37" s="504"/>
      <c r="Q37" s="505"/>
      <c r="R37" s="506"/>
      <c r="S37" s="507"/>
      <c r="T37" s="508"/>
      <c r="U37" s="506"/>
      <c r="V37" s="507"/>
      <c r="W37" s="508"/>
      <c r="X37" s="20">
        <f>SUM(F37:W37)</f>
        <v>127626.04000000001</v>
      </c>
      <c r="Y37" s="20">
        <f>X37-E37</f>
        <v>0</v>
      </c>
    </row>
    <row r="38" spans="1:23" ht="12.75">
      <c r="A38" s="510"/>
      <c r="B38" s="523"/>
      <c r="C38" s="524"/>
      <c r="D38" s="517"/>
      <c r="E38" s="519"/>
      <c r="F38" s="154"/>
      <c r="G38" s="155"/>
      <c r="H38" s="262"/>
      <c r="I38" s="100"/>
      <c r="J38" s="100"/>
      <c r="K38" s="101"/>
      <c r="L38" s="99"/>
      <c r="M38" s="100"/>
      <c r="N38" s="101"/>
      <c r="O38" s="100"/>
      <c r="P38" s="100"/>
      <c r="Q38" s="101"/>
      <c r="R38" s="258"/>
      <c r="S38" s="258"/>
      <c r="T38" s="258"/>
      <c r="U38" s="257"/>
      <c r="V38" s="258"/>
      <c r="W38" s="259"/>
    </row>
    <row r="39" spans="1:24" ht="12.75">
      <c r="A39" s="510"/>
      <c r="B39" s="523"/>
      <c r="C39" s="524"/>
      <c r="D39" s="517"/>
      <c r="E39" s="520"/>
      <c r="F39" s="492"/>
      <c r="G39" s="493"/>
      <c r="H39" s="494"/>
      <c r="I39" s="495">
        <v>0.3</v>
      </c>
      <c r="J39" s="496"/>
      <c r="K39" s="497"/>
      <c r="L39" s="495">
        <v>0.4</v>
      </c>
      <c r="M39" s="496"/>
      <c r="N39" s="497"/>
      <c r="O39" s="495">
        <v>0.3</v>
      </c>
      <c r="P39" s="496"/>
      <c r="Q39" s="497"/>
      <c r="R39" s="498"/>
      <c r="S39" s="499"/>
      <c r="T39" s="500"/>
      <c r="U39" s="498"/>
      <c r="V39" s="499"/>
      <c r="W39" s="500"/>
      <c r="X39" s="153">
        <f>SUM(F39:W39)</f>
        <v>1</v>
      </c>
    </row>
    <row r="40" spans="1:25" ht="12.75">
      <c r="A40" s="482" t="s">
        <v>201</v>
      </c>
      <c r="B40" s="483"/>
      <c r="C40" s="484"/>
      <c r="D40" s="102">
        <f>SUM(D7:D39)</f>
        <v>100.00000000000001</v>
      </c>
      <c r="E40" s="103">
        <f>E7+E10+E13+E16+E19+E22+E25+E28+E31+E34+E37</f>
        <v>1363046.8699999999</v>
      </c>
      <c r="F40" s="479">
        <f>F41/$E$40</f>
        <v>0.05309279606797381</v>
      </c>
      <c r="G40" s="480"/>
      <c r="H40" s="481"/>
      <c r="I40" s="479">
        <f>I41/$E$40</f>
        <v>0.25009077765609034</v>
      </c>
      <c r="J40" s="480"/>
      <c r="K40" s="481"/>
      <c r="L40" s="479">
        <f>L41/$E$40</f>
        <v>0.2867054037547513</v>
      </c>
      <c r="M40" s="480"/>
      <c r="N40" s="481"/>
      <c r="O40" s="479">
        <f>O41/$E$40</f>
        <v>0.276257769991431</v>
      </c>
      <c r="P40" s="480"/>
      <c r="Q40" s="481"/>
      <c r="R40" s="479">
        <f>R41/$E$40</f>
        <v>0.06462368729844191</v>
      </c>
      <c r="S40" s="480"/>
      <c r="T40" s="481"/>
      <c r="U40" s="479">
        <f>U41/$E$40</f>
        <v>0.06922956523131153</v>
      </c>
      <c r="V40" s="480"/>
      <c r="W40" s="481"/>
      <c r="X40" s="20">
        <f>SUM(F40:W40)</f>
        <v>0.9999999999999999</v>
      </c>
      <c r="Y40" s="20">
        <f>SUM(X37+X34+X31+X28+X25+X22+X19+X13+X10+X7)</f>
        <v>1239869.5499999998</v>
      </c>
    </row>
    <row r="41" spans="1:24" ht="12.75">
      <c r="A41" s="482" t="s">
        <v>202</v>
      </c>
      <c r="B41" s="483"/>
      <c r="C41" s="484"/>
      <c r="D41" s="488" t="s">
        <v>203</v>
      </c>
      <c r="E41" s="489"/>
      <c r="F41" s="476">
        <f>F19+F16+F13+F10+F7</f>
        <v>72367.9695</v>
      </c>
      <c r="G41" s="477"/>
      <c r="H41" s="478"/>
      <c r="I41" s="476">
        <f>I37+I34+I31+I28+I19+I16+I13+I10+I7</f>
        <v>340885.45169999986</v>
      </c>
      <c r="J41" s="477"/>
      <c r="K41" s="478"/>
      <c r="L41" s="476">
        <f>L37+L34+L31+L28+L19+L16+L13+L10+L7</f>
        <v>390792.90319999994</v>
      </c>
      <c r="M41" s="477"/>
      <c r="N41" s="478"/>
      <c r="O41" s="476">
        <f>O37+O34+O28+O25+O19+O16+O13+O10+O7</f>
        <v>376552.2886999999</v>
      </c>
      <c r="P41" s="477"/>
      <c r="Q41" s="478"/>
      <c r="R41" s="476">
        <f>R7+R10+R13+R25+R28+R22</f>
        <v>88085.11469999999</v>
      </c>
      <c r="S41" s="477"/>
      <c r="T41" s="478"/>
      <c r="U41" s="476">
        <f>SUM(U28+U25+U22+U13+U10+U7)</f>
        <v>94363.1422</v>
      </c>
      <c r="V41" s="477"/>
      <c r="W41" s="478"/>
      <c r="X41" s="20">
        <f>SUM(F41:W41)</f>
        <v>1363046.8699999996</v>
      </c>
    </row>
    <row r="42" spans="1:25" ht="12.75">
      <c r="A42" s="485"/>
      <c r="B42" s="486"/>
      <c r="C42" s="487"/>
      <c r="D42" s="490" t="s">
        <v>204</v>
      </c>
      <c r="E42" s="491"/>
      <c r="F42" s="476">
        <f>F41</f>
        <v>72367.9695</v>
      </c>
      <c r="G42" s="477"/>
      <c r="H42" s="478"/>
      <c r="I42" s="476">
        <f>F42++I41</f>
        <v>413253.42119999987</v>
      </c>
      <c r="J42" s="477"/>
      <c r="K42" s="478"/>
      <c r="L42" s="476">
        <f>I42++L41</f>
        <v>804046.3243999998</v>
      </c>
      <c r="M42" s="477"/>
      <c r="N42" s="478"/>
      <c r="O42" s="476">
        <f>L42++O41</f>
        <v>1180598.6130999997</v>
      </c>
      <c r="P42" s="477"/>
      <c r="Q42" s="478"/>
      <c r="R42" s="476">
        <f>O42++R41</f>
        <v>1268683.7277999998</v>
      </c>
      <c r="S42" s="477"/>
      <c r="T42" s="478"/>
      <c r="U42" s="476">
        <f>R42++U41</f>
        <v>1363046.8699999996</v>
      </c>
      <c r="V42" s="477"/>
      <c r="W42" s="478"/>
      <c r="Y42" s="20">
        <f>'[1]RESUMO'!C44-'[1]CFF'!U42</f>
        <v>0</v>
      </c>
    </row>
    <row r="44" spans="5:25" ht="12.75">
      <c r="E44" s="156">
        <f>SUM(E7:E39)</f>
        <v>1363046.8699999999</v>
      </c>
      <c r="L44" t="s">
        <v>387</v>
      </c>
      <c r="V44" s="97"/>
      <c r="Y44" s="97"/>
    </row>
  </sheetData>
  <sheetProtection/>
  <mergeCells count="218">
    <mergeCell ref="L24:N24"/>
    <mergeCell ref="R24:T24"/>
    <mergeCell ref="E22:E24"/>
    <mergeCell ref="I22:K22"/>
    <mergeCell ref="R10:T10"/>
    <mergeCell ref="R12:T12"/>
    <mergeCell ref="I13:K13"/>
    <mergeCell ref="F14:H14"/>
    <mergeCell ref="I15:K15"/>
    <mergeCell ref="I16:K16"/>
    <mergeCell ref="U28:W28"/>
    <mergeCell ref="F30:H30"/>
    <mergeCell ref="I30:K30"/>
    <mergeCell ref="L30:N30"/>
    <mergeCell ref="O30:Q30"/>
    <mergeCell ref="R30:T30"/>
    <mergeCell ref="U30:W30"/>
    <mergeCell ref="U27:W27"/>
    <mergeCell ref="A28:A30"/>
    <mergeCell ref="B28:C30"/>
    <mergeCell ref="D28:D30"/>
    <mergeCell ref="E28:E30"/>
    <mergeCell ref="F28:H28"/>
    <mergeCell ref="I28:K28"/>
    <mergeCell ref="L28:N28"/>
    <mergeCell ref="O28:Q28"/>
    <mergeCell ref="R28:T28"/>
    <mergeCell ref="D25:D27"/>
    <mergeCell ref="E25:E27"/>
    <mergeCell ref="F25:H25"/>
    <mergeCell ref="I25:K25"/>
    <mergeCell ref="R25:T25"/>
    <mergeCell ref="U25:W25"/>
    <mergeCell ref="F27:H27"/>
    <mergeCell ref="I27:K27"/>
    <mergeCell ref="L27:N27"/>
    <mergeCell ref="O27:Q27"/>
    <mergeCell ref="A1:E3"/>
    <mergeCell ref="F1:W3"/>
    <mergeCell ref="A4:W4"/>
    <mergeCell ref="A5:E5"/>
    <mergeCell ref="F5:W5"/>
    <mergeCell ref="B6:C6"/>
    <mergeCell ref="F6:H6"/>
    <mergeCell ref="I6:K6"/>
    <mergeCell ref="L6:N6"/>
    <mergeCell ref="O6:Q6"/>
    <mergeCell ref="R6:T6"/>
    <mergeCell ref="U6:W6"/>
    <mergeCell ref="A7:A9"/>
    <mergeCell ref="B7:C9"/>
    <mergeCell ref="D7:D9"/>
    <mergeCell ref="E7:E9"/>
    <mergeCell ref="F7:H7"/>
    <mergeCell ref="I7:K7"/>
    <mergeCell ref="L7:N7"/>
    <mergeCell ref="O7:Q7"/>
    <mergeCell ref="R7:T7"/>
    <mergeCell ref="U7:W7"/>
    <mergeCell ref="F8:H8"/>
    <mergeCell ref="U8:W8"/>
    <mergeCell ref="F9:H9"/>
    <mergeCell ref="I9:K9"/>
    <mergeCell ref="L9:N9"/>
    <mergeCell ref="O9:Q9"/>
    <mergeCell ref="R9:T9"/>
    <mergeCell ref="U9:W9"/>
    <mergeCell ref="A10:A12"/>
    <mergeCell ref="B10:C12"/>
    <mergeCell ref="D10:D12"/>
    <mergeCell ref="E10:E12"/>
    <mergeCell ref="F10:H10"/>
    <mergeCell ref="I10:K10"/>
    <mergeCell ref="U10:W10"/>
    <mergeCell ref="F11:H11"/>
    <mergeCell ref="U11:W11"/>
    <mergeCell ref="F12:H12"/>
    <mergeCell ref="I12:K12"/>
    <mergeCell ref="L12:N12"/>
    <mergeCell ref="O12:Q12"/>
    <mergeCell ref="U12:W12"/>
    <mergeCell ref="O10:Q10"/>
    <mergeCell ref="L10:N10"/>
    <mergeCell ref="A13:A15"/>
    <mergeCell ref="B13:C15"/>
    <mergeCell ref="D13:D15"/>
    <mergeCell ref="E13:E15"/>
    <mergeCell ref="F13:H13"/>
    <mergeCell ref="L13:N13"/>
    <mergeCell ref="U13:W13"/>
    <mergeCell ref="F15:H15"/>
    <mergeCell ref="L15:N15"/>
    <mergeCell ref="O15:Q15"/>
    <mergeCell ref="R15:T15"/>
    <mergeCell ref="U15:W15"/>
    <mergeCell ref="U14:W14"/>
    <mergeCell ref="O13:Q13"/>
    <mergeCell ref="R13:T13"/>
    <mergeCell ref="A16:A18"/>
    <mergeCell ref="B16:C18"/>
    <mergeCell ref="D16:D18"/>
    <mergeCell ref="E16:E18"/>
    <mergeCell ref="F16:H16"/>
    <mergeCell ref="L16:N16"/>
    <mergeCell ref="I18:K18"/>
    <mergeCell ref="F17:H17"/>
    <mergeCell ref="R16:T16"/>
    <mergeCell ref="U16:W16"/>
    <mergeCell ref="F18:H18"/>
    <mergeCell ref="L18:N18"/>
    <mergeCell ref="O18:Q18"/>
    <mergeCell ref="R18:T18"/>
    <mergeCell ref="U18:W18"/>
    <mergeCell ref="U17:W17"/>
    <mergeCell ref="O16:Q16"/>
    <mergeCell ref="A19:A21"/>
    <mergeCell ref="B19:C21"/>
    <mergeCell ref="D19:D21"/>
    <mergeCell ref="E19:E21"/>
    <mergeCell ref="F19:H19"/>
    <mergeCell ref="I19:K19"/>
    <mergeCell ref="F20:H20"/>
    <mergeCell ref="R19:T19"/>
    <mergeCell ref="U19:W19"/>
    <mergeCell ref="F21:H21"/>
    <mergeCell ref="I21:K21"/>
    <mergeCell ref="L21:N21"/>
    <mergeCell ref="O21:Q21"/>
    <mergeCell ref="R21:T21"/>
    <mergeCell ref="U21:W21"/>
    <mergeCell ref="L19:N19"/>
    <mergeCell ref="O19:Q19"/>
    <mergeCell ref="A31:A33"/>
    <mergeCell ref="B31:C33"/>
    <mergeCell ref="D31:D33"/>
    <mergeCell ref="E31:E33"/>
    <mergeCell ref="U22:W22"/>
    <mergeCell ref="F24:H24"/>
    <mergeCell ref="O24:Q24"/>
    <mergeCell ref="U24:W24"/>
    <mergeCell ref="A25:A27"/>
    <mergeCell ref="B25:C27"/>
    <mergeCell ref="U33:W33"/>
    <mergeCell ref="U31:W31"/>
    <mergeCell ref="F31:H31"/>
    <mergeCell ref="I31:K31"/>
    <mergeCell ref="L31:N31"/>
    <mergeCell ref="O31:Q31"/>
    <mergeCell ref="R31:T31"/>
    <mergeCell ref="F33:H33"/>
    <mergeCell ref="I33:K33"/>
    <mergeCell ref="L33:N33"/>
    <mergeCell ref="O33:Q33"/>
    <mergeCell ref="R33:T33"/>
    <mergeCell ref="F22:H22"/>
    <mergeCell ref="L25:N25"/>
    <mergeCell ref="O25:Q25"/>
    <mergeCell ref="R27:T27"/>
    <mergeCell ref="L22:N22"/>
    <mergeCell ref="O22:Q22"/>
    <mergeCell ref="R22:T22"/>
    <mergeCell ref="I24:K24"/>
    <mergeCell ref="U34:W34"/>
    <mergeCell ref="F34:H34"/>
    <mergeCell ref="I34:K34"/>
    <mergeCell ref="L34:N34"/>
    <mergeCell ref="O34:Q34"/>
    <mergeCell ref="R34:T34"/>
    <mergeCell ref="F36:H36"/>
    <mergeCell ref="I36:K36"/>
    <mergeCell ref="L36:N36"/>
    <mergeCell ref="O36:Q36"/>
    <mergeCell ref="R36:T36"/>
    <mergeCell ref="U36:W36"/>
    <mergeCell ref="A22:A24"/>
    <mergeCell ref="A34:A36"/>
    <mergeCell ref="B34:C36"/>
    <mergeCell ref="D34:D36"/>
    <mergeCell ref="E34:E36"/>
    <mergeCell ref="A37:A39"/>
    <mergeCell ref="B37:C39"/>
    <mergeCell ref="D37:D39"/>
    <mergeCell ref="E37:E39"/>
    <mergeCell ref="B22:C24"/>
    <mergeCell ref="F37:H37"/>
    <mergeCell ref="I37:K37"/>
    <mergeCell ref="L37:N37"/>
    <mergeCell ref="O37:Q37"/>
    <mergeCell ref="R37:T37"/>
    <mergeCell ref="U37:W37"/>
    <mergeCell ref="F39:H39"/>
    <mergeCell ref="I39:K39"/>
    <mergeCell ref="L39:N39"/>
    <mergeCell ref="O39:Q39"/>
    <mergeCell ref="R39:T39"/>
    <mergeCell ref="U39:W39"/>
    <mergeCell ref="A40:C40"/>
    <mergeCell ref="F40:H40"/>
    <mergeCell ref="I40:K40"/>
    <mergeCell ref="L40:N40"/>
    <mergeCell ref="O40:Q40"/>
    <mergeCell ref="R40:T40"/>
    <mergeCell ref="U40:W40"/>
    <mergeCell ref="A41:C42"/>
    <mergeCell ref="D41:E41"/>
    <mergeCell ref="F41:H41"/>
    <mergeCell ref="I41:K41"/>
    <mergeCell ref="L41:N41"/>
    <mergeCell ref="O41:Q41"/>
    <mergeCell ref="R41:T41"/>
    <mergeCell ref="U41:W41"/>
    <mergeCell ref="D42:E42"/>
    <mergeCell ref="F42:H42"/>
    <mergeCell ref="I42:K42"/>
    <mergeCell ref="L42:N42"/>
    <mergeCell ref="O42:Q42"/>
    <mergeCell ref="R42:T42"/>
    <mergeCell ref="U42:W42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0:L64"/>
  <sheetViews>
    <sheetView zoomScalePageLayoutView="0" workbookViewId="0" topLeftCell="A34">
      <selection activeCell="D60" sqref="D60"/>
    </sheetView>
  </sheetViews>
  <sheetFormatPr defaultColWidth="9.140625" defaultRowHeight="12.75"/>
  <cols>
    <col min="1" max="1" width="16.7109375" style="0" bestFit="1" customWidth="1"/>
    <col min="2" max="2" width="36.140625" style="0" bestFit="1" customWidth="1"/>
    <col min="3" max="3" width="9.421875" style="0" bestFit="1" customWidth="1"/>
    <col min="4" max="4" width="10.57421875" style="0" customWidth="1"/>
    <col min="5" max="5" width="9.421875" style="0" bestFit="1" customWidth="1"/>
    <col min="6" max="6" width="11.7109375" style="0" customWidth="1"/>
    <col min="7" max="8" width="9.421875" style="0" bestFit="1" customWidth="1"/>
    <col min="9" max="9" width="11.140625" style="0" bestFit="1" customWidth="1"/>
    <col min="10" max="10" width="17.7109375" style="0" customWidth="1"/>
  </cols>
  <sheetData>
    <row r="10" spans="1:10" ht="12.75">
      <c r="A10" s="195" t="s">
        <v>144</v>
      </c>
      <c r="B10" s="195"/>
      <c r="C10" s="196"/>
      <c r="D10" s="196"/>
      <c r="E10" s="196"/>
      <c r="F10" s="196"/>
      <c r="G10" s="196"/>
      <c r="H10" s="196"/>
      <c r="I10" s="196"/>
      <c r="J10" s="197"/>
    </row>
    <row r="11" spans="1:10" ht="12.75">
      <c r="A11" s="195" t="str">
        <f>QUANT!A3</f>
        <v>LOGRADOUROS: Rua Noronha dos Santos, Calógeras, Rio Amazonas, Rio Xingu, Rio Negro e Cancioneiro</v>
      </c>
      <c r="B11" s="195"/>
      <c r="C11" s="196"/>
      <c r="D11" s="196"/>
      <c r="E11" s="196"/>
      <c r="F11" s="196"/>
      <c r="G11" s="196"/>
      <c r="H11" s="196"/>
      <c r="I11" s="196"/>
      <c r="J11" s="197"/>
    </row>
    <row r="12" spans="1:10" ht="12.75">
      <c r="A12" s="195" t="str">
        <f>QUANT!A4</f>
        <v>OBRA: Pavimentação de Vias Urbanas</v>
      </c>
      <c r="B12" s="195"/>
      <c r="C12" s="196"/>
      <c r="D12" s="196"/>
      <c r="E12" s="196"/>
      <c r="F12" s="196"/>
      <c r="G12" s="196"/>
      <c r="H12" s="196"/>
      <c r="I12" s="196"/>
      <c r="J12" s="197"/>
    </row>
    <row r="13" spans="1:10" ht="12.75">
      <c r="A13" s="578" t="s">
        <v>320</v>
      </c>
      <c r="B13" s="579"/>
      <c r="C13" s="579"/>
      <c r="D13" s="579"/>
      <c r="E13" s="579"/>
      <c r="F13" s="579"/>
      <c r="G13" s="579"/>
      <c r="H13" s="579"/>
      <c r="I13" s="579"/>
      <c r="J13" s="580"/>
    </row>
    <row r="14" spans="1:10" ht="12.75">
      <c r="A14" s="581"/>
      <c r="B14" s="582"/>
      <c r="C14" s="582"/>
      <c r="D14" s="582"/>
      <c r="E14" s="582"/>
      <c r="F14" s="582"/>
      <c r="G14" s="582"/>
      <c r="H14" s="582"/>
      <c r="I14" s="582"/>
      <c r="J14" s="583"/>
    </row>
    <row r="15" spans="1:10" ht="38.25">
      <c r="A15" s="584" t="s">
        <v>321</v>
      </c>
      <c r="B15" s="585"/>
      <c r="C15" s="588" t="s">
        <v>322</v>
      </c>
      <c r="D15" s="588" t="s">
        <v>323</v>
      </c>
      <c r="E15" s="199" t="s">
        <v>324</v>
      </c>
      <c r="F15" s="199" t="s">
        <v>325</v>
      </c>
      <c r="G15" s="199" t="s">
        <v>326</v>
      </c>
      <c r="H15" s="199" t="s">
        <v>327</v>
      </c>
      <c r="I15" s="199" t="s">
        <v>328</v>
      </c>
      <c r="J15" s="198" t="s">
        <v>329</v>
      </c>
    </row>
    <row r="16" spans="1:10" ht="25.5">
      <c r="A16" s="586"/>
      <c r="B16" s="587"/>
      <c r="C16" s="588"/>
      <c r="D16" s="588"/>
      <c r="E16" s="200" t="s">
        <v>330</v>
      </c>
      <c r="F16" s="200" t="s">
        <v>331</v>
      </c>
      <c r="G16" s="200" t="s">
        <v>332</v>
      </c>
      <c r="H16" s="200" t="s">
        <v>333</v>
      </c>
      <c r="I16" s="200" t="s">
        <v>361</v>
      </c>
      <c r="J16" s="198"/>
    </row>
    <row r="17" spans="1:10" ht="12.75" customHeight="1">
      <c r="A17" s="589" t="s">
        <v>440</v>
      </c>
      <c r="B17" s="201" t="s">
        <v>334</v>
      </c>
      <c r="C17" s="202">
        <v>66</v>
      </c>
      <c r="D17" s="203">
        <v>0.6</v>
      </c>
      <c r="E17" s="203">
        <v>1.4</v>
      </c>
      <c r="F17" s="202">
        <v>2.439</v>
      </c>
      <c r="G17" s="202">
        <v>1.502</v>
      </c>
      <c r="H17" s="202">
        <f>SUM(F17:G17)/2</f>
        <v>1.9705</v>
      </c>
      <c r="I17" s="202">
        <f>SUM(C17*E17*H17)</f>
        <v>182.07419999999996</v>
      </c>
      <c r="J17" s="204">
        <f>SUM(C17*E17)</f>
        <v>92.39999999999999</v>
      </c>
    </row>
    <row r="18" spans="1:10" ht="12.75" customHeight="1">
      <c r="A18" s="572"/>
      <c r="B18" s="201" t="s">
        <v>334</v>
      </c>
      <c r="C18" s="202">
        <v>67</v>
      </c>
      <c r="D18" s="203">
        <v>0.8</v>
      </c>
      <c r="E18" s="203">
        <v>1.6</v>
      </c>
      <c r="F18" s="202">
        <v>1.709</v>
      </c>
      <c r="G18" s="202">
        <v>1.708</v>
      </c>
      <c r="H18" s="202">
        <f>SUM(F18:G18)/2</f>
        <v>1.7085</v>
      </c>
      <c r="I18" s="202">
        <f>SUM(C18*E18*H18)</f>
        <v>183.1512</v>
      </c>
      <c r="J18" s="204">
        <f>SUM(C18*E18)</f>
        <v>107.2</v>
      </c>
    </row>
    <row r="19" spans="1:10" ht="12.75">
      <c r="A19" s="572"/>
      <c r="B19" s="201" t="s">
        <v>335</v>
      </c>
      <c r="C19" s="205">
        <v>4</v>
      </c>
      <c r="D19" s="203">
        <v>1.6</v>
      </c>
      <c r="E19" s="206">
        <v>2.2</v>
      </c>
      <c r="F19" s="205"/>
      <c r="G19" s="205"/>
      <c r="H19" s="205">
        <v>1.7</v>
      </c>
      <c r="I19" s="205">
        <f>C19*D19*E19*H19</f>
        <v>23.936000000000003</v>
      </c>
      <c r="J19" s="104">
        <f>SUM(C19*E19)</f>
        <v>8.8</v>
      </c>
    </row>
    <row r="20" spans="1:10" ht="12.75">
      <c r="A20" s="572"/>
      <c r="B20" s="201" t="s">
        <v>336</v>
      </c>
      <c r="C20" s="205">
        <v>4</v>
      </c>
      <c r="D20" s="203">
        <v>1.6</v>
      </c>
      <c r="E20" s="206">
        <v>3.2</v>
      </c>
      <c r="F20" s="205">
        <v>0</v>
      </c>
      <c r="G20" s="205">
        <v>0</v>
      </c>
      <c r="H20" s="205">
        <v>1.7</v>
      </c>
      <c r="I20" s="205">
        <f>C20*D20*E20*H20</f>
        <v>34.816</v>
      </c>
      <c r="J20" s="104">
        <f>SUM(C20*E20*D20)</f>
        <v>20.480000000000004</v>
      </c>
    </row>
    <row r="21" spans="1:10" ht="12.75">
      <c r="A21" s="572"/>
      <c r="B21" s="201" t="s">
        <v>439</v>
      </c>
      <c r="C21" s="205">
        <v>2</v>
      </c>
      <c r="D21" s="203">
        <v>1.6</v>
      </c>
      <c r="E21" s="206">
        <v>4.2</v>
      </c>
      <c r="F21" s="205">
        <v>0</v>
      </c>
      <c r="G21" s="205">
        <v>0</v>
      </c>
      <c r="H21" s="205">
        <v>1.7</v>
      </c>
      <c r="I21" s="205">
        <f>C21*D21*E21*H21</f>
        <v>22.848000000000003</v>
      </c>
      <c r="J21" s="104">
        <f>SUM(C21*E21*D21)</f>
        <v>13.440000000000001</v>
      </c>
    </row>
    <row r="22" spans="1:10" ht="12.75">
      <c r="A22" s="245"/>
      <c r="B22" s="201"/>
      <c r="C22" s="205"/>
      <c r="D22" s="203"/>
      <c r="E22" s="206"/>
      <c r="F22" s="205"/>
      <c r="G22" s="205"/>
      <c r="H22" s="205"/>
      <c r="I22" s="205"/>
      <c r="J22" s="104"/>
    </row>
    <row r="23" spans="1:10" ht="12.75" customHeight="1">
      <c r="A23" s="572" t="s">
        <v>441</v>
      </c>
      <c r="B23" s="201" t="s">
        <v>334</v>
      </c>
      <c r="C23" s="202">
        <v>69</v>
      </c>
      <c r="D23" s="203">
        <v>0.8</v>
      </c>
      <c r="E23" s="203">
        <v>1.6</v>
      </c>
      <c r="F23" s="202">
        <v>1.709</v>
      </c>
      <c r="G23" s="202">
        <v>2.252</v>
      </c>
      <c r="H23" s="202">
        <f>SUM(F23:G23)/2</f>
        <v>1.9805</v>
      </c>
      <c r="I23" s="202">
        <f>SUM(C23*E23*H23)</f>
        <v>218.6472</v>
      </c>
      <c r="J23" s="204">
        <f>SUM(C23*E23)</f>
        <v>110.4</v>
      </c>
    </row>
    <row r="24" spans="1:10" ht="12.75" customHeight="1">
      <c r="A24" s="572"/>
      <c r="B24" s="201" t="s">
        <v>334</v>
      </c>
      <c r="C24" s="202">
        <v>58</v>
      </c>
      <c r="D24" s="203">
        <v>0.8</v>
      </c>
      <c r="E24" s="203">
        <v>1.6</v>
      </c>
      <c r="F24" s="202">
        <v>2.229</v>
      </c>
      <c r="G24" s="202">
        <v>1.9912</v>
      </c>
      <c r="H24" s="202">
        <f>SUM(F24:G24)/2</f>
        <v>2.1101</v>
      </c>
      <c r="I24" s="202">
        <f>SUM(C24*E24*H24)</f>
        <v>195.81728000000004</v>
      </c>
      <c r="J24" s="204">
        <f>SUM(C24*E24)</f>
        <v>92.80000000000001</v>
      </c>
    </row>
    <row r="25" spans="1:10" ht="12.75">
      <c r="A25" s="572"/>
      <c r="B25" s="201" t="s">
        <v>335</v>
      </c>
      <c r="C25" s="205">
        <v>6</v>
      </c>
      <c r="D25" s="203">
        <v>1.6</v>
      </c>
      <c r="E25" s="206">
        <v>2.2</v>
      </c>
      <c r="F25" s="205"/>
      <c r="G25" s="205"/>
      <c r="H25" s="205">
        <v>1.7</v>
      </c>
      <c r="I25" s="205">
        <f>C25*D25*E25*H25</f>
        <v>35.904</v>
      </c>
      <c r="J25" s="104">
        <f>SUM(C25*E25)</f>
        <v>13.200000000000001</v>
      </c>
    </row>
    <row r="26" spans="1:10" ht="12.75">
      <c r="A26" s="572"/>
      <c r="B26" s="201" t="s">
        <v>336</v>
      </c>
      <c r="C26" s="202" t="s">
        <v>442</v>
      </c>
      <c r="D26" s="203">
        <v>1.6</v>
      </c>
      <c r="E26" s="206">
        <v>3.2</v>
      </c>
      <c r="F26" s="205">
        <v>0</v>
      </c>
      <c r="G26" s="205">
        <v>0</v>
      </c>
      <c r="H26" s="205">
        <v>1.7</v>
      </c>
      <c r="I26" s="202" t="s">
        <v>442</v>
      </c>
      <c r="J26" s="202" t="s">
        <v>442</v>
      </c>
    </row>
    <row r="27" spans="1:10" ht="12.75">
      <c r="A27" s="573"/>
      <c r="B27" s="201" t="s">
        <v>439</v>
      </c>
      <c r="C27" s="202" t="s">
        <v>442</v>
      </c>
      <c r="D27" s="203">
        <v>1.6</v>
      </c>
      <c r="E27" s="206">
        <v>4.2</v>
      </c>
      <c r="F27" s="205">
        <v>0</v>
      </c>
      <c r="G27" s="205">
        <v>0</v>
      </c>
      <c r="H27" s="205">
        <v>1.7</v>
      </c>
      <c r="I27" s="202" t="s">
        <v>442</v>
      </c>
      <c r="J27" s="202" t="s">
        <v>442</v>
      </c>
    </row>
    <row r="28" spans="1:10" ht="12.75">
      <c r="A28" s="187"/>
      <c r="B28" s="201"/>
      <c r="C28" s="205"/>
      <c r="D28" s="203"/>
      <c r="E28" s="206"/>
      <c r="F28" s="205"/>
      <c r="G28" s="205"/>
      <c r="H28" s="205"/>
      <c r="I28" s="205"/>
      <c r="J28" s="104"/>
    </row>
    <row r="29" spans="1:10" ht="12.75" customHeight="1">
      <c r="A29" s="394" t="s">
        <v>443</v>
      </c>
      <c r="B29" s="201" t="s">
        <v>334</v>
      </c>
      <c r="C29" s="202">
        <v>30</v>
      </c>
      <c r="D29" s="203">
        <v>0.6</v>
      </c>
      <c r="E29" s="203">
        <v>1.4</v>
      </c>
      <c r="F29" s="202">
        <v>1.5</v>
      </c>
      <c r="G29" s="202">
        <v>2.294</v>
      </c>
      <c r="H29" s="202">
        <f>SUM(F29:G29)/2</f>
        <v>1.897</v>
      </c>
      <c r="I29" s="202">
        <f>SUM(C29*E29*H29)</f>
        <v>79.674</v>
      </c>
      <c r="J29" s="204">
        <f>SUM(C29*E29)</f>
        <v>42</v>
      </c>
    </row>
    <row r="30" spans="1:10" ht="12.75">
      <c r="A30" s="395"/>
      <c r="B30" s="201" t="s">
        <v>335</v>
      </c>
      <c r="C30" s="205">
        <v>2</v>
      </c>
      <c r="D30" s="203">
        <v>1.6</v>
      </c>
      <c r="E30" s="206">
        <v>2.2</v>
      </c>
      <c r="F30" s="205"/>
      <c r="G30" s="205"/>
      <c r="H30" s="205">
        <v>1.7</v>
      </c>
      <c r="I30" s="205">
        <f>C30*D30*E30*H30</f>
        <v>11.968000000000002</v>
      </c>
      <c r="J30" s="104">
        <f>SUM(C30*E30)</f>
        <v>4.4</v>
      </c>
    </row>
    <row r="31" spans="1:10" ht="12.75">
      <c r="A31" s="395"/>
      <c r="B31" s="201" t="s">
        <v>336</v>
      </c>
      <c r="C31" s="205">
        <v>2</v>
      </c>
      <c r="D31" s="203">
        <v>1.6</v>
      </c>
      <c r="E31" s="206">
        <v>3.2</v>
      </c>
      <c r="F31" s="205">
        <v>0</v>
      </c>
      <c r="G31" s="205">
        <v>0</v>
      </c>
      <c r="H31" s="205">
        <v>1.7</v>
      </c>
      <c r="I31" s="205">
        <f>C31*D31*E31*H31</f>
        <v>17.408</v>
      </c>
      <c r="J31" s="104">
        <f>SUM(C31*E31*D31)</f>
        <v>10.240000000000002</v>
      </c>
    </row>
    <row r="32" spans="1:10" ht="12.75">
      <c r="A32" s="396"/>
      <c r="B32" s="201" t="s">
        <v>439</v>
      </c>
      <c r="C32" s="202" t="s">
        <v>442</v>
      </c>
      <c r="D32" s="203">
        <v>1.6</v>
      </c>
      <c r="E32" s="206">
        <v>4.2</v>
      </c>
      <c r="F32" s="205">
        <v>0</v>
      </c>
      <c r="G32" s="205">
        <v>0</v>
      </c>
      <c r="H32" s="205">
        <v>1.7</v>
      </c>
      <c r="I32" s="202" t="s">
        <v>442</v>
      </c>
      <c r="J32" s="202" t="s">
        <v>442</v>
      </c>
    </row>
    <row r="33" spans="1:10" ht="12.75">
      <c r="A33" s="187"/>
      <c r="B33" s="201"/>
      <c r="C33" s="205"/>
      <c r="D33" s="203"/>
      <c r="E33" s="206"/>
      <c r="F33" s="205"/>
      <c r="G33" s="205"/>
      <c r="H33" s="205"/>
      <c r="I33" s="205"/>
      <c r="J33" s="104"/>
    </row>
    <row r="34" spans="1:10" ht="12.75" customHeight="1">
      <c r="A34" s="572" t="s">
        <v>445</v>
      </c>
      <c r="B34" s="201" t="s">
        <v>334</v>
      </c>
      <c r="C34" s="202">
        <v>47</v>
      </c>
      <c r="D34" s="203">
        <v>0.8</v>
      </c>
      <c r="E34" s="203">
        <v>1.6</v>
      </c>
      <c r="F34" s="202">
        <v>1.911</v>
      </c>
      <c r="G34" s="202">
        <v>2.143</v>
      </c>
      <c r="H34" s="202">
        <f>SUM(F34:G34)/2</f>
        <v>2.027</v>
      </c>
      <c r="I34" s="202">
        <f>SUM(C34*E34*H34)</f>
        <v>152.43040000000002</v>
      </c>
      <c r="J34" s="204">
        <f>SUM(C34*E34)</f>
        <v>75.2</v>
      </c>
    </row>
    <row r="35" spans="1:10" ht="12.75">
      <c r="A35" s="572"/>
      <c r="B35" s="201" t="s">
        <v>335</v>
      </c>
      <c r="C35" s="205">
        <v>2</v>
      </c>
      <c r="D35" s="203">
        <v>1.6</v>
      </c>
      <c r="E35" s="206">
        <v>2.2</v>
      </c>
      <c r="F35" s="205"/>
      <c r="G35" s="205"/>
      <c r="H35" s="205">
        <v>1.7</v>
      </c>
      <c r="I35" s="205">
        <f>C35*D35*E35*H35</f>
        <v>11.968000000000002</v>
      </c>
      <c r="J35" s="104">
        <f>SUM(C35*E35)</f>
        <v>4.4</v>
      </c>
    </row>
    <row r="36" spans="1:10" ht="12.75">
      <c r="A36" s="572"/>
      <c r="B36" s="201" t="s">
        <v>336</v>
      </c>
      <c r="C36" s="205">
        <v>2</v>
      </c>
      <c r="D36" s="203">
        <v>1.6</v>
      </c>
      <c r="E36" s="206">
        <v>3.2</v>
      </c>
      <c r="F36" s="205">
        <v>0</v>
      </c>
      <c r="G36" s="205">
        <v>0</v>
      </c>
      <c r="H36" s="205">
        <v>1.7</v>
      </c>
      <c r="I36" s="205">
        <f>C36*D36*E36*H36</f>
        <v>17.408</v>
      </c>
      <c r="J36" s="104">
        <f>SUM(C36*E36*D36)</f>
        <v>10.240000000000002</v>
      </c>
    </row>
    <row r="37" spans="1:10" ht="12.75">
      <c r="A37" s="572"/>
      <c r="B37" s="201" t="s">
        <v>439</v>
      </c>
      <c r="C37" s="202" t="s">
        <v>442</v>
      </c>
      <c r="D37" s="203">
        <v>1.6</v>
      </c>
      <c r="E37" s="206">
        <v>4.2</v>
      </c>
      <c r="F37" s="205">
        <v>0</v>
      </c>
      <c r="G37" s="205">
        <v>0</v>
      </c>
      <c r="H37" s="205">
        <v>1.7</v>
      </c>
      <c r="I37" s="202" t="s">
        <v>442</v>
      </c>
      <c r="J37" s="202" t="s">
        <v>442</v>
      </c>
    </row>
    <row r="38" spans="1:10" ht="12.75">
      <c r="A38" s="187"/>
      <c r="B38" s="201"/>
      <c r="C38" s="205"/>
      <c r="D38" s="203"/>
      <c r="E38" s="206"/>
      <c r="F38" s="205"/>
      <c r="G38" s="205"/>
      <c r="H38" s="205"/>
      <c r="I38" s="205"/>
      <c r="J38" s="104"/>
    </row>
    <row r="39" spans="1:10" ht="12.75" customHeight="1">
      <c r="A39" s="394" t="s">
        <v>444</v>
      </c>
      <c r="B39" s="201" t="s">
        <v>334</v>
      </c>
      <c r="C39" s="202">
        <v>14</v>
      </c>
      <c r="D39" s="203">
        <v>1</v>
      </c>
      <c r="E39" s="203">
        <v>1.8</v>
      </c>
      <c r="F39" s="202">
        <v>2.345</v>
      </c>
      <c r="G39" s="202">
        <v>0</v>
      </c>
      <c r="H39" s="202">
        <f>SUM(F39:G39)/2</f>
        <v>1.1725</v>
      </c>
      <c r="I39" s="202">
        <f>SUM(C39*E39*H39)</f>
        <v>29.547</v>
      </c>
      <c r="J39" s="204">
        <f>SUM(C39*E39)</f>
        <v>25.2</v>
      </c>
    </row>
    <row r="40" spans="1:10" ht="12.75" customHeight="1">
      <c r="A40" s="395"/>
      <c r="B40" s="201"/>
      <c r="C40" s="202"/>
      <c r="D40" s="203"/>
      <c r="E40" s="203"/>
      <c r="F40" s="202"/>
      <c r="G40" s="202"/>
      <c r="H40" s="202"/>
      <c r="I40" s="202"/>
      <c r="J40" s="204"/>
    </row>
    <row r="41" spans="1:10" ht="12.75">
      <c r="A41" s="574"/>
      <c r="B41" s="201" t="s">
        <v>337</v>
      </c>
      <c r="C41" s="205"/>
      <c r="D41" s="203"/>
      <c r="E41" s="206"/>
      <c r="F41" s="205"/>
      <c r="G41" s="205"/>
      <c r="H41" s="205"/>
      <c r="I41" s="210">
        <f>SUM(I17:I39)</f>
        <v>1217.5972799999997</v>
      </c>
      <c r="J41" s="104"/>
    </row>
    <row r="42" spans="1:10" ht="12.75">
      <c r="A42" s="574"/>
      <c r="B42" s="201" t="s">
        <v>338</v>
      </c>
      <c r="C42" s="205"/>
      <c r="D42" s="207"/>
      <c r="E42" s="206"/>
      <c r="F42" s="205"/>
      <c r="G42" s="205"/>
      <c r="H42" s="205"/>
      <c r="I42" s="208"/>
      <c r="J42" s="104">
        <f>SUM(C42*E42)</f>
        <v>0</v>
      </c>
    </row>
    <row r="43" spans="1:10" ht="12.75">
      <c r="A43" s="575"/>
      <c r="B43" s="201"/>
      <c r="C43" s="210" t="s">
        <v>339</v>
      </c>
      <c r="D43" s="211"/>
      <c r="E43" s="248" t="s">
        <v>9</v>
      </c>
      <c r="F43" s="205"/>
      <c r="G43" s="205"/>
      <c r="H43" s="205"/>
      <c r="I43" s="205"/>
      <c r="J43" s="209">
        <f>SUM(J17:J41)</f>
        <v>630.4000000000001</v>
      </c>
    </row>
    <row r="44" spans="1:12" ht="12.75">
      <c r="A44" s="576"/>
      <c r="B44" s="201" t="s">
        <v>349</v>
      </c>
      <c r="C44" s="210">
        <v>5</v>
      </c>
      <c r="D44" s="211"/>
      <c r="E44" s="248" t="s">
        <v>9</v>
      </c>
      <c r="F44" s="246"/>
      <c r="G44" s="246"/>
      <c r="H44" s="246"/>
      <c r="I44" s="246"/>
      <c r="J44" s="247"/>
      <c r="L44" s="397"/>
    </row>
    <row r="45" spans="1:12" ht="12.75">
      <c r="A45" s="576"/>
      <c r="B45" s="201" t="s">
        <v>340</v>
      </c>
      <c r="C45" s="205">
        <v>7</v>
      </c>
      <c r="D45" s="211"/>
      <c r="E45" s="248"/>
      <c r="F45" s="212"/>
      <c r="G45" s="212"/>
      <c r="H45" s="212"/>
      <c r="I45" s="212"/>
      <c r="J45" s="213"/>
      <c r="L45" s="397"/>
    </row>
    <row r="46" spans="1:10" ht="12.75">
      <c r="A46" s="576"/>
      <c r="B46" s="214" t="s">
        <v>365</v>
      </c>
      <c r="C46" s="205">
        <f>(C51+C52+C53)*6</f>
        <v>144</v>
      </c>
      <c r="D46" s="211">
        <f>0.76^2*3.1416*C46/4</f>
        <v>65.32517376</v>
      </c>
      <c r="E46" s="248" t="s">
        <v>4</v>
      </c>
      <c r="F46" s="212"/>
      <c r="G46" s="212"/>
      <c r="H46" s="212"/>
      <c r="I46" s="212"/>
      <c r="J46" s="213"/>
    </row>
    <row r="47" spans="1:10" ht="12.75">
      <c r="A47" s="576"/>
      <c r="B47" s="214" t="s">
        <v>341</v>
      </c>
      <c r="C47" s="205">
        <v>96</v>
      </c>
      <c r="D47" s="211">
        <f>0.76^2*3.1416*C47/4</f>
        <v>43.550115840000004</v>
      </c>
      <c r="E47" s="248" t="s">
        <v>4</v>
      </c>
      <c r="F47" s="215"/>
      <c r="G47" s="215"/>
      <c r="H47" s="215"/>
      <c r="I47" s="215"/>
      <c r="J47" s="216"/>
    </row>
    <row r="48" spans="1:10" ht="12.75">
      <c r="A48" s="576"/>
      <c r="B48" s="214" t="s">
        <v>342</v>
      </c>
      <c r="C48" s="217">
        <v>241</v>
      </c>
      <c r="D48" s="211">
        <f>0.33*0.33*3.1416*C48</f>
        <v>82.45097784000001</v>
      </c>
      <c r="E48" s="248" t="s">
        <v>4</v>
      </c>
      <c r="F48" s="215"/>
      <c r="G48" s="215"/>
      <c r="H48" s="215"/>
      <c r="I48" s="215"/>
      <c r="J48" s="216"/>
    </row>
    <row r="49" spans="1:10" ht="12.75">
      <c r="A49" s="576"/>
      <c r="B49" s="214" t="s">
        <v>343</v>
      </c>
      <c r="C49" s="217">
        <v>14</v>
      </c>
      <c r="D49" s="211">
        <f>1.24^2*3.1416*C49/4</f>
        <v>16.90683456</v>
      </c>
      <c r="E49" s="248" t="s">
        <v>4</v>
      </c>
      <c r="F49" s="215"/>
      <c r="G49" s="215"/>
      <c r="H49" s="215"/>
      <c r="I49" s="215"/>
      <c r="J49" s="216"/>
    </row>
    <row r="50" spans="1:10" ht="12.75">
      <c r="A50" s="576"/>
      <c r="B50" s="214" t="s">
        <v>344</v>
      </c>
      <c r="C50" s="205">
        <v>0</v>
      </c>
      <c r="D50" s="211">
        <f>1.46^2*3.1416*C50/4</f>
        <v>0</v>
      </c>
      <c r="E50" s="248" t="s">
        <v>4</v>
      </c>
      <c r="F50" s="215"/>
      <c r="G50" s="215"/>
      <c r="H50" s="215"/>
      <c r="I50" s="215"/>
      <c r="J50" s="216"/>
    </row>
    <row r="51" spans="1:10" ht="12.75">
      <c r="A51" s="576"/>
      <c r="B51" s="201" t="s">
        <v>335</v>
      </c>
      <c r="C51" s="205">
        <f>C19+C25+C30+C35</f>
        <v>14</v>
      </c>
      <c r="D51" s="211">
        <f>I19+I25+I30+I35</f>
        <v>83.77600000000001</v>
      </c>
      <c r="E51" s="248" t="s">
        <v>4</v>
      </c>
      <c r="F51" s="215"/>
      <c r="G51" s="215"/>
      <c r="H51" s="215"/>
      <c r="I51" s="215"/>
      <c r="J51" s="216"/>
    </row>
    <row r="52" spans="1:10" ht="12.75">
      <c r="A52" s="576"/>
      <c r="B52" s="214" t="s">
        <v>345</v>
      </c>
      <c r="C52" s="205">
        <f>C20+C31+C36</f>
        <v>8</v>
      </c>
      <c r="D52" s="211">
        <f>I20+I31+I36</f>
        <v>69.632</v>
      </c>
      <c r="E52" s="248" t="s">
        <v>4</v>
      </c>
      <c r="F52" s="218"/>
      <c r="G52" s="218"/>
      <c r="H52" s="218"/>
      <c r="I52" s="219"/>
      <c r="J52" s="220"/>
    </row>
    <row r="53" spans="1:10" ht="12.75">
      <c r="A53" s="576"/>
      <c r="B53" s="214" t="s">
        <v>446</v>
      </c>
      <c r="C53" s="205">
        <v>2</v>
      </c>
      <c r="D53" s="211">
        <f>I21</f>
        <v>22.848000000000003</v>
      </c>
      <c r="E53" s="248" t="s">
        <v>4</v>
      </c>
      <c r="F53" s="218"/>
      <c r="G53" s="218"/>
      <c r="H53" s="218"/>
      <c r="I53" s="219"/>
      <c r="J53" s="220"/>
    </row>
    <row r="54" spans="1:10" ht="12.75">
      <c r="A54" s="576"/>
      <c r="B54" s="214" t="s">
        <v>357</v>
      </c>
      <c r="C54" s="205"/>
      <c r="D54" s="211" t="s">
        <v>442</v>
      </c>
      <c r="E54" s="248" t="s">
        <v>4</v>
      </c>
      <c r="F54" s="218"/>
      <c r="G54" s="218"/>
      <c r="H54" s="218"/>
      <c r="I54" s="219"/>
      <c r="J54" s="220"/>
    </row>
    <row r="55" spans="1:10" ht="12.75">
      <c r="A55" s="576"/>
      <c r="B55" s="214" t="s">
        <v>360</v>
      </c>
      <c r="C55" s="205"/>
      <c r="D55" s="211">
        <f>DRENO!H10*0.5*1.5</f>
        <v>171</v>
      </c>
      <c r="E55" s="248" t="s">
        <v>4</v>
      </c>
      <c r="F55" s="218"/>
      <c r="G55" s="218"/>
      <c r="H55" s="218"/>
      <c r="I55" s="219"/>
      <c r="J55" s="220"/>
    </row>
    <row r="56" spans="1:10" ht="12.75">
      <c r="A56" s="576"/>
      <c r="B56" s="214" t="s">
        <v>364</v>
      </c>
      <c r="C56" s="205"/>
      <c r="D56" s="211">
        <f>I41+D51+D52+D53</f>
        <v>1393.8532799999998</v>
      </c>
      <c r="E56" s="248" t="s">
        <v>4</v>
      </c>
      <c r="F56" s="218"/>
      <c r="G56" s="218"/>
      <c r="H56" s="218"/>
      <c r="I56" s="219"/>
      <c r="J56" s="220"/>
    </row>
    <row r="57" spans="1:10" ht="12.75">
      <c r="A57" s="576"/>
      <c r="B57" s="223" t="s">
        <v>358</v>
      </c>
      <c r="C57" s="205">
        <f>C28+C22</f>
        <v>0</v>
      </c>
      <c r="D57" s="221">
        <f>SUM(D46:D53)+D55</f>
        <v>555.489102</v>
      </c>
      <c r="E57" s="248" t="s">
        <v>4</v>
      </c>
      <c r="F57" s="218"/>
      <c r="G57" s="222"/>
      <c r="H57" s="218"/>
      <c r="I57" s="219"/>
      <c r="J57" s="220"/>
    </row>
    <row r="58" spans="1:10" ht="12.75">
      <c r="A58" s="576"/>
      <c r="B58" s="223" t="s">
        <v>359</v>
      </c>
      <c r="C58" s="223"/>
      <c r="D58" s="224">
        <f>I41</f>
        <v>1217.5972799999997</v>
      </c>
      <c r="E58" s="248" t="s">
        <v>4</v>
      </c>
      <c r="F58" s="218"/>
      <c r="G58" s="225"/>
      <c r="H58" s="218"/>
      <c r="I58" s="219"/>
      <c r="J58" s="220"/>
    </row>
    <row r="59" spans="1:10" ht="12.75">
      <c r="A59" s="577"/>
      <c r="B59" s="227" t="s">
        <v>346</v>
      </c>
      <c r="C59" s="223"/>
      <c r="D59" s="226">
        <f>J43</f>
        <v>630.4000000000001</v>
      </c>
      <c r="E59" s="248" t="s">
        <v>6</v>
      </c>
      <c r="F59" s="218"/>
      <c r="G59" s="218"/>
      <c r="H59" s="218"/>
      <c r="I59" s="219"/>
      <c r="J59" s="220"/>
    </row>
    <row r="60" spans="1:10" ht="12.75">
      <c r="A60" s="240"/>
      <c r="B60" s="11" t="s">
        <v>447</v>
      </c>
      <c r="C60" s="227"/>
      <c r="D60" s="398">
        <f>C46*0.2613+C47*0.2613+C48*0.3265+C49*0.4829</f>
        <v>148.15910000000002</v>
      </c>
      <c r="E60" s="248" t="s">
        <v>4</v>
      </c>
      <c r="F60" s="228"/>
      <c r="G60" s="228"/>
      <c r="H60" s="228"/>
      <c r="I60" s="229"/>
      <c r="J60" s="230"/>
    </row>
    <row r="64" ht="12.75">
      <c r="F64" s="97"/>
    </row>
  </sheetData>
  <sheetProtection/>
  <mergeCells count="9">
    <mergeCell ref="A23:A27"/>
    <mergeCell ref="A34:A37"/>
    <mergeCell ref="A41:A42"/>
    <mergeCell ref="A43:A59"/>
    <mergeCell ref="A13:J14"/>
    <mergeCell ref="A15:B16"/>
    <mergeCell ref="C15:C16"/>
    <mergeCell ref="D15:D16"/>
    <mergeCell ref="A17:A2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AQ40"/>
  <sheetViews>
    <sheetView zoomScalePageLayoutView="0" workbookViewId="0" topLeftCell="A9">
      <selection activeCell="R23" sqref="R23:T27"/>
    </sheetView>
  </sheetViews>
  <sheetFormatPr defaultColWidth="9.140625" defaultRowHeight="12.75"/>
  <cols>
    <col min="1" max="11" width="4.140625" style="0" customWidth="1"/>
    <col min="12" max="12" width="6.8515625" style="0" customWidth="1"/>
    <col min="13" max="20" width="4.140625" style="0" customWidth="1"/>
    <col min="21" max="21" width="12.7109375" style="0" customWidth="1"/>
    <col min="28" max="28" width="0.85546875" style="0" customWidth="1"/>
    <col min="29" max="29" width="4.421875" style="0" hidden="1" customWidth="1"/>
    <col min="30" max="34" width="9.140625" style="0" hidden="1" customWidth="1"/>
    <col min="36" max="36" width="0.42578125" style="0" customWidth="1"/>
  </cols>
  <sheetData>
    <row r="1" spans="1:21" ht="19.5">
      <c r="A1" s="590" t="s">
        <v>64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0">
        <v>43101</v>
      </c>
    </row>
    <row r="2" spans="1:21" ht="12.75">
      <c r="A2" s="592" t="s">
        <v>65</v>
      </c>
      <c r="B2" s="593"/>
      <c r="C2" s="593"/>
      <c r="D2" s="593"/>
      <c r="E2" s="594"/>
      <c r="F2" s="592" t="s">
        <v>422</v>
      </c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4"/>
      <c r="U2" s="374" t="s">
        <v>66</v>
      </c>
    </row>
    <row r="3" spans="1:21" ht="12.75" customHeight="1">
      <c r="A3" s="595" t="s">
        <v>67</v>
      </c>
      <c r="B3" s="596"/>
      <c r="C3" s="596"/>
      <c r="D3" s="596"/>
      <c r="E3" s="597"/>
      <c r="F3" s="598" t="s">
        <v>423</v>
      </c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600"/>
      <c r="U3" s="375" t="s">
        <v>9</v>
      </c>
    </row>
    <row r="4" spans="1:21" ht="12.75" customHeight="1">
      <c r="A4" s="601" t="s">
        <v>68</v>
      </c>
      <c r="B4" s="601"/>
      <c r="C4" s="601"/>
      <c r="D4" s="601"/>
      <c r="E4" s="601"/>
      <c r="F4" s="601"/>
      <c r="G4" s="601"/>
      <c r="H4" s="601"/>
      <c r="I4" s="601"/>
      <c r="J4" s="601"/>
      <c r="K4" s="602" t="s">
        <v>13</v>
      </c>
      <c r="L4" s="602"/>
      <c r="M4" s="602" t="s">
        <v>69</v>
      </c>
      <c r="N4" s="602"/>
      <c r="O4" s="602"/>
      <c r="P4" s="602"/>
      <c r="Q4" s="602" t="s">
        <v>70</v>
      </c>
      <c r="R4" s="602"/>
      <c r="S4" s="602"/>
      <c r="T4" s="602"/>
      <c r="U4" s="602" t="s">
        <v>63</v>
      </c>
    </row>
    <row r="5" spans="1:21" ht="12.75" customHeight="1">
      <c r="A5" s="601"/>
      <c r="B5" s="601"/>
      <c r="C5" s="601"/>
      <c r="D5" s="601"/>
      <c r="E5" s="601"/>
      <c r="F5" s="601"/>
      <c r="G5" s="601"/>
      <c r="H5" s="601"/>
      <c r="I5" s="601"/>
      <c r="J5" s="601"/>
      <c r="K5" s="602"/>
      <c r="L5" s="602"/>
      <c r="M5" s="602" t="s">
        <v>71</v>
      </c>
      <c r="N5" s="602"/>
      <c r="O5" s="602" t="s">
        <v>72</v>
      </c>
      <c r="P5" s="602"/>
      <c r="Q5" s="602" t="s">
        <v>71</v>
      </c>
      <c r="R5" s="602"/>
      <c r="S5" s="602" t="s">
        <v>72</v>
      </c>
      <c r="T5" s="602"/>
      <c r="U5" s="602"/>
    </row>
    <row r="6" spans="1:21" ht="12.75">
      <c r="A6" s="603"/>
      <c r="B6" s="603"/>
      <c r="C6" s="603"/>
      <c r="D6" s="603"/>
      <c r="E6" s="603"/>
      <c r="F6" s="603"/>
      <c r="G6" s="603"/>
      <c r="H6" s="603"/>
      <c r="I6" s="603"/>
      <c r="J6" s="603"/>
      <c r="K6" s="604"/>
      <c r="L6" s="604"/>
      <c r="M6" s="604"/>
      <c r="N6" s="604"/>
      <c r="O6" s="604"/>
      <c r="P6" s="604"/>
      <c r="Q6" s="605"/>
      <c r="R6" s="605"/>
      <c r="S6" s="605"/>
      <c r="T6" s="605"/>
      <c r="U6" s="377"/>
    </row>
    <row r="7" spans="1:21" ht="12.75">
      <c r="A7" s="606"/>
      <c r="B7" s="606"/>
      <c r="C7" s="606"/>
      <c r="D7" s="606"/>
      <c r="E7" s="606"/>
      <c r="F7" s="606"/>
      <c r="G7" s="606"/>
      <c r="H7" s="606"/>
      <c r="I7" s="606"/>
      <c r="J7" s="606"/>
      <c r="K7" s="607"/>
      <c r="L7" s="607"/>
      <c r="M7" s="607"/>
      <c r="N7" s="607"/>
      <c r="O7" s="607"/>
      <c r="P7" s="607"/>
      <c r="Q7" s="608"/>
      <c r="R7" s="608"/>
      <c r="S7" s="608"/>
      <c r="T7" s="608"/>
      <c r="U7" s="377"/>
    </row>
    <row r="8" spans="1:21" ht="12.75">
      <c r="A8" s="609"/>
      <c r="B8" s="609"/>
      <c r="C8" s="609"/>
      <c r="D8" s="609"/>
      <c r="E8" s="609"/>
      <c r="F8" s="609"/>
      <c r="G8" s="609"/>
      <c r="H8" s="609"/>
      <c r="I8" s="609"/>
      <c r="J8" s="609"/>
      <c r="K8" s="607"/>
      <c r="L8" s="607"/>
      <c r="M8" s="607"/>
      <c r="N8" s="607"/>
      <c r="O8" s="607"/>
      <c r="P8" s="607"/>
      <c r="Q8" s="608"/>
      <c r="R8" s="608"/>
      <c r="S8" s="608"/>
      <c r="T8" s="608"/>
      <c r="U8" s="377"/>
    </row>
    <row r="9" spans="1:21" ht="12.75">
      <c r="A9" s="606"/>
      <c r="B9" s="606"/>
      <c r="C9" s="606"/>
      <c r="D9" s="606"/>
      <c r="E9" s="606"/>
      <c r="F9" s="606"/>
      <c r="G9" s="606"/>
      <c r="H9" s="606"/>
      <c r="I9" s="606"/>
      <c r="J9" s="606"/>
      <c r="K9" s="607"/>
      <c r="L9" s="607"/>
      <c r="M9" s="607"/>
      <c r="N9" s="607"/>
      <c r="O9" s="607"/>
      <c r="P9" s="607"/>
      <c r="Q9" s="608"/>
      <c r="R9" s="608"/>
      <c r="S9" s="608"/>
      <c r="T9" s="608"/>
      <c r="U9" s="377"/>
    </row>
    <row r="10" spans="1:21" ht="12.75">
      <c r="A10" s="606"/>
      <c r="B10" s="606"/>
      <c r="C10" s="606"/>
      <c r="D10" s="606"/>
      <c r="E10" s="606"/>
      <c r="F10" s="606"/>
      <c r="G10" s="606"/>
      <c r="H10" s="606"/>
      <c r="I10" s="606"/>
      <c r="J10" s="606"/>
      <c r="K10" s="607"/>
      <c r="L10" s="607"/>
      <c r="M10" s="607"/>
      <c r="N10" s="607"/>
      <c r="O10" s="607"/>
      <c r="P10" s="607"/>
      <c r="Q10" s="608"/>
      <c r="R10" s="608"/>
      <c r="S10" s="608"/>
      <c r="T10" s="608"/>
      <c r="U10" s="377"/>
    </row>
    <row r="11" spans="1:21" ht="12.75">
      <c r="A11" s="606"/>
      <c r="B11" s="606"/>
      <c r="C11" s="606"/>
      <c r="D11" s="606"/>
      <c r="E11" s="606"/>
      <c r="F11" s="606"/>
      <c r="G11" s="606"/>
      <c r="H11" s="606"/>
      <c r="I11" s="606"/>
      <c r="J11" s="606"/>
      <c r="K11" s="607"/>
      <c r="L11" s="607"/>
      <c r="M11" s="607"/>
      <c r="N11" s="607"/>
      <c r="O11" s="607"/>
      <c r="P11" s="607"/>
      <c r="Q11" s="608"/>
      <c r="R11" s="608"/>
      <c r="S11" s="608"/>
      <c r="T11" s="608"/>
      <c r="U11" s="377"/>
    </row>
    <row r="12" spans="1:21" ht="12.75">
      <c r="A12" s="609"/>
      <c r="B12" s="609"/>
      <c r="C12" s="609"/>
      <c r="D12" s="609"/>
      <c r="E12" s="609"/>
      <c r="F12" s="609"/>
      <c r="G12" s="609"/>
      <c r="H12" s="609"/>
      <c r="I12" s="609"/>
      <c r="J12" s="609"/>
      <c r="K12" s="607"/>
      <c r="L12" s="607"/>
      <c r="M12" s="607"/>
      <c r="N12" s="607"/>
      <c r="O12" s="607"/>
      <c r="P12" s="607"/>
      <c r="Q12" s="608"/>
      <c r="R12" s="608"/>
      <c r="S12" s="608"/>
      <c r="T12" s="608"/>
      <c r="U12" s="377"/>
    </row>
    <row r="13" spans="1:21" ht="24" customHeight="1">
      <c r="A13" s="634"/>
      <c r="B13" s="634"/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22" t="s">
        <v>73</v>
      </c>
      <c r="S13" s="622"/>
      <c r="T13" s="622"/>
      <c r="U13" s="378">
        <f>SUM(U6:U12)</f>
        <v>0</v>
      </c>
    </row>
    <row r="14" spans="1:21" ht="12.75" customHeight="1">
      <c r="A14" s="601" t="s">
        <v>74</v>
      </c>
      <c r="B14" s="601"/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2" t="s">
        <v>2</v>
      </c>
      <c r="P14" s="602"/>
      <c r="Q14" s="602"/>
      <c r="R14" s="602" t="s">
        <v>75</v>
      </c>
      <c r="S14" s="602"/>
      <c r="T14" s="602"/>
      <c r="U14" s="376" t="s">
        <v>63</v>
      </c>
    </row>
    <row r="15" spans="1:21" ht="12.75" customHeight="1">
      <c r="A15" s="612" t="s">
        <v>266</v>
      </c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3">
        <v>2.96</v>
      </c>
      <c r="P15" s="613"/>
      <c r="Q15" s="613"/>
      <c r="R15" s="614">
        <v>15.8683</v>
      </c>
      <c r="S15" s="614"/>
      <c r="T15" s="614"/>
      <c r="U15" s="379">
        <f>(O15*R15)</f>
        <v>46.970168</v>
      </c>
    </row>
    <row r="16" spans="1:21" ht="12.75">
      <c r="A16" s="615"/>
      <c r="B16" s="615"/>
      <c r="C16" s="615"/>
      <c r="D16" s="615"/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6"/>
      <c r="P16" s="616"/>
      <c r="Q16" s="616"/>
      <c r="R16" s="617"/>
      <c r="S16" s="617"/>
      <c r="T16" s="617"/>
      <c r="U16" s="381"/>
    </row>
    <row r="17" spans="1:21" ht="12.75">
      <c r="A17" s="615"/>
      <c r="B17" s="615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6"/>
      <c r="P17" s="616"/>
      <c r="Q17" s="616"/>
      <c r="R17" s="617"/>
      <c r="S17" s="617"/>
      <c r="T17" s="617"/>
      <c r="U17" s="379"/>
    </row>
    <row r="18" spans="1:21" ht="12.75">
      <c r="A18" s="618"/>
      <c r="B18" s="618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0"/>
      <c r="P18" s="610"/>
      <c r="Q18" s="610"/>
      <c r="R18" s="611"/>
      <c r="S18" s="611"/>
      <c r="T18" s="611"/>
      <c r="U18" s="383"/>
    </row>
    <row r="19" spans="1:21" ht="12.75">
      <c r="A19" s="634"/>
      <c r="B19" s="634"/>
      <c r="C19" s="634"/>
      <c r="D19" s="634"/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4"/>
      <c r="Q19" s="634"/>
      <c r="R19" s="622" t="s">
        <v>76</v>
      </c>
      <c r="S19" s="622"/>
      <c r="T19" s="622"/>
      <c r="U19" s="384">
        <f>SUM(U15:U18)</f>
        <v>46.970168</v>
      </c>
    </row>
    <row r="20" spans="1:21" ht="24" customHeight="1">
      <c r="A20" s="638" t="s">
        <v>77</v>
      </c>
      <c r="B20" s="638"/>
      <c r="C20" s="638"/>
      <c r="D20" s="638"/>
      <c r="E20" s="638"/>
      <c r="F20" s="638"/>
      <c r="G20" s="638"/>
      <c r="H20" s="638"/>
      <c r="I20" s="639"/>
      <c r="J20" s="640">
        <v>1</v>
      </c>
      <c r="K20" s="641"/>
      <c r="L20" s="641"/>
      <c r="M20" s="642" t="s">
        <v>78</v>
      </c>
      <c r="N20" s="642"/>
      <c r="O20" s="642"/>
      <c r="P20" s="642"/>
      <c r="Q20" s="642"/>
      <c r="R20" s="642"/>
      <c r="S20" s="642"/>
      <c r="T20" s="642"/>
      <c r="U20" s="384">
        <f>SUM(U13,U19)</f>
        <v>46.970168</v>
      </c>
    </row>
    <row r="21" spans="1:21" ht="12.75">
      <c r="A21" s="643"/>
      <c r="B21" s="643"/>
      <c r="C21" s="643"/>
      <c r="D21" s="633" t="s">
        <v>79</v>
      </c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384">
        <f>U20/J20</f>
        <v>46.970168</v>
      </c>
    </row>
    <row r="22" spans="1:21" ht="24">
      <c r="A22" s="601" t="s">
        <v>80</v>
      </c>
      <c r="B22" s="601"/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2" t="s">
        <v>1</v>
      </c>
      <c r="N22" s="602"/>
      <c r="O22" s="602" t="s">
        <v>81</v>
      </c>
      <c r="P22" s="602"/>
      <c r="Q22" s="602"/>
      <c r="R22" s="602" t="s">
        <v>82</v>
      </c>
      <c r="S22" s="602"/>
      <c r="T22" s="602"/>
      <c r="U22" s="376" t="s">
        <v>83</v>
      </c>
    </row>
    <row r="23" spans="1:43" ht="12.75">
      <c r="A23" s="619" t="s">
        <v>394</v>
      </c>
      <c r="B23" s="619"/>
      <c r="C23" s="619"/>
      <c r="D23" s="619"/>
      <c r="E23" s="619"/>
      <c r="F23" s="619"/>
      <c r="G23" s="619"/>
      <c r="H23" s="619"/>
      <c r="I23" s="619"/>
      <c r="J23" s="619"/>
      <c r="K23" s="619"/>
      <c r="L23" s="619"/>
      <c r="M23" s="620" t="s">
        <v>6</v>
      </c>
      <c r="N23" s="620"/>
      <c r="O23" s="613">
        <v>5.68</v>
      </c>
      <c r="P23" s="613"/>
      <c r="Q23" s="613"/>
      <c r="R23" s="621">
        <v>76.36</v>
      </c>
      <c r="S23" s="621"/>
      <c r="T23" s="621"/>
      <c r="U23" s="379">
        <f>(O23*R23)</f>
        <v>433.72479999999996</v>
      </c>
      <c r="W23" s="619" t="s">
        <v>394</v>
      </c>
      <c r="X23" s="619"/>
      <c r="Y23" s="619"/>
      <c r="Z23" s="619"/>
      <c r="AA23" s="619"/>
      <c r="AB23" s="619"/>
      <c r="AC23" s="619"/>
      <c r="AD23" s="619"/>
      <c r="AE23" s="619"/>
      <c r="AF23" s="619"/>
      <c r="AG23" s="619"/>
      <c r="AH23" s="619"/>
      <c r="AI23" s="659" t="s">
        <v>6</v>
      </c>
      <c r="AJ23" s="659"/>
      <c r="AK23" s="660">
        <v>9.54</v>
      </c>
      <c r="AL23" s="660"/>
      <c r="AM23" s="660"/>
      <c r="AN23" s="621">
        <v>76.36</v>
      </c>
      <c r="AO23" s="621"/>
      <c r="AP23" s="621"/>
      <c r="AQ23" s="30">
        <f>TRUNC(AN23*AK23,2)</f>
        <v>728.47</v>
      </c>
    </row>
    <row r="24" spans="1:43" ht="12.75">
      <c r="A24" s="619" t="s">
        <v>395</v>
      </c>
      <c r="B24" s="619"/>
      <c r="C24" s="619"/>
      <c r="D24" s="619"/>
      <c r="E24" s="619"/>
      <c r="F24" s="619"/>
      <c r="G24" s="619"/>
      <c r="H24" s="619"/>
      <c r="I24" s="619"/>
      <c r="J24" s="619"/>
      <c r="K24" s="619"/>
      <c r="L24" s="619"/>
      <c r="M24" s="620" t="s">
        <v>6</v>
      </c>
      <c r="N24" s="620"/>
      <c r="O24" s="613">
        <v>3.1</v>
      </c>
      <c r="P24" s="613"/>
      <c r="Q24" s="613"/>
      <c r="R24" s="621">
        <v>54.65</v>
      </c>
      <c r="S24" s="621"/>
      <c r="T24" s="621"/>
      <c r="U24" s="379">
        <f>(O24*R24)</f>
        <v>169.415</v>
      </c>
      <c r="W24" s="619" t="s">
        <v>395</v>
      </c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59" t="s">
        <v>6</v>
      </c>
      <c r="AJ24" s="659"/>
      <c r="AK24" s="660">
        <v>4.13</v>
      </c>
      <c r="AL24" s="660"/>
      <c r="AM24" s="660"/>
      <c r="AN24" s="621">
        <v>54.65</v>
      </c>
      <c r="AO24" s="621"/>
      <c r="AP24" s="621"/>
      <c r="AQ24" s="30">
        <f>TRUNC(AN24*AK24,2)</f>
        <v>225.7</v>
      </c>
    </row>
    <row r="25" spans="1:43" ht="12.75">
      <c r="A25" s="619" t="s">
        <v>396</v>
      </c>
      <c r="B25" s="619"/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620" t="s">
        <v>4</v>
      </c>
      <c r="N25" s="620"/>
      <c r="O25" s="616">
        <v>0.31</v>
      </c>
      <c r="P25" s="616"/>
      <c r="Q25" s="616"/>
      <c r="R25" s="621">
        <v>347.88</v>
      </c>
      <c r="S25" s="621"/>
      <c r="T25" s="621"/>
      <c r="U25" s="379">
        <f>(O25*R25)</f>
        <v>107.8428</v>
      </c>
      <c r="W25" s="619" t="s">
        <v>396</v>
      </c>
      <c r="X25" s="619"/>
      <c r="Y25" s="619"/>
      <c r="Z25" s="619"/>
      <c r="AA25" s="619"/>
      <c r="AB25" s="619"/>
      <c r="AC25" s="619"/>
      <c r="AD25" s="619"/>
      <c r="AE25" s="619"/>
      <c r="AF25" s="619"/>
      <c r="AG25" s="619"/>
      <c r="AH25" s="619"/>
      <c r="AI25" s="659" t="s">
        <v>4</v>
      </c>
      <c r="AJ25" s="659"/>
      <c r="AK25" s="658">
        <v>0.83</v>
      </c>
      <c r="AL25" s="658"/>
      <c r="AM25" s="658"/>
      <c r="AN25" s="621">
        <v>347.88</v>
      </c>
      <c r="AO25" s="621"/>
      <c r="AP25" s="621"/>
      <c r="AQ25" s="30">
        <f>TRUNC(AK25*AN25,2)</f>
        <v>288.74</v>
      </c>
    </row>
    <row r="26" spans="1:43" ht="12.75">
      <c r="A26" s="635" t="s">
        <v>397</v>
      </c>
      <c r="B26" s="635"/>
      <c r="C26" s="635"/>
      <c r="D26" s="635"/>
      <c r="E26" s="635"/>
      <c r="F26" s="635"/>
      <c r="G26" s="635"/>
      <c r="H26" s="635"/>
      <c r="I26" s="635"/>
      <c r="J26" s="635"/>
      <c r="K26" s="635"/>
      <c r="L26" s="635"/>
      <c r="M26" s="620" t="s">
        <v>96</v>
      </c>
      <c r="N26" s="620"/>
      <c r="O26" s="616">
        <v>8.4</v>
      </c>
      <c r="P26" s="616"/>
      <c r="Q26" s="616"/>
      <c r="R26" s="621">
        <v>8.27</v>
      </c>
      <c r="S26" s="621"/>
      <c r="T26" s="621"/>
      <c r="U26" s="379">
        <f>(O26*R26)</f>
        <v>69.468</v>
      </c>
      <c r="W26" s="635" t="s">
        <v>397</v>
      </c>
      <c r="X26" s="635"/>
      <c r="Y26" s="635"/>
      <c r="Z26" s="635"/>
      <c r="AA26" s="635"/>
      <c r="AB26" s="635"/>
      <c r="AC26" s="635"/>
      <c r="AD26" s="635"/>
      <c r="AE26" s="635"/>
      <c r="AF26" s="635"/>
      <c r="AG26" s="635"/>
      <c r="AH26" s="635"/>
      <c r="AI26" s="659" t="s">
        <v>96</v>
      </c>
      <c r="AJ26" s="659"/>
      <c r="AK26" s="658">
        <v>21.06</v>
      </c>
      <c r="AL26" s="658"/>
      <c r="AM26" s="658"/>
      <c r="AN26" s="621">
        <v>8.27</v>
      </c>
      <c r="AO26" s="621"/>
      <c r="AP26" s="621"/>
      <c r="AQ26" s="30">
        <f>TRUNC(AK26*AN26,2)</f>
        <v>174.16</v>
      </c>
    </row>
    <row r="27" spans="1:43" ht="12.75">
      <c r="A27" s="626" t="s">
        <v>398</v>
      </c>
      <c r="B27" s="627"/>
      <c r="C27" s="627"/>
      <c r="D27" s="627"/>
      <c r="E27" s="627"/>
      <c r="F27" s="627"/>
      <c r="G27" s="627"/>
      <c r="H27" s="627"/>
      <c r="I27" s="627"/>
      <c r="J27" s="627"/>
      <c r="K27" s="627"/>
      <c r="L27" s="628"/>
      <c r="M27" s="636" t="s">
        <v>4</v>
      </c>
      <c r="N27" s="637"/>
      <c r="O27" s="623">
        <v>0.142</v>
      </c>
      <c r="P27" s="624"/>
      <c r="Q27" s="625"/>
      <c r="R27" s="621">
        <v>326.31</v>
      </c>
      <c r="S27" s="621"/>
      <c r="T27" s="621"/>
      <c r="U27" s="379">
        <f>(O27*R27)</f>
        <v>46.33602</v>
      </c>
      <c r="W27" s="626" t="s">
        <v>398</v>
      </c>
      <c r="X27" s="627"/>
      <c r="Y27" s="627"/>
      <c r="Z27" s="627"/>
      <c r="AA27" s="627"/>
      <c r="AB27" s="627"/>
      <c r="AC27" s="627"/>
      <c r="AD27" s="627"/>
      <c r="AE27" s="627"/>
      <c r="AF27" s="627"/>
      <c r="AG27" s="627"/>
      <c r="AH27" s="628"/>
      <c r="AI27" s="661" t="s">
        <v>4</v>
      </c>
      <c r="AJ27" s="662"/>
      <c r="AK27" s="663">
        <v>0.24</v>
      </c>
      <c r="AL27" s="664"/>
      <c r="AM27" s="665"/>
      <c r="AN27" s="621">
        <v>326.31</v>
      </c>
      <c r="AO27" s="621"/>
      <c r="AP27" s="621"/>
      <c r="AQ27" s="30">
        <f>TRUNC(AK27*AN27,2)</f>
        <v>78.31</v>
      </c>
    </row>
    <row r="28" spans="1:21" ht="12.75" customHeight="1">
      <c r="A28" s="632"/>
      <c r="B28" s="632"/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1"/>
      <c r="N28" s="631"/>
      <c r="O28" s="610"/>
      <c r="P28" s="610"/>
      <c r="Q28" s="610"/>
      <c r="R28" s="611"/>
      <c r="S28" s="611"/>
      <c r="T28" s="611"/>
      <c r="U28" s="385"/>
    </row>
    <row r="29" spans="1:21" ht="12.75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22" t="s">
        <v>84</v>
      </c>
      <c r="S29" s="622"/>
      <c r="T29" s="622"/>
      <c r="U29" s="384">
        <f>SUM(U23:U28)</f>
        <v>826.7866199999999</v>
      </c>
    </row>
    <row r="30" spans="1:21" ht="12.75">
      <c r="A30" s="601" t="s">
        <v>85</v>
      </c>
      <c r="B30" s="601"/>
      <c r="C30" s="601"/>
      <c r="D30" s="601"/>
      <c r="E30" s="601"/>
      <c r="F30" s="601"/>
      <c r="G30" s="601"/>
      <c r="H30" s="601"/>
      <c r="I30" s="633" t="s">
        <v>86</v>
      </c>
      <c r="J30" s="633"/>
      <c r="K30" s="633"/>
      <c r="L30" s="633"/>
      <c r="M30" s="633"/>
      <c r="N30" s="633"/>
      <c r="O30" s="602" t="s">
        <v>87</v>
      </c>
      <c r="P30" s="602"/>
      <c r="Q30" s="602"/>
      <c r="R30" s="602" t="s">
        <v>82</v>
      </c>
      <c r="S30" s="602"/>
      <c r="T30" s="602"/>
      <c r="U30" s="602" t="s">
        <v>83</v>
      </c>
    </row>
    <row r="31" spans="1:21" ht="12.75">
      <c r="A31" s="601"/>
      <c r="B31" s="601"/>
      <c r="C31" s="601"/>
      <c r="D31" s="601"/>
      <c r="E31" s="601"/>
      <c r="F31" s="601"/>
      <c r="G31" s="601"/>
      <c r="H31" s="601"/>
      <c r="I31" s="633" t="s">
        <v>88</v>
      </c>
      <c r="J31" s="633"/>
      <c r="K31" s="633" t="s">
        <v>89</v>
      </c>
      <c r="L31" s="633"/>
      <c r="M31" s="633" t="s">
        <v>16</v>
      </c>
      <c r="N31" s="633"/>
      <c r="O31" s="602"/>
      <c r="P31" s="602"/>
      <c r="Q31" s="602"/>
      <c r="R31" s="602"/>
      <c r="S31" s="602"/>
      <c r="T31" s="602"/>
      <c r="U31" s="602"/>
    </row>
    <row r="32" spans="1:21" ht="12.75">
      <c r="A32" s="644"/>
      <c r="B32" s="644"/>
      <c r="C32" s="644"/>
      <c r="D32" s="644"/>
      <c r="E32" s="644"/>
      <c r="F32" s="644"/>
      <c r="G32" s="644"/>
      <c r="H32" s="644"/>
      <c r="I32" s="645"/>
      <c r="J32" s="645"/>
      <c r="K32" s="645"/>
      <c r="L32" s="645"/>
      <c r="M32" s="645"/>
      <c r="N32" s="645"/>
      <c r="O32" s="646"/>
      <c r="P32" s="646"/>
      <c r="Q32" s="646"/>
      <c r="R32" s="647"/>
      <c r="S32" s="647"/>
      <c r="T32" s="647"/>
      <c r="U32" s="386">
        <f>INT((M32*O32*R32)*100)/100</f>
        <v>0</v>
      </c>
    </row>
    <row r="33" spans="1:21" ht="12.75">
      <c r="A33" s="649"/>
      <c r="B33" s="649"/>
      <c r="C33" s="649"/>
      <c r="D33" s="649"/>
      <c r="E33" s="649"/>
      <c r="F33" s="649"/>
      <c r="G33" s="649"/>
      <c r="H33" s="649"/>
      <c r="I33" s="629"/>
      <c r="J33" s="629"/>
      <c r="K33" s="629"/>
      <c r="L33" s="629"/>
      <c r="M33" s="629"/>
      <c r="N33" s="629"/>
      <c r="O33" s="630"/>
      <c r="P33" s="630"/>
      <c r="Q33" s="630"/>
      <c r="R33" s="648"/>
      <c r="S33" s="648"/>
      <c r="T33" s="648"/>
      <c r="U33" s="380">
        <f>INT((M33*O33*R33)*100)/100</f>
        <v>0</v>
      </c>
    </row>
    <row r="34" spans="1:21" ht="12.75">
      <c r="A34" s="649"/>
      <c r="B34" s="649"/>
      <c r="C34" s="649"/>
      <c r="D34" s="649"/>
      <c r="E34" s="649"/>
      <c r="F34" s="649"/>
      <c r="G34" s="649"/>
      <c r="H34" s="649"/>
      <c r="I34" s="629"/>
      <c r="J34" s="629"/>
      <c r="K34" s="629"/>
      <c r="L34" s="629"/>
      <c r="M34" s="629">
        <f>SUM(I34:L34)</f>
        <v>0</v>
      </c>
      <c r="N34" s="629"/>
      <c r="O34" s="630"/>
      <c r="P34" s="630"/>
      <c r="Q34" s="630"/>
      <c r="R34" s="648"/>
      <c r="S34" s="648"/>
      <c r="T34" s="648"/>
      <c r="U34" s="380">
        <f>INT((M34*O34*R34)*100)/100</f>
        <v>0</v>
      </c>
    </row>
    <row r="35" spans="1:21" ht="12.75">
      <c r="A35" s="650"/>
      <c r="B35" s="650"/>
      <c r="C35" s="650"/>
      <c r="D35" s="650"/>
      <c r="E35" s="650"/>
      <c r="F35" s="650"/>
      <c r="G35" s="650"/>
      <c r="H35" s="650"/>
      <c r="I35" s="651"/>
      <c r="J35" s="651"/>
      <c r="K35" s="651"/>
      <c r="L35" s="651"/>
      <c r="M35" s="651">
        <f>SUM(I35:L35)</f>
        <v>0</v>
      </c>
      <c r="N35" s="651"/>
      <c r="O35" s="652"/>
      <c r="P35" s="652"/>
      <c r="Q35" s="652"/>
      <c r="R35" s="653"/>
      <c r="S35" s="653"/>
      <c r="T35" s="653"/>
      <c r="U35" s="382">
        <f>INT((M35*O35*R35)*100)/100</f>
        <v>0</v>
      </c>
    </row>
    <row r="36" spans="1:21" ht="12.75">
      <c r="A36" s="634"/>
      <c r="B36" s="634"/>
      <c r="C36" s="634"/>
      <c r="D36" s="634"/>
      <c r="E36" s="634"/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4"/>
      <c r="Q36" s="634"/>
      <c r="R36" s="622" t="s">
        <v>90</v>
      </c>
      <c r="S36" s="622"/>
      <c r="T36" s="622"/>
      <c r="U36" s="387">
        <f>SUM(U32:U35)</f>
        <v>0</v>
      </c>
    </row>
    <row r="37" spans="1:21" ht="12.75">
      <c r="A37" s="654"/>
      <c r="B37" s="654"/>
      <c r="C37" s="654"/>
      <c r="D37" s="654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s="654"/>
      <c r="R37" s="654"/>
      <c r="S37" s="654"/>
      <c r="T37" s="654"/>
      <c r="U37" s="654"/>
    </row>
    <row r="38" spans="1:21" ht="12.75">
      <c r="A38" s="655" t="s">
        <v>91</v>
      </c>
      <c r="B38" s="655"/>
      <c r="C38" s="655"/>
      <c r="D38" s="655"/>
      <c r="E38" s="655"/>
      <c r="F38" s="655"/>
      <c r="G38" s="655"/>
      <c r="H38" s="655"/>
      <c r="I38" s="655"/>
      <c r="J38" s="655"/>
      <c r="K38" s="655"/>
      <c r="L38" s="655"/>
      <c r="M38" s="655"/>
      <c r="N38" s="655"/>
      <c r="O38" s="655"/>
      <c r="P38" s="655"/>
      <c r="Q38" s="655"/>
      <c r="R38" s="655"/>
      <c r="S38" s="655"/>
      <c r="T38" s="655"/>
      <c r="U38" s="388">
        <f>SUM(U21,U29,U36)</f>
        <v>873.7567879999999</v>
      </c>
    </row>
    <row r="39" spans="1:21" ht="12.75">
      <c r="A39" s="389" t="s">
        <v>92</v>
      </c>
      <c r="B39" s="390"/>
      <c r="C39" s="390"/>
      <c r="D39" s="390"/>
      <c r="E39" s="390"/>
      <c r="F39" s="390"/>
      <c r="G39" s="390"/>
      <c r="H39" s="391" t="s">
        <v>93</v>
      </c>
      <c r="I39" s="656">
        <v>0</v>
      </c>
      <c r="J39" s="656"/>
      <c r="K39" s="390" t="s">
        <v>94</v>
      </c>
      <c r="L39" s="390"/>
      <c r="M39" s="390"/>
      <c r="N39" s="390"/>
      <c r="O39" s="390"/>
      <c r="P39" s="390"/>
      <c r="Q39" s="390"/>
      <c r="R39" s="390"/>
      <c r="S39" s="390"/>
      <c r="T39" s="390"/>
      <c r="U39" s="392">
        <f>TRUNC((U38*I39),2)</f>
        <v>0</v>
      </c>
    </row>
    <row r="40" spans="1:21" ht="18.75">
      <c r="A40" s="657" t="s">
        <v>95</v>
      </c>
      <c r="B40" s="657"/>
      <c r="C40" s="657"/>
      <c r="D40" s="657"/>
      <c r="E40" s="657"/>
      <c r="F40" s="657"/>
      <c r="G40" s="657"/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57"/>
      <c r="T40" s="657"/>
      <c r="U40" s="392">
        <f>((U39+U38))</f>
        <v>873.7567879999999</v>
      </c>
    </row>
  </sheetData>
  <sheetProtection/>
  <mergeCells count="168">
    <mergeCell ref="W27:AH27"/>
    <mergeCell ref="AI27:AJ27"/>
    <mergeCell ref="AK27:AM27"/>
    <mergeCell ref="AN27:AP27"/>
    <mergeCell ref="W25:AH25"/>
    <mergeCell ref="AI25:AJ25"/>
    <mergeCell ref="AK25:AM25"/>
    <mergeCell ref="AN25:AP25"/>
    <mergeCell ref="W26:AH26"/>
    <mergeCell ref="AI26:AJ26"/>
    <mergeCell ref="AK26:AM26"/>
    <mergeCell ref="AN26:AP26"/>
    <mergeCell ref="W23:AH23"/>
    <mergeCell ref="AI23:AJ23"/>
    <mergeCell ref="AK23:AM23"/>
    <mergeCell ref="AN23:AP23"/>
    <mergeCell ref="W24:AH24"/>
    <mergeCell ref="AI24:AJ24"/>
    <mergeCell ref="AK24:AM24"/>
    <mergeCell ref="AN24:AP24"/>
    <mergeCell ref="A36:Q36"/>
    <mergeCell ref="R36:T36"/>
    <mergeCell ref="A37:U37"/>
    <mergeCell ref="A38:T38"/>
    <mergeCell ref="I39:J39"/>
    <mergeCell ref="A40:T40"/>
    <mergeCell ref="A35:H35"/>
    <mergeCell ref="I35:J35"/>
    <mergeCell ref="K35:L35"/>
    <mergeCell ref="M35:N35"/>
    <mergeCell ref="O35:Q35"/>
    <mergeCell ref="R35:T35"/>
    <mergeCell ref="R33:T33"/>
    <mergeCell ref="A34:H34"/>
    <mergeCell ref="I34:J34"/>
    <mergeCell ref="K34:L34"/>
    <mergeCell ref="M34:N34"/>
    <mergeCell ref="O34:Q34"/>
    <mergeCell ref="R34:T34"/>
    <mergeCell ref="M33:N33"/>
    <mergeCell ref="I33:J33"/>
    <mergeCell ref="A33:H33"/>
    <mergeCell ref="A32:H32"/>
    <mergeCell ref="I32:J32"/>
    <mergeCell ref="K32:L32"/>
    <mergeCell ref="M32:N32"/>
    <mergeCell ref="O32:Q32"/>
    <mergeCell ref="R32:T32"/>
    <mergeCell ref="A20:I20"/>
    <mergeCell ref="J20:L20"/>
    <mergeCell ref="M20:T20"/>
    <mergeCell ref="A21:C21"/>
    <mergeCell ref="D21:T21"/>
    <mergeCell ref="U30:U31"/>
    <mergeCell ref="I31:J31"/>
    <mergeCell ref="K31:L31"/>
    <mergeCell ref="M31:N31"/>
    <mergeCell ref="R29:T29"/>
    <mergeCell ref="A29:Q29"/>
    <mergeCell ref="A13:Q13"/>
    <mergeCell ref="A17:N17"/>
    <mergeCell ref="O17:Q17"/>
    <mergeCell ref="R17:T17"/>
    <mergeCell ref="R13:T13"/>
    <mergeCell ref="A14:N14"/>
    <mergeCell ref="A26:L26"/>
    <mergeCell ref="A19:Q19"/>
    <mergeCell ref="M27:N27"/>
    <mergeCell ref="K33:L33"/>
    <mergeCell ref="O33:Q33"/>
    <mergeCell ref="M28:N28"/>
    <mergeCell ref="O28:Q28"/>
    <mergeCell ref="R28:T28"/>
    <mergeCell ref="A28:L28"/>
    <mergeCell ref="A30:H31"/>
    <mergeCell ref="I30:N30"/>
    <mergeCell ref="O30:Q31"/>
    <mergeCell ref="R30:T31"/>
    <mergeCell ref="O27:Q27"/>
    <mergeCell ref="R27:T27"/>
    <mergeCell ref="A27:L27"/>
    <mergeCell ref="O26:Q26"/>
    <mergeCell ref="R26:T26"/>
    <mergeCell ref="M26:N26"/>
    <mergeCell ref="A24:L24"/>
    <mergeCell ref="M24:N24"/>
    <mergeCell ref="O24:Q24"/>
    <mergeCell ref="R24:T24"/>
    <mergeCell ref="A25:L25"/>
    <mergeCell ref="O25:Q25"/>
    <mergeCell ref="R25:T25"/>
    <mergeCell ref="M25:N25"/>
    <mergeCell ref="A18:N18"/>
    <mergeCell ref="A22:L22"/>
    <mergeCell ref="M22:N22"/>
    <mergeCell ref="O22:Q22"/>
    <mergeCell ref="R22:T22"/>
    <mergeCell ref="A23:L23"/>
    <mergeCell ref="M23:N23"/>
    <mergeCell ref="O23:Q23"/>
    <mergeCell ref="R23:T23"/>
    <mergeCell ref="R19:T19"/>
    <mergeCell ref="O14:Q14"/>
    <mergeCell ref="R14:T14"/>
    <mergeCell ref="O18:Q18"/>
    <mergeCell ref="R18:T18"/>
    <mergeCell ref="A15:N15"/>
    <mergeCell ref="O15:Q15"/>
    <mergeCell ref="R15:T15"/>
    <mergeCell ref="A16:N16"/>
    <mergeCell ref="O16:Q16"/>
    <mergeCell ref="R16:T16"/>
    <mergeCell ref="A12:J12"/>
    <mergeCell ref="K12:L12"/>
    <mergeCell ref="M12:N12"/>
    <mergeCell ref="O12:P12"/>
    <mergeCell ref="Q12:R12"/>
    <mergeCell ref="S12:T12"/>
    <mergeCell ref="A11:J11"/>
    <mergeCell ref="K11:L11"/>
    <mergeCell ref="M11:N11"/>
    <mergeCell ref="O11:P11"/>
    <mergeCell ref="Q11:R11"/>
    <mergeCell ref="S11:T11"/>
    <mergeCell ref="A10:J10"/>
    <mergeCell ref="K10:L10"/>
    <mergeCell ref="M10:N10"/>
    <mergeCell ref="O10:P10"/>
    <mergeCell ref="Q10:R10"/>
    <mergeCell ref="S10:T10"/>
    <mergeCell ref="A9:J9"/>
    <mergeCell ref="K9:L9"/>
    <mergeCell ref="M9:N9"/>
    <mergeCell ref="O9:P9"/>
    <mergeCell ref="Q9:R9"/>
    <mergeCell ref="S9:T9"/>
    <mergeCell ref="A8:J8"/>
    <mergeCell ref="K8:L8"/>
    <mergeCell ref="M8:N8"/>
    <mergeCell ref="O8:P8"/>
    <mergeCell ref="Q8:R8"/>
    <mergeCell ref="S8:T8"/>
    <mergeCell ref="S6:T6"/>
    <mergeCell ref="A7:J7"/>
    <mergeCell ref="K7:L7"/>
    <mergeCell ref="M7:N7"/>
    <mergeCell ref="O7:P7"/>
    <mergeCell ref="Q7:R7"/>
    <mergeCell ref="S7:T7"/>
    <mergeCell ref="U4:U5"/>
    <mergeCell ref="M5:N5"/>
    <mergeCell ref="O5:P5"/>
    <mergeCell ref="Q5:R5"/>
    <mergeCell ref="S5:T5"/>
    <mergeCell ref="A6:J6"/>
    <mergeCell ref="K6:L6"/>
    <mergeCell ref="M6:N6"/>
    <mergeCell ref="O6:P6"/>
    <mergeCell ref="Q6:R6"/>
    <mergeCell ref="A1:T1"/>
    <mergeCell ref="A2:E2"/>
    <mergeCell ref="F2:T2"/>
    <mergeCell ref="A3:E3"/>
    <mergeCell ref="F3:T3"/>
    <mergeCell ref="A4:J5"/>
    <mergeCell ref="K4:L5"/>
    <mergeCell ref="M4:P4"/>
    <mergeCell ref="Q4:T4"/>
  </mergeCells>
  <conditionalFormatting sqref="O6:P12">
    <cfRule type="cellIs" priority="1" dxfId="0" operator="equal" stopIfTrue="1">
      <formula>1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U41"/>
  <sheetViews>
    <sheetView zoomScalePageLayoutView="0" workbookViewId="0" topLeftCell="A1">
      <selection activeCell="R24" sqref="R24:T28"/>
    </sheetView>
  </sheetViews>
  <sheetFormatPr defaultColWidth="9.140625" defaultRowHeight="12.75"/>
  <cols>
    <col min="1" max="11" width="4.140625" style="0" customWidth="1"/>
    <col min="12" max="12" width="6.8515625" style="0" customWidth="1"/>
    <col min="13" max="20" width="4.140625" style="0" customWidth="1"/>
    <col min="21" max="21" width="12.7109375" style="0" customWidth="1"/>
  </cols>
  <sheetData>
    <row r="1" spans="1:21" ht="15">
      <c r="A1" s="666" t="s">
        <v>64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40">
        <v>43101</v>
      </c>
    </row>
    <row r="2" spans="1:21" ht="12.75">
      <c r="A2" s="668" t="s">
        <v>65</v>
      </c>
      <c r="B2" s="669"/>
      <c r="C2" s="669"/>
      <c r="D2" s="669"/>
      <c r="E2" s="670"/>
      <c r="F2" s="668" t="s">
        <v>381</v>
      </c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70"/>
      <c r="U2" s="26" t="s">
        <v>66</v>
      </c>
    </row>
    <row r="3" spans="1:21" ht="12.75" customHeight="1">
      <c r="A3" s="671" t="s">
        <v>67</v>
      </c>
      <c r="B3" s="672"/>
      <c r="C3" s="672"/>
      <c r="D3" s="672"/>
      <c r="E3" s="673"/>
      <c r="F3" s="674" t="s">
        <v>420</v>
      </c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6"/>
      <c r="U3" s="27" t="s">
        <v>9</v>
      </c>
    </row>
    <row r="4" spans="1:21" ht="12.75" customHeight="1">
      <c r="A4" s="677" t="s">
        <v>68</v>
      </c>
      <c r="B4" s="677"/>
      <c r="C4" s="677"/>
      <c r="D4" s="677"/>
      <c r="E4" s="677"/>
      <c r="F4" s="677"/>
      <c r="G4" s="677"/>
      <c r="H4" s="677"/>
      <c r="I4" s="677"/>
      <c r="J4" s="677"/>
      <c r="K4" s="678" t="s">
        <v>13</v>
      </c>
      <c r="L4" s="678"/>
      <c r="M4" s="678" t="s">
        <v>69</v>
      </c>
      <c r="N4" s="678"/>
      <c r="O4" s="678"/>
      <c r="P4" s="678"/>
      <c r="Q4" s="678" t="s">
        <v>70</v>
      </c>
      <c r="R4" s="678"/>
      <c r="S4" s="678"/>
      <c r="T4" s="678"/>
      <c r="U4" s="678" t="s">
        <v>63</v>
      </c>
    </row>
    <row r="5" spans="1:21" ht="12.75" customHeight="1">
      <c r="A5" s="677"/>
      <c r="B5" s="677"/>
      <c r="C5" s="677"/>
      <c r="D5" s="677"/>
      <c r="E5" s="677"/>
      <c r="F5" s="677"/>
      <c r="G5" s="677"/>
      <c r="H5" s="677"/>
      <c r="I5" s="677"/>
      <c r="J5" s="677"/>
      <c r="K5" s="678"/>
      <c r="L5" s="678"/>
      <c r="M5" s="678" t="s">
        <v>71</v>
      </c>
      <c r="N5" s="678"/>
      <c r="O5" s="678" t="s">
        <v>72</v>
      </c>
      <c r="P5" s="678"/>
      <c r="Q5" s="678" t="s">
        <v>71</v>
      </c>
      <c r="R5" s="678"/>
      <c r="S5" s="678" t="s">
        <v>72</v>
      </c>
      <c r="T5" s="678"/>
      <c r="U5" s="678"/>
    </row>
    <row r="6" spans="1:21" ht="12.75">
      <c r="A6" s="679"/>
      <c r="B6" s="679"/>
      <c r="C6" s="679"/>
      <c r="D6" s="679"/>
      <c r="E6" s="679"/>
      <c r="F6" s="679"/>
      <c r="G6" s="679"/>
      <c r="H6" s="679"/>
      <c r="I6" s="679"/>
      <c r="J6" s="679"/>
      <c r="K6" s="680"/>
      <c r="L6" s="680"/>
      <c r="M6" s="680"/>
      <c r="N6" s="680"/>
      <c r="O6" s="680"/>
      <c r="P6" s="680"/>
      <c r="Q6" s="681"/>
      <c r="R6" s="681"/>
      <c r="S6" s="681"/>
      <c r="T6" s="681"/>
      <c r="U6" s="28"/>
    </row>
    <row r="7" spans="1:21" ht="12.75">
      <c r="A7" s="682"/>
      <c r="B7" s="682"/>
      <c r="C7" s="682"/>
      <c r="D7" s="682"/>
      <c r="E7" s="682"/>
      <c r="F7" s="682"/>
      <c r="G7" s="682"/>
      <c r="H7" s="682"/>
      <c r="I7" s="682"/>
      <c r="J7" s="682"/>
      <c r="K7" s="659"/>
      <c r="L7" s="659"/>
      <c r="M7" s="659"/>
      <c r="N7" s="659"/>
      <c r="O7" s="659"/>
      <c r="P7" s="659"/>
      <c r="Q7" s="683"/>
      <c r="R7" s="683"/>
      <c r="S7" s="683"/>
      <c r="T7" s="683"/>
      <c r="U7" s="28"/>
    </row>
    <row r="8" spans="1:21" ht="12.75">
      <c r="A8" s="619"/>
      <c r="B8" s="619"/>
      <c r="C8" s="619"/>
      <c r="D8" s="619"/>
      <c r="E8" s="619"/>
      <c r="F8" s="619"/>
      <c r="G8" s="619"/>
      <c r="H8" s="619"/>
      <c r="I8" s="619"/>
      <c r="J8" s="619"/>
      <c r="K8" s="659"/>
      <c r="L8" s="659"/>
      <c r="M8" s="659"/>
      <c r="N8" s="659"/>
      <c r="O8" s="659"/>
      <c r="P8" s="659"/>
      <c r="Q8" s="683"/>
      <c r="R8" s="683"/>
      <c r="S8" s="683"/>
      <c r="T8" s="683"/>
      <c r="U8" s="28"/>
    </row>
    <row r="9" spans="1:21" ht="12.75">
      <c r="A9" s="682"/>
      <c r="B9" s="682"/>
      <c r="C9" s="682"/>
      <c r="D9" s="682"/>
      <c r="E9" s="682"/>
      <c r="F9" s="682"/>
      <c r="G9" s="682"/>
      <c r="H9" s="682"/>
      <c r="I9" s="682"/>
      <c r="J9" s="682"/>
      <c r="K9" s="659"/>
      <c r="L9" s="659"/>
      <c r="M9" s="659"/>
      <c r="N9" s="659"/>
      <c r="O9" s="659"/>
      <c r="P9" s="659"/>
      <c r="Q9" s="683"/>
      <c r="R9" s="683"/>
      <c r="S9" s="683"/>
      <c r="T9" s="683"/>
      <c r="U9" s="28"/>
    </row>
    <row r="10" spans="1:21" ht="12.75">
      <c r="A10" s="682"/>
      <c r="B10" s="682"/>
      <c r="C10" s="682"/>
      <c r="D10" s="682"/>
      <c r="E10" s="682"/>
      <c r="F10" s="682"/>
      <c r="G10" s="682"/>
      <c r="H10" s="682"/>
      <c r="I10" s="682"/>
      <c r="J10" s="682"/>
      <c r="K10" s="659"/>
      <c r="L10" s="659"/>
      <c r="M10" s="659"/>
      <c r="N10" s="659"/>
      <c r="O10" s="659"/>
      <c r="P10" s="659"/>
      <c r="Q10" s="683"/>
      <c r="R10" s="683"/>
      <c r="S10" s="683"/>
      <c r="T10" s="683"/>
      <c r="U10" s="28"/>
    </row>
    <row r="11" spans="1:21" ht="12.75">
      <c r="A11" s="682"/>
      <c r="B11" s="682"/>
      <c r="C11" s="682"/>
      <c r="D11" s="682"/>
      <c r="E11" s="682"/>
      <c r="F11" s="682"/>
      <c r="G11" s="682"/>
      <c r="H11" s="682"/>
      <c r="I11" s="682"/>
      <c r="J11" s="682"/>
      <c r="K11" s="659"/>
      <c r="L11" s="659"/>
      <c r="M11" s="659"/>
      <c r="N11" s="659"/>
      <c r="O11" s="659"/>
      <c r="P11" s="659"/>
      <c r="Q11" s="683"/>
      <c r="R11" s="683"/>
      <c r="S11" s="683"/>
      <c r="T11" s="683"/>
      <c r="U11" s="28"/>
    </row>
    <row r="12" spans="1:21" ht="12.75">
      <c r="A12" s="619"/>
      <c r="B12" s="619"/>
      <c r="C12" s="619"/>
      <c r="D12" s="619"/>
      <c r="E12" s="619"/>
      <c r="F12" s="619"/>
      <c r="G12" s="619"/>
      <c r="H12" s="619"/>
      <c r="I12" s="619"/>
      <c r="J12" s="619"/>
      <c r="K12" s="659"/>
      <c r="L12" s="659"/>
      <c r="M12" s="659"/>
      <c r="N12" s="659"/>
      <c r="O12" s="659"/>
      <c r="P12" s="659"/>
      <c r="Q12" s="683"/>
      <c r="R12" s="683"/>
      <c r="S12" s="683"/>
      <c r="T12" s="683"/>
      <c r="U12" s="28"/>
    </row>
    <row r="13" spans="1:21" ht="12.75">
      <c r="A13" s="619"/>
      <c r="B13" s="619"/>
      <c r="C13" s="619"/>
      <c r="D13" s="619"/>
      <c r="E13" s="619"/>
      <c r="F13" s="619"/>
      <c r="G13" s="619"/>
      <c r="H13" s="619"/>
      <c r="I13" s="619"/>
      <c r="J13" s="619"/>
      <c r="K13" s="659"/>
      <c r="L13" s="659"/>
      <c r="M13" s="659"/>
      <c r="N13" s="659"/>
      <c r="O13" s="659"/>
      <c r="P13" s="659"/>
      <c r="Q13" s="683"/>
      <c r="R13" s="683"/>
      <c r="S13" s="683"/>
      <c r="T13" s="683"/>
      <c r="U13" s="28"/>
    </row>
    <row r="14" spans="1:21" ht="12.75">
      <c r="A14" s="682"/>
      <c r="B14" s="682"/>
      <c r="C14" s="682"/>
      <c r="D14" s="682"/>
      <c r="E14" s="682"/>
      <c r="F14" s="682"/>
      <c r="G14" s="682"/>
      <c r="H14" s="682"/>
      <c r="I14" s="682"/>
      <c r="J14" s="682"/>
      <c r="K14" s="659"/>
      <c r="L14" s="659"/>
      <c r="M14" s="659"/>
      <c r="N14" s="659"/>
      <c r="O14" s="659"/>
      <c r="P14" s="659"/>
      <c r="Q14" s="683"/>
      <c r="R14" s="683"/>
      <c r="S14" s="683"/>
      <c r="T14" s="683"/>
      <c r="U14" s="28"/>
    </row>
    <row r="15" spans="1:21" ht="12.75">
      <c r="A15" s="684"/>
      <c r="B15" s="684"/>
      <c r="C15" s="684"/>
      <c r="D15" s="684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684"/>
      <c r="R15" s="685" t="s">
        <v>73</v>
      </c>
      <c r="S15" s="685"/>
      <c r="T15" s="685"/>
      <c r="U15" s="29">
        <f>SUM(U6:U14)</f>
        <v>0</v>
      </c>
    </row>
    <row r="16" spans="1:21" ht="24" customHeight="1">
      <c r="A16" s="677" t="s">
        <v>74</v>
      </c>
      <c r="B16" s="677"/>
      <c r="C16" s="677"/>
      <c r="D16" s="677"/>
      <c r="E16" s="677"/>
      <c r="F16" s="677"/>
      <c r="G16" s="677"/>
      <c r="H16" s="677"/>
      <c r="I16" s="677"/>
      <c r="J16" s="677"/>
      <c r="K16" s="677"/>
      <c r="L16" s="677"/>
      <c r="M16" s="677"/>
      <c r="N16" s="677"/>
      <c r="O16" s="678" t="s">
        <v>2</v>
      </c>
      <c r="P16" s="678"/>
      <c r="Q16" s="678"/>
      <c r="R16" s="678" t="s">
        <v>75</v>
      </c>
      <c r="S16" s="678"/>
      <c r="T16" s="678"/>
      <c r="U16" s="157" t="s">
        <v>63</v>
      </c>
    </row>
    <row r="17" spans="1:21" ht="12.75" customHeight="1">
      <c r="A17" s="612" t="s">
        <v>266</v>
      </c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60">
        <v>5.92</v>
      </c>
      <c r="P17" s="660"/>
      <c r="Q17" s="660"/>
      <c r="R17" s="614">
        <v>15.8683</v>
      </c>
      <c r="S17" s="614"/>
      <c r="T17" s="614"/>
      <c r="U17" s="379">
        <f>(O17*R17)</f>
        <v>93.940336</v>
      </c>
    </row>
    <row r="18" spans="1:21" ht="12.75">
      <c r="A18" s="686"/>
      <c r="B18" s="686"/>
      <c r="C18" s="686"/>
      <c r="D18" s="686"/>
      <c r="E18" s="686"/>
      <c r="F18" s="686"/>
      <c r="G18" s="686"/>
      <c r="H18" s="686"/>
      <c r="I18" s="686"/>
      <c r="J18" s="686"/>
      <c r="K18" s="686"/>
      <c r="L18" s="686"/>
      <c r="M18" s="686"/>
      <c r="N18" s="686"/>
      <c r="O18" s="658"/>
      <c r="P18" s="658"/>
      <c r="Q18" s="658"/>
      <c r="R18" s="614"/>
      <c r="S18" s="614"/>
      <c r="T18" s="614"/>
      <c r="U18" s="30"/>
    </row>
    <row r="19" spans="1:21" ht="12.75">
      <c r="A19" s="687"/>
      <c r="B19" s="687"/>
      <c r="C19" s="687"/>
      <c r="D19" s="687"/>
      <c r="E19" s="687"/>
      <c r="F19" s="687"/>
      <c r="G19" s="687"/>
      <c r="H19" s="687"/>
      <c r="I19" s="687"/>
      <c r="J19" s="687"/>
      <c r="K19" s="687"/>
      <c r="L19" s="687"/>
      <c r="M19" s="687"/>
      <c r="N19" s="687"/>
      <c r="O19" s="688"/>
      <c r="P19" s="688"/>
      <c r="Q19" s="688"/>
      <c r="R19" s="689"/>
      <c r="S19" s="689"/>
      <c r="T19" s="689"/>
      <c r="U19" s="31"/>
    </row>
    <row r="20" spans="1:21" ht="12.75">
      <c r="A20" s="684"/>
      <c r="B20" s="684"/>
      <c r="C20" s="684"/>
      <c r="D20" s="684"/>
      <c r="E20" s="684"/>
      <c r="F20" s="684"/>
      <c r="G20" s="684"/>
      <c r="H20" s="684"/>
      <c r="I20" s="684"/>
      <c r="J20" s="684"/>
      <c r="K20" s="684"/>
      <c r="L20" s="684"/>
      <c r="M20" s="684"/>
      <c r="N20" s="684"/>
      <c r="O20" s="684"/>
      <c r="P20" s="684"/>
      <c r="Q20" s="684"/>
      <c r="R20" s="685" t="s">
        <v>76</v>
      </c>
      <c r="S20" s="685"/>
      <c r="T20" s="685"/>
      <c r="U20" s="32">
        <f>SUM(U17:U19)</f>
        <v>93.940336</v>
      </c>
    </row>
    <row r="21" spans="1:21" ht="12.75">
      <c r="A21" s="690" t="s">
        <v>77</v>
      </c>
      <c r="B21" s="690"/>
      <c r="C21" s="690"/>
      <c r="D21" s="690"/>
      <c r="E21" s="690"/>
      <c r="F21" s="690"/>
      <c r="G21" s="690"/>
      <c r="H21" s="690"/>
      <c r="I21" s="691"/>
      <c r="J21" s="692">
        <v>1</v>
      </c>
      <c r="K21" s="693"/>
      <c r="L21" s="693"/>
      <c r="M21" s="694" t="s">
        <v>78</v>
      </c>
      <c r="N21" s="694"/>
      <c r="O21" s="694"/>
      <c r="P21" s="694"/>
      <c r="Q21" s="694"/>
      <c r="R21" s="694"/>
      <c r="S21" s="694"/>
      <c r="T21" s="694"/>
      <c r="U21" s="32">
        <f>SUM(U15,U20)</f>
        <v>93.940336</v>
      </c>
    </row>
    <row r="22" spans="1:21" ht="12.75">
      <c r="A22" s="695"/>
      <c r="B22" s="695"/>
      <c r="C22" s="695"/>
      <c r="D22" s="695" t="s">
        <v>79</v>
      </c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5"/>
      <c r="U22" s="32">
        <f>U21/J21</f>
        <v>93.940336</v>
      </c>
    </row>
    <row r="23" spans="1:21" ht="24" customHeight="1">
      <c r="A23" s="677" t="s">
        <v>80</v>
      </c>
      <c r="B23" s="677"/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8" t="s">
        <v>1</v>
      </c>
      <c r="N23" s="678"/>
      <c r="O23" s="678" t="s">
        <v>81</v>
      </c>
      <c r="P23" s="678"/>
      <c r="Q23" s="678"/>
      <c r="R23" s="678" t="s">
        <v>82</v>
      </c>
      <c r="S23" s="678"/>
      <c r="T23" s="678"/>
      <c r="U23" s="157" t="s">
        <v>83</v>
      </c>
    </row>
    <row r="24" spans="1:21" ht="12.75">
      <c r="A24" s="619" t="s">
        <v>394</v>
      </c>
      <c r="B24" s="619"/>
      <c r="C24" s="619"/>
      <c r="D24" s="619"/>
      <c r="E24" s="619"/>
      <c r="F24" s="619"/>
      <c r="G24" s="619"/>
      <c r="H24" s="619"/>
      <c r="I24" s="619"/>
      <c r="J24" s="619"/>
      <c r="K24" s="619"/>
      <c r="L24" s="619"/>
      <c r="M24" s="659" t="s">
        <v>6</v>
      </c>
      <c r="N24" s="659"/>
      <c r="O24" s="660">
        <v>9.54</v>
      </c>
      <c r="P24" s="660"/>
      <c r="Q24" s="660"/>
      <c r="R24" s="621">
        <v>76.36</v>
      </c>
      <c r="S24" s="621"/>
      <c r="T24" s="621"/>
      <c r="U24" s="379">
        <f>(O24*R24)</f>
        <v>728.4744</v>
      </c>
    </row>
    <row r="25" spans="1:21" ht="12.75">
      <c r="A25" s="619" t="s">
        <v>395</v>
      </c>
      <c r="B25" s="619"/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659" t="s">
        <v>6</v>
      </c>
      <c r="N25" s="659"/>
      <c r="O25" s="660">
        <v>4.13</v>
      </c>
      <c r="P25" s="660"/>
      <c r="Q25" s="660"/>
      <c r="R25" s="621">
        <v>54.65</v>
      </c>
      <c r="S25" s="621"/>
      <c r="T25" s="621"/>
      <c r="U25" s="379">
        <f>(O25*R25)</f>
        <v>225.7045</v>
      </c>
    </row>
    <row r="26" spans="1:21" ht="12.75">
      <c r="A26" s="619" t="s">
        <v>396</v>
      </c>
      <c r="B26" s="619"/>
      <c r="C26" s="619"/>
      <c r="D26" s="619"/>
      <c r="E26" s="619"/>
      <c r="F26" s="619"/>
      <c r="G26" s="619"/>
      <c r="H26" s="619"/>
      <c r="I26" s="619"/>
      <c r="J26" s="619"/>
      <c r="K26" s="619"/>
      <c r="L26" s="619"/>
      <c r="M26" s="659" t="s">
        <v>4</v>
      </c>
      <c r="N26" s="659"/>
      <c r="O26" s="658">
        <v>0.83</v>
      </c>
      <c r="P26" s="658"/>
      <c r="Q26" s="658"/>
      <c r="R26" s="621">
        <v>347.88</v>
      </c>
      <c r="S26" s="621"/>
      <c r="T26" s="621"/>
      <c r="U26" s="379">
        <f>(O26*R26)</f>
        <v>288.74039999999997</v>
      </c>
    </row>
    <row r="27" spans="1:21" ht="12.75">
      <c r="A27" s="635" t="s">
        <v>397</v>
      </c>
      <c r="B27" s="635"/>
      <c r="C27" s="635"/>
      <c r="D27" s="635"/>
      <c r="E27" s="635"/>
      <c r="F27" s="635"/>
      <c r="G27" s="635"/>
      <c r="H27" s="635"/>
      <c r="I27" s="635"/>
      <c r="J27" s="635"/>
      <c r="K27" s="635"/>
      <c r="L27" s="635"/>
      <c r="M27" s="659" t="s">
        <v>96</v>
      </c>
      <c r="N27" s="659"/>
      <c r="O27" s="658">
        <v>21.06</v>
      </c>
      <c r="P27" s="658"/>
      <c r="Q27" s="658"/>
      <c r="R27" s="621">
        <v>8.27</v>
      </c>
      <c r="S27" s="621"/>
      <c r="T27" s="621"/>
      <c r="U27" s="379">
        <f>(O27*R27)</f>
        <v>174.16619999999998</v>
      </c>
    </row>
    <row r="28" spans="1:21" ht="12.75">
      <c r="A28" s="626" t="s">
        <v>398</v>
      </c>
      <c r="B28" s="627"/>
      <c r="C28" s="627"/>
      <c r="D28" s="627"/>
      <c r="E28" s="627"/>
      <c r="F28" s="627"/>
      <c r="G28" s="627"/>
      <c r="H28" s="627"/>
      <c r="I28" s="627"/>
      <c r="J28" s="627"/>
      <c r="K28" s="627"/>
      <c r="L28" s="628"/>
      <c r="M28" s="661" t="s">
        <v>4</v>
      </c>
      <c r="N28" s="662"/>
      <c r="O28" s="663">
        <v>0.24</v>
      </c>
      <c r="P28" s="664"/>
      <c r="Q28" s="665"/>
      <c r="R28" s="621">
        <v>326.31</v>
      </c>
      <c r="S28" s="621"/>
      <c r="T28" s="621"/>
      <c r="U28" s="379">
        <f>(O28*R28)</f>
        <v>78.31439999999999</v>
      </c>
    </row>
    <row r="29" spans="1:21" ht="12.75">
      <c r="A29" s="696"/>
      <c r="B29" s="696"/>
      <c r="C29" s="696"/>
      <c r="D29" s="696"/>
      <c r="E29" s="696"/>
      <c r="F29" s="696"/>
      <c r="G29" s="696"/>
      <c r="H29" s="696"/>
      <c r="I29" s="696"/>
      <c r="J29" s="696"/>
      <c r="K29" s="696"/>
      <c r="L29" s="696"/>
      <c r="M29" s="697"/>
      <c r="N29" s="697"/>
      <c r="O29" s="688"/>
      <c r="P29" s="688"/>
      <c r="Q29" s="688"/>
      <c r="R29" s="689"/>
      <c r="S29" s="689"/>
      <c r="T29" s="689"/>
      <c r="U29" s="33"/>
    </row>
    <row r="30" spans="1:21" ht="12.75">
      <c r="A30" s="684"/>
      <c r="B30" s="684"/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684"/>
      <c r="P30" s="684"/>
      <c r="Q30" s="684"/>
      <c r="R30" s="685" t="s">
        <v>84</v>
      </c>
      <c r="S30" s="685"/>
      <c r="T30" s="685"/>
      <c r="U30" s="32">
        <f>SUM(U24:U29)</f>
        <v>1495.3998999999997</v>
      </c>
    </row>
    <row r="31" spans="1:21" ht="12.75" customHeight="1">
      <c r="A31" s="677" t="s">
        <v>85</v>
      </c>
      <c r="B31" s="677"/>
      <c r="C31" s="677"/>
      <c r="D31" s="677"/>
      <c r="E31" s="677"/>
      <c r="F31" s="677"/>
      <c r="G31" s="677"/>
      <c r="H31" s="677"/>
      <c r="I31" s="695" t="s">
        <v>86</v>
      </c>
      <c r="J31" s="695"/>
      <c r="K31" s="695"/>
      <c r="L31" s="695"/>
      <c r="M31" s="695"/>
      <c r="N31" s="695"/>
      <c r="O31" s="678" t="s">
        <v>87</v>
      </c>
      <c r="P31" s="678"/>
      <c r="Q31" s="678"/>
      <c r="R31" s="678" t="s">
        <v>82</v>
      </c>
      <c r="S31" s="678"/>
      <c r="T31" s="678"/>
      <c r="U31" s="678" t="s">
        <v>83</v>
      </c>
    </row>
    <row r="32" spans="1:21" ht="12.75">
      <c r="A32" s="677"/>
      <c r="B32" s="677"/>
      <c r="C32" s="677"/>
      <c r="D32" s="677"/>
      <c r="E32" s="677"/>
      <c r="F32" s="677"/>
      <c r="G32" s="677"/>
      <c r="H32" s="677"/>
      <c r="I32" s="695" t="s">
        <v>88</v>
      </c>
      <c r="J32" s="695"/>
      <c r="K32" s="695" t="s">
        <v>89</v>
      </c>
      <c r="L32" s="695"/>
      <c r="M32" s="695" t="s">
        <v>16</v>
      </c>
      <c r="N32" s="695"/>
      <c r="O32" s="678"/>
      <c r="P32" s="678"/>
      <c r="Q32" s="678"/>
      <c r="R32" s="678"/>
      <c r="S32" s="678"/>
      <c r="T32" s="678"/>
      <c r="U32" s="678"/>
    </row>
    <row r="33" spans="1:21" ht="12.75">
      <c r="A33" s="698"/>
      <c r="B33" s="698"/>
      <c r="C33" s="698"/>
      <c r="D33" s="698"/>
      <c r="E33" s="698"/>
      <c r="F33" s="698"/>
      <c r="G33" s="698"/>
      <c r="H33" s="698"/>
      <c r="I33" s="699"/>
      <c r="J33" s="699"/>
      <c r="K33" s="699"/>
      <c r="L33" s="699"/>
      <c r="M33" s="699"/>
      <c r="N33" s="699"/>
      <c r="O33" s="700"/>
      <c r="P33" s="700"/>
      <c r="Q33" s="700"/>
      <c r="R33" s="701"/>
      <c r="S33" s="701"/>
      <c r="T33" s="701"/>
      <c r="U33" s="158">
        <f>INT((M33*O33*R33)*100)/100</f>
        <v>0</v>
      </c>
    </row>
    <row r="34" spans="1:21" ht="12.75">
      <c r="A34" s="702"/>
      <c r="B34" s="702"/>
      <c r="C34" s="702"/>
      <c r="D34" s="702"/>
      <c r="E34" s="702"/>
      <c r="F34" s="702"/>
      <c r="G34" s="702"/>
      <c r="H34" s="702"/>
      <c r="I34" s="703"/>
      <c r="J34" s="703"/>
      <c r="K34" s="703"/>
      <c r="L34" s="703"/>
      <c r="M34" s="703"/>
      <c r="N34" s="703"/>
      <c r="O34" s="704"/>
      <c r="P34" s="704"/>
      <c r="Q34" s="704"/>
      <c r="R34" s="705"/>
      <c r="S34" s="705"/>
      <c r="T34" s="705"/>
      <c r="U34" s="159">
        <f>INT((M34*O34*R34)*100)/100</f>
        <v>0</v>
      </c>
    </row>
    <row r="35" spans="1:21" ht="12.75">
      <c r="A35" s="702"/>
      <c r="B35" s="702"/>
      <c r="C35" s="702"/>
      <c r="D35" s="702"/>
      <c r="E35" s="702"/>
      <c r="F35" s="702"/>
      <c r="G35" s="702"/>
      <c r="H35" s="702"/>
      <c r="I35" s="703"/>
      <c r="J35" s="703"/>
      <c r="K35" s="703"/>
      <c r="L35" s="703"/>
      <c r="M35" s="703">
        <f>SUM(I35:L35)</f>
        <v>0</v>
      </c>
      <c r="N35" s="703"/>
      <c r="O35" s="704"/>
      <c r="P35" s="704"/>
      <c r="Q35" s="704"/>
      <c r="R35" s="705"/>
      <c r="S35" s="705"/>
      <c r="T35" s="705"/>
      <c r="U35" s="159">
        <f>INT((M35*O35*R35)*100)/100</f>
        <v>0</v>
      </c>
    </row>
    <row r="36" spans="1:21" ht="12.75">
      <c r="A36" s="706"/>
      <c r="B36" s="706"/>
      <c r="C36" s="706"/>
      <c r="D36" s="706"/>
      <c r="E36" s="706"/>
      <c r="F36" s="706"/>
      <c r="G36" s="706"/>
      <c r="H36" s="706"/>
      <c r="I36" s="707"/>
      <c r="J36" s="707"/>
      <c r="K36" s="707"/>
      <c r="L36" s="707"/>
      <c r="M36" s="707">
        <f>SUM(I36:L36)</f>
        <v>0</v>
      </c>
      <c r="N36" s="707"/>
      <c r="O36" s="708"/>
      <c r="P36" s="708"/>
      <c r="Q36" s="708"/>
      <c r="R36" s="709"/>
      <c r="S36" s="709"/>
      <c r="T36" s="709"/>
      <c r="U36" s="160">
        <f>INT((M36*O36*R36)*100)/100</f>
        <v>0</v>
      </c>
    </row>
    <row r="37" spans="1:21" ht="12.75">
      <c r="A37" s="684"/>
      <c r="B37" s="684"/>
      <c r="C37" s="684"/>
      <c r="D37" s="684"/>
      <c r="E37" s="684"/>
      <c r="F37" s="684"/>
      <c r="G37" s="684"/>
      <c r="H37" s="684"/>
      <c r="I37" s="684"/>
      <c r="J37" s="684"/>
      <c r="K37" s="684"/>
      <c r="L37" s="684"/>
      <c r="M37" s="684"/>
      <c r="N37" s="684"/>
      <c r="O37" s="684"/>
      <c r="P37" s="684"/>
      <c r="Q37" s="684"/>
      <c r="R37" s="685" t="s">
        <v>90</v>
      </c>
      <c r="S37" s="685"/>
      <c r="T37" s="685"/>
      <c r="U37" s="34">
        <f>SUM(U33:U36)</f>
        <v>0</v>
      </c>
    </row>
    <row r="38" spans="1:21" ht="12.75">
      <c r="A38" s="684"/>
      <c r="B38" s="684"/>
      <c r="C38" s="684"/>
      <c r="D38" s="684"/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  <c r="P38" s="684"/>
      <c r="Q38" s="684"/>
      <c r="R38" s="684"/>
      <c r="S38" s="684"/>
      <c r="T38" s="684"/>
      <c r="U38" s="684"/>
    </row>
    <row r="39" spans="1:21" ht="12.75">
      <c r="A39" s="710" t="s">
        <v>91</v>
      </c>
      <c r="B39" s="710"/>
      <c r="C39" s="710"/>
      <c r="D39" s="710"/>
      <c r="E39" s="710"/>
      <c r="F39" s="710"/>
      <c r="G39" s="710"/>
      <c r="H39" s="710"/>
      <c r="I39" s="710"/>
      <c r="J39" s="710"/>
      <c r="K39" s="710"/>
      <c r="L39" s="710"/>
      <c r="M39" s="710"/>
      <c r="N39" s="710"/>
      <c r="O39" s="710"/>
      <c r="P39" s="710"/>
      <c r="Q39" s="710"/>
      <c r="R39" s="710"/>
      <c r="S39" s="710"/>
      <c r="T39" s="710"/>
      <c r="U39" s="35">
        <f>SUM(U22,U30,U37)</f>
        <v>1589.3402359999995</v>
      </c>
    </row>
    <row r="40" spans="1:21" ht="12.75">
      <c r="A40" s="36" t="s">
        <v>92</v>
      </c>
      <c r="B40" s="37"/>
      <c r="C40" s="37"/>
      <c r="D40" s="37"/>
      <c r="E40" s="37"/>
      <c r="F40" s="37"/>
      <c r="G40" s="37"/>
      <c r="H40" s="38" t="s">
        <v>93</v>
      </c>
      <c r="I40" s="711">
        <v>0</v>
      </c>
      <c r="J40" s="711"/>
      <c r="K40" s="37" t="s">
        <v>94</v>
      </c>
      <c r="L40" s="37"/>
      <c r="M40" s="37"/>
      <c r="N40" s="37"/>
      <c r="O40" s="37"/>
      <c r="P40" s="37"/>
      <c r="Q40" s="37"/>
      <c r="R40" s="37"/>
      <c r="S40" s="37"/>
      <c r="T40" s="37"/>
      <c r="U40" s="39">
        <f>TRUNC((U39*I40),2)</f>
        <v>0</v>
      </c>
    </row>
    <row r="41" spans="1:21" ht="14.25">
      <c r="A41" s="712" t="s">
        <v>95</v>
      </c>
      <c r="B41" s="712"/>
      <c r="C41" s="712"/>
      <c r="D41" s="712"/>
      <c r="E41" s="712"/>
      <c r="F41" s="712"/>
      <c r="G41" s="712"/>
      <c r="H41" s="712"/>
      <c r="I41" s="712"/>
      <c r="J41" s="712"/>
      <c r="K41" s="712"/>
      <c r="L41" s="712"/>
      <c r="M41" s="712"/>
      <c r="N41" s="712"/>
      <c r="O41" s="712"/>
      <c r="P41" s="712"/>
      <c r="Q41" s="712"/>
      <c r="R41" s="712"/>
      <c r="S41" s="712"/>
      <c r="T41" s="712"/>
      <c r="U41" s="39">
        <f>((U40+U39))</f>
        <v>1589.3402359999995</v>
      </c>
    </row>
  </sheetData>
  <sheetProtection/>
  <mergeCells count="157">
    <mergeCell ref="A37:Q37"/>
    <mergeCell ref="R37:T37"/>
    <mergeCell ref="A38:U38"/>
    <mergeCell ref="A39:T39"/>
    <mergeCell ref="I40:J40"/>
    <mergeCell ref="A41:T41"/>
    <mergeCell ref="A36:H36"/>
    <mergeCell ref="I36:J36"/>
    <mergeCell ref="K36:L36"/>
    <mergeCell ref="M36:N36"/>
    <mergeCell ref="O36:Q36"/>
    <mergeCell ref="R36:T36"/>
    <mergeCell ref="A35:H35"/>
    <mergeCell ref="I35:J35"/>
    <mergeCell ref="K35:L35"/>
    <mergeCell ref="M35:N35"/>
    <mergeCell ref="O35:Q35"/>
    <mergeCell ref="R35:T35"/>
    <mergeCell ref="A34:H34"/>
    <mergeCell ref="I34:J34"/>
    <mergeCell ref="K34:L34"/>
    <mergeCell ref="M34:N34"/>
    <mergeCell ref="O34:Q34"/>
    <mergeCell ref="R34:T34"/>
    <mergeCell ref="A33:H33"/>
    <mergeCell ref="I33:J33"/>
    <mergeCell ref="K33:L33"/>
    <mergeCell ref="M33:N33"/>
    <mergeCell ref="O33:Q33"/>
    <mergeCell ref="R33:T33"/>
    <mergeCell ref="A31:H32"/>
    <mergeCell ref="I31:N31"/>
    <mergeCell ref="O31:Q32"/>
    <mergeCell ref="R31:T32"/>
    <mergeCell ref="U31:U32"/>
    <mergeCell ref="I32:J32"/>
    <mergeCell ref="K32:L32"/>
    <mergeCell ref="M32:N32"/>
    <mergeCell ref="A29:L29"/>
    <mergeCell ref="M29:N29"/>
    <mergeCell ref="O29:Q29"/>
    <mergeCell ref="R29:T29"/>
    <mergeCell ref="A30:Q30"/>
    <mergeCell ref="R30:T30"/>
    <mergeCell ref="A27:L27"/>
    <mergeCell ref="M27:N27"/>
    <mergeCell ref="O27:Q27"/>
    <mergeCell ref="R27:T27"/>
    <mergeCell ref="A28:L28"/>
    <mergeCell ref="M28:N28"/>
    <mergeCell ref="O28:Q28"/>
    <mergeCell ref="R28:T28"/>
    <mergeCell ref="A25:L25"/>
    <mergeCell ref="M25:N25"/>
    <mergeCell ref="O25:Q25"/>
    <mergeCell ref="R25:T25"/>
    <mergeCell ref="A26:L26"/>
    <mergeCell ref="M26:N26"/>
    <mergeCell ref="O26:Q26"/>
    <mergeCell ref="R26:T26"/>
    <mergeCell ref="A23:L23"/>
    <mergeCell ref="M23:N23"/>
    <mergeCell ref="O23:Q23"/>
    <mergeCell ref="R23:T23"/>
    <mergeCell ref="A24:L24"/>
    <mergeCell ref="M24:N24"/>
    <mergeCell ref="O24:Q24"/>
    <mergeCell ref="R24:T24"/>
    <mergeCell ref="A20:Q20"/>
    <mergeCell ref="R20:T20"/>
    <mergeCell ref="A21:I21"/>
    <mergeCell ref="J21:L21"/>
    <mergeCell ref="M21:T21"/>
    <mergeCell ref="A22:C22"/>
    <mergeCell ref="D22:T22"/>
    <mergeCell ref="A18:N18"/>
    <mergeCell ref="O18:Q18"/>
    <mergeCell ref="R18:T18"/>
    <mergeCell ref="A19:N19"/>
    <mergeCell ref="O19:Q19"/>
    <mergeCell ref="R19:T19"/>
    <mergeCell ref="A15:Q15"/>
    <mergeCell ref="R15:T15"/>
    <mergeCell ref="A16:N16"/>
    <mergeCell ref="O16:Q16"/>
    <mergeCell ref="R16:T16"/>
    <mergeCell ref="A17:N17"/>
    <mergeCell ref="O17:Q17"/>
    <mergeCell ref="R17:T17"/>
    <mergeCell ref="A14:J14"/>
    <mergeCell ref="K14:L14"/>
    <mergeCell ref="M14:N14"/>
    <mergeCell ref="O14:P14"/>
    <mergeCell ref="Q14:R14"/>
    <mergeCell ref="S14:T14"/>
    <mergeCell ref="A13:J13"/>
    <mergeCell ref="K13:L13"/>
    <mergeCell ref="M13:N13"/>
    <mergeCell ref="O13:P13"/>
    <mergeCell ref="Q13:R13"/>
    <mergeCell ref="S13:T13"/>
    <mergeCell ref="A12:J12"/>
    <mergeCell ref="K12:L12"/>
    <mergeCell ref="M12:N12"/>
    <mergeCell ref="O12:P12"/>
    <mergeCell ref="Q12:R12"/>
    <mergeCell ref="S12:T12"/>
    <mergeCell ref="A11:J11"/>
    <mergeCell ref="K11:L11"/>
    <mergeCell ref="M11:N11"/>
    <mergeCell ref="O11:P11"/>
    <mergeCell ref="Q11:R11"/>
    <mergeCell ref="S11:T11"/>
    <mergeCell ref="A10:J10"/>
    <mergeCell ref="K10:L10"/>
    <mergeCell ref="M10:N10"/>
    <mergeCell ref="O10:P10"/>
    <mergeCell ref="Q10:R10"/>
    <mergeCell ref="S10:T10"/>
    <mergeCell ref="A9:J9"/>
    <mergeCell ref="K9:L9"/>
    <mergeCell ref="M9:N9"/>
    <mergeCell ref="O9:P9"/>
    <mergeCell ref="Q9:R9"/>
    <mergeCell ref="S9:T9"/>
    <mergeCell ref="A8:J8"/>
    <mergeCell ref="K8:L8"/>
    <mergeCell ref="M8:N8"/>
    <mergeCell ref="O8:P8"/>
    <mergeCell ref="Q8:R8"/>
    <mergeCell ref="S8:T8"/>
    <mergeCell ref="S6:T6"/>
    <mergeCell ref="A7:J7"/>
    <mergeCell ref="K7:L7"/>
    <mergeCell ref="M7:N7"/>
    <mergeCell ref="O7:P7"/>
    <mergeCell ref="Q7:R7"/>
    <mergeCell ref="S7:T7"/>
    <mergeCell ref="U4:U5"/>
    <mergeCell ref="M5:N5"/>
    <mergeCell ref="O5:P5"/>
    <mergeCell ref="Q5:R5"/>
    <mergeCell ref="S5:T5"/>
    <mergeCell ref="A6:J6"/>
    <mergeCell ref="K6:L6"/>
    <mergeCell ref="M6:N6"/>
    <mergeCell ref="O6:P6"/>
    <mergeCell ref="Q6:R6"/>
    <mergeCell ref="A1:T1"/>
    <mergeCell ref="A2:E2"/>
    <mergeCell ref="F2:T2"/>
    <mergeCell ref="A3:E3"/>
    <mergeCell ref="F3:T3"/>
    <mergeCell ref="A4:J5"/>
    <mergeCell ref="K4:L5"/>
    <mergeCell ref="M4:P4"/>
    <mergeCell ref="Q4:T4"/>
  </mergeCells>
  <conditionalFormatting sqref="O6:P14">
    <cfRule type="cellIs" priority="1" dxfId="0" operator="equal" stopIfTrue="1">
      <formula>1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U41"/>
  <sheetViews>
    <sheetView zoomScalePageLayoutView="0" workbookViewId="0" topLeftCell="A10">
      <selection activeCell="X41" sqref="X41"/>
    </sheetView>
  </sheetViews>
  <sheetFormatPr defaultColWidth="9.140625" defaultRowHeight="12.75"/>
  <cols>
    <col min="1" max="11" width="4.140625" style="0" customWidth="1"/>
    <col min="12" max="12" width="6.8515625" style="0" customWidth="1"/>
    <col min="13" max="20" width="4.140625" style="0" customWidth="1"/>
    <col min="21" max="21" width="12.7109375" style="0" customWidth="1"/>
  </cols>
  <sheetData>
    <row r="1" spans="1:21" ht="15">
      <c r="A1" s="666" t="s">
        <v>64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40">
        <v>43101</v>
      </c>
    </row>
    <row r="2" spans="1:21" ht="12.75">
      <c r="A2" s="668" t="s">
        <v>65</v>
      </c>
      <c r="B2" s="669"/>
      <c r="C2" s="669"/>
      <c r="D2" s="669"/>
      <c r="E2" s="670"/>
      <c r="F2" s="668" t="s">
        <v>381</v>
      </c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70"/>
      <c r="U2" s="26" t="s">
        <v>66</v>
      </c>
    </row>
    <row r="3" spans="1:21" ht="12.75" customHeight="1">
      <c r="A3" s="671" t="s">
        <v>67</v>
      </c>
      <c r="B3" s="672"/>
      <c r="C3" s="672"/>
      <c r="D3" s="672"/>
      <c r="E3" s="673"/>
      <c r="F3" s="674" t="s">
        <v>421</v>
      </c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6"/>
      <c r="U3" s="27" t="s">
        <v>9</v>
      </c>
    </row>
    <row r="4" spans="1:21" ht="12.75" customHeight="1">
      <c r="A4" s="677" t="s">
        <v>68</v>
      </c>
      <c r="B4" s="677"/>
      <c r="C4" s="677"/>
      <c r="D4" s="677"/>
      <c r="E4" s="677"/>
      <c r="F4" s="677"/>
      <c r="G4" s="677"/>
      <c r="H4" s="677"/>
      <c r="I4" s="677"/>
      <c r="J4" s="677"/>
      <c r="K4" s="678" t="s">
        <v>13</v>
      </c>
      <c r="L4" s="678"/>
      <c r="M4" s="678" t="s">
        <v>69</v>
      </c>
      <c r="N4" s="678"/>
      <c r="O4" s="678"/>
      <c r="P4" s="678"/>
      <c r="Q4" s="678" t="s">
        <v>70</v>
      </c>
      <c r="R4" s="678"/>
      <c r="S4" s="678"/>
      <c r="T4" s="678"/>
      <c r="U4" s="678" t="s">
        <v>63</v>
      </c>
    </row>
    <row r="5" spans="1:21" ht="12.75" customHeight="1">
      <c r="A5" s="677"/>
      <c r="B5" s="677"/>
      <c r="C5" s="677"/>
      <c r="D5" s="677"/>
      <c r="E5" s="677"/>
      <c r="F5" s="677"/>
      <c r="G5" s="677"/>
      <c r="H5" s="677"/>
      <c r="I5" s="677"/>
      <c r="J5" s="677"/>
      <c r="K5" s="678"/>
      <c r="L5" s="678"/>
      <c r="M5" s="678" t="s">
        <v>71</v>
      </c>
      <c r="N5" s="678"/>
      <c r="O5" s="678" t="s">
        <v>72</v>
      </c>
      <c r="P5" s="678"/>
      <c r="Q5" s="678" t="s">
        <v>71</v>
      </c>
      <c r="R5" s="678"/>
      <c r="S5" s="678" t="s">
        <v>72</v>
      </c>
      <c r="T5" s="678"/>
      <c r="U5" s="678"/>
    </row>
    <row r="6" spans="1:21" ht="12.75">
      <c r="A6" s="679"/>
      <c r="B6" s="679"/>
      <c r="C6" s="679"/>
      <c r="D6" s="679"/>
      <c r="E6" s="679"/>
      <c r="F6" s="679"/>
      <c r="G6" s="679"/>
      <c r="H6" s="679"/>
      <c r="I6" s="679"/>
      <c r="J6" s="679"/>
      <c r="K6" s="680"/>
      <c r="L6" s="680"/>
      <c r="M6" s="680"/>
      <c r="N6" s="680"/>
      <c r="O6" s="680"/>
      <c r="P6" s="680"/>
      <c r="Q6" s="681"/>
      <c r="R6" s="681"/>
      <c r="S6" s="681"/>
      <c r="T6" s="681"/>
      <c r="U6" s="28"/>
    </row>
    <row r="7" spans="1:21" ht="12.75">
      <c r="A7" s="682"/>
      <c r="B7" s="682"/>
      <c r="C7" s="682"/>
      <c r="D7" s="682"/>
      <c r="E7" s="682"/>
      <c r="F7" s="682"/>
      <c r="G7" s="682"/>
      <c r="H7" s="682"/>
      <c r="I7" s="682"/>
      <c r="J7" s="682"/>
      <c r="K7" s="659"/>
      <c r="L7" s="659"/>
      <c r="M7" s="659"/>
      <c r="N7" s="659"/>
      <c r="O7" s="659"/>
      <c r="P7" s="659"/>
      <c r="Q7" s="683"/>
      <c r="R7" s="683"/>
      <c r="S7" s="683"/>
      <c r="T7" s="683"/>
      <c r="U7" s="28"/>
    </row>
    <row r="8" spans="1:21" ht="12.75">
      <c r="A8" s="619"/>
      <c r="B8" s="619"/>
      <c r="C8" s="619"/>
      <c r="D8" s="619"/>
      <c r="E8" s="619"/>
      <c r="F8" s="619"/>
      <c r="G8" s="619"/>
      <c r="H8" s="619"/>
      <c r="I8" s="619"/>
      <c r="J8" s="619"/>
      <c r="K8" s="659"/>
      <c r="L8" s="659"/>
      <c r="M8" s="659"/>
      <c r="N8" s="659"/>
      <c r="O8" s="659"/>
      <c r="P8" s="659"/>
      <c r="Q8" s="683"/>
      <c r="R8" s="683"/>
      <c r="S8" s="683"/>
      <c r="T8" s="683"/>
      <c r="U8" s="28"/>
    </row>
    <row r="9" spans="1:21" ht="12.75">
      <c r="A9" s="682"/>
      <c r="B9" s="682"/>
      <c r="C9" s="682"/>
      <c r="D9" s="682"/>
      <c r="E9" s="682"/>
      <c r="F9" s="682"/>
      <c r="G9" s="682"/>
      <c r="H9" s="682"/>
      <c r="I9" s="682"/>
      <c r="J9" s="682"/>
      <c r="K9" s="659"/>
      <c r="L9" s="659"/>
      <c r="M9" s="659"/>
      <c r="N9" s="659"/>
      <c r="O9" s="659"/>
      <c r="P9" s="659"/>
      <c r="Q9" s="683"/>
      <c r="R9" s="683"/>
      <c r="S9" s="683"/>
      <c r="T9" s="683"/>
      <c r="U9" s="28"/>
    </row>
    <row r="10" spans="1:21" ht="12.75">
      <c r="A10" s="682"/>
      <c r="B10" s="682"/>
      <c r="C10" s="682"/>
      <c r="D10" s="682"/>
      <c r="E10" s="682"/>
      <c r="F10" s="682"/>
      <c r="G10" s="682"/>
      <c r="H10" s="682"/>
      <c r="I10" s="682"/>
      <c r="J10" s="682"/>
      <c r="K10" s="659"/>
      <c r="L10" s="659"/>
      <c r="M10" s="659"/>
      <c r="N10" s="659"/>
      <c r="O10" s="659"/>
      <c r="P10" s="659"/>
      <c r="Q10" s="683"/>
      <c r="R10" s="683"/>
      <c r="S10" s="683"/>
      <c r="T10" s="683"/>
      <c r="U10" s="28"/>
    </row>
    <row r="11" spans="1:21" ht="12.75">
      <c r="A11" s="682"/>
      <c r="B11" s="682"/>
      <c r="C11" s="682"/>
      <c r="D11" s="682"/>
      <c r="E11" s="682"/>
      <c r="F11" s="682"/>
      <c r="G11" s="682"/>
      <c r="H11" s="682"/>
      <c r="I11" s="682"/>
      <c r="J11" s="682"/>
      <c r="K11" s="659"/>
      <c r="L11" s="659"/>
      <c r="M11" s="659"/>
      <c r="N11" s="659"/>
      <c r="O11" s="659"/>
      <c r="P11" s="659"/>
      <c r="Q11" s="683"/>
      <c r="R11" s="683"/>
      <c r="S11" s="683"/>
      <c r="T11" s="683"/>
      <c r="U11" s="28"/>
    </row>
    <row r="12" spans="1:21" ht="12.75">
      <c r="A12" s="619"/>
      <c r="B12" s="619"/>
      <c r="C12" s="619"/>
      <c r="D12" s="619"/>
      <c r="E12" s="619"/>
      <c r="F12" s="619"/>
      <c r="G12" s="619"/>
      <c r="H12" s="619"/>
      <c r="I12" s="619"/>
      <c r="J12" s="619"/>
      <c r="K12" s="659"/>
      <c r="L12" s="659"/>
      <c r="M12" s="659"/>
      <c r="N12" s="659"/>
      <c r="O12" s="659"/>
      <c r="P12" s="659"/>
      <c r="Q12" s="683"/>
      <c r="R12" s="683"/>
      <c r="S12" s="683"/>
      <c r="T12" s="683"/>
      <c r="U12" s="28"/>
    </row>
    <row r="13" spans="1:21" ht="12.75">
      <c r="A13" s="619"/>
      <c r="B13" s="619"/>
      <c r="C13" s="619"/>
      <c r="D13" s="619"/>
      <c r="E13" s="619"/>
      <c r="F13" s="619"/>
      <c r="G13" s="619"/>
      <c r="H13" s="619"/>
      <c r="I13" s="619"/>
      <c r="J13" s="619"/>
      <c r="K13" s="659"/>
      <c r="L13" s="659"/>
      <c r="M13" s="659"/>
      <c r="N13" s="659"/>
      <c r="O13" s="659"/>
      <c r="P13" s="659"/>
      <c r="Q13" s="683"/>
      <c r="R13" s="683"/>
      <c r="S13" s="683"/>
      <c r="T13" s="683"/>
      <c r="U13" s="28"/>
    </row>
    <row r="14" spans="1:21" ht="12.75">
      <c r="A14" s="682"/>
      <c r="B14" s="682"/>
      <c r="C14" s="682"/>
      <c r="D14" s="682"/>
      <c r="E14" s="682"/>
      <c r="F14" s="682"/>
      <c r="G14" s="682"/>
      <c r="H14" s="682"/>
      <c r="I14" s="682"/>
      <c r="J14" s="682"/>
      <c r="K14" s="659"/>
      <c r="L14" s="659"/>
      <c r="M14" s="659"/>
      <c r="N14" s="659"/>
      <c r="O14" s="659"/>
      <c r="P14" s="659"/>
      <c r="Q14" s="683"/>
      <c r="R14" s="683"/>
      <c r="S14" s="683"/>
      <c r="T14" s="683"/>
      <c r="U14" s="28"/>
    </row>
    <row r="15" spans="1:21" ht="12.75">
      <c r="A15" s="684"/>
      <c r="B15" s="684"/>
      <c r="C15" s="684"/>
      <c r="D15" s="684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684"/>
      <c r="R15" s="685" t="s">
        <v>73</v>
      </c>
      <c r="S15" s="685"/>
      <c r="T15" s="685"/>
      <c r="U15" s="29">
        <f>SUM(U6:U14)</f>
        <v>0</v>
      </c>
    </row>
    <row r="16" spans="1:21" ht="24" customHeight="1">
      <c r="A16" s="677" t="s">
        <v>74</v>
      </c>
      <c r="B16" s="677"/>
      <c r="C16" s="677"/>
      <c r="D16" s="677"/>
      <c r="E16" s="677"/>
      <c r="F16" s="677"/>
      <c r="G16" s="677"/>
      <c r="H16" s="677"/>
      <c r="I16" s="677"/>
      <c r="J16" s="677"/>
      <c r="K16" s="677"/>
      <c r="L16" s="677"/>
      <c r="M16" s="677"/>
      <c r="N16" s="677"/>
      <c r="O16" s="678" t="s">
        <v>2</v>
      </c>
      <c r="P16" s="678"/>
      <c r="Q16" s="678"/>
      <c r="R16" s="678" t="s">
        <v>75</v>
      </c>
      <c r="S16" s="678"/>
      <c r="T16" s="678"/>
      <c r="U16" s="322" t="s">
        <v>63</v>
      </c>
    </row>
    <row r="17" spans="1:21" ht="12.75" customHeight="1">
      <c r="A17" s="612" t="s">
        <v>266</v>
      </c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60">
        <v>5.92</v>
      </c>
      <c r="P17" s="660"/>
      <c r="Q17" s="660"/>
      <c r="R17" s="614">
        <v>15.8683</v>
      </c>
      <c r="S17" s="614"/>
      <c r="T17" s="614"/>
      <c r="U17" s="379">
        <f>(O17*R17)</f>
        <v>93.940336</v>
      </c>
    </row>
    <row r="18" spans="1:21" ht="12.75">
      <c r="A18" s="686"/>
      <c r="B18" s="686"/>
      <c r="C18" s="686"/>
      <c r="D18" s="686"/>
      <c r="E18" s="686"/>
      <c r="F18" s="686"/>
      <c r="G18" s="686"/>
      <c r="H18" s="686"/>
      <c r="I18" s="686"/>
      <c r="J18" s="686"/>
      <c r="K18" s="686"/>
      <c r="L18" s="686"/>
      <c r="M18" s="686"/>
      <c r="N18" s="686"/>
      <c r="O18" s="658"/>
      <c r="P18" s="658"/>
      <c r="Q18" s="658"/>
      <c r="R18" s="614"/>
      <c r="S18" s="614"/>
      <c r="T18" s="614"/>
      <c r="U18" s="30"/>
    </row>
    <row r="19" spans="1:21" ht="12.75">
      <c r="A19" s="687"/>
      <c r="B19" s="687"/>
      <c r="C19" s="687"/>
      <c r="D19" s="687"/>
      <c r="E19" s="687"/>
      <c r="F19" s="687"/>
      <c r="G19" s="687"/>
      <c r="H19" s="687"/>
      <c r="I19" s="687"/>
      <c r="J19" s="687"/>
      <c r="K19" s="687"/>
      <c r="L19" s="687"/>
      <c r="M19" s="687"/>
      <c r="N19" s="687"/>
      <c r="O19" s="688"/>
      <c r="P19" s="688"/>
      <c r="Q19" s="688"/>
      <c r="R19" s="689"/>
      <c r="S19" s="689"/>
      <c r="T19" s="689"/>
      <c r="U19" s="31"/>
    </row>
    <row r="20" spans="1:21" ht="12.75">
      <c r="A20" s="684"/>
      <c r="B20" s="684"/>
      <c r="C20" s="684"/>
      <c r="D20" s="684"/>
      <c r="E20" s="684"/>
      <c r="F20" s="684"/>
      <c r="G20" s="684"/>
      <c r="H20" s="684"/>
      <c r="I20" s="684"/>
      <c r="J20" s="684"/>
      <c r="K20" s="684"/>
      <c r="L20" s="684"/>
      <c r="M20" s="684"/>
      <c r="N20" s="684"/>
      <c r="O20" s="684"/>
      <c r="P20" s="684"/>
      <c r="Q20" s="684"/>
      <c r="R20" s="685" t="s">
        <v>76</v>
      </c>
      <c r="S20" s="685"/>
      <c r="T20" s="685"/>
      <c r="U20" s="32">
        <f>SUM(U17:U19)</f>
        <v>93.940336</v>
      </c>
    </row>
    <row r="21" spans="1:21" ht="12.75">
      <c r="A21" s="690" t="s">
        <v>77</v>
      </c>
      <c r="B21" s="690"/>
      <c r="C21" s="690"/>
      <c r="D21" s="690"/>
      <c r="E21" s="690"/>
      <c r="F21" s="690"/>
      <c r="G21" s="690"/>
      <c r="H21" s="690"/>
      <c r="I21" s="691"/>
      <c r="J21" s="692">
        <v>1</v>
      </c>
      <c r="K21" s="693"/>
      <c r="L21" s="693"/>
      <c r="M21" s="694" t="s">
        <v>78</v>
      </c>
      <c r="N21" s="694"/>
      <c r="O21" s="694"/>
      <c r="P21" s="694"/>
      <c r="Q21" s="694"/>
      <c r="R21" s="694"/>
      <c r="S21" s="694"/>
      <c r="T21" s="694"/>
      <c r="U21" s="32">
        <f>SUM(U15,U20)</f>
        <v>93.940336</v>
      </c>
    </row>
    <row r="22" spans="1:21" ht="12.75">
      <c r="A22" s="695"/>
      <c r="B22" s="695"/>
      <c r="C22" s="695"/>
      <c r="D22" s="695" t="s">
        <v>79</v>
      </c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5"/>
      <c r="U22" s="32">
        <f>U21/J21</f>
        <v>93.940336</v>
      </c>
    </row>
    <row r="23" spans="1:21" ht="24" customHeight="1">
      <c r="A23" s="677" t="s">
        <v>80</v>
      </c>
      <c r="B23" s="677"/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8" t="s">
        <v>1</v>
      </c>
      <c r="N23" s="678"/>
      <c r="O23" s="678" t="s">
        <v>81</v>
      </c>
      <c r="P23" s="678"/>
      <c r="Q23" s="678"/>
      <c r="R23" s="678" t="s">
        <v>82</v>
      </c>
      <c r="S23" s="678"/>
      <c r="T23" s="678"/>
      <c r="U23" s="322" t="s">
        <v>83</v>
      </c>
    </row>
    <row r="24" spans="1:21" ht="12.75">
      <c r="A24" s="619" t="s">
        <v>394</v>
      </c>
      <c r="B24" s="619"/>
      <c r="C24" s="619"/>
      <c r="D24" s="619"/>
      <c r="E24" s="619"/>
      <c r="F24" s="619"/>
      <c r="G24" s="619"/>
      <c r="H24" s="619"/>
      <c r="I24" s="619"/>
      <c r="J24" s="619"/>
      <c r="K24" s="619"/>
      <c r="L24" s="619"/>
      <c r="M24" s="659" t="s">
        <v>6</v>
      </c>
      <c r="N24" s="659"/>
      <c r="O24" s="613">
        <v>13.44</v>
      </c>
      <c r="P24" s="613"/>
      <c r="Q24" s="613"/>
      <c r="R24" s="621">
        <v>76.36</v>
      </c>
      <c r="S24" s="621"/>
      <c r="T24" s="621"/>
      <c r="U24" s="379">
        <f>(O24*R24)</f>
        <v>1026.2784</v>
      </c>
    </row>
    <row r="25" spans="1:21" ht="12.75">
      <c r="A25" s="619" t="s">
        <v>395</v>
      </c>
      <c r="B25" s="619"/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659" t="s">
        <v>6</v>
      </c>
      <c r="N25" s="659"/>
      <c r="O25" s="613">
        <v>7.78</v>
      </c>
      <c r="P25" s="613"/>
      <c r="Q25" s="613"/>
      <c r="R25" s="621">
        <v>54.65</v>
      </c>
      <c r="S25" s="621"/>
      <c r="T25" s="621"/>
      <c r="U25" s="379">
        <f>(O25*R25)</f>
        <v>425.177</v>
      </c>
    </row>
    <row r="26" spans="1:21" ht="12.75">
      <c r="A26" s="619" t="s">
        <v>396</v>
      </c>
      <c r="B26" s="619"/>
      <c r="C26" s="619"/>
      <c r="D26" s="619"/>
      <c r="E26" s="619"/>
      <c r="F26" s="619"/>
      <c r="G26" s="619"/>
      <c r="H26" s="619"/>
      <c r="I26" s="619"/>
      <c r="J26" s="619"/>
      <c r="K26" s="619"/>
      <c r="L26" s="619"/>
      <c r="M26" s="659" t="s">
        <v>4</v>
      </c>
      <c r="N26" s="659"/>
      <c r="O26" s="616">
        <v>1.64</v>
      </c>
      <c r="P26" s="616"/>
      <c r="Q26" s="616"/>
      <c r="R26" s="621">
        <v>347.88</v>
      </c>
      <c r="S26" s="621"/>
      <c r="T26" s="621"/>
      <c r="U26" s="379">
        <f>(O26*R26)</f>
        <v>570.5232</v>
      </c>
    </row>
    <row r="27" spans="1:21" ht="12.75">
      <c r="A27" s="635" t="s">
        <v>397</v>
      </c>
      <c r="B27" s="635"/>
      <c r="C27" s="635"/>
      <c r="D27" s="635"/>
      <c r="E27" s="635"/>
      <c r="F27" s="635"/>
      <c r="G27" s="635"/>
      <c r="H27" s="635"/>
      <c r="I27" s="635"/>
      <c r="J27" s="635"/>
      <c r="K27" s="635"/>
      <c r="L27" s="635"/>
      <c r="M27" s="659" t="s">
        <v>96</v>
      </c>
      <c r="N27" s="659"/>
      <c r="O27" s="616">
        <v>33.7</v>
      </c>
      <c r="P27" s="616"/>
      <c r="Q27" s="616"/>
      <c r="R27" s="621">
        <v>8.27</v>
      </c>
      <c r="S27" s="621"/>
      <c r="T27" s="621"/>
      <c r="U27" s="379">
        <f>(O27*R27)</f>
        <v>278.699</v>
      </c>
    </row>
    <row r="28" spans="1:21" ht="12.75">
      <c r="A28" s="626" t="s">
        <v>398</v>
      </c>
      <c r="B28" s="627"/>
      <c r="C28" s="627"/>
      <c r="D28" s="627"/>
      <c r="E28" s="627"/>
      <c r="F28" s="627"/>
      <c r="G28" s="627"/>
      <c r="H28" s="627"/>
      <c r="I28" s="627"/>
      <c r="J28" s="627"/>
      <c r="K28" s="627"/>
      <c r="L28" s="628"/>
      <c r="M28" s="661" t="s">
        <v>4</v>
      </c>
      <c r="N28" s="662"/>
      <c r="O28" s="623">
        <v>0.34</v>
      </c>
      <c r="P28" s="624"/>
      <c r="Q28" s="625"/>
      <c r="R28" s="621">
        <v>326.31</v>
      </c>
      <c r="S28" s="621"/>
      <c r="T28" s="621"/>
      <c r="U28" s="379">
        <f>(O28*R28)</f>
        <v>110.9454</v>
      </c>
    </row>
    <row r="29" spans="1:21" ht="12.75">
      <c r="A29" s="696"/>
      <c r="B29" s="696"/>
      <c r="C29" s="696"/>
      <c r="D29" s="696"/>
      <c r="E29" s="696"/>
      <c r="F29" s="696"/>
      <c r="G29" s="696"/>
      <c r="H29" s="696"/>
      <c r="I29" s="696"/>
      <c r="J29" s="696"/>
      <c r="K29" s="696"/>
      <c r="L29" s="696"/>
      <c r="M29" s="697"/>
      <c r="N29" s="697"/>
      <c r="O29" s="688"/>
      <c r="P29" s="688"/>
      <c r="Q29" s="688"/>
      <c r="R29" s="689"/>
      <c r="S29" s="689"/>
      <c r="T29" s="689"/>
      <c r="U29" s="33"/>
    </row>
    <row r="30" spans="1:21" ht="12.75">
      <c r="A30" s="684"/>
      <c r="B30" s="684"/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684"/>
      <c r="P30" s="684"/>
      <c r="Q30" s="684"/>
      <c r="R30" s="685" t="s">
        <v>84</v>
      </c>
      <c r="S30" s="685"/>
      <c r="T30" s="685"/>
      <c r="U30" s="32">
        <f>SUM(U24:U29)</f>
        <v>2411.623</v>
      </c>
    </row>
    <row r="31" spans="1:21" ht="12.75" customHeight="1">
      <c r="A31" s="677" t="s">
        <v>85</v>
      </c>
      <c r="B31" s="677"/>
      <c r="C31" s="677"/>
      <c r="D31" s="677"/>
      <c r="E31" s="677"/>
      <c r="F31" s="677"/>
      <c r="G31" s="677"/>
      <c r="H31" s="677"/>
      <c r="I31" s="695" t="s">
        <v>86</v>
      </c>
      <c r="J31" s="695"/>
      <c r="K31" s="695"/>
      <c r="L31" s="695"/>
      <c r="M31" s="695"/>
      <c r="N31" s="695"/>
      <c r="O31" s="678" t="s">
        <v>87</v>
      </c>
      <c r="P31" s="678"/>
      <c r="Q31" s="678"/>
      <c r="R31" s="678" t="s">
        <v>82</v>
      </c>
      <c r="S31" s="678"/>
      <c r="T31" s="678"/>
      <c r="U31" s="678" t="s">
        <v>83</v>
      </c>
    </row>
    <row r="32" spans="1:21" ht="12.75">
      <c r="A32" s="677"/>
      <c r="B32" s="677"/>
      <c r="C32" s="677"/>
      <c r="D32" s="677"/>
      <c r="E32" s="677"/>
      <c r="F32" s="677"/>
      <c r="G32" s="677"/>
      <c r="H32" s="677"/>
      <c r="I32" s="695" t="s">
        <v>88</v>
      </c>
      <c r="J32" s="695"/>
      <c r="K32" s="695" t="s">
        <v>89</v>
      </c>
      <c r="L32" s="695"/>
      <c r="M32" s="695" t="s">
        <v>16</v>
      </c>
      <c r="N32" s="695"/>
      <c r="O32" s="678"/>
      <c r="P32" s="678"/>
      <c r="Q32" s="678"/>
      <c r="R32" s="678"/>
      <c r="S32" s="678"/>
      <c r="T32" s="678"/>
      <c r="U32" s="678"/>
    </row>
    <row r="33" spans="1:21" ht="12.75">
      <c r="A33" s="698"/>
      <c r="B33" s="698"/>
      <c r="C33" s="698"/>
      <c r="D33" s="698"/>
      <c r="E33" s="698"/>
      <c r="F33" s="698"/>
      <c r="G33" s="698"/>
      <c r="H33" s="698"/>
      <c r="I33" s="699"/>
      <c r="J33" s="699"/>
      <c r="K33" s="699"/>
      <c r="L33" s="699"/>
      <c r="M33" s="699"/>
      <c r="N33" s="699"/>
      <c r="O33" s="700"/>
      <c r="P33" s="700"/>
      <c r="Q33" s="700"/>
      <c r="R33" s="701"/>
      <c r="S33" s="701"/>
      <c r="T33" s="701"/>
      <c r="U33" s="325">
        <f>INT((M33*O33*R33)*100)/100</f>
        <v>0</v>
      </c>
    </row>
    <row r="34" spans="1:21" ht="12.75">
      <c r="A34" s="702"/>
      <c r="B34" s="702"/>
      <c r="C34" s="702"/>
      <c r="D34" s="702"/>
      <c r="E34" s="702"/>
      <c r="F34" s="702"/>
      <c r="G34" s="702"/>
      <c r="H34" s="702"/>
      <c r="I34" s="703"/>
      <c r="J34" s="703"/>
      <c r="K34" s="703"/>
      <c r="L34" s="703"/>
      <c r="M34" s="703"/>
      <c r="N34" s="703"/>
      <c r="O34" s="704"/>
      <c r="P34" s="704"/>
      <c r="Q34" s="704"/>
      <c r="R34" s="705"/>
      <c r="S34" s="705"/>
      <c r="T34" s="705"/>
      <c r="U34" s="323">
        <f>INT((M34*O34*R34)*100)/100</f>
        <v>0</v>
      </c>
    </row>
    <row r="35" spans="1:21" ht="12.75">
      <c r="A35" s="702"/>
      <c r="B35" s="702"/>
      <c r="C35" s="702"/>
      <c r="D35" s="702"/>
      <c r="E35" s="702"/>
      <c r="F35" s="702"/>
      <c r="G35" s="702"/>
      <c r="H35" s="702"/>
      <c r="I35" s="703"/>
      <c r="J35" s="703"/>
      <c r="K35" s="703"/>
      <c r="L35" s="703"/>
      <c r="M35" s="703">
        <f>SUM(I35:L35)</f>
        <v>0</v>
      </c>
      <c r="N35" s="703"/>
      <c r="O35" s="704"/>
      <c r="P35" s="704"/>
      <c r="Q35" s="704"/>
      <c r="R35" s="705"/>
      <c r="S35" s="705"/>
      <c r="T35" s="705"/>
      <c r="U35" s="323">
        <f>INT((M35*O35*R35)*100)/100</f>
        <v>0</v>
      </c>
    </row>
    <row r="36" spans="1:21" ht="12.75">
      <c r="A36" s="706"/>
      <c r="B36" s="706"/>
      <c r="C36" s="706"/>
      <c r="D36" s="706"/>
      <c r="E36" s="706"/>
      <c r="F36" s="706"/>
      <c r="G36" s="706"/>
      <c r="H36" s="706"/>
      <c r="I36" s="707"/>
      <c r="J36" s="707"/>
      <c r="K36" s="707"/>
      <c r="L36" s="707"/>
      <c r="M36" s="707">
        <f>SUM(I36:L36)</f>
        <v>0</v>
      </c>
      <c r="N36" s="707"/>
      <c r="O36" s="708"/>
      <c r="P36" s="708"/>
      <c r="Q36" s="708"/>
      <c r="R36" s="709"/>
      <c r="S36" s="709"/>
      <c r="T36" s="709"/>
      <c r="U36" s="324">
        <f>INT((M36*O36*R36)*100)/100</f>
        <v>0</v>
      </c>
    </row>
    <row r="37" spans="1:21" ht="12.75">
      <c r="A37" s="684"/>
      <c r="B37" s="684"/>
      <c r="C37" s="684"/>
      <c r="D37" s="684"/>
      <c r="E37" s="684"/>
      <c r="F37" s="684"/>
      <c r="G37" s="684"/>
      <c r="H37" s="684"/>
      <c r="I37" s="684"/>
      <c r="J37" s="684"/>
      <c r="K37" s="684"/>
      <c r="L37" s="684"/>
      <c r="M37" s="684"/>
      <c r="N37" s="684"/>
      <c r="O37" s="684"/>
      <c r="P37" s="684"/>
      <c r="Q37" s="684"/>
      <c r="R37" s="685" t="s">
        <v>90</v>
      </c>
      <c r="S37" s="685"/>
      <c r="T37" s="685"/>
      <c r="U37" s="34">
        <f>SUM(U33:U36)</f>
        <v>0</v>
      </c>
    </row>
    <row r="38" spans="1:21" ht="12.75">
      <c r="A38" s="684"/>
      <c r="B38" s="684"/>
      <c r="C38" s="684"/>
      <c r="D38" s="684"/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  <c r="P38" s="684"/>
      <c r="Q38" s="684"/>
      <c r="R38" s="684"/>
      <c r="S38" s="684"/>
      <c r="T38" s="684"/>
      <c r="U38" s="684"/>
    </row>
    <row r="39" spans="1:21" ht="12.75">
      <c r="A39" s="710" t="s">
        <v>91</v>
      </c>
      <c r="B39" s="710"/>
      <c r="C39" s="710"/>
      <c r="D39" s="710"/>
      <c r="E39" s="710"/>
      <c r="F39" s="710"/>
      <c r="G39" s="710"/>
      <c r="H39" s="710"/>
      <c r="I39" s="710"/>
      <c r="J39" s="710"/>
      <c r="K39" s="710"/>
      <c r="L39" s="710"/>
      <c r="M39" s="710"/>
      <c r="N39" s="710"/>
      <c r="O39" s="710"/>
      <c r="P39" s="710"/>
      <c r="Q39" s="710"/>
      <c r="R39" s="710"/>
      <c r="S39" s="710"/>
      <c r="T39" s="710"/>
      <c r="U39" s="35">
        <f>SUM(U22,U30,U37)</f>
        <v>2505.563336</v>
      </c>
    </row>
    <row r="40" spans="1:21" ht="12.75">
      <c r="A40" s="36" t="s">
        <v>92</v>
      </c>
      <c r="B40" s="37"/>
      <c r="C40" s="37"/>
      <c r="D40" s="37"/>
      <c r="E40" s="37"/>
      <c r="F40" s="37"/>
      <c r="G40" s="37"/>
      <c r="H40" s="38" t="s">
        <v>93</v>
      </c>
      <c r="I40" s="711">
        <v>0</v>
      </c>
      <c r="J40" s="711"/>
      <c r="K40" s="37" t="s">
        <v>94</v>
      </c>
      <c r="L40" s="37"/>
      <c r="M40" s="37"/>
      <c r="N40" s="37"/>
      <c r="O40" s="37"/>
      <c r="P40" s="37"/>
      <c r="Q40" s="37"/>
      <c r="R40" s="37"/>
      <c r="S40" s="37"/>
      <c r="T40" s="37"/>
      <c r="U40" s="39">
        <f>TRUNC((U39*I40),2)</f>
        <v>0</v>
      </c>
    </row>
    <row r="41" spans="1:21" ht="14.25">
      <c r="A41" s="712" t="s">
        <v>95</v>
      </c>
      <c r="B41" s="712"/>
      <c r="C41" s="712"/>
      <c r="D41" s="712"/>
      <c r="E41" s="712"/>
      <c r="F41" s="712"/>
      <c r="G41" s="712"/>
      <c r="H41" s="712"/>
      <c r="I41" s="712"/>
      <c r="J41" s="712"/>
      <c r="K41" s="712"/>
      <c r="L41" s="712"/>
      <c r="M41" s="712"/>
      <c r="N41" s="712"/>
      <c r="O41" s="712"/>
      <c r="P41" s="712"/>
      <c r="Q41" s="712"/>
      <c r="R41" s="712"/>
      <c r="S41" s="712"/>
      <c r="T41" s="712"/>
      <c r="U41" s="39">
        <f>((U40+U39))</f>
        <v>2505.563336</v>
      </c>
    </row>
  </sheetData>
  <sheetProtection/>
  <mergeCells count="157">
    <mergeCell ref="A37:Q37"/>
    <mergeCell ref="R37:T37"/>
    <mergeCell ref="A38:U38"/>
    <mergeCell ref="A39:T39"/>
    <mergeCell ref="I40:J40"/>
    <mergeCell ref="A41:T41"/>
    <mergeCell ref="A36:H36"/>
    <mergeCell ref="I36:J36"/>
    <mergeCell ref="K36:L36"/>
    <mergeCell ref="M36:N36"/>
    <mergeCell ref="O36:Q36"/>
    <mergeCell ref="R36:T36"/>
    <mergeCell ref="A35:H35"/>
    <mergeCell ref="I35:J35"/>
    <mergeCell ref="K35:L35"/>
    <mergeCell ref="M35:N35"/>
    <mergeCell ref="O35:Q35"/>
    <mergeCell ref="R35:T35"/>
    <mergeCell ref="A34:H34"/>
    <mergeCell ref="I34:J34"/>
    <mergeCell ref="K34:L34"/>
    <mergeCell ref="M34:N34"/>
    <mergeCell ref="O34:Q34"/>
    <mergeCell ref="R34:T34"/>
    <mergeCell ref="A33:H33"/>
    <mergeCell ref="I33:J33"/>
    <mergeCell ref="K33:L33"/>
    <mergeCell ref="M33:N33"/>
    <mergeCell ref="O33:Q33"/>
    <mergeCell ref="R33:T33"/>
    <mergeCell ref="A31:H32"/>
    <mergeCell ref="I31:N31"/>
    <mergeCell ref="O31:Q32"/>
    <mergeCell ref="R31:T32"/>
    <mergeCell ref="U31:U32"/>
    <mergeCell ref="I32:J32"/>
    <mergeCell ref="K32:L32"/>
    <mergeCell ref="M32:N32"/>
    <mergeCell ref="A29:L29"/>
    <mergeCell ref="M29:N29"/>
    <mergeCell ref="O29:Q29"/>
    <mergeCell ref="R29:T29"/>
    <mergeCell ref="A30:Q30"/>
    <mergeCell ref="R30:T30"/>
    <mergeCell ref="A27:L27"/>
    <mergeCell ref="M27:N27"/>
    <mergeCell ref="O27:Q27"/>
    <mergeCell ref="R27:T27"/>
    <mergeCell ref="A28:L28"/>
    <mergeCell ref="M28:N28"/>
    <mergeCell ref="O28:Q28"/>
    <mergeCell ref="R28:T28"/>
    <mergeCell ref="A25:L25"/>
    <mergeCell ref="M25:N25"/>
    <mergeCell ref="O25:Q25"/>
    <mergeCell ref="R25:T25"/>
    <mergeCell ref="A26:L26"/>
    <mergeCell ref="M26:N26"/>
    <mergeCell ref="O26:Q26"/>
    <mergeCell ref="R26:T26"/>
    <mergeCell ref="A23:L23"/>
    <mergeCell ref="M23:N23"/>
    <mergeCell ref="O23:Q23"/>
    <mergeCell ref="R23:T23"/>
    <mergeCell ref="A24:L24"/>
    <mergeCell ref="M24:N24"/>
    <mergeCell ref="O24:Q24"/>
    <mergeCell ref="R24:T24"/>
    <mergeCell ref="A20:Q20"/>
    <mergeCell ref="R20:T20"/>
    <mergeCell ref="A21:I21"/>
    <mergeCell ref="J21:L21"/>
    <mergeCell ref="M21:T21"/>
    <mergeCell ref="A22:C22"/>
    <mergeCell ref="D22:T22"/>
    <mergeCell ref="A18:N18"/>
    <mergeCell ref="O18:Q18"/>
    <mergeCell ref="R18:T18"/>
    <mergeCell ref="A19:N19"/>
    <mergeCell ref="O19:Q19"/>
    <mergeCell ref="R19:T19"/>
    <mergeCell ref="A15:Q15"/>
    <mergeCell ref="R15:T15"/>
    <mergeCell ref="A16:N16"/>
    <mergeCell ref="O16:Q16"/>
    <mergeCell ref="R16:T16"/>
    <mergeCell ref="A17:N17"/>
    <mergeCell ref="O17:Q17"/>
    <mergeCell ref="R17:T17"/>
    <mergeCell ref="A14:J14"/>
    <mergeCell ref="K14:L14"/>
    <mergeCell ref="M14:N14"/>
    <mergeCell ref="O14:P14"/>
    <mergeCell ref="Q14:R14"/>
    <mergeCell ref="S14:T14"/>
    <mergeCell ref="A13:J13"/>
    <mergeCell ref="K13:L13"/>
    <mergeCell ref="M13:N13"/>
    <mergeCell ref="O13:P13"/>
    <mergeCell ref="Q13:R13"/>
    <mergeCell ref="S13:T13"/>
    <mergeCell ref="A12:J12"/>
    <mergeCell ref="K12:L12"/>
    <mergeCell ref="M12:N12"/>
    <mergeCell ref="O12:P12"/>
    <mergeCell ref="Q12:R12"/>
    <mergeCell ref="S12:T12"/>
    <mergeCell ref="A11:J11"/>
    <mergeCell ref="K11:L11"/>
    <mergeCell ref="M11:N11"/>
    <mergeCell ref="O11:P11"/>
    <mergeCell ref="Q11:R11"/>
    <mergeCell ref="S11:T11"/>
    <mergeCell ref="A10:J10"/>
    <mergeCell ref="K10:L10"/>
    <mergeCell ref="M10:N10"/>
    <mergeCell ref="O10:P10"/>
    <mergeCell ref="Q10:R10"/>
    <mergeCell ref="S10:T10"/>
    <mergeCell ref="A9:J9"/>
    <mergeCell ref="K9:L9"/>
    <mergeCell ref="M9:N9"/>
    <mergeCell ref="O9:P9"/>
    <mergeCell ref="Q9:R9"/>
    <mergeCell ref="S9:T9"/>
    <mergeCell ref="A8:J8"/>
    <mergeCell ref="K8:L8"/>
    <mergeCell ref="M8:N8"/>
    <mergeCell ref="O8:P8"/>
    <mergeCell ref="Q8:R8"/>
    <mergeCell ref="S8:T8"/>
    <mergeCell ref="S6:T6"/>
    <mergeCell ref="A7:J7"/>
    <mergeCell ref="K7:L7"/>
    <mergeCell ref="M7:N7"/>
    <mergeCell ref="O7:P7"/>
    <mergeCell ref="Q7:R7"/>
    <mergeCell ref="S7:T7"/>
    <mergeCell ref="U4:U5"/>
    <mergeCell ref="M5:N5"/>
    <mergeCell ref="O5:P5"/>
    <mergeCell ref="Q5:R5"/>
    <mergeCell ref="S5:T5"/>
    <mergeCell ref="A6:J6"/>
    <mergeCell ref="K6:L6"/>
    <mergeCell ref="M6:N6"/>
    <mergeCell ref="O6:P6"/>
    <mergeCell ref="Q6:R6"/>
    <mergeCell ref="A1:T1"/>
    <mergeCell ref="A2:E2"/>
    <mergeCell ref="F2:T2"/>
    <mergeCell ref="A3:E3"/>
    <mergeCell ref="F3:T3"/>
    <mergeCell ref="A4:J5"/>
    <mergeCell ref="K4:L5"/>
    <mergeCell ref="M4:P4"/>
    <mergeCell ref="Q4:T4"/>
  </mergeCells>
  <conditionalFormatting sqref="O6:P14">
    <cfRule type="cellIs" priority="1" dxfId="0" operator="equal" stopIfTrue="1">
      <formula>1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ECP</dc:creator>
  <cp:keywords/>
  <dc:description/>
  <cp:lastModifiedBy>Usuario</cp:lastModifiedBy>
  <cp:lastPrinted>2018-07-12T21:23:30Z</cp:lastPrinted>
  <dcterms:created xsi:type="dcterms:W3CDTF">1997-03-06T18:55:11Z</dcterms:created>
  <dcterms:modified xsi:type="dcterms:W3CDTF">2018-07-19T15:04:06Z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