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975" yWindow="5790" windowWidth="10755" windowHeight="10140" tabRatio="857" activeTab="4"/>
  </bookViews>
  <sheets>
    <sheet name="RESUMO" sheetId="1" r:id="rId1"/>
    <sheet name="QUANT" sheetId="2" r:id="rId2"/>
    <sheet name="ORÇA " sheetId="3" r:id="rId3"/>
    <sheet name="TRANSP" sheetId="4" r:id="rId4"/>
    <sheet name="CFF" sheetId="5" r:id="rId5"/>
    <sheet name="TERRAP E PAVIM" sheetId="6" r:id="rId6"/>
    <sheet name="MEMORIAL DE CALCULO" sheetId="7" r:id="rId7"/>
    <sheet name="BLD" sheetId="8" r:id="rId8"/>
    <sheet name="BLS" sheetId="9" r:id="rId9"/>
    <sheet name="BLT" sheetId="10" r:id="rId10"/>
    <sheet name="DREN PROF" sheetId="11" r:id="rId11"/>
    <sheet name="BDI" sheetId="12" r:id="rId12"/>
    <sheet name="BDI DIFERENCIADO" sheetId="13" r:id="rId13"/>
    <sheet name="SN HOR" sheetId="14" r:id="rId14"/>
    <sheet name="SN VERT" sheetId="15" r:id="rId15"/>
    <sheet name="LASTRO" sheetId="16" r:id="rId16"/>
    <sheet name="ALUGUEL" sheetId="17" r:id="rId17"/>
    <sheet name="Plan1" sheetId="18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8">'BLS'!$A$1:$U$40</definedName>
    <definedName name="_xlnm.Print_Area" localSheetId="15">'LASTRO'!$A$1:$U$43</definedName>
    <definedName name="_xlnm.Print_Area" localSheetId="2">'ORÇA '!$A$1:$J$101</definedName>
    <definedName name="_xlnm.Print_Area" localSheetId="1">'QUANT'!$A$1:$F$93</definedName>
    <definedName name="_xlnm.Print_Area" localSheetId="0">'RESUMO'!$A$2:$C$51</definedName>
    <definedName name="_xlnm.Print_Area" localSheetId="3">'TRANSP'!$A$14:$J$29</definedName>
    <definedName name="_xlnm.Print_Titles" localSheetId="2">'ORÇA '!$1:$6</definedName>
    <definedName name="_xlnm.Print_Titles" localSheetId="1">'QUANT'!$1:$6</definedName>
    <definedName name="Z_E8D46A29_8D28_49CA_936A_9705D639E1C7_.wvu.PrintArea" localSheetId="2" hidden="1">'ORÇA '!#REF!</definedName>
  </definedNames>
  <calcPr fullCalcOnLoad="1"/>
</workbook>
</file>

<file path=xl/sharedStrings.xml><?xml version="1.0" encoding="utf-8"?>
<sst xmlns="http://schemas.openxmlformats.org/spreadsheetml/2006/main" count="1452" uniqueCount="564">
  <si>
    <t>DISCRIMINAÇÃO</t>
  </si>
  <si>
    <t>UNIDADE</t>
  </si>
  <si>
    <t>QUANTIDADE</t>
  </si>
  <si>
    <t>TERRAPLENAGEM</t>
  </si>
  <si>
    <t>m³</t>
  </si>
  <si>
    <t>m²</t>
  </si>
  <si>
    <t>DRENAGEM</t>
  </si>
  <si>
    <t>m</t>
  </si>
  <si>
    <t>unid</t>
  </si>
  <si>
    <t>x</t>
  </si>
  <si>
    <t>UNID.</t>
  </si>
  <si>
    <t>QUANT.</t>
  </si>
  <si>
    <t>P. UNIT.</t>
  </si>
  <si>
    <t>SUBTOTAL</t>
  </si>
  <si>
    <t>TOTAL</t>
  </si>
  <si>
    <t>CÓDIGO</t>
  </si>
  <si>
    <t>SERVIÇO</t>
  </si>
  <si>
    <t>MATERIAL</t>
  </si>
  <si>
    <t>UNID</t>
  </si>
  <si>
    <t>F.UTILIZAÇÃO</t>
  </si>
  <si>
    <t>PESO(T) A TRANSPORTAR</t>
  </si>
  <si>
    <t>DMT(KM)</t>
  </si>
  <si>
    <t>MOMENTO DE TRANSPORTE(t.km)</t>
  </si>
  <si>
    <t>FATOR</t>
  </si>
  <si>
    <t>Solo</t>
  </si>
  <si>
    <t>t/m³</t>
  </si>
  <si>
    <t>II</t>
  </si>
  <si>
    <t>III</t>
  </si>
  <si>
    <t xml:space="preserve">ANEXO </t>
  </si>
  <si>
    <t>VALOR (R$)</t>
  </si>
  <si>
    <t>VI</t>
  </si>
  <si>
    <t>TOTAL  GERAL</t>
  </si>
  <si>
    <t>ITEM</t>
  </si>
  <si>
    <t>2.0</t>
  </si>
  <si>
    <t>3.0</t>
  </si>
  <si>
    <t>3.2</t>
  </si>
  <si>
    <t>4.0</t>
  </si>
  <si>
    <t>4.1</t>
  </si>
  <si>
    <t>ÁREA (m²)</t>
  </si>
  <si>
    <t>3.1</t>
  </si>
  <si>
    <t>2.1</t>
  </si>
  <si>
    <t>2.2</t>
  </si>
  <si>
    <t>1.0</t>
  </si>
  <si>
    <t>1.1</t>
  </si>
  <si>
    <t>1.2</t>
  </si>
  <si>
    <t>Aluguel container/sanit c/2 vasos/1 lavat/1 mic/4 chuv larg2,20m compr=6,20m alt=2,50m chapa aco c/nerv trapez forro c/isolam termo/acustico chassis reforc piso compens naval inclinst eletr/hidr excl transp/carga/descarga</t>
  </si>
  <si>
    <t>mês</t>
  </si>
  <si>
    <t>3.3</t>
  </si>
  <si>
    <t>3.4</t>
  </si>
  <si>
    <t>txkm</t>
  </si>
  <si>
    <t>CUSTO HORÁRIO</t>
  </si>
  <si>
    <t>PLANILHA DE COMPOSIÇÃO DE PREÇO UNITÁRIO</t>
  </si>
  <si>
    <t>Código:</t>
  </si>
  <si>
    <t>Unidade:</t>
  </si>
  <si>
    <t>COMP</t>
  </si>
  <si>
    <t xml:space="preserve">     (A) EQUIPAMENTO</t>
  </si>
  <si>
    <t>UTILIZAÇÃO</t>
  </si>
  <si>
    <t>CUSTO OPERACÃO</t>
  </si>
  <si>
    <t>PROD.</t>
  </si>
  <si>
    <t>IMPROD.</t>
  </si>
  <si>
    <t>Total (A)</t>
  </si>
  <si>
    <t xml:space="preserve">     (B) MÃO DE OBRA SUPLEMENTAR</t>
  </si>
  <si>
    <t>SÁLARIO           / HORA</t>
  </si>
  <si>
    <t>Total (B)</t>
  </si>
  <si>
    <t>PRODUÇÃO HORÁRIA/EQUIPE (C) =</t>
  </si>
  <si>
    <t>CUSTO TOTAL DE EXECUÇÃO: (A)+(B)</t>
  </si>
  <si>
    <t>C U S T O   U N I T Á R I O   D E   E X E C U Ç Ã O :   (D)  =  [ (A) + (B) ]  /  (C)</t>
  </si>
  <si>
    <t xml:space="preserve">     (E) MATERIAIS E ATIVIDADES AUXILIARES</t>
  </si>
  <si>
    <t>CONSUMO UNITÁRIO</t>
  </si>
  <si>
    <t>PREÇO UNITÁRIO</t>
  </si>
  <si>
    <t>CUSTO UNITÁRIO</t>
  </si>
  <si>
    <t>Total (E)</t>
  </si>
  <si>
    <t xml:space="preserve">     (F) TRANSPORTES</t>
  </si>
  <si>
    <t>D M T   (km)</t>
  </si>
  <si>
    <t>CONS. UNIT.           ( t / un )</t>
  </si>
  <si>
    <t>T/RP</t>
  </si>
  <si>
    <t>PAV</t>
  </si>
  <si>
    <t>Total (F)</t>
  </si>
  <si>
    <t xml:space="preserve">     C U S T O   U N I T Á R I O   T O T A L   D E   E X E C U Ç Ã O:   (D) + (E) + (F)</t>
  </si>
  <si>
    <t xml:space="preserve">     B O N I F I C A Ç Ã O: </t>
  </si>
  <si>
    <t>(</t>
  </si>
  <si>
    <t>)</t>
  </si>
  <si>
    <t xml:space="preserve">    P R E Ç O   U N I T Á R I O   T O T A L</t>
  </si>
  <si>
    <t>Kg</t>
  </si>
  <si>
    <t>LOGRADOURO</t>
  </si>
  <si>
    <t>ESTACAS</t>
  </si>
  <si>
    <t>EXTENSÃO (m)</t>
  </si>
  <si>
    <t>INICIAL</t>
  </si>
  <si>
    <t>FINAL</t>
  </si>
  <si>
    <t>CORTE (m³)</t>
  </si>
  <si>
    <t>ATERRO (m³)</t>
  </si>
  <si>
    <t>LD</t>
  </si>
  <si>
    <t>+</t>
  </si>
  <si>
    <t>73847/001</t>
  </si>
  <si>
    <t xml:space="preserve"> RESUMO  DOS  PREÇOS</t>
  </si>
  <si>
    <t xml:space="preserve">SERVIÇOS                    </t>
  </si>
  <si>
    <t xml:space="preserve">BATA BASE:  </t>
  </si>
  <si>
    <t xml:space="preserve">ÁREA (m²): </t>
  </si>
  <si>
    <t>DATA BASE:</t>
  </si>
  <si>
    <t>Despesas Financeiras</t>
  </si>
  <si>
    <t>Riscos</t>
  </si>
  <si>
    <t>CPRB</t>
  </si>
  <si>
    <t>PERCENTUAL</t>
  </si>
  <si>
    <t>BDI</t>
  </si>
  <si>
    <t>CUSTO OBRA</t>
  </si>
  <si>
    <t>Outras Fontes</t>
  </si>
  <si>
    <t>VALOR DA OBRA</t>
  </si>
  <si>
    <t>( % )</t>
  </si>
  <si>
    <t>R$</t>
  </si>
  <si>
    <t>ADMINISTRAÇÃO DA OBRA</t>
  </si>
  <si>
    <t>Administração Central</t>
  </si>
  <si>
    <t>1.3</t>
  </si>
  <si>
    <t>LUCRO</t>
  </si>
  <si>
    <t>Lucro Operacional</t>
  </si>
  <si>
    <t>TRIBUTOS</t>
  </si>
  <si>
    <t>Não incidem IRPJ e CSLL na composição de Tributos.</t>
  </si>
  <si>
    <t xml:space="preserve">TAXA DE BDI A SER APLICADA 
SOBRE O CUSTO DIRETO </t>
  </si>
  <si>
    <t xml:space="preserve">De acordo com o ACÓRDÃO Nº 2622/2013 – TCU – Plenário </t>
  </si>
  <si>
    <t>PREFEITURA MUNICIPAL DE VÁRZEA GRANDE</t>
  </si>
  <si>
    <t xml:space="preserve">B.D.I. </t>
  </si>
  <si>
    <t>Isolamento de obra com tela plástica com malha de 5mm e estrutura de madeira pontaleteada</t>
  </si>
  <si>
    <t>Limpeza mecanizada de área com remoção de camada vegetal, utilizando motoniveladora</t>
  </si>
  <si>
    <t>73822/002</t>
  </si>
  <si>
    <t>Regularização e compactação de subleito até 20 cm de espessura</t>
  </si>
  <si>
    <t>2.4</t>
  </si>
  <si>
    <t>96387</t>
  </si>
  <si>
    <t>6.0</t>
  </si>
  <si>
    <t>6.1</t>
  </si>
  <si>
    <t>6.2</t>
  </si>
  <si>
    <t>VII</t>
  </si>
  <si>
    <t>Prazo ( dias consecutivos )</t>
  </si>
  <si>
    <t>Ítem</t>
  </si>
  <si>
    <t>Etapas de Serviço</t>
  </si>
  <si>
    <t>%</t>
  </si>
  <si>
    <t>Valor (R$)</t>
  </si>
  <si>
    <t>TOTAL ( % e R$ )</t>
  </si>
  <si>
    <t>DESEMBOLSO</t>
  </si>
  <si>
    <t xml:space="preserve"> SIMPLES</t>
  </si>
  <si>
    <t>ACUMULADO</t>
  </si>
  <si>
    <t>1.4</t>
  </si>
  <si>
    <t>Seguro e Garantia</t>
  </si>
  <si>
    <t>PIS</t>
  </si>
  <si>
    <t>COFINS</t>
  </si>
  <si>
    <t>ISSqn</t>
  </si>
  <si>
    <t>Formula para o calculo do BDI:</t>
  </si>
  <si>
    <t>ENSAIOS TECNOLÓGICOS DE SOLO E ASFALTO</t>
  </si>
  <si>
    <t>74021/003</t>
  </si>
  <si>
    <t>Ensaio de regularição de sub-leito</t>
  </si>
  <si>
    <t>74021/006</t>
  </si>
  <si>
    <t>74209/001</t>
  </si>
  <si>
    <t>Placa de obra em chapa de aço galvanizado</t>
  </si>
  <si>
    <t>2.3</t>
  </si>
  <si>
    <t>7.0</t>
  </si>
  <si>
    <t>7.1</t>
  </si>
  <si>
    <t>8.0</t>
  </si>
  <si>
    <t>ADMINISTRAÇÃO LOCAL</t>
  </si>
  <si>
    <t>Execução de depósito em canteiro de obra</t>
  </si>
  <si>
    <t>Indenização de jazida não condiz com o preço praticado na região (Preço praticado na jazida)</t>
  </si>
  <si>
    <t>Engenheiro civil de obra júnior com encargos complementares</t>
  </si>
  <si>
    <t>Topografo com encargos complementares</t>
  </si>
  <si>
    <t>Auxiliar de topógrafo com encargos complementares</t>
  </si>
  <si>
    <t>Mestre de obras com encargos complementares</t>
  </si>
  <si>
    <t>Apontador ou apropriador com encargos complementares</t>
  </si>
  <si>
    <t>sinapi</t>
  </si>
  <si>
    <t>SECO</t>
  </si>
  <si>
    <t>Encargo mensalista</t>
  </si>
  <si>
    <t>custo unit</t>
  </si>
  <si>
    <t>qtd</t>
  </si>
  <si>
    <t>valor</t>
  </si>
  <si>
    <t>Confecção de placa em aço nº 16 galvanizado, com película retrorrefletiva tipo I + III</t>
  </si>
  <si>
    <t>P9824 SERVENTE</t>
  </si>
  <si>
    <t>M1097 Pedra de mão</t>
  </si>
  <si>
    <t>CODIGO</t>
  </si>
  <si>
    <t>BANCO</t>
  </si>
  <si>
    <t>SINAPI</t>
  </si>
  <si>
    <t>SICRO 3</t>
  </si>
  <si>
    <t>COTAÇÃO</t>
  </si>
  <si>
    <t>m³xkm</t>
  </si>
  <si>
    <t>B.D.I. DIFERENCIADO</t>
  </si>
  <si>
    <t>SICRO 03</t>
  </si>
  <si>
    <t>74219/001</t>
  </si>
  <si>
    <t>Passadicos de madeira para pedestres</t>
  </si>
  <si>
    <t>Escavação mecanizada de vala com prof. até 1,5 m (média entre montante e jusante/uma composição por trecho), com retroescavadeira (0,26 m3/88 hp), larg. de 1,5 m a 2,5 m, em solo de 1a categoria, em locais com baixo nível de interferência. af_01/2015</t>
  </si>
  <si>
    <t>74010/001</t>
  </si>
  <si>
    <t>Carga e descarga mecânica de solo utilizando caminhão basculante 5m³ /11t e pa carregadeira sobre pneus * 105 hp * cap. 1,72m3</t>
  </si>
  <si>
    <t>Espalhamento de material em bota fora, com utilizacao de trator de esteiras de 165 HP</t>
  </si>
  <si>
    <t>ÓRGÃOS ACESSÓRIOS</t>
  </si>
  <si>
    <t>MEMÓRIA DE CÁLCULO DE VOLUMES DA DRENAGEM</t>
  </si>
  <si>
    <t>DIAMETRO (m)</t>
  </si>
  <si>
    <t xml:space="preserve">LARGURA </t>
  </si>
  <si>
    <t>CORTE</t>
  </si>
  <si>
    <t xml:space="preserve">CORTE </t>
  </si>
  <si>
    <t>ALTURA MEDIA</t>
  </si>
  <si>
    <t>VOLUME</t>
  </si>
  <si>
    <t>AREA FUNDO DE VALA</t>
  </si>
  <si>
    <t>MEDIA DE ESC</t>
  </si>
  <si>
    <t>MONTANTE</t>
  </si>
  <si>
    <t>JUZANTE</t>
  </si>
  <si>
    <t>DOS CORTES</t>
  </si>
  <si>
    <t>BOCAS DE LOBOS SIMPLES</t>
  </si>
  <si>
    <t>ESCAVAÇÃO</t>
  </si>
  <si>
    <t>ÁREA</t>
  </si>
  <si>
    <t>Poço de Visita</t>
  </si>
  <si>
    <t>TUBO 600MM</t>
  </si>
  <si>
    <t>TUBO 800MM</t>
  </si>
  <si>
    <t>TUBO 1000MM</t>
  </si>
  <si>
    <t>TUBO 1200MM</t>
  </si>
  <si>
    <t>BOCA DE LOBO DUPLA (UNIDADES)</t>
  </si>
  <si>
    <t>REGULARIZAÇÃO DE FUNDO DE VALA</t>
  </si>
  <si>
    <t>FORRO DE PEDRA DE MÃO</t>
  </si>
  <si>
    <t>BOTA-FORA ESCAVAÇÃO DE DRENO PROFUNDO</t>
  </si>
  <si>
    <t xml:space="preserve">DE CORTE </t>
  </si>
  <si>
    <t>6.4</t>
  </si>
  <si>
    <t>ESCAVAÇÃO DE VALAS</t>
  </si>
  <si>
    <t>Transporte com caminhão basculante de 10 m3, em via urbana pavimentada, dmt até 30 km (unidade: tonxkm). af_12/2016</t>
  </si>
  <si>
    <t>Transporte com caminhão basculante de 10 m3, em via urbana em revestimento primário (unidade: tonxkm). af_04/2016</t>
  </si>
  <si>
    <t>Serviço: PREÇO COM BASE NA SICRO 3 DNIT</t>
  </si>
  <si>
    <t>Serviço: PREÇO COM BASE NA SICRO 3 SINFRA</t>
  </si>
  <si>
    <t>1 57,4193 7 1,1343</t>
  </si>
  <si>
    <t>1 21,9352 5 4,1194</t>
  </si>
  <si>
    <t>1 93,8111 4 9,5332</t>
  </si>
  <si>
    <t>EXTENSÃO:</t>
  </si>
  <si>
    <t>A</t>
  </si>
  <si>
    <t>PREFEITURA MUNICIPAL DE VÁZEA GRANDE</t>
  </si>
  <si>
    <t>E9604 Caminhão basculante para rocha com capacidade de 8 m³ - 210 kW</t>
  </si>
  <si>
    <t>P. UNIT. C/BDI</t>
  </si>
  <si>
    <t>E9042 Trator de esteiras com lâmina - 74,5 Kw</t>
  </si>
  <si>
    <t>E9685 Rolo compactador pé de carneiro vibratório autopropelido de 11,6 t -82 Kw</t>
  </si>
  <si>
    <t>3909619 Alvenaria de blocos AC</t>
  </si>
  <si>
    <t>3103302 Formas de tábuas de pinho para dispositivos de drenagem - utilização de 3 vezes - confecção, instalação e retirada</t>
  </si>
  <si>
    <t>1107896 Concreto fck = 25 MPa - confecção em betoneira e lançamento manual - areia e brita comerciais</t>
  </si>
  <si>
    <t>0407819  Armação em aço CA-50 - fornecimento, preparo e colocação</t>
  </si>
  <si>
    <t>1109669 Argamassa de cimento e areia 1:3 - areia comercial</t>
  </si>
  <si>
    <t>BLD - Boca de lobo dupla, c/abertura pela guia 2,00m - conforme protjeto tipo</t>
  </si>
  <si>
    <t>BLS - Boca de lobo simples, c/abertura na guia 1,00m  conforme projeto  tipo</t>
  </si>
  <si>
    <t>4.4</t>
  </si>
  <si>
    <t>4.6</t>
  </si>
  <si>
    <t>Carga, manobras e descarga de areia, brita, pedra de mao e solos com caminhao basculante 6 m3 (descarga livre)</t>
  </si>
  <si>
    <t>Transporte com caminhão basculante de 10 m3, em via urbana pavimentada, dmt até 30 km (unidade: txkm). af_12/2016</t>
  </si>
  <si>
    <t>BOCA DE LOBO TRIPLA (UNIDADES)</t>
  </si>
  <si>
    <t>LASTRO DE BRITA</t>
  </si>
  <si>
    <t>P9824 Servente</t>
  </si>
  <si>
    <t>4.2</t>
  </si>
  <si>
    <t>4.5</t>
  </si>
  <si>
    <t>PLANILHA ORÇAMENTÁRIA (NÃO DESONERADO)</t>
  </si>
  <si>
    <t>NÃO DESONERADO</t>
  </si>
  <si>
    <t>Lastro de pedra de mão</t>
  </si>
  <si>
    <t>VIII</t>
  </si>
  <si>
    <r>
      <t>(</t>
    </r>
    <r>
      <rPr>
        <sz val="9"/>
        <color indexed="10"/>
        <rFont val="Arial"/>
        <family val="2"/>
      </rPr>
      <t>M980</t>
    </r>
    <r>
      <rPr>
        <sz val="9"/>
        <rFont val="Arial"/>
        <family val="2"/>
      </rPr>
      <t>) (S/C)</t>
    </r>
  </si>
  <si>
    <t>Reaterro mecanizado de vala com retroescavadeira (capacidade da caçamb a da retro: 0,26 m³ / potência: 88 hp), largura de 0,8 a 1,5 m, profun didade de 1,5 a 3,0 m, com solo (sem substituição) de 1ª categoria em locais com baixo nível de interferência. af_04/2016</t>
  </si>
  <si>
    <t>9.0</t>
  </si>
  <si>
    <t>IX</t>
  </si>
  <si>
    <t>9.1</t>
  </si>
  <si>
    <t>9.2</t>
  </si>
  <si>
    <t>COMP. DO LANCE</t>
  </si>
  <si>
    <t>TUBULAÇÃO</t>
  </si>
  <si>
    <t xml:space="preserve">TOTAL DE BOTA FORA </t>
  </si>
  <si>
    <t xml:space="preserve">REATERRO E COMPACTAÇÃO DE VALAS </t>
  </si>
  <si>
    <t>7.2</t>
  </si>
  <si>
    <t>BDI - BENEFICIOS E DESPESAS INDIRETAS - NÃO DESONERADO</t>
  </si>
  <si>
    <t>OBRA: Implantação de revestimento primário</t>
  </si>
  <si>
    <t>PAVIMENTAÇÃO DE VIAS URBANAS</t>
  </si>
  <si>
    <t>Ensaio de Sub-base estabilizada granulometricamente)</t>
  </si>
  <si>
    <t>Ensaio de base estabilizada granulometricamente</t>
  </si>
  <si>
    <t>74022/030</t>
  </si>
  <si>
    <t>un</t>
  </si>
  <si>
    <t>PAVIMENTAÇÃO</t>
  </si>
  <si>
    <t>Execução de imprimação com asfalto diluído CM-30. af_09/2017</t>
  </si>
  <si>
    <t>Pintura de ligação com emulsão RR-2C</t>
  </si>
  <si>
    <t>Construção de pavimento com aplicação de concreto betuminoso usinado a quente (cbuq), camada de rolamento, com espessura de 4,0 cm  exclusive transporte. af_03/2017</t>
  </si>
  <si>
    <t>Transporte com caminhão basculante 10 m3 de massa asfáltica para pavimentação urbana</t>
  </si>
  <si>
    <t>SINALIZAÇÃO HORIZONTAL/VERTICAL</t>
  </si>
  <si>
    <t>Sinalizacao horizontal com tinta retrorrefletiva a base de resina acrilica  c/ micro esfera de vidro</t>
  </si>
  <si>
    <t>Pintura de setas e zebrados - tinta base acrílica - espessura de 0,6 mm</t>
  </si>
  <si>
    <t>Fornecimento e implantação de suporte metálico galvanizado para placa de regulamentação - R1 - lado de 0,248 m</t>
  </si>
  <si>
    <t>OBRAS COMPLEMENTARES</t>
  </si>
  <si>
    <t>TERRAPLENAGEM E PAVIMENTAÇÃO</t>
  </si>
  <si>
    <t>SUBLEITO (m²)</t>
  </si>
  <si>
    <t>SUB-BASE (m³)</t>
  </si>
  <si>
    <t>BASE (m³)</t>
  </si>
  <si>
    <t>IMPRIM. (m²)</t>
  </si>
  <si>
    <t>MEIO-FIO C/ SARJETA  (m)</t>
  </si>
  <si>
    <t>LOCAL - Dist.</t>
  </si>
  <si>
    <t>SINAL DE PLACA</t>
  </si>
  <si>
    <t>do bordo (Metros)</t>
  </si>
  <si>
    <t>TIPO</t>
  </si>
  <si>
    <t>DIMENSÕES</t>
  </si>
  <si>
    <t>ÁREAS(m²)</t>
  </si>
  <si>
    <t>Regulamentação</t>
  </si>
  <si>
    <t>Indicativa</t>
  </si>
  <si>
    <t>TOTAL (m²)</t>
  </si>
  <si>
    <t>TOTAL (un)</t>
  </si>
  <si>
    <t>Tipo  de transporte 95303  -  Transporte  comercial c/basculante de massa asfáltica</t>
  </si>
  <si>
    <t>massa</t>
  </si>
  <si>
    <t>m³/km</t>
  </si>
  <si>
    <t>COMP.</t>
  </si>
  <si>
    <t>BLD - Boca de lobo dupla, c/abertura pela guia 1,00m - conforme protjeto tipo</t>
  </si>
  <si>
    <t>Tubo concreto armado, classe PA-1, pb, dn 600 mm, para aguas pluviais (nbr 8890)</t>
  </si>
  <si>
    <t>10.0</t>
  </si>
  <si>
    <t>X</t>
  </si>
  <si>
    <t>10.1</t>
  </si>
  <si>
    <t>Assentamento de tubo de concreto para redes coletoras de águas pluviais, diâmetro de 600 mm, junta rígida, instalado em local com alto nível</t>
  </si>
  <si>
    <t>10.2</t>
  </si>
  <si>
    <t>Caixa coletora de talvegue CCT01</t>
  </si>
  <si>
    <t>Tubo concreto armado, classe PA-1, pb, dn 800 mm, para aguas pluviais (nbr 8890)</t>
  </si>
  <si>
    <t>Assentamento de tubo de concreto para redes coletoras de águas pluviais, diâmetro de 800 mm, junta rígida, instalado em local com alto nível</t>
  </si>
  <si>
    <t>Escavação mecânica de vala em material de 2A. cat de 2,01 até 4,00 M de profundidade com utilização de escavadeira hidráulica</t>
  </si>
  <si>
    <t>Escoramento de vala, tipo pontaleteamento, com profundidade de 0 a 1,5 m, largura maior ou igual a 1,5 m e menor que 2,5 m, em local com nível alto de interferência. af_06/2016</t>
  </si>
  <si>
    <t>Regularizacao e compactacao manual de terreno (fundo de valas)</t>
  </si>
  <si>
    <t>Fornecimento e aplicação de Lastro de Brita  (com preparo de fundo de valas)</t>
  </si>
  <si>
    <t>I</t>
  </si>
  <si>
    <t>SERVIÇOS PRELIMINARES</t>
  </si>
  <si>
    <t>7.3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</si>
  <si>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</si>
  <si>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XI</t>
  </si>
  <si>
    <t>LARGURA   (m)</t>
  </si>
  <si>
    <t>ACOST. LE + (FOLGA)</t>
  </si>
  <si>
    <t>PISTA LD</t>
  </si>
  <si>
    <t>ACOST. LD + (FOLGA)</t>
  </si>
  <si>
    <t>PISTA LE</t>
  </si>
  <si>
    <t>LIMPEZA DE CAMADA VEGETAL (m²)</t>
  </si>
  <si>
    <t>PINTURA DE LIGAÇÃO. (m²)</t>
  </si>
  <si>
    <t>JUL/18 ORSE-SE</t>
  </si>
  <si>
    <t>CBUQ             (M³)</t>
  </si>
  <si>
    <t>Reto</t>
  </si>
  <si>
    <t>Curvo</t>
  </si>
  <si>
    <t>OBS.</t>
  </si>
  <si>
    <t xml:space="preserve">Ø TUBO PEAD(mm) </t>
  </si>
  <si>
    <t xml:space="preserve">LE </t>
  </si>
  <si>
    <t>Boca de Lobo</t>
  </si>
  <si>
    <t>Dreno longitudinal profundo para corte em solo - DPS 13 - tubo PEAD e brita comercial</t>
  </si>
  <si>
    <t>11.0</t>
  </si>
  <si>
    <t>TUBO 1500MM</t>
  </si>
  <si>
    <t>VOLUME DE BERÇO DE CASCALHO REATERRO</t>
  </si>
  <si>
    <t>DIÂMETRO</t>
  </si>
  <si>
    <t xml:space="preserve">L  </t>
  </si>
  <si>
    <t>e</t>
  </si>
  <si>
    <t>a</t>
  </si>
  <si>
    <t>b</t>
  </si>
  <si>
    <t xml:space="preserve"> Volume</t>
  </si>
  <si>
    <t>DIÂMETRO EXT.</t>
  </si>
  <si>
    <t>Espalhamento de material em bota fora, com utilização de trator de esteiras de 165 hp</t>
  </si>
  <si>
    <t>BLS - Boca de lobo simples, c/abertura pela guia 1,00m - conforme protjeto tipo</t>
  </si>
  <si>
    <t>Poço de visita - PVI 04 - areia e brita comerciais</t>
  </si>
  <si>
    <t>8.2</t>
  </si>
  <si>
    <t>8.4</t>
  </si>
  <si>
    <t>Chaminé dos poços de visita - CPV 01 - areia e brita comerciais</t>
  </si>
  <si>
    <t>8.1</t>
  </si>
  <si>
    <t>Ensaio de resistência a compressão simples do concreto - meio-fio, sarjetas e calçadas (considerado 1,0 amostra a cada 200 m)</t>
  </si>
  <si>
    <t>8.3</t>
  </si>
  <si>
    <t xml:space="preserve">ASSENTAMENTO DE TUBO DE CONCRETO </t>
  </si>
  <si>
    <t>FORNECIMENTO DE TUBOS TIPO PA-1</t>
  </si>
  <si>
    <t>Regulamentação/Indicativa</t>
  </si>
  <si>
    <t>SENTIDO</t>
  </si>
  <si>
    <t>COMPRIMENTO</t>
  </si>
  <si>
    <t>ESPESSURA</t>
  </si>
  <si>
    <t>Área</t>
  </si>
  <si>
    <t>TIPO DE PINTURA</t>
  </si>
  <si>
    <t>(m)</t>
  </si>
  <si>
    <t>(m²)</t>
  </si>
  <si>
    <t>Ambos (ida e volta)</t>
  </si>
  <si>
    <t>2X4</t>
  </si>
  <si>
    <t>Contínua</t>
  </si>
  <si>
    <t>FAIXA AMARELA</t>
  </si>
  <si>
    <t>Descontínua</t>
  </si>
  <si>
    <t xml:space="preserve">TOTAL </t>
  </si>
  <si>
    <t>EXTENSÃO TOTAL</t>
  </si>
  <si>
    <t>RESUMO DA SINALIZAÇÃO</t>
  </si>
  <si>
    <t>FAIXA BRANCA CONTÍNUA</t>
  </si>
  <si>
    <t>FAIXA BRANCA RETENÇÃO 0,40m</t>
  </si>
  <si>
    <t>FAIXA AMARELA 2X4</t>
  </si>
  <si>
    <t>FAIXA AMARELA CONTÍNUA</t>
  </si>
  <si>
    <t>TOTAL DE PINTURA DE FAIXAS</t>
  </si>
  <si>
    <t xml:space="preserve">SETAS  E ZEBRADOS </t>
  </si>
  <si>
    <t>TACHAS E TACHÕES</t>
  </si>
  <si>
    <t>FAIXA BRANCA SECCIONADA 2X4m</t>
  </si>
  <si>
    <t>NOTA DE SERVIÇO DRENO PROFUNDO</t>
  </si>
  <si>
    <t/>
  </si>
  <si>
    <t>Execução e compactação de base com solo estabilizado granulometricamente - exclusive escavação, carga e transporte e solo. af_09/2017</t>
  </si>
  <si>
    <t>Execução e compactação de sub-base com solo estabilizado granulometricamente - exclusive escavação, carga e transporte e solo. af_09/2017</t>
  </si>
  <si>
    <t>1V</t>
  </si>
  <si>
    <t>74205/001</t>
  </si>
  <si>
    <t>Escavacao mecanica de material 1a. categoria, proveniente de corte de subleito (c/trator esteiras 160hp)</t>
  </si>
  <si>
    <t>Transporte com caminhão basculante de 10 m3, em via urbana em revestimento primário (unidade: txkm). af_04/2016</t>
  </si>
  <si>
    <t>Composição SINAPI - 73847/001</t>
  </si>
  <si>
    <t>Código</t>
  </si>
  <si>
    <t xml:space="preserve"> 73847/001 </t>
  </si>
  <si>
    <t>Descrição</t>
  </si>
  <si>
    <t>ALUGUEL CONTAINER/ESCRIT INCL INST ELET LARG=2,20 COMP=6,20M          ALT=2,50M CHAPA ACO C/NERV TRAPEZ FORRO C/ISOL TERMO/ACUSTICO         CHASSIS REFORC PISO COMPENS NAVAL EXC TRANSP/CARGA/DESCARGA</t>
  </si>
  <si>
    <t>Data</t>
  </si>
  <si>
    <t xml:space="preserve"> 11/2018 </t>
  </si>
  <si>
    <t>Estado</t>
  </si>
  <si>
    <t>Mato Grosso</t>
  </si>
  <si>
    <t>Tipo</t>
  </si>
  <si>
    <t>CANT - CANTEIRO DE OBRAS</t>
  </si>
  <si>
    <t>Unidade</t>
  </si>
  <si>
    <t>MES</t>
  </si>
  <si>
    <t>codigo</t>
  </si>
  <si>
    <t>Valor sem Desoneração</t>
  </si>
  <si>
    <t>Coeficiente</t>
  </si>
  <si>
    <t xml:space="preserve"> 00010776 </t>
  </si>
  <si>
    <t>LOCACAO DE CONTAINER 2,30  X  6,00 M, ALT. 2,50 M, PARA ESCRITORIO, SEM DIVISORIAS INTERNAS E SEM SANITARIO</t>
  </si>
  <si>
    <t>Equipamento</t>
  </si>
  <si>
    <t>1,0</t>
  </si>
  <si>
    <t>5.0</t>
  </si>
  <si>
    <t>5.1</t>
  </si>
  <si>
    <t>5.2</t>
  </si>
  <si>
    <t>5.4</t>
  </si>
  <si>
    <t>5.5</t>
  </si>
  <si>
    <t>5.6</t>
  </si>
  <si>
    <t>5.7</t>
  </si>
  <si>
    <t>5.8</t>
  </si>
  <si>
    <t>5.9</t>
  </si>
  <si>
    <t>5.10</t>
  </si>
  <si>
    <t>5.11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</si>
  <si>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</si>
  <si>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</si>
  <si>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</si>
  <si>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</si>
  <si>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</si>
  <si>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</si>
  <si>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</si>
  <si>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</si>
  <si>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</si>
  <si>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m³/m³</t>
  </si>
  <si>
    <t>4.3</t>
  </si>
  <si>
    <t>Tipo  de transporte 93595  - Transporte com caminhão basculante de 10 m3, em via urbana em revestimento primário (unidade: txkm). af_04/2016</t>
  </si>
  <si>
    <t>solo</t>
  </si>
  <si>
    <t>t/km</t>
  </si>
  <si>
    <t>BOCAS DE LOBOS DUPLAS</t>
  </si>
  <si>
    <t>BOCAS DE LOBOS TRIPLAS</t>
  </si>
  <si>
    <t>Guia (meio-fio) e sarjeta conjugados de concreto, moldada i n loco em trecho
reto com extrusora, guia 13 cm base x 22 cm altura. af_06/2016</t>
  </si>
  <si>
    <t>Guia (meio-fio) e sarjeta conjugados de concreto, moldada i n loco em trecho
curvo com extrusora, guia 13 cm base x 22 cm altura. af_06/2016</t>
  </si>
  <si>
    <t>73916/002</t>
  </si>
  <si>
    <t>Placa esmaltada para identificação NR de Rua, dimensões 45X25cm</t>
  </si>
  <si>
    <t>11.6</t>
  </si>
  <si>
    <t>11.10</t>
  </si>
  <si>
    <t>11.12</t>
  </si>
  <si>
    <t>11.13</t>
  </si>
  <si>
    <t>2.5</t>
  </si>
  <si>
    <t>3.5</t>
  </si>
  <si>
    <t>Valor com Desoneração</t>
  </si>
  <si>
    <t>8.14</t>
  </si>
  <si>
    <t>V</t>
  </si>
  <si>
    <t>Caixa de ligação de passagem</t>
  </si>
  <si>
    <t>R-01</t>
  </si>
  <si>
    <t>I-01</t>
  </si>
  <si>
    <t>45X25 CM</t>
  </si>
  <si>
    <t>OBRA: PAVIMENTAÇÃO DE VIAS URBANS</t>
  </si>
  <si>
    <t>TOTAL  DE DRENO PROFUNDO</t>
  </si>
  <si>
    <t>6.3</t>
  </si>
  <si>
    <t>11.1</t>
  </si>
  <si>
    <t>11.4</t>
  </si>
  <si>
    <t>11.9</t>
  </si>
  <si>
    <t>OBS</t>
  </si>
  <si>
    <t>TOTAL/km² (R$)</t>
  </si>
  <si>
    <t>EXTENSÃO km</t>
  </si>
  <si>
    <t>RUA RONDONÓPOLIS (ambos os sentidos)</t>
  </si>
  <si>
    <t>Esquina Rua Primavera 0+0,00 (posicionar a 10 metros do bordo da pista transversal)</t>
  </si>
  <si>
    <t>Esquina AV. Dner 16+9,503 (posicionar a 10 metros do bordo da pista transversal)</t>
  </si>
  <si>
    <t>RUA LADARIO (ambos os sentidos)</t>
  </si>
  <si>
    <t>Esquina Rua Piraporã 0+0,00 (posicionar a 10 metros do bordo da pista transversal)</t>
  </si>
  <si>
    <t>Esquina Rua Primavera 4+17,046 (posicionar a 10 metros do bordo da pista transversal)</t>
  </si>
  <si>
    <t>Esquina Rua Piraporã 4+17,755 (posicionar a 10 metros do bordo da pista transversal)</t>
  </si>
  <si>
    <t>RUA CORUMBÁ (ambos os sentidos)</t>
  </si>
  <si>
    <t>Esquina Rua Piraporã 4+18,394 (posicionar a 10 metros do bordo da pista transversal)</t>
  </si>
  <si>
    <t>Esquina Rua Jacarandá 14+8,037 (posicionar a 10 metros do bordo da pista transversal)</t>
  </si>
  <si>
    <t>RUA DOURADOS (ambos os sentidos)</t>
  </si>
  <si>
    <t>Esquina Rua Piraporã 4+19,304 (posicionar a 10 metros do bordo da pista transversal)</t>
  </si>
  <si>
    <t>Esquina Rua Jacarandá 14+6,112 (posicionar a 10 metros do bordo da pista transversal)</t>
  </si>
  <si>
    <t>RUA BARRA DO GARÇAS (ambos os sentidos)</t>
  </si>
  <si>
    <t>Esquina Rua Jacarandá 9+2,616 (posicionar a 10 metros do bordo da pista transversal)</t>
  </si>
  <si>
    <t>RESUMO DAS QUANTIDADES</t>
  </si>
  <si>
    <t>05/2019 SINAPI</t>
  </si>
  <si>
    <t>10/2018 SICRO 3</t>
  </si>
  <si>
    <t>JULHO ORSE - SE</t>
  </si>
  <si>
    <t>comp.</t>
  </si>
  <si>
    <t>Lastro com pedra de mão</t>
  </si>
  <si>
    <t>TUBO 600MM (88 RAMAL)</t>
  </si>
  <si>
    <t>Caixa coletora de talvegue - CCT 17 - areia e brita comerciais</t>
  </si>
  <si>
    <t>LIMPA ROPAS</t>
  </si>
  <si>
    <t>73900/012</t>
  </si>
  <si>
    <t xml:space="preserve">Ensaio de concreto asfáltico para cada 10 ton </t>
  </si>
  <si>
    <t>ton</t>
  </si>
  <si>
    <t>Tipo  de transporte 95878  -  Transporte com caminhão basculante de 10 m3, em via urbana pavimentada, dmt até 30 km (unidade: txkm). af_12/2016</t>
  </si>
  <si>
    <t>Dissipador de energia - DEB 06 - areia e pedra de mão comerciais</t>
  </si>
  <si>
    <t>Caixa de ligação e passagem - CLP 01 - areia e brita comerciais</t>
  </si>
  <si>
    <t>11.5</t>
  </si>
  <si>
    <t>Entrada para descida d'água - EDA 04 - areia e brita comerciais</t>
  </si>
  <si>
    <t>Descida d'água de aterros tipo rápido - DAR 02  - areia e pedra de mão comerciais</t>
  </si>
  <si>
    <t>11.2</t>
  </si>
  <si>
    <t>11.11</t>
  </si>
  <si>
    <t>3.6</t>
  </si>
  <si>
    <t>BAIRRO: JARDIM GLÓRIA</t>
  </si>
  <si>
    <t>RUA LOURO</t>
  </si>
  <si>
    <t>RUA LORO</t>
  </si>
  <si>
    <t>RUA ROSÁRIO OESTE</t>
  </si>
  <si>
    <t>RUA CÁRCERES</t>
  </si>
  <si>
    <t>RUA AROEIRA (JARDIM BELA VISTA)</t>
  </si>
  <si>
    <t>RUA SANTOS</t>
  </si>
  <si>
    <t xml:space="preserve">RUA RODONOPOLIS </t>
  </si>
  <si>
    <t>RUA PINHEIROS</t>
  </si>
  <si>
    <t>RUA JACARANDÁ</t>
  </si>
  <si>
    <t>BAIRRO:JARDIM GLÓRIA</t>
  </si>
  <si>
    <t>RUAS: Louro, Loro, Rosário Oeste, Cáceres, Aroeira, Santos, Rondonópolis, Pinheiros e Jacarandá</t>
  </si>
  <si>
    <t>NOTA  DE  SERVIÇO DE SINALIZAÇÃO VERTICAL DO BAIRRO JARDIM GLÓRIA</t>
  </si>
  <si>
    <t>RUA LORO (ambos os sentidos)</t>
  </si>
  <si>
    <t>Esquina Rua Violeta 0+0,00 (posicionar a 10 metros do bordo da pista transversal)</t>
  </si>
  <si>
    <t>Esquina Rua Pinheiros 2+4,310 (posicionar a 10 metros do bordo da pista transversal)</t>
  </si>
  <si>
    <t>RUA LOURO (ambos os sentidos)</t>
  </si>
  <si>
    <t>Esquina Rua do Dner 0+0,00 (posicionar a 10 metros do bordo da pista transversal)</t>
  </si>
  <si>
    <t>Esquina Rua Pinheiros 5+13,789 (posicionar a 10 metros do bordo da pista transversal)</t>
  </si>
  <si>
    <t>Esquina Rua Jacarandá 21+17,507 (posicionar a 10 metros do bordo da pista transversal)</t>
  </si>
  <si>
    <t>Esquina Rua Pinheiros 5+13,737 (posicionar a 10 metros do bordo da pista transversal)</t>
  </si>
  <si>
    <t>RUA CÁCERES 2 (ambos os sentidos)</t>
  </si>
  <si>
    <t>RUA CÁCERES 1 (ambos os sentidos)</t>
  </si>
  <si>
    <t>Esquina Rua da Glória 0+0,00 (posicionar a 10 metros do bordo da pista transversal)</t>
  </si>
  <si>
    <t>Esquina Rua Jacarandá 4+6,153 (posicionar a 10 metros do bordo da pista transversal)</t>
  </si>
  <si>
    <t>RUA AROEIRA (ambos os sentidos)</t>
  </si>
  <si>
    <t>Esquina Rua Jacarandá 5+17,460 (posicionar a 10 metros do bordo da pista transversal)</t>
  </si>
  <si>
    <t>Esquina Rua Pinheiros 17+15,702 (posicionar a 10 metros do bordo da pista transversal)</t>
  </si>
  <si>
    <t>Esquina Rua do Dner 23+10,609 (posicionar a 10 metros do bordo da pista transversal)</t>
  </si>
  <si>
    <t>RUA SANTOS (ambos os sentidos)</t>
  </si>
  <si>
    <t>Esquina Rua Pinheiros 5+13,431 (posicionar a 10 metros do bordo da pista transversal)</t>
  </si>
  <si>
    <t>RUA RONDONÓPOLIS 1 (ambos os sentidos)</t>
  </si>
  <si>
    <t>Esquina Rua Pinheiros 5+12,296 (posicionar a 10 metros do bordo da pista transversal)</t>
  </si>
  <si>
    <t>RUA RONDONÓPOLIS 2 (ambos os sentidos)</t>
  </si>
  <si>
    <t>Esquina Rua Jacarandá 6+18,876 (posicionar a 10 metros do bordo da pista transversal)</t>
  </si>
  <si>
    <t>RUA ROSÁRIO OESTE (ambos os sentidos)</t>
  </si>
  <si>
    <t>Esquina Rua Jacarandá 3+12,502 (posicionar a 10 metros do bordo da pista transversal)</t>
  </si>
  <si>
    <t>RUA PINHEIROS (ambos os sentidos)</t>
  </si>
  <si>
    <t>Esquina Rua da Declamação 0+0,00 (posicionar a 10 metros do bordo da pista transversal)</t>
  </si>
  <si>
    <t>RUA JACARANDÁ (ambos os sentidos)</t>
  </si>
  <si>
    <t>Esquina Rua Nobres (posicionar a 10 metros do bordo da pista transversal)</t>
  </si>
  <si>
    <t>RUA CÁCERES 1</t>
  </si>
  <si>
    <t>RUA CÁCERES 2</t>
  </si>
  <si>
    <t>RUA AROEIRA</t>
  </si>
  <si>
    <t>RUA RONDONÓPOLIS 1</t>
  </si>
  <si>
    <t>RUA RONDONÓPOLIS 2</t>
  </si>
  <si>
    <r>
      <t xml:space="preserve">NOTA DE  SERVIÇO DE  SINALIZAÇÃO  HORIZONTAL - </t>
    </r>
    <r>
      <rPr>
        <b/>
        <sz val="10"/>
        <rFont val="Times New Roman"/>
        <family val="1"/>
      </rPr>
      <t>FAIXA AMARELA</t>
    </r>
    <r>
      <rPr>
        <sz val="10"/>
        <color indexed="13"/>
        <rFont val="Times New Roman"/>
        <family val="1"/>
      </rPr>
      <t xml:space="preserve"> </t>
    </r>
    <r>
      <rPr>
        <sz val="10"/>
        <rFont val="Times New Roman"/>
        <family val="1"/>
      </rPr>
      <t>- BAIRRO JARDIM GLÓRIA</t>
    </r>
  </si>
  <si>
    <t>RUA LORO CONTINUAÇÃO</t>
  </si>
  <si>
    <t>RUA AROEIRA CONTINUAÇÃO</t>
  </si>
  <si>
    <t>RUA PINHEIRO</t>
  </si>
  <si>
    <t>RUA JACARANDA</t>
  </si>
  <si>
    <t>Assentamento de tubo de concreto para redes coletoras de águas pluviais, diâmetro de 1000 mm, junta rígida, instalado em local com alto nível de interferências (não inclui fornecimento). Af_12/2015</t>
  </si>
  <si>
    <t>10.3</t>
  </si>
  <si>
    <t>Corpo de BDTC D = 1,50 m CA2 - areia, brita e pedra de mão comerciais</t>
  </si>
  <si>
    <t>Boca BDTC D = 1,50 m - esconsidade 30° - areia e brita comerciais - alas esconsas</t>
  </si>
  <si>
    <t>Boca BSTC D = 0,80 m - esconsidade 0° - areia e brita comerciais - alas esconsas</t>
  </si>
  <si>
    <t>Boca BSTC D = 1,00 m - esconsidade 0° - areia e brita comerciais - alas esconsas</t>
  </si>
  <si>
    <t>SICRO 04</t>
  </si>
  <si>
    <t>11.14</t>
  </si>
  <si>
    <t>11.15</t>
  </si>
  <si>
    <t>11.16</t>
  </si>
  <si>
    <t>11.7</t>
  </si>
  <si>
    <t>11.8</t>
  </si>
  <si>
    <t>11.3</t>
  </si>
  <si>
    <t>Tubo concreto armado, classe pa-1, pb, dn 1000 mm, para aguas pluviais (nbr 8890)</t>
  </si>
  <si>
    <t>BLT - Boca de lobo tripla, c/abertura pela guia 1,00m - conforme protjeto tipo</t>
  </si>
  <si>
    <t>BLT - Boca de lobo tripla, c/abertura pela guia 3,00m - conforme protjeto tipo</t>
  </si>
  <si>
    <t>VALOR ANTIGO</t>
  </si>
  <si>
    <t>VALOR ATUAL</t>
  </si>
  <si>
    <t>DIFERENÇA</t>
  </si>
  <si>
    <t>RUA RODONOPOLIS 1</t>
  </si>
</sst>
</file>

<file path=xl/styles.xml><?xml version="1.0" encoding="utf-8"?>
<styleSheet xmlns="http://schemas.openxmlformats.org/spreadsheetml/2006/main">
  <numFmts count="4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_(&quot;R$ &quot;* #,##0.00_);_(&quot;R$ &quot;* \(#,##0.00\);_(&quot;R$ &quot;* &quot;-&quot;??_);_(@_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mmmm\-yy"/>
    <numFmt numFmtId="177" formatCode="#,##0.000"/>
    <numFmt numFmtId="178" formatCode="0.000"/>
    <numFmt numFmtId="179" formatCode="0.0000"/>
    <numFmt numFmtId="180" formatCode="_(* #,##0.000_);_(* \(#,##0.000\);_(* &quot;-&quot;??_);_(@_)"/>
    <numFmt numFmtId="181" formatCode="_(* #,##0.0_);_(* \(#,##0.0\);_(* &quot;-&quot;??_);_(@_)"/>
    <numFmt numFmtId="182" formatCode="&quot;Cr$&quot;#,##0_);\(&quot;Cr$&quot;#,##0\)"/>
    <numFmt numFmtId="183" formatCode="#,##0.0000"/>
    <numFmt numFmtId="184" formatCode="0.0"/>
    <numFmt numFmtId="185" formatCode="_(* #,##0.0000_);_(* \(#,##0.0000\);_(* &quot;-&quot;??_);_(@_)"/>
    <numFmt numFmtId="186" formatCode="_(* #,##0.00_);_(* \(#,##0.00\);_(* \-??_);_(@_)"/>
    <numFmt numFmtId="187" formatCode="_([$€-2]* #,##0.00_);_([$€-2]* \(#,##0.00\);_([$€-2]* &quot;-&quot;??_)"/>
    <numFmt numFmtId="188" formatCode="#,##0.00_ ;[Red]\-#,##0.00\ "/>
    <numFmt numFmtId="189" formatCode="#,##0.00_ ;\-#,##0.00\ "/>
    <numFmt numFmtId="190" formatCode="0.0%"/>
    <numFmt numFmtId="191" formatCode="#,##0.000_);[Red]\(#,##0.000\)"/>
    <numFmt numFmtId="192" formatCode="[$-F800]dddd\,\ mmmm\ dd\,\ yyyy"/>
    <numFmt numFmtId="193" formatCode="#,##0.0"/>
    <numFmt numFmtId="194" formatCode="_(* #,##0.000_);_(* \(#,##0.000\);_(* &quot;-&quot;???_);_(@_)"/>
    <numFmt numFmtId="195" formatCode="#,##0.000_);\(#,##0.000\)"/>
    <numFmt numFmtId="196" formatCode="_-* #,##0.0000_-;\-* #,##0.0000_-;_-* &quot;-&quot;??_-;_-@_-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  <numFmt numFmtId="201" formatCode="_(&quot;R$&quot;* #,##0.0_);_(&quot;R$&quot;* \(#,##0.0\);_(&quot;R$&quot;* &quot;-&quot;??_);_(@_)"/>
    <numFmt numFmtId="202" formatCode="_(&quot;R$&quot;* #,##0_);_(&quot;R$&quot;* \(#,##0\);_(&quot;R$&quot;* &quot;-&quot;??_);_(@_)"/>
    <numFmt numFmtId="203" formatCode="[$-416]dddd\,\ d&quot; de &quot;mmmm&quot; de &quot;yyyy"/>
    <numFmt numFmtId="204" formatCode="&quot;R$&quot;#,##0.00"/>
  </numFmts>
  <fonts count="1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family val="0"/>
    </font>
    <font>
      <b/>
      <sz val="8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34"/>
      <name val="Arial"/>
      <family val="2"/>
    </font>
    <font>
      <b/>
      <sz val="10"/>
      <color indexed="9"/>
      <name val="Arial"/>
      <family val="2"/>
    </font>
    <font>
      <sz val="10"/>
      <color indexed="34"/>
      <name val="Arial"/>
      <family val="2"/>
    </font>
    <font>
      <sz val="10"/>
      <color indexed="32"/>
      <name val="Arial"/>
      <family val="2"/>
    </font>
    <font>
      <u val="single"/>
      <sz val="9"/>
      <color indexed="12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b/>
      <sz val="10"/>
      <color indexed="22"/>
      <name val="Arial"/>
      <family val="2"/>
    </font>
    <font>
      <i/>
      <sz val="10"/>
      <color indexed="23"/>
      <name val="Arial"/>
      <family val="2"/>
    </font>
    <font>
      <b/>
      <sz val="15"/>
      <color indexed="32"/>
      <name val="Arial"/>
      <family val="2"/>
    </font>
    <font>
      <b/>
      <sz val="18"/>
      <color indexed="32"/>
      <name val="Cambria"/>
      <family val="1"/>
    </font>
    <font>
      <b/>
      <sz val="13"/>
      <color indexed="32"/>
      <name val="Arial"/>
      <family val="2"/>
    </font>
    <font>
      <b/>
      <sz val="11"/>
      <color indexed="32"/>
      <name val="Arial"/>
      <family val="2"/>
    </font>
    <font>
      <sz val="12"/>
      <color indexed="8"/>
      <name val="Calibri"/>
      <family val="2"/>
    </font>
    <font>
      <sz val="12"/>
      <name val="Arial Black"/>
      <family val="2"/>
    </font>
    <font>
      <sz val="11"/>
      <name val="Arial Black"/>
      <family val="2"/>
    </font>
    <font>
      <b/>
      <sz val="11"/>
      <name val="Times New Roman"/>
      <family val="1"/>
    </font>
    <font>
      <b/>
      <u val="single"/>
      <sz val="10"/>
      <color indexed="8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6"/>
      <name val="Arial"/>
      <family val="2"/>
    </font>
    <font>
      <sz val="10"/>
      <color indexed="13"/>
      <name val="Times New Roman"/>
      <family val="1"/>
    </font>
    <font>
      <sz val="72"/>
      <name val="Arial"/>
      <family val="2"/>
    </font>
    <font>
      <u val="single"/>
      <sz val="10"/>
      <color indexed="2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63"/>
      <name val="Segoe UI"/>
      <family val="2"/>
    </font>
    <font>
      <b/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9"/>
      <color indexed="63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name val="Calibri"/>
      <family val="2"/>
    </font>
    <font>
      <b/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444444"/>
      <name val="Segoe UI"/>
      <family val="2"/>
    </font>
    <font>
      <b/>
      <sz val="12"/>
      <color rgb="FF000000"/>
      <name val="Times New Roman"/>
      <family val="1"/>
    </font>
    <font>
      <sz val="11"/>
      <color rgb="FF3F3F3F"/>
      <name val="Times New Roman"/>
      <family val="1"/>
    </font>
    <font>
      <sz val="10"/>
      <color rgb="FF000000"/>
      <name val="Arial"/>
      <family val="1"/>
    </font>
    <font>
      <sz val="9"/>
      <color rgb="FF333333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b/>
      <u val="single"/>
      <sz val="12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3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32"/>
      </top>
      <bottom style="double">
        <color indexed="3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>
        <color indexed="63"/>
      </top>
      <bottom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DDDDDD"/>
      </top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medium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>
        <color indexed="63"/>
      </bottom>
    </border>
    <border>
      <left style="thin">
        <color rgb="FF000000"/>
      </left>
      <right/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medium"/>
    </border>
  </borders>
  <cellStyleXfs count="8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93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4" fillId="2" borderId="0" applyNumberFormat="0" applyBorder="0" applyAlignment="0" applyProtection="0"/>
    <xf numFmtId="0" fontId="93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0" fillId="3" borderId="0" applyNumberFormat="0" applyFont="0" applyFill="0" applyProtection="0">
      <alignment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0" fillId="3" borderId="0" applyNumberFormat="0" applyFont="0" applyFill="0" applyProtection="0">
      <alignment/>
    </xf>
    <xf numFmtId="0" fontId="14" fillId="3" borderId="0" applyNumberFormat="0" applyBorder="0" applyAlignment="0" applyProtection="0"/>
    <xf numFmtId="0" fontId="93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0" fillId="4" borderId="0" applyNumberFormat="0" applyFont="0" applyFill="0" applyProtection="0">
      <alignment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0" fillId="4" borderId="0" applyNumberFormat="0" applyFont="0" applyFill="0" applyProtection="0">
      <alignment/>
    </xf>
    <xf numFmtId="0" fontId="14" fillId="4" borderId="0" applyNumberFormat="0" applyBorder="0" applyAlignment="0" applyProtection="0"/>
    <xf numFmtId="0" fontId="93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4" fillId="5" borderId="0" applyNumberFormat="0" applyBorder="0" applyAlignment="0" applyProtection="0"/>
    <xf numFmtId="0" fontId="93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4" borderId="0" applyNumberFormat="0" applyFont="0" applyFill="0" applyProtection="0">
      <alignment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4" borderId="0" applyNumberFormat="0" applyFont="0" applyFill="0" applyProtection="0">
      <alignment/>
    </xf>
    <xf numFmtId="0" fontId="14" fillId="6" borderId="0" applyNumberFormat="0" applyBorder="0" applyAlignment="0" applyProtection="0"/>
    <xf numFmtId="0" fontId="93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0" fillId="3" borderId="0" applyNumberFormat="0" applyFont="0" applyFill="0" applyProtection="0">
      <alignment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0" fillId="3" borderId="0" applyNumberFormat="0" applyFont="0" applyFill="0" applyProtection="0">
      <alignment/>
    </xf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93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4" fillId="8" borderId="0" applyNumberFormat="0" applyBorder="0" applyAlignment="0" applyProtection="0"/>
    <xf numFmtId="0" fontId="93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0" fillId="9" borderId="0" applyNumberFormat="0" applyFont="0" applyFill="0" applyProtection="0">
      <alignment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0" fillId="9" borderId="0" applyNumberFormat="0" applyFont="0" applyFill="0" applyProtection="0">
      <alignment/>
    </xf>
    <xf numFmtId="0" fontId="14" fillId="9" borderId="0" applyNumberFormat="0" applyBorder="0" applyAlignment="0" applyProtection="0"/>
    <xf numFmtId="0" fontId="93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Font="0" applyFill="0" applyProtection="0">
      <alignment/>
    </xf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Font="0" applyFill="0" applyProtection="0">
      <alignment/>
    </xf>
    <xf numFmtId="0" fontId="14" fillId="12" borderId="0" applyNumberFormat="0" applyBorder="0" applyAlignment="0" applyProtection="0"/>
    <xf numFmtId="0" fontId="93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4" fillId="5" borderId="0" applyNumberFormat="0" applyBorder="0" applyAlignment="0" applyProtection="0"/>
    <xf numFmtId="0" fontId="93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4" fillId="8" borderId="0" applyNumberFormat="0" applyBorder="0" applyAlignment="0" applyProtection="0"/>
    <xf numFmtId="0" fontId="93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0" fillId="17" borderId="0" applyNumberFormat="0" applyFont="0" applyFill="0" applyProtection="0">
      <alignment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0" fillId="17" borderId="0" applyNumberFormat="0" applyFont="0" applyFill="0" applyProtection="0">
      <alignment/>
    </xf>
    <xf numFmtId="0" fontId="14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94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42" fillId="18" borderId="0" applyNumberFormat="0" applyFont="0" applyFill="0" applyProtection="0">
      <alignment/>
    </xf>
    <xf numFmtId="0" fontId="42" fillId="18" borderId="0" applyNumberFormat="0" applyFont="0" applyFill="0" applyProtection="0">
      <alignment/>
    </xf>
    <xf numFmtId="0" fontId="15" fillId="6" borderId="0" applyNumberFormat="0" applyBorder="0" applyAlignment="0" applyProtection="0"/>
    <xf numFmtId="0" fontId="42" fillId="18" borderId="0" applyNumberFormat="0" applyFont="0" applyFill="0" applyProtection="0">
      <alignment/>
    </xf>
    <xf numFmtId="0" fontId="15" fillId="18" borderId="0" applyNumberFormat="0" applyBorder="0" applyAlignment="0" applyProtection="0"/>
    <xf numFmtId="0" fontId="42" fillId="18" borderId="0" applyNumberFormat="0" applyFont="0" applyFill="0" applyProtection="0">
      <alignment/>
    </xf>
    <xf numFmtId="0" fontId="94" fillId="2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2" fillId="9" borderId="0" applyNumberFormat="0" applyFont="0" applyFill="0" applyProtection="0">
      <alignment/>
    </xf>
    <xf numFmtId="0" fontId="42" fillId="9" borderId="0" applyNumberFormat="0" applyFont="0" applyFill="0" applyProtection="0">
      <alignment/>
    </xf>
    <xf numFmtId="0" fontId="15" fillId="22" borderId="0" applyNumberFormat="0" applyBorder="0" applyAlignment="0" applyProtection="0"/>
    <xf numFmtId="0" fontId="42" fillId="9" borderId="0" applyNumberFormat="0" applyFont="0" applyFill="0" applyProtection="0">
      <alignment/>
    </xf>
    <xf numFmtId="0" fontId="15" fillId="9" borderId="0" applyNumberFormat="0" applyBorder="0" applyAlignment="0" applyProtection="0"/>
    <xf numFmtId="0" fontId="42" fillId="9" borderId="0" applyNumberFormat="0" applyFont="0" applyFill="0" applyProtection="0">
      <alignment/>
    </xf>
    <xf numFmtId="0" fontId="94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42" fillId="16" borderId="0" applyNumberFormat="0" applyFont="0" applyFill="0" applyProtection="0">
      <alignment/>
    </xf>
    <xf numFmtId="0" fontId="42" fillId="16" borderId="0" applyNumberFormat="0" applyFont="0" applyFill="0" applyProtection="0">
      <alignment/>
    </xf>
    <xf numFmtId="0" fontId="15" fillId="13" borderId="0" applyNumberFormat="0" applyBorder="0" applyAlignment="0" applyProtection="0"/>
    <xf numFmtId="0" fontId="42" fillId="16" borderId="0" applyNumberFormat="0" applyFont="0" applyFill="0" applyProtection="0">
      <alignment/>
    </xf>
    <xf numFmtId="0" fontId="15" fillId="12" borderId="0" applyNumberFormat="0" applyBorder="0" applyAlignment="0" applyProtection="0"/>
    <xf numFmtId="0" fontId="42" fillId="16" borderId="0" applyNumberFormat="0" applyFont="0" applyFill="0" applyProtection="0">
      <alignment/>
    </xf>
    <xf numFmtId="0" fontId="94" fillId="3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2" fillId="23" borderId="0" applyNumberFormat="0" applyFont="0" applyFill="0" applyProtection="0">
      <alignment/>
    </xf>
    <xf numFmtId="0" fontId="42" fillId="23" borderId="0" applyNumberFormat="0" applyFont="0" applyFill="0" applyProtection="0">
      <alignment/>
    </xf>
    <xf numFmtId="0" fontId="15" fillId="3" borderId="0" applyNumberFormat="0" applyBorder="0" applyAlignment="0" applyProtection="0"/>
    <xf numFmtId="0" fontId="42" fillId="23" borderId="0" applyNumberFormat="0" applyFont="0" applyFill="0" applyProtection="0">
      <alignment/>
    </xf>
    <xf numFmtId="0" fontId="15" fillId="19" borderId="0" applyNumberFormat="0" applyBorder="0" applyAlignment="0" applyProtection="0"/>
    <xf numFmtId="0" fontId="42" fillId="23" borderId="0" applyNumberFormat="0" applyFont="0" applyFill="0" applyProtection="0">
      <alignment/>
    </xf>
    <xf numFmtId="0" fontId="94" fillId="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42" fillId="20" borderId="0" applyNumberFormat="0" applyFont="0" applyFill="0" applyProtection="0">
      <alignment/>
    </xf>
    <xf numFmtId="0" fontId="42" fillId="20" borderId="0" applyNumberFormat="0" applyFont="0" applyFill="0" applyProtection="0">
      <alignment/>
    </xf>
    <xf numFmtId="0" fontId="15" fillId="6" borderId="0" applyNumberFormat="0" applyBorder="0" applyAlignment="0" applyProtection="0"/>
    <xf numFmtId="0" fontId="42" fillId="20" borderId="0" applyNumberFormat="0" applyFont="0" applyFill="0" applyProtection="0">
      <alignment/>
    </xf>
    <xf numFmtId="0" fontId="15" fillId="20" borderId="0" applyNumberFormat="0" applyBorder="0" applyAlignment="0" applyProtection="0"/>
    <xf numFmtId="0" fontId="42" fillId="20" borderId="0" applyNumberFormat="0" applyFont="0" applyFill="0" applyProtection="0">
      <alignment/>
    </xf>
    <xf numFmtId="0" fontId="94" fillId="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42" fillId="17" borderId="0" applyNumberFormat="0" applyFont="0" applyFill="0" applyProtection="0">
      <alignment/>
    </xf>
    <xf numFmtId="0" fontId="42" fillId="17" borderId="0" applyNumberFormat="0" applyFont="0" applyFill="0" applyProtection="0">
      <alignment/>
    </xf>
    <xf numFmtId="0" fontId="15" fillId="9" borderId="0" applyNumberFormat="0" applyBorder="0" applyAlignment="0" applyProtection="0"/>
    <xf numFmtId="0" fontId="42" fillId="17" borderId="0" applyNumberFormat="0" applyFont="0" applyFill="0" applyProtection="0">
      <alignment/>
    </xf>
    <xf numFmtId="0" fontId="15" fillId="21" borderId="0" applyNumberFormat="0" applyBorder="0" applyAlignment="0" applyProtection="0"/>
    <xf numFmtId="0" fontId="42" fillId="17" borderId="0" applyNumberFormat="0" applyFont="0" applyFill="0" applyProtection="0">
      <alignment/>
    </xf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0" fontId="22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4" borderId="0" applyNumberFormat="0" applyFont="0" applyFill="0" applyProtection="0">
      <alignment/>
    </xf>
    <xf numFmtId="0" fontId="43" fillId="4" borderId="0" applyNumberFormat="0" applyFont="0" applyFill="0" applyProtection="0">
      <alignment/>
    </xf>
    <xf numFmtId="0" fontId="16" fillId="6" borderId="0" applyNumberFormat="0" applyBorder="0" applyAlignment="0" applyProtection="0"/>
    <xf numFmtId="0" fontId="43" fillId="4" borderId="0" applyNumberFormat="0" applyFont="0" applyFill="0" applyProtection="0">
      <alignment/>
    </xf>
    <xf numFmtId="0" fontId="16" fillId="4" borderId="0" applyNumberFormat="0" applyBorder="0" applyAlignment="0" applyProtection="0"/>
    <xf numFmtId="0" fontId="43" fillId="4" borderId="0" applyNumberFormat="0" applyFont="0" applyFill="0" applyProtection="0">
      <alignment/>
    </xf>
    <xf numFmtId="0" fontId="31" fillId="27" borderId="1" applyNumberFormat="0" applyAlignment="0" applyProtection="0"/>
    <xf numFmtId="0" fontId="17" fillId="28" borderId="2" applyNumberFormat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44" fillId="29" borderId="1" applyNumberFormat="0" applyFont="0" applyProtection="0">
      <alignment/>
    </xf>
    <xf numFmtId="0" fontId="31" fillId="27" borderId="1" applyNumberFormat="0" applyAlignment="0" applyProtection="0"/>
    <xf numFmtId="0" fontId="17" fillId="28" borderId="1" applyNumberFormat="0" applyAlignment="0" applyProtection="0"/>
    <xf numFmtId="0" fontId="44" fillId="29" borderId="1" applyNumberFormat="0" applyFont="0" applyProtection="0">
      <alignment/>
    </xf>
    <xf numFmtId="0" fontId="31" fillId="27" borderId="1" applyNumberFormat="0" applyAlignment="0" applyProtection="0"/>
    <xf numFmtId="0" fontId="44" fillId="29" borderId="1" applyNumberFormat="0" applyFont="0" applyProtection="0">
      <alignment/>
    </xf>
    <xf numFmtId="0" fontId="0" fillId="0" borderId="0">
      <alignment/>
      <protection/>
    </xf>
    <xf numFmtId="0" fontId="18" fillId="30" borderId="3" applyNumberFormat="0" applyAlignment="0" applyProtection="0"/>
    <xf numFmtId="0" fontId="18" fillId="30" borderId="3" applyNumberFormat="0" applyAlignment="0" applyProtection="0"/>
    <xf numFmtId="0" fontId="18" fillId="30" borderId="3" applyNumberFormat="0" applyAlignment="0" applyProtection="0"/>
    <xf numFmtId="0" fontId="45" fillId="30" borderId="3" applyNumberFormat="0" applyFont="0" applyProtection="0">
      <alignment/>
    </xf>
    <xf numFmtId="0" fontId="18" fillId="30" borderId="3" applyNumberFormat="0" applyAlignment="0" applyProtection="0"/>
    <xf numFmtId="0" fontId="18" fillId="30" borderId="3" applyNumberFormat="0" applyAlignment="0" applyProtection="0"/>
    <xf numFmtId="0" fontId="45" fillId="30" borderId="3" applyNumberFormat="0" applyFont="0" applyProtection="0">
      <alignment/>
    </xf>
    <xf numFmtId="0" fontId="18" fillId="30" borderId="3" applyNumberFormat="0" applyAlignment="0" applyProtection="0"/>
    <xf numFmtId="0" fontId="45" fillId="30" borderId="3" applyNumberFormat="0" applyFont="0" applyProtection="0">
      <alignment/>
    </xf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46" fillId="0" borderId="5" applyNumberFormat="0" applyFont="0" applyAlignment="0" applyProtection="0"/>
    <xf numFmtId="0" fontId="32" fillId="0" borderId="4" applyNumberFormat="0" applyFill="0" applyAlignment="0" applyProtection="0"/>
    <xf numFmtId="0" fontId="19" fillId="0" borderId="6" applyNumberFormat="0" applyFill="0" applyAlignment="0" applyProtection="0"/>
    <xf numFmtId="0" fontId="46" fillId="0" borderId="5" applyNumberFormat="0" applyFont="0" applyAlignment="0" applyProtection="0"/>
    <xf numFmtId="0" fontId="32" fillId="0" borderId="4" applyNumberFormat="0" applyFill="0" applyAlignment="0" applyProtection="0"/>
    <xf numFmtId="0" fontId="46" fillId="0" borderId="5" applyNumberFormat="0" applyFont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2" fillId="24" borderId="0" applyNumberFormat="0" applyFont="0" applyFill="0" applyProtection="0">
      <alignment/>
    </xf>
    <xf numFmtId="0" fontId="42" fillId="24" borderId="0" applyNumberFormat="0" applyFont="0" applyFill="0" applyProtection="0">
      <alignment/>
    </xf>
    <xf numFmtId="0" fontId="15" fillId="31" borderId="0" applyNumberFormat="0" applyBorder="0" applyAlignment="0" applyProtection="0"/>
    <xf numFmtId="0" fontId="42" fillId="24" borderId="0" applyNumberFormat="0" applyFont="0" applyFill="0" applyProtection="0">
      <alignment/>
    </xf>
    <xf numFmtId="0" fontId="15" fillId="24" borderId="0" applyNumberFormat="0" applyBorder="0" applyAlignment="0" applyProtection="0"/>
    <xf numFmtId="0" fontId="42" fillId="24" borderId="0" applyNumberFormat="0" applyFont="0" applyFill="0" applyProtection="0">
      <alignment/>
    </xf>
    <xf numFmtId="0" fontId="94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2" fillId="32" borderId="0" applyNumberFormat="0" applyFont="0" applyFill="0" applyProtection="0">
      <alignment/>
    </xf>
    <xf numFmtId="0" fontId="42" fillId="32" borderId="0" applyNumberFormat="0" applyFont="0" applyFill="0" applyProtection="0">
      <alignment/>
    </xf>
    <xf numFmtId="0" fontId="15" fillId="22" borderId="0" applyNumberFormat="0" applyBorder="0" applyAlignment="0" applyProtection="0"/>
    <xf numFmtId="0" fontId="42" fillId="32" borderId="0" applyNumberFormat="0" applyFont="0" applyFill="0" applyProtection="0">
      <alignment/>
    </xf>
    <xf numFmtId="0" fontId="15" fillId="25" borderId="0" applyNumberFormat="0" applyBorder="0" applyAlignment="0" applyProtection="0"/>
    <xf numFmtId="0" fontId="42" fillId="32" borderId="0" applyNumberFormat="0" applyFont="0" applyFill="0" applyProtection="0">
      <alignment/>
    </xf>
    <xf numFmtId="0" fontId="94" fillId="13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42" fillId="33" borderId="0" applyNumberFormat="0" applyFont="0" applyFill="0" applyProtection="0">
      <alignment/>
    </xf>
    <xf numFmtId="0" fontId="42" fillId="33" borderId="0" applyNumberFormat="0" applyFont="0" applyFill="0" applyProtection="0">
      <alignment/>
    </xf>
    <xf numFmtId="0" fontId="15" fillId="13" borderId="0" applyNumberFormat="0" applyBorder="0" applyAlignment="0" applyProtection="0"/>
    <xf numFmtId="0" fontId="42" fillId="33" borderId="0" applyNumberFormat="0" applyFont="0" applyFill="0" applyProtection="0">
      <alignment/>
    </xf>
    <xf numFmtId="0" fontId="15" fillId="26" borderId="0" applyNumberFormat="0" applyBorder="0" applyAlignment="0" applyProtection="0"/>
    <xf numFmtId="0" fontId="42" fillId="33" borderId="0" applyNumberFormat="0" applyFont="0" applyFill="0" applyProtection="0">
      <alignment/>
    </xf>
    <xf numFmtId="0" fontId="94" fillId="3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2" fillId="23" borderId="0" applyNumberFormat="0" applyFont="0" applyFill="0" applyProtection="0">
      <alignment/>
    </xf>
    <xf numFmtId="0" fontId="42" fillId="23" borderId="0" applyNumberFormat="0" applyFont="0" applyFill="0" applyProtection="0">
      <alignment/>
    </xf>
    <xf numFmtId="0" fontId="15" fillId="34" borderId="0" applyNumberFormat="0" applyBorder="0" applyAlignment="0" applyProtection="0"/>
    <xf numFmtId="0" fontId="42" fillId="23" borderId="0" applyNumberFormat="0" applyFont="0" applyFill="0" applyProtection="0">
      <alignment/>
    </xf>
    <xf numFmtId="0" fontId="15" fillId="19" borderId="0" applyNumberFormat="0" applyBorder="0" applyAlignment="0" applyProtection="0"/>
    <xf numFmtId="0" fontId="42" fillId="23" borderId="0" applyNumberFormat="0" applyFont="0" applyFill="0" applyProtection="0">
      <alignment/>
    </xf>
    <xf numFmtId="0" fontId="94" fillId="35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42" fillId="20" borderId="0" applyNumberFormat="0" applyFont="0" applyFill="0" applyProtection="0">
      <alignment/>
    </xf>
    <xf numFmtId="0" fontId="42" fillId="20" borderId="0" applyNumberFormat="0" applyFont="0" applyFill="0" applyProtection="0">
      <alignment/>
    </xf>
    <xf numFmtId="0" fontId="15" fillId="20" borderId="0" applyNumberFormat="0" applyBorder="0" applyAlignment="0" applyProtection="0"/>
    <xf numFmtId="0" fontId="42" fillId="20" borderId="0" applyNumberFormat="0" applyFont="0" applyFill="0" applyProtection="0">
      <alignment/>
    </xf>
    <xf numFmtId="0" fontId="15" fillId="20" borderId="0" applyNumberFormat="0" applyBorder="0" applyAlignment="0" applyProtection="0"/>
    <xf numFmtId="0" fontId="42" fillId="20" borderId="0" applyNumberFormat="0" applyFont="0" applyFill="0" applyProtection="0">
      <alignment/>
    </xf>
    <xf numFmtId="0" fontId="94" fillId="25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2" fillId="25" borderId="0" applyNumberFormat="0" applyFont="0" applyFill="0" applyProtection="0">
      <alignment/>
    </xf>
    <xf numFmtId="0" fontId="42" fillId="25" borderId="0" applyNumberFormat="0" applyFont="0" applyFill="0" applyProtection="0">
      <alignment/>
    </xf>
    <xf numFmtId="0" fontId="15" fillId="25" borderId="0" applyNumberFormat="0" applyBorder="0" applyAlignment="0" applyProtection="0"/>
    <xf numFmtId="0" fontId="42" fillId="25" borderId="0" applyNumberFormat="0" applyFont="0" applyFill="0" applyProtection="0">
      <alignment/>
    </xf>
    <xf numFmtId="0" fontId="15" fillId="22" borderId="0" applyNumberFormat="0" applyBorder="0" applyAlignment="0" applyProtection="0"/>
    <xf numFmtId="0" fontId="42" fillId="25" borderId="0" applyNumberFormat="0" applyFont="0" applyFill="0" applyProtection="0">
      <alignment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7" fillId="3" borderId="1" applyNumberFormat="0" applyFont="0" applyProtection="0">
      <alignment/>
    </xf>
    <xf numFmtId="0" fontId="20" fillId="7" borderId="1" applyNumberFormat="0" applyAlignment="0" applyProtection="0"/>
    <xf numFmtId="0" fontId="20" fillId="15" borderId="1" applyNumberFormat="0" applyAlignment="0" applyProtection="0"/>
    <xf numFmtId="0" fontId="47" fillId="3" borderId="1" applyNumberFormat="0" applyFont="0" applyProtection="0">
      <alignment/>
    </xf>
    <xf numFmtId="0" fontId="20" fillId="7" borderId="1" applyNumberFormat="0" applyAlignment="0" applyProtection="0"/>
    <xf numFmtId="0" fontId="47" fillId="3" borderId="1" applyNumberFormat="0" applyFont="0" applyProtection="0">
      <alignment/>
    </xf>
    <xf numFmtId="0" fontId="39" fillId="0" borderId="0">
      <alignment/>
      <protection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0" fillId="0" borderId="0" applyBorder="0" applyProtection="0">
      <alignment/>
    </xf>
    <xf numFmtId="0" fontId="2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9" fillId="3" borderId="0" applyNumberFormat="0" applyFont="0" applyFill="0" applyProtection="0">
      <alignment/>
    </xf>
    <xf numFmtId="0" fontId="49" fillId="3" borderId="0" applyNumberFormat="0" applyFont="0" applyFill="0" applyProtection="0">
      <alignment/>
    </xf>
    <xf numFmtId="0" fontId="22" fillId="5" borderId="0" applyNumberFormat="0" applyBorder="0" applyAlignment="0" applyProtection="0"/>
    <xf numFmtId="0" fontId="49" fillId="3" borderId="0" applyNumberFormat="0" applyFont="0" applyFill="0" applyProtection="0">
      <alignment/>
    </xf>
    <xf numFmtId="0" fontId="22" fillId="3" borderId="0" applyNumberFormat="0" applyBorder="0" applyAlignment="0" applyProtection="0"/>
    <xf numFmtId="0" fontId="49" fillId="3" borderId="0" applyNumberFormat="0" applyFont="0" applyFill="0" applyProtection="0">
      <alignment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50" fillId="10" borderId="0" applyNumberFormat="0" applyFont="0" applyFill="0" applyProtection="0">
      <alignment/>
    </xf>
    <xf numFmtId="0" fontId="50" fillId="10" borderId="0" applyNumberFormat="0" applyFont="0" applyFill="0" applyProtection="0">
      <alignment/>
    </xf>
    <xf numFmtId="0" fontId="23" fillId="15" borderId="0" applyNumberFormat="0" applyBorder="0" applyAlignment="0" applyProtection="0"/>
    <xf numFmtId="0" fontId="50" fillId="10" borderId="0" applyNumberFormat="0" applyFont="0" applyFill="0" applyProtection="0">
      <alignment/>
    </xf>
    <xf numFmtId="0" fontId="34" fillId="15" borderId="0" applyNumberFormat="0" applyBorder="0" applyAlignment="0" applyProtection="0"/>
    <xf numFmtId="0" fontId="50" fillId="10" borderId="0" applyNumberFormat="0" applyFon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33" fillId="10" borderId="10" applyNumberFormat="0" applyFont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Border="0" applyProtection="0">
      <alignment/>
    </xf>
    <xf numFmtId="0" fontId="33" fillId="10" borderId="10" applyNumberFormat="0" applyFont="0" applyAlignment="0" applyProtection="0"/>
    <xf numFmtId="0" fontId="33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Border="0" applyProtection="0">
      <alignment/>
    </xf>
    <xf numFmtId="0" fontId="33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14" fillId="10" borderId="10" applyNumberFormat="0" applyFont="0" applyAlignment="0" applyProtection="0"/>
    <xf numFmtId="0" fontId="24" fillId="27" borderId="11" applyNumberFormat="0" applyAlignment="0" applyProtection="0"/>
    <xf numFmtId="0" fontId="40" fillId="0" borderId="12" applyNumberFormat="0" applyFont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8" fillId="28" borderId="13" applyNumberFormat="0" applyAlignment="0" applyProtection="0"/>
    <xf numFmtId="0" fontId="24" fillId="27" borderId="11" applyNumberFormat="0" applyAlignment="0" applyProtection="0"/>
    <xf numFmtId="0" fontId="24" fillId="27" borderId="11" applyNumberFormat="0" applyAlignment="0" applyProtection="0"/>
    <xf numFmtId="0" fontId="51" fillId="29" borderId="11" applyNumberFormat="0" applyFont="0" applyProtection="0">
      <alignment/>
    </xf>
    <xf numFmtId="0" fontId="24" fillId="27" borderId="11" applyNumberFormat="0" applyAlignment="0" applyProtection="0"/>
    <xf numFmtId="0" fontId="24" fillId="28" borderId="11" applyNumberFormat="0" applyAlignment="0" applyProtection="0"/>
    <xf numFmtId="0" fontId="51" fillId="29" borderId="11" applyNumberFormat="0" applyFont="0" applyProtection="0">
      <alignment/>
    </xf>
    <xf numFmtId="0" fontId="24" fillId="27" borderId="11" applyNumberFormat="0" applyAlignment="0" applyProtection="0"/>
    <xf numFmtId="0" fontId="51" fillId="29" borderId="11" applyNumberFormat="0" applyFont="0" applyProtection="0">
      <alignment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ont="0" applyFill="0" applyAlignment="0" applyProtection="0"/>
    <xf numFmtId="0" fontId="41" fillId="0" borderId="0" applyNumberFormat="0" applyFont="0" applyFill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ont="0" applyFill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ont="0" applyFill="0" applyAlignment="0" applyProtection="0"/>
    <xf numFmtId="0" fontId="9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ont="0" applyFill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ont="0" applyFill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53" fillId="0" borderId="15" applyNumberFormat="0" applyFont="0" applyAlignment="0" applyProtection="0"/>
    <xf numFmtId="0" fontId="36" fillId="0" borderId="7" applyNumberFormat="0" applyFill="0" applyAlignment="0" applyProtection="0"/>
    <xf numFmtId="0" fontId="27" fillId="0" borderId="14" applyNumberFormat="0" applyFill="0" applyAlignment="0" applyProtection="0"/>
    <xf numFmtId="0" fontId="53" fillId="0" borderId="15" applyNumberFormat="0" applyFont="0" applyAlignment="0" applyProtection="0"/>
    <xf numFmtId="0" fontId="36" fillId="0" borderId="7" applyNumberFormat="0" applyFill="0" applyAlignment="0" applyProtection="0"/>
    <xf numFmtId="0" fontId="53" fillId="0" borderId="15" applyNumberFormat="0" applyFont="0" applyAlignment="0" applyProtection="0"/>
    <xf numFmtId="0" fontId="54" fillId="0" borderId="0" applyNumberFormat="0" applyFont="0" applyFill="0" applyAlignment="0" applyProtection="0"/>
    <xf numFmtId="0" fontId="28" fillId="0" borderId="16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55" fillId="0" borderId="8" applyNumberFormat="0" applyFont="0" applyAlignment="0" applyProtection="0"/>
    <xf numFmtId="0" fontId="37" fillId="0" borderId="8" applyNumberFormat="0" applyFill="0" applyAlignment="0" applyProtection="0"/>
    <xf numFmtId="0" fontId="28" fillId="0" borderId="16" applyNumberFormat="0" applyFill="0" applyAlignment="0" applyProtection="0"/>
    <xf numFmtId="0" fontId="55" fillId="0" borderId="8" applyNumberFormat="0" applyFont="0" applyAlignment="0" applyProtection="0"/>
    <xf numFmtId="0" fontId="37" fillId="0" borderId="8" applyNumberFormat="0" applyFill="0" applyAlignment="0" applyProtection="0"/>
    <xf numFmtId="0" fontId="55" fillId="0" borderId="8" applyNumberFormat="0" applyFont="0" applyAlignment="0" applyProtection="0"/>
    <xf numFmtId="0" fontId="29" fillId="0" borderId="17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56" fillId="0" borderId="15" applyNumberFormat="0" applyFont="0" applyAlignment="0" applyProtection="0"/>
    <xf numFmtId="0" fontId="38" fillId="0" borderId="9" applyNumberFormat="0" applyFill="0" applyAlignment="0" applyProtection="0"/>
    <xf numFmtId="0" fontId="29" fillId="0" borderId="17" applyNumberFormat="0" applyFill="0" applyAlignment="0" applyProtection="0"/>
    <xf numFmtId="0" fontId="56" fillId="0" borderId="15" applyNumberFormat="0" applyFont="0" applyAlignment="0" applyProtection="0"/>
    <xf numFmtId="0" fontId="38" fillId="0" borderId="9" applyNumberFormat="0" applyFill="0" applyAlignment="0" applyProtection="0"/>
    <xf numFmtId="0" fontId="56" fillId="0" borderId="15" applyNumberFormat="0" applyFont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29" fillId="0" borderId="0" applyNumberFormat="0" applyFill="0" applyBorder="0" applyAlignment="0" applyProtection="0"/>
    <xf numFmtId="0" fontId="56" fillId="0" borderId="0" applyNumberFormat="0" applyFont="0" applyFill="0" applyAlignment="0" applyProtection="0"/>
    <xf numFmtId="0" fontId="38" fillId="0" borderId="0" applyNumberFormat="0" applyFill="0" applyBorder="0" applyAlignment="0" applyProtection="0"/>
    <xf numFmtId="0" fontId="56" fillId="0" borderId="0" applyNumberFormat="0" applyFon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4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26" fillId="0" borderId="0" applyNumberFormat="0" applyFill="0" applyBorder="0" applyAlignment="0" applyProtection="0"/>
    <xf numFmtId="0" fontId="54" fillId="0" borderId="0" applyNumberFormat="0" applyFont="0" applyFill="0" applyAlignment="0" applyProtection="0"/>
    <xf numFmtId="0" fontId="35" fillId="0" borderId="0" applyNumberFormat="0" applyFill="0" applyBorder="0" applyAlignment="0" applyProtection="0"/>
    <xf numFmtId="0" fontId="54" fillId="0" borderId="0" applyNumberFormat="0" applyFont="0" applyFill="0" applyAlignment="0" applyProtection="0"/>
    <xf numFmtId="0" fontId="100" fillId="0" borderId="18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1" fillId="0" borderId="20" applyNumberFormat="0" applyFont="0" applyAlignment="0" applyProtection="0"/>
    <xf numFmtId="0" fontId="30" fillId="0" borderId="19" applyNumberFormat="0" applyFill="0" applyAlignment="0" applyProtection="0"/>
    <xf numFmtId="0" fontId="30" fillId="0" borderId="18" applyNumberFormat="0" applyFill="0" applyAlignment="0" applyProtection="0"/>
    <xf numFmtId="0" fontId="1" fillId="0" borderId="20" applyNumberFormat="0" applyFont="0" applyAlignment="0" applyProtection="0"/>
    <xf numFmtId="0" fontId="30" fillId="0" borderId="19" applyNumberFormat="0" applyFill="0" applyAlignment="0" applyProtection="0"/>
    <xf numFmtId="0" fontId="1" fillId="0" borderId="20" applyNumberFormat="0" applyFont="0" applyAlignment="0" applyProtection="0"/>
    <xf numFmtId="0" fontId="30" fillId="0" borderId="19" applyNumberFormat="0" applyFill="0" applyAlignment="0" applyProtection="0"/>
    <xf numFmtId="172" fontId="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0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NumberFormat="1" applyFont="1" applyAlignment="1">
      <alignment/>
    </xf>
    <xf numFmtId="177" fontId="0" fillId="0" borderId="21" xfId="0" applyNumberFormat="1" applyFont="1" applyBorder="1" applyAlignment="1">
      <alignment/>
    </xf>
    <xf numFmtId="172" fontId="0" fillId="0" borderId="21" xfId="700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1" fillId="0" borderId="2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28" borderId="2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36" borderId="22" xfId="700" applyNumberFormat="1" applyFont="1" applyFill="1" applyBorder="1" applyAlignment="1" applyProtection="1">
      <alignment/>
      <protection/>
    </xf>
    <xf numFmtId="2" fontId="1" fillId="36" borderId="23" xfId="0" applyNumberFormat="1" applyFont="1" applyFill="1" applyBorder="1" applyAlignment="1" applyProtection="1">
      <alignment horizontal="center" vertical="center" wrapText="1"/>
      <protection/>
    </xf>
    <xf numFmtId="39" fontId="0" fillId="36" borderId="24" xfId="700" applyNumberFormat="1" applyFont="1" applyFill="1" applyBorder="1" applyAlignment="1" applyProtection="1">
      <alignment/>
      <protection/>
    </xf>
    <xf numFmtId="39" fontId="1" fillId="36" borderId="21" xfId="700" applyNumberFormat="1" applyFont="1" applyFill="1" applyBorder="1" applyAlignment="1" applyProtection="1">
      <alignment/>
      <protection/>
    </xf>
    <xf numFmtId="4" fontId="0" fillId="36" borderId="24" xfId="700" applyNumberFormat="1" applyFont="1" applyFill="1" applyBorder="1" applyAlignment="1" applyProtection="1">
      <alignment vertical="center" wrapText="1"/>
      <protection/>
    </xf>
    <xf numFmtId="4" fontId="0" fillId="36" borderId="25" xfId="700" applyNumberFormat="1" applyFont="1" applyFill="1" applyBorder="1" applyAlignment="1" applyProtection="1">
      <alignment vertical="center" wrapText="1"/>
      <protection/>
    </xf>
    <xf numFmtId="39" fontId="1" fillId="36" borderId="21" xfId="700" applyNumberFormat="1" applyFont="1" applyFill="1" applyBorder="1" applyAlignment="1" applyProtection="1">
      <alignment vertical="center" wrapText="1"/>
      <protection/>
    </xf>
    <xf numFmtId="4" fontId="0" fillId="36" borderId="26" xfId="700" applyNumberFormat="1" applyFont="1" applyFill="1" applyBorder="1" applyAlignment="1" applyProtection="1">
      <alignment vertical="center" wrapText="1"/>
      <protection/>
    </xf>
    <xf numFmtId="172" fontId="1" fillId="36" borderId="21" xfId="700" applyFont="1" applyFill="1" applyBorder="1" applyAlignment="1" applyProtection="1">
      <alignment vertical="center" wrapText="1"/>
      <protection/>
    </xf>
    <xf numFmtId="39" fontId="1" fillId="36" borderId="21" xfId="700" applyNumberFormat="1" applyFont="1" applyFill="1" applyBorder="1" applyAlignment="1" applyProtection="1">
      <alignment horizontal="right" vertical="center" wrapText="1"/>
      <protection/>
    </xf>
    <xf numFmtId="0" fontId="1" fillId="36" borderId="27" xfId="0" applyFont="1" applyFill="1" applyBorder="1" applyAlignment="1" applyProtection="1">
      <alignment vertical="center"/>
      <protection/>
    </xf>
    <xf numFmtId="0" fontId="1" fillId="36" borderId="28" xfId="0" applyFont="1" applyFill="1" applyBorder="1" applyAlignment="1" applyProtection="1">
      <alignment vertical="center"/>
      <protection/>
    </xf>
    <xf numFmtId="0" fontId="1" fillId="36" borderId="28" xfId="0" applyFont="1" applyFill="1" applyBorder="1" applyAlignment="1" applyProtection="1">
      <alignment horizontal="right" vertical="center"/>
      <protection/>
    </xf>
    <xf numFmtId="172" fontId="1" fillId="36" borderId="21" xfId="700" applyFont="1" applyFill="1" applyBorder="1" applyAlignment="1" applyProtection="1">
      <alignment horizontal="right" vertical="center" wrapText="1"/>
      <protection/>
    </xf>
    <xf numFmtId="17" fontId="11" fillId="36" borderId="2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75" fillId="0" borderId="30" xfId="0" applyFont="1" applyBorder="1" applyAlignment="1">
      <alignment horizontal="center"/>
    </xf>
    <xf numFmtId="4" fontId="75" fillId="0" borderId="31" xfId="0" applyNumberFormat="1" applyFont="1" applyBorder="1" applyAlignment="1">
      <alignment horizontal="center"/>
    </xf>
    <xf numFmtId="4" fontId="76" fillId="0" borderId="31" xfId="0" applyNumberFormat="1" applyFont="1" applyBorder="1" applyAlignment="1">
      <alignment horizontal="center"/>
    </xf>
    <xf numFmtId="0" fontId="76" fillId="0" borderId="31" xfId="0" applyFont="1" applyBorder="1" applyAlignment="1">
      <alignment horizontal="center"/>
    </xf>
    <xf numFmtId="0" fontId="77" fillId="0" borderId="32" xfId="0" applyFont="1" applyBorder="1" applyAlignment="1">
      <alignment horizontal="center"/>
    </xf>
    <xf numFmtId="0" fontId="76" fillId="0" borderId="30" xfId="0" applyFont="1" applyBorder="1" applyAlignment="1">
      <alignment horizontal="center"/>
    </xf>
    <xf numFmtId="0" fontId="76" fillId="37" borderId="30" xfId="0" applyFont="1" applyFill="1" applyBorder="1" applyAlignment="1">
      <alignment horizontal="center"/>
    </xf>
    <xf numFmtId="4" fontId="76" fillId="37" borderId="31" xfId="0" applyNumberFormat="1" applyFont="1" applyFill="1" applyBorder="1" applyAlignment="1">
      <alignment horizontal="center"/>
    </xf>
    <xf numFmtId="4" fontId="75" fillId="37" borderId="31" xfId="0" applyNumberFormat="1" applyFont="1" applyFill="1" applyBorder="1" applyAlignment="1">
      <alignment horizontal="center"/>
    </xf>
    <xf numFmtId="0" fontId="76" fillId="37" borderId="31" xfId="0" applyFont="1" applyFill="1" applyBorder="1" applyAlignment="1">
      <alignment horizontal="center"/>
    </xf>
    <xf numFmtId="0" fontId="77" fillId="37" borderId="32" xfId="0" applyFont="1" applyFill="1" applyBorder="1" applyAlignment="1">
      <alignment horizontal="center"/>
    </xf>
    <xf numFmtId="0" fontId="101" fillId="37" borderId="30" xfId="0" applyFont="1" applyFill="1" applyBorder="1" applyAlignment="1">
      <alignment horizontal="center"/>
    </xf>
    <xf numFmtId="4" fontId="101" fillId="37" borderId="31" xfId="0" applyNumberFormat="1" applyFont="1" applyFill="1" applyBorder="1" applyAlignment="1">
      <alignment horizontal="center"/>
    </xf>
    <xf numFmtId="4" fontId="102" fillId="37" borderId="31" xfId="0" applyNumberFormat="1" applyFont="1" applyFill="1" applyBorder="1" applyAlignment="1">
      <alignment horizontal="center"/>
    </xf>
    <xf numFmtId="0" fontId="101" fillId="37" borderId="31" xfId="0" applyFont="1" applyFill="1" applyBorder="1" applyAlignment="1">
      <alignment horizontal="center"/>
    </xf>
    <xf numFmtId="0" fontId="103" fillId="37" borderId="32" xfId="0" applyFont="1" applyFill="1" applyBorder="1" applyAlignment="1">
      <alignment horizontal="center"/>
    </xf>
    <xf numFmtId="172" fontId="76" fillId="0" borderId="31" xfId="0" applyNumberFormat="1" applyFont="1" applyBorder="1" applyAlignment="1">
      <alignment horizontal="center"/>
    </xf>
    <xf numFmtId="4" fontId="76" fillId="0" borderId="31" xfId="0" applyNumberFormat="1" applyFont="1" applyBorder="1" applyAlignment="1">
      <alignment horizontal="right"/>
    </xf>
    <xf numFmtId="4" fontId="76" fillId="0" borderId="31" xfId="0" applyNumberFormat="1" applyFont="1" applyBorder="1" applyAlignment="1">
      <alignment/>
    </xf>
    <xf numFmtId="0" fontId="76" fillId="0" borderId="31" xfId="0" applyFont="1" applyBorder="1" applyAlignment="1">
      <alignment/>
    </xf>
    <xf numFmtId="0" fontId="76" fillId="0" borderId="32" xfId="0" applyFont="1" applyBorder="1" applyAlignment="1">
      <alignment/>
    </xf>
    <xf numFmtId="0" fontId="76" fillId="36" borderId="0" xfId="0" applyFont="1" applyFill="1" applyBorder="1" applyAlignment="1">
      <alignment/>
    </xf>
    <xf numFmtId="0" fontId="75" fillId="0" borderId="33" xfId="0" applyFont="1" applyBorder="1" applyAlignment="1">
      <alignment horizontal="center"/>
    </xf>
    <xf numFmtId="4" fontId="75" fillId="0" borderId="34" xfId="0" applyNumberFormat="1" applyFont="1" applyBorder="1" applyAlignment="1">
      <alignment horizontal="center"/>
    </xf>
    <xf numFmtId="4" fontId="76" fillId="0" borderId="34" xfId="0" applyNumberFormat="1" applyFont="1" applyBorder="1" applyAlignment="1">
      <alignment horizontal="center"/>
    </xf>
    <xf numFmtId="0" fontId="76" fillId="0" borderId="34" xfId="0" applyFont="1" applyBorder="1" applyAlignment="1">
      <alignment horizontal="center"/>
    </xf>
    <xf numFmtId="0" fontId="77" fillId="0" borderId="35" xfId="0" applyFont="1" applyBorder="1" applyAlignment="1">
      <alignment horizontal="center"/>
    </xf>
    <xf numFmtId="0" fontId="80" fillId="0" borderId="36" xfId="0" applyFont="1" applyBorder="1" applyAlignment="1">
      <alignment horizontal="center"/>
    </xf>
    <xf numFmtId="0" fontId="80" fillId="0" borderId="37" xfId="0" applyFont="1" applyBorder="1" applyAlignment="1">
      <alignment/>
    </xf>
    <xf numFmtId="0" fontId="80" fillId="0" borderId="38" xfId="0" applyFont="1" applyBorder="1" applyAlignment="1">
      <alignment horizontal="center"/>
    </xf>
    <xf numFmtId="0" fontId="80" fillId="0" borderId="39" xfId="0" applyFont="1" applyBorder="1" applyAlignment="1">
      <alignment horizontal="center"/>
    </xf>
    <xf numFmtId="0" fontId="0" fillId="36" borderId="40" xfId="0" applyFont="1" applyFill="1" applyBorder="1" applyAlignment="1">
      <alignment/>
    </xf>
    <xf numFmtId="0" fontId="0" fillId="36" borderId="41" xfId="0" applyFont="1" applyFill="1" applyBorder="1" applyAlignment="1">
      <alignment/>
    </xf>
    <xf numFmtId="4" fontId="76" fillId="38" borderId="31" xfId="0" applyNumberFormat="1" applyFont="1" applyFill="1" applyBorder="1" applyAlignment="1">
      <alignment horizontal="center"/>
    </xf>
    <xf numFmtId="178" fontId="4" fillId="0" borderId="21" xfId="0" applyNumberFormat="1" applyFont="1" applyBorder="1" applyAlignment="1">
      <alignment horizontal="center" vertical="center"/>
    </xf>
    <xf numFmtId="0" fontId="4" fillId="28" borderId="21" xfId="0" applyFont="1" applyFill="1" applyBorder="1" applyAlignment="1">
      <alignment horizontal="center"/>
    </xf>
    <xf numFmtId="0" fontId="4" fillId="28" borderId="21" xfId="0" applyFont="1" applyFill="1" applyBorder="1" applyAlignment="1">
      <alignment horizontal="center" vertical="center" wrapText="1"/>
    </xf>
    <xf numFmtId="0" fontId="4" fillId="28" borderId="21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" vertical="center"/>
    </xf>
    <xf numFmtId="178" fontId="4" fillId="28" borderId="21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1" fillId="0" borderId="21" xfId="0" applyFont="1" applyBorder="1" applyAlignment="1">
      <alignment horizontal="center" vertical="center"/>
    </xf>
    <xf numFmtId="0" fontId="8" fillId="27" borderId="42" xfId="0" applyFont="1" applyFill="1" applyBorder="1" applyAlignment="1">
      <alignment horizontal="center" vertical="center"/>
    </xf>
    <xf numFmtId="0" fontId="8" fillId="27" borderId="43" xfId="0" applyFont="1" applyFill="1" applyBorder="1" applyAlignment="1">
      <alignment horizontal="center" vertical="center"/>
    </xf>
    <xf numFmtId="0" fontId="8" fillId="27" borderId="29" xfId="0" applyFont="1" applyFill="1" applyBorder="1" applyAlignment="1">
      <alignment horizontal="center" vertical="center"/>
    </xf>
    <xf numFmtId="172" fontId="8" fillId="0" borderId="21" xfId="0" applyNumberFormat="1" applyFont="1" applyBorder="1" applyAlignment="1">
      <alignment horizontal="center" vertical="center"/>
    </xf>
    <xf numFmtId="39" fontId="8" fillId="39" borderId="21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104" fillId="36" borderId="0" xfId="0" applyFont="1" applyFill="1" applyBorder="1" applyAlignment="1">
      <alignment/>
    </xf>
    <xf numFmtId="0" fontId="105" fillId="36" borderId="0" xfId="0" applyFont="1" applyFill="1" applyBorder="1" applyAlignment="1">
      <alignment/>
    </xf>
    <xf numFmtId="0" fontId="105" fillId="36" borderId="44" xfId="0" applyFont="1" applyFill="1" applyBorder="1" applyAlignment="1">
      <alignment/>
    </xf>
    <xf numFmtId="4" fontId="105" fillId="36" borderId="0" xfId="0" applyNumberFormat="1" applyFont="1" applyFill="1" applyBorder="1" applyAlignment="1">
      <alignment/>
    </xf>
    <xf numFmtId="0" fontId="106" fillId="36" borderId="44" xfId="0" applyFont="1" applyFill="1" applyBorder="1" applyAlignment="1">
      <alignment/>
    </xf>
    <xf numFmtId="40" fontId="105" fillId="36" borderId="0" xfId="0" applyNumberFormat="1" applyFont="1" applyFill="1" applyBorder="1" applyAlignment="1">
      <alignment/>
    </xf>
    <xf numFmtId="0" fontId="104" fillId="36" borderId="45" xfId="0" applyFont="1" applyFill="1" applyBorder="1" applyAlignment="1">
      <alignment/>
    </xf>
    <xf numFmtId="40" fontId="105" fillId="36" borderId="45" xfId="0" applyNumberFormat="1" applyFont="1" applyFill="1" applyBorder="1" applyAlignment="1">
      <alignment/>
    </xf>
    <xf numFmtId="0" fontId="105" fillId="36" borderId="45" xfId="0" applyFont="1" applyFill="1" applyBorder="1" applyAlignment="1">
      <alignment/>
    </xf>
    <xf numFmtId="0" fontId="105" fillId="36" borderId="46" xfId="0" applyFont="1" applyFill="1" applyBorder="1" applyAlignment="1">
      <alignment/>
    </xf>
    <xf numFmtId="0" fontId="0" fillId="36" borderId="47" xfId="0" applyFont="1" applyFill="1" applyBorder="1" applyAlignment="1">
      <alignment/>
    </xf>
    <xf numFmtId="0" fontId="76" fillId="36" borderId="48" xfId="0" applyFont="1" applyFill="1" applyBorder="1" applyAlignment="1">
      <alignment/>
    </xf>
    <xf numFmtId="0" fontId="0" fillId="36" borderId="48" xfId="0" applyFont="1" applyFill="1" applyBorder="1" applyAlignment="1">
      <alignment/>
    </xf>
    <xf numFmtId="0" fontId="104" fillId="36" borderId="48" xfId="0" applyFont="1" applyFill="1" applyBorder="1" applyAlignment="1">
      <alignment/>
    </xf>
    <xf numFmtId="0" fontId="105" fillId="36" borderId="48" xfId="0" applyFont="1" applyFill="1" applyBorder="1" applyAlignment="1">
      <alignment/>
    </xf>
    <xf numFmtId="0" fontId="105" fillId="36" borderId="49" xfId="0" applyFont="1" applyFill="1" applyBorder="1" applyAlignment="1">
      <alignment/>
    </xf>
    <xf numFmtId="0" fontId="107" fillId="36" borderId="0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1" fillId="0" borderId="0" xfId="0" applyFont="1" applyAlignment="1">
      <alignment/>
    </xf>
    <xf numFmtId="17" fontId="58" fillId="36" borderId="29" xfId="0" applyNumberFormat="1" applyFont="1" applyFill="1" applyBorder="1" applyAlignment="1" applyProtection="1">
      <alignment vertical="center"/>
      <protection/>
    </xf>
    <xf numFmtId="39" fontId="0" fillId="36" borderId="24" xfId="765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0" fontId="0" fillId="0" borderId="21" xfId="0" applyFont="1" applyBorder="1" applyAlignment="1">
      <alignment horizontal="left" wrapText="1"/>
    </xf>
    <xf numFmtId="190" fontId="0" fillId="0" borderId="0" xfId="0" applyNumberFormat="1" applyAlignment="1">
      <alignment/>
    </xf>
    <xf numFmtId="192" fontId="8" fillId="36" borderId="42" xfId="0" applyNumberFormat="1" applyFont="1" applyFill="1" applyBorder="1" applyAlignment="1">
      <alignment horizontal="center" vertical="center"/>
    </xf>
    <xf numFmtId="192" fontId="8" fillId="36" borderId="43" xfId="0" applyNumberFormat="1" applyFont="1" applyFill="1" applyBorder="1" applyAlignment="1">
      <alignment horizontal="center" vertical="center"/>
    </xf>
    <xf numFmtId="39" fontId="0" fillId="0" borderId="0" xfId="0" applyNumberFormat="1" applyAlignment="1">
      <alignment/>
    </xf>
    <xf numFmtId="2" fontId="9" fillId="0" borderId="50" xfId="0" applyNumberFormat="1" applyFont="1" applyFill="1" applyBorder="1" applyAlignment="1">
      <alignment horizontal="center" vertical="justify" wrapText="1"/>
    </xf>
    <xf numFmtId="2" fontId="9" fillId="0" borderId="51" xfId="0" applyNumberFormat="1" applyFont="1" applyFill="1" applyBorder="1" applyAlignment="1">
      <alignment horizontal="center" vertical="justify" wrapText="1"/>
    </xf>
    <xf numFmtId="0" fontId="0" fillId="0" borderId="0" xfId="462" applyFont="1" applyFill="1" applyBorder="1">
      <alignment/>
      <protection/>
    </xf>
    <xf numFmtId="0" fontId="0" fillId="0" borderId="44" xfId="462" applyFont="1" applyFill="1" applyBorder="1">
      <alignment/>
      <protection/>
    </xf>
    <xf numFmtId="0" fontId="4" fillId="0" borderId="0" xfId="0" applyFont="1" applyAlignment="1">
      <alignment horizontal="center" vertical="center"/>
    </xf>
    <xf numFmtId="0" fontId="5" fillId="36" borderId="42" xfId="0" applyFont="1" applyFill="1" applyBorder="1" applyAlignment="1">
      <alignment/>
    </xf>
    <xf numFmtId="0" fontId="5" fillId="36" borderId="43" xfId="0" applyFont="1" applyFill="1" applyBorder="1" applyAlignment="1">
      <alignment/>
    </xf>
    <xf numFmtId="0" fontId="5" fillId="36" borderId="29" xfId="0" applyFont="1" applyFill="1" applyBorder="1" applyAlignment="1">
      <alignment/>
    </xf>
    <xf numFmtId="172" fontId="1" fillId="36" borderId="21" xfId="700" applyFont="1" applyFill="1" applyBorder="1" applyAlignment="1">
      <alignment vertical="center"/>
    </xf>
    <xf numFmtId="172" fontId="0" fillId="36" borderId="0" xfId="700" applyFont="1" applyFill="1" applyBorder="1" applyAlignment="1">
      <alignment horizontal="center" vertical="center"/>
    </xf>
    <xf numFmtId="172" fontId="0" fillId="36" borderId="52" xfId="700" applyFont="1" applyFill="1" applyBorder="1" applyAlignment="1">
      <alignment horizontal="center" vertical="center"/>
    </xf>
    <xf numFmtId="172" fontId="0" fillId="36" borderId="0" xfId="700" applyFont="1" applyFill="1" applyBorder="1" applyAlignment="1">
      <alignment vertical="center"/>
    </xf>
    <xf numFmtId="172" fontId="0" fillId="36" borderId="52" xfId="700" applyFont="1" applyFill="1" applyBorder="1" applyAlignment="1">
      <alignment horizontal="right" vertical="center"/>
    </xf>
    <xf numFmtId="0" fontId="1" fillId="36" borderId="0" xfId="546" applyFont="1" applyFill="1" applyBorder="1" applyAlignment="1">
      <alignment horizontal="left"/>
      <protection/>
    </xf>
    <xf numFmtId="172" fontId="1" fillId="36" borderId="0" xfId="700" applyFont="1" applyFill="1" applyBorder="1" applyAlignment="1">
      <alignment horizontal="right"/>
    </xf>
    <xf numFmtId="172" fontId="1" fillId="36" borderId="52" xfId="700" applyFont="1" applyFill="1" applyBorder="1" applyAlignment="1">
      <alignment horizontal="right"/>
    </xf>
    <xf numFmtId="184" fontId="1" fillId="36" borderId="0" xfId="546" applyNumberFormat="1" applyFont="1" applyFill="1" applyBorder="1" applyAlignment="1">
      <alignment horizontal="right"/>
      <protection/>
    </xf>
    <xf numFmtId="43" fontId="1" fillId="36" borderId="0" xfId="546" applyNumberFormat="1" applyFont="1" applyFill="1" applyBorder="1" applyAlignment="1">
      <alignment horizontal="left"/>
      <protection/>
    </xf>
    <xf numFmtId="0" fontId="62" fillId="36" borderId="53" xfId="546" applyFont="1" applyFill="1" applyBorder="1" applyAlignment="1">
      <alignment horizontal="left"/>
      <protection/>
    </xf>
    <xf numFmtId="172" fontId="62" fillId="36" borderId="53" xfId="700" applyFont="1" applyFill="1" applyBorder="1" applyAlignment="1">
      <alignment horizontal="right"/>
    </xf>
    <xf numFmtId="172" fontId="62" fillId="36" borderId="54" xfId="700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center" vertical="justify" wrapText="1"/>
    </xf>
    <xf numFmtId="2" fontId="1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172" fontId="0" fillId="36" borderId="28" xfId="700" applyFont="1" applyFill="1" applyBorder="1" applyAlignment="1">
      <alignment vertical="center"/>
    </xf>
    <xf numFmtId="172" fontId="0" fillId="36" borderId="55" xfId="700" applyFont="1" applyFill="1" applyBorder="1" applyAlignment="1">
      <alignment vertical="center"/>
    </xf>
    <xf numFmtId="172" fontId="0" fillId="36" borderId="21" xfId="700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72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left"/>
    </xf>
    <xf numFmtId="0" fontId="108" fillId="0" borderId="56" xfId="0" applyFont="1" applyBorder="1" applyAlignment="1">
      <alignment horizontal="right" vertical="top" wrapText="1"/>
    </xf>
    <xf numFmtId="0" fontId="109" fillId="0" borderId="0" xfId="0" applyFont="1" applyAlignment="1">
      <alignment horizontal="left" vertical="center"/>
    </xf>
    <xf numFmtId="0" fontId="13" fillId="0" borderId="22" xfId="700" applyNumberFormat="1" applyFont="1" applyBorder="1" applyAlignment="1" applyProtection="1">
      <alignment/>
      <protection/>
    </xf>
    <xf numFmtId="2" fontId="1" fillId="0" borderId="23" xfId="0" applyNumberFormat="1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39" fontId="0" fillId="0" borderId="24" xfId="700" applyNumberFormat="1" applyFont="1" applyBorder="1" applyAlignment="1" applyProtection="1">
      <alignment/>
      <protection/>
    </xf>
    <xf numFmtId="39" fontId="1" fillId="0" borderId="21" xfId="700" applyNumberFormat="1" applyFont="1" applyBorder="1" applyAlignment="1" applyProtection="1">
      <alignment/>
      <protection/>
    </xf>
    <xf numFmtId="4" fontId="0" fillId="0" borderId="24" xfId="700" applyNumberFormat="1" applyFont="1" applyBorder="1" applyAlignment="1" applyProtection="1">
      <alignment vertical="center" wrapText="1"/>
      <protection/>
    </xf>
    <xf numFmtId="172" fontId="0" fillId="0" borderId="24" xfId="700" applyFont="1" applyBorder="1" applyAlignment="1" applyProtection="1">
      <alignment vertical="center" wrapText="1"/>
      <protection/>
    </xf>
    <xf numFmtId="4" fontId="0" fillId="0" borderId="57" xfId="700" applyNumberFormat="1" applyFont="1" applyBorder="1" applyAlignment="1" applyProtection="1">
      <alignment vertical="center" wrapText="1"/>
      <protection/>
    </xf>
    <xf numFmtId="172" fontId="0" fillId="0" borderId="25" xfId="700" applyFont="1" applyBorder="1" applyAlignment="1" applyProtection="1">
      <alignment vertical="center" wrapText="1"/>
      <protection/>
    </xf>
    <xf numFmtId="4" fontId="0" fillId="0" borderId="25" xfId="700" applyNumberFormat="1" applyFont="1" applyBorder="1" applyAlignment="1" applyProtection="1">
      <alignment vertical="center" wrapText="1"/>
      <protection/>
    </xf>
    <xf numFmtId="39" fontId="1" fillId="0" borderId="21" xfId="700" applyNumberFormat="1" applyFont="1" applyBorder="1" applyAlignment="1" applyProtection="1">
      <alignment vertical="center" wrapText="1"/>
      <protection/>
    </xf>
    <xf numFmtId="4" fontId="0" fillId="0" borderId="26" xfId="700" applyNumberFormat="1" applyFont="1" applyBorder="1" applyAlignment="1" applyProtection="1">
      <alignment vertical="center" wrapText="1"/>
      <protection/>
    </xf>
    <xf numFmtId="172" fontId="0" fillId="0" borderId="58" xfId="700" applyFont="1" applyBorder="1" applyAlignment="1" applyProtection="1">
      <alignment vertical="center" wrapText="1"/>
      <protection/>
    </xf>
    <xf numFmtId="172" fontId="1" fillId="0" borderId="21" xfId="700" applyFont="1" applyBorder="1" applyAlignment="1" applyProtection="1">
      <alignment vertical="center" wrapText="1"/>
      <protection/>
    </xf>
    <xf numFmtId="39" fontId="1" fillId="0" borderId="21" xfId="700" applyNumberFormat="1" applyFont="1" applyBorder="1" applyAlignment="1" applyProtection="1">
      <alignment horizontal="right" vertical="center" wrapText="1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horizontal="right" vertical="center"/>
      <protection/>
    </xf>
    <xf numFmtId="172" fontId="1" fillId="0" borderId="21" xfId="700" applyFont="1" applyBorder="1" applyAlignment="1" applyProtection="1">
      <alignment horizontal="right" vertical="center" wrapText="1"/>
      <protection/>
    </xf>
    <xf numFmtId="177" fontId="4" fillId="0" borderId="0" xfId="0" applyNumberFormat="1" applyFont="1" applyAlignment="1">
      <alignment/>
    </xf>
    <xf numFmtId="40" fontId="4" fillId="36" borderId="21" xfId="700" applyNumberFormat="1" applyFont="1" applyFill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172" fontId="1" fillId="36" borderId="21" xfId="700" applyFont="1" applyFill="1" applyBorder="1" applyAlignment="1">
      <alignment horizontal="center" wrapText="1"/>
    </xf>
    <xf numFmtId="172" fontId="1" fillId="36" borderId="21" xfId="700" applyFont="1" applyFill="1" applyBorder="1" applyAlignment="1">
      <alignment horizontal="center" vertical="top" wrapText="1"/>
    </xf>
    <xf numFmtId="0" fontId="0" fillId="36" borderId="21" xfId="546" applyFont="1" applyFill="1" applyBorder="1" applyAlignment="1">
      <alignment vertical="center"/>
      <protection/>
    </xf>
    <xf numFmtId="172" fontId="0" fillId="36" borderId="21" xfId="700" applyNumberFormat="1" applyFont="1" applyFill="1" applyBorder="1" applyAlignment="1">
      <alignment horizontal="center" vertical="center"/>
    </xf>
    <xf numFmtId="172" fontId="0" fillId="36" borderId="21" xfId="700" applyFont="1" applyFill="1" applyBorder="1" applyAlignment="1">
      <alignment vertical="center"/>
    </xf>
    <xf numFmtId="172" fontId="0" fillId="36" borderId="21" xfId="700" applyNumberFormat="1" applyFont="1" applyFill="1" applyBorder="1" applyAlignment="1">
      <alignment horizontal="right" vertical="center"/>
    </xf>
    <xf numFmtId="172" fontId="0" fillId="36" borderId="21" xfId="700" applyFont="1" applyFill="1" applyBorder="1" applyAlignment="1">
      <alignment horizontal="right" vertical="center"/>
    </xf>
    <xf numFmtId="172" fontId="0" fillId="36" borderId="42" xfId="700" applyNumberFormat="1" applyFont="1" applyFill="1" applyBorder="1" applyAlignment="1">
      <alignment horizontal="center" vertical="center"/>
    </xf>
    <xf numFmtId="172" fontId="1" fillId="36" borderId="21" xfId="700" applyFont="1" applyFill="1" applyBorder="1" applyAlignment="1">
      <alignment horizontal="right" vertical="center"/>
    </xf>
    <xf numFmtId="0" fontId="0" fillId="36" borderId="21" xfId="546" applyFont="1" applyFill="1" applyBorder="1" applyAlignment="1">
      <alignment horizontal="left"/>
      <protection/>
    </xf>
    <xf numFmtId="181" fontId="0" fillId="36" borderId="21" xfId="700" applyNumberFormat="1" applyFont="1" applyFill="1" applyBorder="1" applyAlignment="1">
      <alignment vertical="center"/>
    </xf>
    <xf numFmtId="0" fontId="1" fillId="36" borderId="21" xfId="546" applyFont="1" applyFill="1" applyBorder="1" applyAlignment="1">
      <alignment horizontal="left"/>
      <protection/>
    </xf>
    <xf numFmtId="0" fontId="1" fillId="36" borderId="21" xfId="546" applyFont="1" applyFill="1" applyBorder="1" applyAlignment="1">
      <alignment horizontal="left" vertical="center"/>
      <protection/>
    </xf>
    <xf numFmtId="0" fontId="1" fillId="36" borderId="21" xfId="0" applyFont="1" applyFill="1" applyBorder="1" applyAlignment="1">
      <alignment/>
    </xf>
    <xf numFmtId="172" fontId="1" fillId="36" borderId="42" xfId="700" applyNumberFormat="1" applyFont="1" applyFill="1" applyBorder="1" applyAlignment="1">
      <alignment horizontal="center" vertical="center"/>
    </xf>
    <xf numFmtId="177" fontId="0" fillId="0" borderId="21" xfId="0" applyNumberFormat="1" applyFont="1" applyBorder="1" applyAlignment="1">
      <alignment vertical="center"/>
    </xf>
    <xf numFmtId="172" fontId="0" fillId="0" borderId="21" xfId="700" applyFont="1" applyBorder="1" applyAlignment="1">
      <alignment vertical="center"/>
    </xf>
    <xf numFmtId="172" fontId="0" fillId="0" borderId="2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178" fontId="14" fillId="0" borderId="0" xfId="0" applyNumberFormat="1" applyFont="1" applyFill="1" applyBorder="1" applyAlignment="1">
      <alignment vertical="center"/>
    </xf>
    <xf numFmtId="40" fontId="14" fillId="0" borderId="0" xfId="70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0" fontId="1" fillId="0" borderId="21" xfId="0" applyNumberFormat="1" applyFont="1" applyBorder="1" applyAlignment="1">
      <alignment horizontal="center" vertical="center" wrapText="1"/>
    </xf>
    <xf numFmtId="0" fontId="12" fillId="0" borderId="21" xfId="462" applyFont="1" applyFill="1" applyBorder="1" applyAlignment="1">
      <alignment horizontal="center" vertical="center"/>
      <protection/>
    </xf>
    <xf numFmtId="0" fontId="12" fillId="0" borderId="21" xfId="462" applyFont="1" applyFill="1" applyBorder="1" applyAlignment="1">
      <alignment horizontal="left" vertical="center"/>
      <protection/>
    </xf>
    <xf numFmtId="177" fontId="12" fillId="0" borderId="21" xfId="0" applyNumberFormat="1" applyFont="1" applyBorder="1" applyAlignment="1">
      <alignment horizontal="center" vertical="center"/>
    </xf>
    <xf numFmtId="0" fontId="8" fillId="0" borderId="21" xfId="462" applyFont="1" applyFill="1" applyBorder="1" applyAlignment="1">
      <alignment horizontal="center" vertical="center"/>
      <protection/>
    </xf>
    <xf numFmtId="177" fontId="8" fillId="0" borderId="21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8" fillId="0" borderId="21" xfId="462" applyFont="1" applyFill="1" applyBorder="1" applyAlignment="1">
      <alignment horizontal="left" vertical="center"/>
      <protection/>
    </xf>
    <xf numFmtId="182" fontId="12" fillId="0" borderId="21" xfId="545" applyNumberFormat="1" applyFont="1" applyFill="1" applyBorder="1" applyAlignment="1" applyProtection="1">
      <alignment horizontal="left" vertical="center"/>
      <protection locked="0"/>
    </xf>
    <xf numFmtId="0" fontId="8" fillId="36" borderId="21" xfId="462" applyFont="1" applyFill="1" applyBorder="1" applyAlignment="1">
      <alignment horizontal="left" vertical="center"/>
      <protection/>
    </xf>
    <xf numFmtId="0" fontId="8" fillId="0" borderId="21" xfId="473" applyFont="1" applyFill="1" applyBorder="1" applyAlignment="1">
      <alignment horizontal="center" vertical="center"/>
      <protection/>
    </xf>
    <xf numFmtId="0" fontId="12" fillId="0" borderId="59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8" fillId="0" borderId="59" xfId="0" applyFont="1" applyBorder="1" applyAlignment="1">
      <alignment horizontal="center" vertical="center"/>
    </xf>
    <xf numFmtId="182" fontId="8" fillId="0" borderId="21" xfId="545" applyNumberFormat="1" applyFont="1" applyFill="1" applyBorder="1" applyAlignment="1" applyProtection="1">
      <alignment horizontal="center" vertical="center"/>
      <protection locked="0"/>
    </xf>
    <xf numFmtId="0" fontId="12" fillId="0" borderId="21" xfId="462" applyFont="1" applyFill="1" applyBorder="1" applyAlignment="1">
      <alignment vertical="center"/>
      <protection/>
    </xf>
    <xf numFmtId="0" fontId="8" fillId="0" borderId="21" xfId="462" applyFont="1" applyFill="1" applyBorder="1" applyAlignment="1">
      <alignment horizontal="left" vertical="center" wrapText="1"/>
      <protection/>
    </xf>
    <xf numFmtId="0" fontId="12" fillId="0" borderId="59" xfId="0" applyFont="1" applyBorder="1" applyAlignment="1">
      <alignment vertical="center"/>
    </xf>
    <xf numFmtId="0" fontId="0" fillId="36" borderId="60" xfId="0" applyNumberFormat="1" applyFont="1" applyFill="1" applyBorder="1" applyAlignment="1">
      <alignment horizontal="center"/>
    </xf>
    <xf numFmtId="0" fontId="0" fillId="36" borderId="60" xfId="0" applyNumberFormat="1" applyFont="1" applyFill="1" applyBorder="1" applyAlignment="1">
      <alignment horizontal="center" vertical="center"/>
    </xf>
    <xf numFmtId="0" fontId="9" fillId="36" borderId="61" xfId="0" applyNumberFormat="1" applyFont="1" applyFill="1" applyBorder="1" applyAlignment="1">
      <alignment horizontal="center" vertical="center"/>
    </xf>
    <xf numFmtId="0" fontId="9" fillId="36" borderId="42" xfId="0" applyNumberFormat="1" applyFont="1" applyFill="1" applyBorder="1" applyAlignment="1">
      <alignment horizontal="center" vertical="center"/>
    </xf>
    <xf numFmtId="0" fontId="9" fillId="36" borderId="60" xfId="0" applyNumberFormat="1" applyFont="1" applyFill="1" applyBorder="1" applyAlignment="1">
      <alignment horizontal="center" vertical="center" wrapText="1"/>
    </xf>
    <xf numFmtId="0" fontId="11" fillId="36" borderId="43" xfId="0" applyNumberFormat="1" applyFont="1" applyFill="1" applyBorder="1" applyAlignment="1">
      <alignment horizontal="left" vertical="center"/>
    </xf>
    <xf numFmtId="0" fontId="0" fillId="36" borderId="62" xfId="0" applyFont="1" applyFill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Font="1" applyBorder="1" applyAlignment="1">
      <alignment vertical="center" wrapText="1"/>
    </xf>
    <xf numFmtId="0" fontId="8" fillId="36" borderId="42" xfId="0" applyFont="1" applyFill="1" applyBorder="1" applyAlignment="1">
      <alignment horizontal="center" vertical="center"/>
    </xf>
    <xf numFmtId="0" fontId="8" fillId="36" borderId="43" xfId="0" applyFont="1" applyFill="1" applyBorder="1" applyAlignment="1">
      <alignment horizontal="center" vertical="center"/>
    </xf>
    <xf numFmtId="0" fontId="8" fillId="36" borderId="29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172" fontId="9" fillId="36" borderId="63" xfId="700" applyFont="1" applyFill="1" applyBorder="1" applyAlignment="1">
      <alignment horizontal="center" vertical="center"/>
    </xf>
    <xf numFmtId="172" fontId="1" fillId="36" borderId="21" xfId="700" applyFont="1" applyFill="1" applyBorder="1" applyAlignment="1">
      <alignment horizontal="center" vertical="center" wrapText="1"/>
    </xf>
    <xf numFmtId="0" fontId="76" fillId="0" borderId="64" xfId="0" applyFont="1" applyBorder="1" applyAlignment="1">
      <alignment/>
    </xf>
    <xf numFmtId="0" fontId="76" fillId="0" borderId="65" xfId="0" applyFont="1" applyBorder="1" applyAlignment="1">
      <alignment/>
    </xf>
    <xf numFmtId="1" fontId="76" fillId="0" borderId="66" xfId="0" applyNumberFormat="1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/>
    </xf>
    <xf numFmtId="0" fontId="12" fillId="0" borderId="21" xfId="0" applyFont="1" applyBorder="1" applyAlignment="1">
      <alignment vertical="center"/>
    </xf>
    <xf numFmtId="0" fontId="4" fillId="0" borderId="21" xfId="462" applyFont="1" applyFill="1" applyBorder="1" applyAlignment="1">
      <alignment horizontal="center" vertical="center"/>
      <protection/>
    </xf>
    <xf numFmtId="0" fontId="0" fillId="0" borderId="21" xfId="462" applyFont="1" applyFill="1" applyBorder="1" applyAlignment="1">
      <alignment horizontal="center" vertical="center"/>
      <protection/>
    </xf>
    <xf numFmtId="0" fontId="4" fillId="28" borderId="29" xfId="0" applyFont="1" applyFill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185" fontId="0" fillId="0" borderId="21" xfId="700" applyNumberFormat="1" applyFont="1" applyBorder="1" applyAlignment="1">
      <alignment/>
    </xf>
    <xf numFmtId="4" fontId="0" fillId="36" borderId="21" xfId="700" applyNumberFormat="1" applyFont="1" applyFill="1" applyBorder="1" applyAlignment="1">
      <alignment horizontal="center" vertical="center"/>
    </xf>
    <xf numFmtId="0" fontId="8" fillId="28" borderId="21" xfId="0" applyFont="1" applyFill="1" applyBorder="1" applyAlignment="1">
      <alignment horizontal="center" vertical="center"/>
    </xf>
    <xf numFmtId="0" fontId="12" fillId="36" borderId="21" xfId="462" applyFont="1" applyFill="1" applyBorder="1" applyAlignment="1">
      <alignment vertical="center"/>
      <protection/>
    </xf>
    <xf numFmtId="0" fontId="1" fillId="0" borderId="21" xfId="0" applyFont="1" applyBorder="1" applyAlignment="1">
      <alignment/>
    </xf>
    <xf numFmtId="0" fontId="9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" fillId="0" borderId="21" xfId="0" applyFont="1" applyBorder="1" applyAlignment="1" applyProtection="1">
      <alignment/>
      <protection/>
    </xf>
    <xf numFmtId="0" fontId="8" fillId="0" borderId="21" xfId="0" applyFont="1" applyBorder="1" applyAlignment="1">
      <alignment/>
    </xf>
    <xf numFmtId="0" fontId="9" fillId="36" borderId="54" xfId="0" applyNumberFormat="1" applyFont="1" applyFill="1" applyBorder="1" applyAlignment="1">
      <alignment horizontal="left" vertical="center"/>
    </xf>
    <xf numFmtId="0" fontId="11" fillId="36" borderId="61" xfId="0" applyNumberFormat="1" applyFont="1" applyFill="1" applyBorder="1" applyAlignment="1">
      <alignment horizontal="left" vertical="center"/>
    </xf>
    <xf numFmtId="4" fontId="9" fillId="36" borderId="67" xfId="0" applyNumberFormat="1" applyFont="1" applyFill="1" applyBorder="1" applyAlignment="1">
      <alignment horizontal="center" vertical="center"/>
    </xf>
    <xf numFmtId="2" fontId="8" fillId="0" borderId="68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left" vertical="center" wrapText="1"/>
    </xf>
    <xf numFmtId="172" fontId="0" fillId="36" borderId="58" xfId="700" applyFont="1" applyFill="1" applyBorder="1" applyAlignment="1" applyProtection="1">
      <alignment vertical="center" wrapText="1"/>
      <protection/>
    </xf>
    <xf numFmtId="0" fontId="12" fillId="36" borderId="21" xfId="0" applyFont="1" applyFill="1" applyBorder="1" applyAlignment="1" applyProtection="1">
      <alignment horizontal="center" vertical="center" wrapText="1"/>
      <protection/>
    </xf>
    <xf numFmtId="172" fontId="0" fillId="36" borderId="24" xfId="700" applyFont="1" applyFill="1" applyBorder="1" applyAlignment="1" applyProtection="1">
      <alignment vertical="center" wrapText="1"/>
      <protection/>
    </xf>
    <xf numFmtId="172" fontId="0" fillId="36" borderId="25" xfId="700" applyFont="1" applyFill="1" applyBorder="1" applyAlignment="1" applyProtection="1">
      <alignment vertical="center" wrapText="1"/>
      <protection/>
    </xf>
    <xf numFmtId="10" fontId="64" fillId="0" borderId="21" xfId="0" applyNumberFormat="1" applyFont="1" applyBorder="1" applyAlignment="1">
      <alignment horizontal="center" vertical="center" wrapText="1"/>
    </xf>
    <xf numFmtId="0" fontId="10" fillId="36" borderId="21" xfId="700" applyNumberFormat="1" applyFont="1" applyFill="1" applyBorder="1" applyAlignment="1">
      <alignment vertical="center" wrapText="1"/>
    </xf>
    <xf numFmtId="172" fontId="64" fillId="0" borderId="21" xfId="700" applyFont="1" applyBorder="1" applyAlignment="1">
      <alignment horizontal="center" vertical="center"/>
    </xf>
    <xf numFmtId="0" fontId="0" fillId="36" borderId="21" xfId="700" applyNumberFormat="1" applyFont="1" applyFill="1" applyBorder="1" applyAlignment="1">
      <alignment vertical="center" wrapText="1"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1" fillId="36" borderId="69" xfId="0" applyNumberFormat="1" applyFont="1" applyFill="1" applyBorder="1" applyAlignment="1">
      <alignment horizontal="left" vertical="center"/>
    </xf>
    <xf numFmtId="2" fontId="8" fillId="36" borderId="22" xfId="0" applyNumberFormat="1" applyFont="1" applyFill="1" applyBorder="1" applyAlignment="1">
      <alignment horizontal="center" vertical="center"/>
    </xf>
    <xf numFmtId="2" fontId="8" fillId="36" borderId="23" xfId="0" applyNumberFormat="1" applyFont="1" applyFill="1" applyBorder="1" applyAlignment="1">
      <alignment horizontal="center" vertical="center"/>
    </xf>
    <xf numFmtId="192" fontId="8" fillId="36" borderId="29" xfId="0" applyNumberFormat="1" applyFont="1" applyFill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 quotePrefix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0" fontId="4" fillId="0" borderId="21" xfId="700" applyNumberFormat="1" applyFont="1" applyBorder="1" applyAlignment="1">
      <alignment horizontal="center" vertical="center"/>
    </xf>
    <xf numFmtId="172" fontId="4" fillId="0" borderId="21" xfId="700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52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left"/>
    </xf>
    <xf numFmtId="3" fontId="4" fillId="36" borderId="21" xfId="0" applyNumberFormat="1" applyFont="1" applyFill="1" applyBorder="1" applyAlignment="1" quotePrefix="1">
      <alignment horizontal="center"/>
    </xf>
    <xf numFmtId="2" fontId="0" fillId="36" borderId="21" xfId="0" applyNumberFormat="1" applyFont="1" applyFill="1" applyBorder="1" applyAlignment="1">
      <alignment/>
    </xf>
    <xf numFmtId="4" fontId="4" fillId="36" borderId="21" xfId="0" applyNumberFormat="1" applyFont="1" applyFill="1" applyBorder="1" applyAlignment="1">
      <alignment horizontal="left"/>
    </xf>
    <xf numFmtId="0" fontId="110" fillId="36" borderId="21" xfId="691" applyFont="1" applyFill="1" applyBorder="1" applyAlignment="1">
      <alignment horizontal="center"/>
    </xf>
    <xf numFmtId="1" fontId="110" fillId="0" borderId="21" xfId="691" applyNumberFormat="1" applyFont="1" applyFill="1" applyBorder="1" applyAlignment="1">
      <alignment horizontal="center"/>
    </xf>
    <xf numFmtId="0" fontId="110" fillId="0" borderId="21" xfId="691" applyFont="1" applyFill="1" applyBorder="1" applyAlignment="1">
      <alignment horizontal="center"/>
    </xf>
    <xf numFmtId="1" fontId="110" fillId="36" borderId="21" xfId="691" applyNumberFormat="1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left" vertical="center"/>
    </xf>
    <xf numFmtId="180" fontId="0" fillId="36" borderId="21" xfId="70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 quotePrefix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177" fontId="8" fillId="0" borderId="0" xfId="462" applyNumberFormat="1" applyFont="1" applyFill="1" applyBorder="1" applyAlignment="1">
      <alignment horizontal="center" vertical="center"/>
      <protection/>
    </xf>
    <xf numFmtId="177" fontId="4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 horizontal="center" vertical="center"/>
    </xf>
    <xf numFmtId="177" fontId="8" fillId="0" borderId="0" xfId="70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77" fontId="4" fillId="0" borderId="0" xfId="462" applyNumberFormat="1" applyFont="1" applyFill="1" applyBorder="1" applyAlignment="1">
      <alignment horizontal="center" vertical="center"/>
      <protection/>
    </xf>
    <xf numFmtId="177" fontId="0" fillId="0" borderId="0" xfId="462" applyNumberFormat="1" applyFont="1" applyFill="1" applyBorder="1" applyAlignment="1">
      <alignment horizontal="center" vertical="center"/>
      <protection/>
    </xf>
    <xf numFmtId="4" fontId="12" fillId="0" borderId="45" xfId="0" applyNumberFormat="1" applyFont="1" applyBorder="1" applyAlignment="1">
      <alignment horizontal="right" vertical="center"/>
    </xf>
    <xf numFmtId="4" fontId="4" fillId="0" borderId="45" xfId="0" applyNumberFormat="1" applyFont="1" applyBorder="1" applyAlignment="1">
      <alignment vertical="center"/>
    </xf>
    <xf numFmtId="177" fontId="8" fillId="0" borderId="71" xfId="0" applyNumberFormat="1" applyFont="1" applyBorder="1" applyAlignment="1">
      <alignment horizontal="center" vertical="center"/>
    </xf>
    <xf numFmtId="177" fontId="69" fillId="0" borderId="43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/>
    </xf>
    <xf numFmtId="177" fontId="0" fillId="0" borderId="0" xfId="0" applyNumberFormat="1" applyFont="1" applyAlignment="1">
      <alignment/>
    </xf>
    <xf numFmtId="177" fontId="0" fillId="0" borderId="0" xfId="0" applyNumberFormat="1" applyAlignment="1">
      <alignment horizontal="left"/>
    </xf>
    <xf numFmtId="177" fontId="0" fillId="0" borderId="0" xfId="0" applyNumberFormat="1" applyFill="1" applyAlignment="1">
      <alignment horizontal="left"/>
    </xf>
    <xf numFmtId="195" fontId="0" fillId="0" borderId="0" xfId="0" applyNumberFormat="1" applyAlignment="1">
      <alignment/>
    </xf>
    <xf numFmtId="4" fontId="8" fillId="0" borderId="43" xfId="0" applyNumberFormat="1" applyFont="1" applyFill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/>
    </xf>
    <xf numFmtId="4" fontId="8" fillId="0" borderId="27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4" fontId="8" fillId="0" borderId="55" xfId="0" applyNumberFormat="1" applyFont="1" applyFill="1" applyBorder="1" applyAlignment="1">
      <alignment horizontal="center" vertical="center"/>
    </xf>
    <xf numFmtId="190" fontId="8" fillId="0" borderId="72" xfId="0" applyNumberFormat="1" applyFont="1" applyBorder="1" applyAlignment="1">
      <alignment horizontal="center" vertical="center"/>
    </xf>
    <xf numFmtId="190" fontId="8" fillId="0" borderId="53" xfId="0" applyNumberFormat="1" applyFont="1" applyBorder="1" applyAlignment="1">
      <alignment horizontal="center" vertical="center"/>
    </xf>
    <xf numFmtId="190" fontId="8" fillId="0" borderId="54" xfId="0" applyNumberFormat="1" applyFont="1" applyBorder="1" applyAlignment="1">
      <alignment horizontal="center" vertical="center"/>
    </xf>
    <xf numFmtId="9" fontId="8" fillId="0" borderId="43" xfId="0" applyNumberFormat="1" applyFont="1" applyBorder="1" applyAlignment="1">
      <alignment horizontal="center" vertical="center"/>
    </xf>
    <xf numFmtId="9" fontId="8" fillId="0" borderId="29" xfId="0" applyNumberFormat="1" applyFont="1" applyBorder="1" applyAlignment="1">
      <alignment horizontal="center" vertical="center"/>
    </xf>
    <xf numFmtId="0" fontId="8" fillId="36" borderId="42" xfId="0" applyFont="1" applyFill="1" applyBorder="1" applyAlignment="1">
      <alignment horizontal="center" vertical="center"/>
    </xf>
    <xf numFmtId="0" fontId="8" fillId="36" borderId="43" xfId="0" applyFont="1" applyFill="1" applyBorder="1" applyAlignment="1">
      <alignment horizontal="center" vertical="center"/>
    </xf>
    <xf numFmtId="0" fontId="8" fillId="36" borderId="29" xfId="0" applyFont="1" applyFill="1" applyBorder="1" applyAlignment="1">
      <alignment horizontal="center" vertical="center"/>
    </xf>
    <xf numFmtId="9" fontId="8" fillId="0" borderId="72" xfId="0" applyNumberFormat="1" applyFont="1" applyBorder="1" applyAlignment="1">
      <alignment horizontal="center" vertical="center"/>
    </xf>
    <xf numFmtId="9" fontId="8" fillId="0" borderId="53" xfId="0" applyNumberFormat="1" applyFont="1" applyBorder="1" applyAlignment="1">
      <alignment horizontal="center" vertical="center"/>
    </xf>
    <xf numFmtId="9" fontId="8" fillId="0" borderId="54" xfId="0" applyNumberFormat="1" applyFont="1" applyBorder="1" applyAlignment="1">
      <alignment horizontal="center" vertical="center"/>
    </xf>
    <xf numFmtId="189" fontId="0" fillId="0" borderId="0" xfId="0" applyNumberFormat="1" applyAlignment="1">
      <alignment/>
    </xf>
    <xf numFmtId="1" fontId="8" fillId="0" borderId="28" xfId="627" applyNumberFormat="1" applyFont="1" applyFill="1" applyBorder="1" applyAlignment="1">
      <alignment horizontal="center" vertical="center"/>
    </xf>
    <xf numFmtId="196" fontId="4" fillId="28" borderId="21" xfId="851" applyNumberFormat="1" applyFont="1" applyFill="1" applyBorder="1" applyAlignment="1">
      <alignment horizontal="centerContinuous"/>
    </xf>
    <xf numFmtId="196" fontId="4" fillId="28" borderId="21" xfId="851" applyNumberFormat="1" applyFont="1" applyFill="1" applyBorder="1" applyAlignment="1">
      <alignment horizontal="center"/>
    </xf>
    <xf numFmtId="0" fontId="4" fillId="28" borderId="42" xfId="0" applyFont="1" applyFill="1" applyBorder="1" applyAlignment="1">
      <alignment horizontal="center"/>
    </xf>
    <xf numFmtId="0" fontId="4" fillId="28" borderId="43" xfId="0" applyFont="1" applyFill="1" applyBorder="1" applyAlignment="1">
      <alignment horizontal="center"/>
    </xf>
    <xf numFmtId="196" fontId="4" fillId="28" borderId="43" xfId="851" applyNumberFormat="1" applyFont="1" applyFill="1" applyBorder="1" applyAlignment="1">
      <alignment horizontal="center"/>
    </xf>
    <xf numFmtId="0" fontId="4" fillId="28" borderId="29" xfId="0" applyFont="1" applyFill="1" applyBorder="1" applyAlignment="1">
      <alignment horizontal="center"/>
    </xf>
    <xf numFmtId="0" fontId="4" fillId="28" borderId="42" xfId="0" applyFont="1" applyFill="1" applyBorder="1" applyAlignment="1">
      <alignment vertical="center" wrapText="1"/>
    </xf>
    <xf numFmtId="0" fontId="4" fillId="28" borderId="43" xfId="0" applyFont="1" applyFill="1" applyBorder="1" applyAlignment="1">
      <alignment vertical="center" wrapText="1"/>
    </xf>
    <xf numFmtId="0" fontId="4" fillId="28" borderId="29" xfId="0" applyFont="1" applyFill="1" applyBorder="1" applyAlignment="1">
      <alignment vertical="center" wrapText="1"/>
    </xf>
    <xf numFmtId="196" fontId="4" fillId="0" borderId="21" xfId="851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28" borderId="21" xfId="0" applyFont="1" applyFill="1" applyBorder="1" applyAlignment="1">
      <alignment vertical="center"/>
    </xf>
    <xf numFmtId="2" fontId="4" fillId="28" borderId="21" xfId="0" applyNumberFormat="1" applyFont="1" applyFill="1" applyBorder="1" applyAlignment="1">
      <alignment horizontal="center"/>
    </xf>
    <xf numFmtId="43" fontId="4" fillId="28" borderId="21" xfId="851" applyFont="1" applyFill="1" applyBorder="1" applyAlignment="1">
      <alignment horizontal="right"/>
    </xf>
    <xf numFmtId="43" fontId="4" fillId="28" borderId="21" xfId="851" applyFont="1" applyFill="1" applyBorder="1" applyAlignment="1">
      <alignment horizontal="center"/>
    </xf>
    <xf numFmtId="0" fontId="4" fillId="28" borderId="21" xfId="0" applyFont="1" applyFill="1" applyBorder="1" applyAlignment="1">
      <alignment horizontal="left"/>
    </xf>
    <xf numFmtId="40" fontId="4" fillId="28" borderId="21" xfId="0" applyNumberFormat="1" applyFont="1" applyFill="1" applyBorder="1" applyAlignment="1">
      <alignment horizontal="right"/>
    </xf>
    <xf numFmtId="40" fontId="4" fillId="28" borderId="21" xfId="0" applyNumberFormat="1" applyFont="1" applyFill="1" applyBorder="1" applyAlignment="1">
      <alignment horizontal="left"/>
    </xf>
    <xf numFmtId="40" fontId="4" fillId="28" borderId="21" xfId="0" applyNumberFormat="1" applyFont="1" applyFill="1" applyBorder="1" applyAlignment="1">
      <alignment horizontal="center"/>
    </xf>
    <xf numFmtId="40" fontId="4" fillId="28" borderId="21" xfId="0" applyNumberFormat="1" applyFont="1" applyFill="1" applyBorder="1" applyAlignment="1">
      <alignment horizontal="center" vertical="center" wrapText="1"/>
    </xf>
    <xf numFmtId="2" fontId="4" fillId="28" borderId="21" xfId="0" applyNumberFormat="1" applyFont="1" applyFill="1" applyBorder="1" applyAlignment="1">
      <alignment horizontal="right"/>
    </xf>
    <xf numFmtId="3" fontId="67" fillId="0" borderId="53" xfId="0" applyNumberFormat="1" applyFont="1" applyBorder="1" applyAlignment="1">
      <alignment vertical="center"/>
    </xf>
    <xf numFmtId="177" fontId="10" fillId="0" borderId="60" xfId="0" applyNumberFormat="1" applyFont="1" applyBorder="1" applyAlignment="1">
      <alignment horizontal="right" vertical="center"/>
    </xf>
    <xf numFmtId="0" fontId="95" fillId="0" borderId="21" xfId="321" applyBorder="1" applyAlignment="1" applyProtection="1">
      <alignment vertical="center" wrapText="1"/>
      <protection/>
    </xf>
    <xf numFmtId="0" fontId="0" fillId="36" borderId="73" xfId="545" applyFont="1" applyFill="1" applyBorder="1" applyAlignment="1">
      <alignment/>
      <protection/>
    </xf>
    <xf numFmtId="0" fontId="0" fillId="36" borderId="74" xfId="545" applyFont="1" applyFill="1" applyBorder="1" applyAlignment="1">
      <alignment/>
      <protection/>
    </xf>
    <xf numFmtId="0" fontId="5" fillId="0" borderId="75" xfId="0" applyFont="1" applyBorder="1" applyAlignment="1">
      <alignment horizontal="center"/>
    </xf>
    <xf numFmtId="0" fontId="5" fillId="0" borderId="75" xfId="0" applyFont="1" applyBorder="1" applyAlignment="1">
      <alignment/>
    </xf>
    <xf numFmtId="177" fontId="5" fillId="0" borderId="75" xfId="0" applyNumberFormat="1" applyFont="1" applyBorder="1" applyAlignment="1">
      <alignment/>
    </xf>
    <xf numFmtId="4" fontId="5" fillId="0" borderId="75" xfId="0" applyNumberFormat="1" applyFont="1" applyBorder="1" applyAlignment="1">
      <alignment/>
    </xf>
    <xf numFmtId="177" fontId="76" fillId="36" borderId="21" xfId="402" applyNumberFormat="1" applyFont="1" applyFill="1" applyBorder="1" applyAlignment="1">
      <alignment vertical="center"/>
      <protection/>
    </xf>
    <xf numFmtId="172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73" fillId="0" borderId="0" xfId="0" applyFont="1" applyAlignment="1">
      <alignment/>
    </xf>
    <xf numFmtId="4" fontId="4" fillId="0" borderId="21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center" vertical="center"/>
    </xf>
    <xf numFmtId="0" fontId="64" fillId="40" borderId="59" xfId="0" applyFont="1" applyFill="1" applyBorder="1" applyAlignment="1">
      <alignment horizontal="center" vertical="center" wrapText="1"/>
    </xf>
    <xf numFmtId="0" fontId="64" fillId="40" borderId="21" xfId="0" applyFont="1" applyFill="1" applyBorder="1" applyAlignment="1">
      <alignment horizontal="center" vertical="center" wrapText="1"/>
    </xf>
    <xf numFmtId="0" fontId="64" fillId="40" borderId="60" xfId="0" applyFont="1" applyFill="1" applyBorder="1" applyAlignment="1">
      <alignment horizontal="center" vertical="center" wrapText="1"/>
    </xf>
    <xf numFmtId="0" fontId="111" fillId="36" borderId="62" xfId="0" applyFont="1" applyFill="1" applyBorder="1" applyAlignment="1">
      <alignment horizontal="center" vertical="center" wrapText="1"/>
    </xf>
    <xf numFmtId="0" fontId="111" fillId="36" borderId="75" xfId="0" applyFont="1" applyFill="1" applyBorder="1" applyAlignment="1">
      <alignment horizontal="center" vertical="center" wrapText="1"/>
    </xf>
    <xf numFmtId="0" fontId="111" fillId="36" borderId="75" xfId="0" applyFont="1" applyFill="1" applyBorder="1" applyAlignment="1">
      <alignment horizontal="left" vertical="center" wrapText="1"/>
    </xf>
    <xf numFmtId="0" fontId="112" fillId="36" borderId="75" xfId="0" applyFont="1" applyFill="1" applyBorder="1" applyAlignment="1">
      <alignment horizontal="center" vertical="center" wrapText="1"/>
    </xf>
    <xf numFmtId="0" fontId="112" fillId="36" borderId="7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0" fillId="36" borderId="42" xfId="0" applyFont="1" applyFill="1" applyBorder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0" fillId="36" borderId="29" xfId="0" applyFont="1" applyFill="1" applyBorder="1" applyAlignment="1" applyProtection="1">
      <alignment/>
      <protection/>
    </xf>
    <xf numFmtId="0" fontId="0" fillId="36" borderId="21" xfId="0" applyFont="1" applyFill="1" applyBorder="1" applyAlignment="1">
      <alignment/>
    </xf>
    <xf numFmtId="172" fontId="0" fillId="36" borderId="21" xfId="0" applyNumberFormat="1" applyFont="1" applyFill="1" applyBorder="1" applyAlignment="1">
      <alignment/>
    </xf>
    <xf numFmtId="0" fontId="0" fillId="36" borderId="21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/>
    </xf>
    <xf numFmtId="172" fontId="0" fillId="36" borderId="21" xfId="700" applyFont="1" applyFill="1" applyBorder="1" applyAlignment="1">
      <alignment horizontal="center"/>
    </xf>
    <xf numFmtId="172" fontId="0" fillId="36" borderId="21" xfId="700" applyFont="1" applyFill="1" applyBorder="1" applyAlignment="1">
      <alignment/>
    </xf>
    <xf numFmtId="172" fontId="1" fillId="36" borderId="21" xfId="0" applyNumberFormat="1" applyFont="1" applyFill="1" applyBorder="1" applyAlignment="1">
      <alignment/>
    </xf>
    <xf numFmtId="0" fontId="0" fillId="36" borderId="42" xfId="0" applyFont="1" applyFill="1" applyBorder="1" applyAlignment="1">
      <alignment horizontal="center" vertical="center" wrapText="1"/>
    </xf>
    <xf numFmtId="0" fontId="0" fillId="36" borderId="43" xfId="0" applyFont="1" applyFill="1" applyBorder="1" applyAlignment="1">
      <alignment horizontal="center" vertical="center" wrapText="1"/>
    </xf>
    <xf numFmtId="0" fontId="0" fillId="36" borderId="43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left" vertical="center" wrapText="1"/>
    </xf>
    <xf numFmtId="177" fontId="0" fillId="36" borderId="21" xfId="0" applyNumberFormat="1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172" fontId="0" fillId="36" borderId="21" xfId="0" applyNumberFormat="1" applyFont="1" applyFill="1" applyBorder="1" applyAlignment="1">
      <alignment horizontal="center"/>
    </xf>
    <xf numFmtId="0" fontId="0" fillId="36" borderId="43" xfId="0" applyFont="1" applyFill="1" applyBorder="1" applyAlignment="1">
      <alignment horizontal="left" vertical="center" wrapText="1"/>
    </xf>
    <xf numFmtId="177" fontId="0" fillId="36" borderId="43" xfId="0" applyNumberFormat="1" applyFont="1" applyFill="1" applyBorder="1" applyAlignment="1">
      <alignment horizontal="center" wrapText="1"/>
    </xf>
    <xf numFmtId="0" fontId="0" fillId="36" borderId="43" xfId="0" applyFont="1" applyFill="1" applyBorder="1" applyAlignment="1">
      <alignment horizontal="center" wrapText="1"/>
    </xf>
    <xf numFmtId="172" fontId="0" fillId="36" borderId="29" xfId="700" applyFont="1" applyFill="1" applyBorder="1" applyAlignment="1">
      <alignment horizontal="center"/>
    </xf>
    <xf numFmtId="172" fontId="1" fillId="36" borderId="21" xfId="0" applyNumberFormat="1" applyFont="1" applyFill="1" applyBorder="1" applyAlignment="1">
      <alignment horizontal="center"/>
    </xf>
    <xf numFmtId="0" fontId="0" fillId="0" borderId="21" xfId="546" applyFont="1" applyFill="1" applyBorder="1" applyAlignment="1">
      <alignment vertical="center"/>
      <protection/>
    </xf>
    <xf numFmtId="172" fontId="0" fillId="0" borderId="21" xfId="700" applyFont="1" applyFill="1" applyBorder="1" applyAlignment="1">
      <alignment vertical="center"/>
    </xf>
    <xf numFmtId="172" fontId="0" fillId="0" borderId="21" xfId="700" applyFont="1" applyBorder="1" applyAlignment="1">
      <alignment horizontal="right" vertical="center"/>
    </xf>
    <xf numFmtId="0" fontId="4" fillId="0" borderId="21" xfId="462" applyFont="1" applyFill="1" applyBorder="1" applyAlignment="1">
      <alignment horizontal="left" vertical="center" wrapText="1"/>
      <protection/>
    </xf>
    <xf numFmtId="0" fontId="4" fillId="0" borderId="21" xfId="462" applyFont="1" applyFill="1" applyBorder="1" applyAlignment="1">
      <alignment horizontal="left" vertical="center"/>
      <protection/>
    </xf>
    <xf numFmtId="0" fontId="4" fillId="0" borderId="0" xfId="462" applyFont="1" applyFill="1" applyBorder="1" applyAlignment="1">
      <alignment horizontal="center" vertical="center"/>
      <protection/>
    </xf>
    <xf numFmtId="0" fontId="8" fillId="36" borderId="59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left" vertical="center" wrapText="1"/>
    </xf>
    <xf numFmtId="177" fontId="8" fillId="36" borderId="21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4" fillId="36" borderId="0" xfId="0" applyFont="1" applyFill="1" applyBorder="1" applyAlignment="1">
      <alignment/>
    </xf>
    <xf numFmtId="177" fontId="4" fillId="36" borderId="0" xfId="0" applyNumberFormat="1" applyFont="1" applyFill="1" applyBorder="1" applyAlignment="1">
      <alignment/>
    </xf>
    <xf numFmtId="4" fontId="12" fillId="36" borderId="0" xfId="0" applyNumberFormat="1" applyFont="1" applyFill="1" applyBorder="1" applyAlignment="1">
      <alignment horizontal="right" vertical="center"/>
    </xf>
    <xf numFmtId="177" fontId="4" fillId="36" borderId="0" xfId="0" applyNumberFormat="1" applyFont="1" applyFill="1" applyAlignment="1">
      <alignment/>
    </xf>
    <xf numFmtId="4" fontId="4" fillId="36" borderId="0" xfId="0" applyNumberFormat="1" applyFont="1" applyFill="1" applyBorder="1" applyAlignment="1">
      <alignment vertical="center"/>
    </xf>
    <xf numFmtId="177" fontId="4" fillId="36" borderId="0" xfId="462" applyNumberFormat="1" applyFont="1" applyFill="1" applyBorder="1" applyAlignment="1">
      <alignment horizontal="center" vertical="center"/>
      <protection/>
    </xf>
    <xf numFmtId="4" fontId="10" fillId="36" borderId="21" xfId="700" applyNumberFormat="1" applyFont="1" applyFill="1" applyBorder="1" applyAlignment="1">
      <alignment vertical="center" wrapText="1"/>
    </xf>
    <xf numFmtId="0" fontId="12" fillId="36" borderId="21" xfId="0" applyFont="1" applyFill="1" applyBorder="1" applyAlignment="1">
      <alignment horizontal="center" vertical="center"/>
    </xf>
    <xf numFmtId="4" fontId="8" fillId="36" borderId="21" xfId="0" applyNumberFormat="1" applyFont="1" applyFill="1" applyBorder="1" applyAlignment="1">
      <alignment horizontal="center" vertical="center"/>
    </xf>
    <xf numFmtId="4" fontId="5" fillId="36" borderId="75" xfId="0" applyNumberFormat="1" applyFont="1" applyFill="1" applyBorder="1" applyAlignment="1">
      <alignment/>
    </xf>
    <xf numFmtId="4" fontId="4" fillId="36" borderId="0" xfId="0" applyNumberFormat="1" applyFont="1" applyFill="1" applyAlignment="1">
      <alignment/>
    </xf>
    <xf numFmtId="39" fontId="8" fillId="0" borderId="23" xfId="700" applyNumberFormat="1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177" fontId="4" fillId="36" borderId="21" xfId="0" applyNumberFormat="1" applyFont="1" applyFill="1" applyBorder="1" applyAlignment="1">
      <alignment horizontal="center"/>
    </xf>
    <xf numFmtId="177" fontId="110" fillId="0" borderId="21" xfId="691" applyNumberFormat="1" applyFont="1" applyFill="1" applyBorder="1" applyAlignment="1">
      <alignment horizontal="center"/>
    </xf>
    <xf numFmtId="177" fontId="110" fillId="36" borderId="21" xfId="691" applyNumberFormat="1" applyFont="1" applyFill="1" applyBorder="1" applyAlignment="1">
      <alignment horizontal="center"/>
    </xf>
    <xf numFmtId="3" fontId="5" fillId="36" borderId="21" xfId="0" applyNumberFormat="1" applyFont="1" applyFill="1" applyBorder="1" applyAlignment="1">
      <alignment horizontal="center"/>
    </xf>
    <xf numFmtId="2" fontId="4" fillId="28" borderId="21" xfId="0" applyNumberFormat="1" applyFont="1" applyFill="1" applyBorder="1" applyAlignment="1">
      <alignment horizontal="center" vertical="center"/>
    </xf>
    <xf numFmtId="0" fontId="63" fillId="36" borderId="0" xfId="0" applyFont="1" applyFill="1" applyAlignment="1">
      <alignment/>
    </xf>
    <xf numFmtId="0" fontId="4" fillId="28" borderId="43" xfId="0" applyFont="1" applyFill="1" applyBorder="1" applyAlignment="1">
      <alignment horizontal="center" vertical="center"/>
    </xf>
    <xf numFmtId="0" fontId="4" fillId="28" borderId="42" xfId="0" applyFont="1" applyFill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2" fontId="4" fillId="28" borderId="43" xfId="0" applyNumberFormat="1" applyFont="1" applyFill="1" applyBorder="1" applyAlignment="1">
      <alignment horizontal="center" vertical="center"/>
    </xf>
    <xf numFmtId="178" fontId="4" fillId="28" borderId="43" xfId="0" applyNumberFormat="1" applyFont="1" applyFill="1" applyBorder="1" applyAlignment="1">
      <alignment horizontal="center" vertical="center"/>
    </xf>
    <xf numFmtId="172" fontId="0" fillId="36" borderId="21" xfId="700" applyFont="1" applyFill="1" applyBorder="1" applyAlignment="1">
      <alignment horizontal="center" vertical="center" wrapText="1"/>
    </xf>
    <xf numFmtId="175" fontId="9" fillId="36" borderId="60" xfId="333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2" fontId="70" fillId="0" borderId="21" xfId="691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wrapText="1"/>
    </xf>
    <xf numFmtId="0" fontId="0" fillId="36" borderId="0" xfId="0" applyFill="1" applyAlignment="1">
      <alignment/>
    </xf>
    <xf numFmtId="40" fontId="4" fillId="36" borderId="21" xfId="700" applyNumberFormat="1" applyFont="1" applyFill="1" applyBorder="1" applyAlignment="1">
      <alignment vertical="center"/>
    </xf>
    <xf numFmtId="9" fontId="0" fillId="0" borderId="0" xfId="627" applyFont="1" applyAlignment="1">
      <alignment/>
    </xf>
    <xf numFmtId="0" fontId="4" fillId="0" borderId="21" xfId="462" applyFont="1" applyFill="1" applyBorder="1" applyAlignment="1">
      <alignment vertical="center"/>
      <protection/>
    </xf>
    <xf numFmtId="177" fontId="0" fillId="0" borderId="21" xfId="0" applyNumberFormat="1" applyBorder="1" applyAlignment="1">
      <alignment/>
    </xf>
    <xf numFmtId="3" fontId="4" fillId="36" borderId="21" xfId="0" applyNumberFormat="1" applyFont="1" applyFill="1" applyBorder="1" applyAlignment="1">
      <alignment horizontal="center"/>
    </xf>
    <xf numFmtId="3" fontId="5" fillId="36" borderId="21" xfId="0" applyNumberFormat="1" applyFont="1" applyFill="1" applyBorder="1" applyAlignment="1">
      <alignment horizontal="center" vertical="center"/>
    </xf>
    <xf numFmtId="1" fontId="0" fillId="36" borderId="21" xfId="0" applyNumberFormat="1" applyFont="1" applyFill="1" applyBorder="1" applyAlignment="1">
      <alignment horizontal="center"/>
    </xf>
    <xf numFmtId="193" fontId="0" fillId="36" borderId="21" xfId="700" applyNumberFormat="1" applyFont="1" applyFill="1" applyBorder="1" applyAlignment="1">
      <alignment/>
    </xf>
    <xf numFmtId="10" fontId="14" fillId="0" borderId="0" xfId="627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left" vertical="center"/>
    </xf>
    <xf numFmtId="188" fontId="0" fillId="0" borderId="21" xfId="0" applyNumberFormat="1" applyFont="1" applyFill="1" applyBorder="1" applyAlignment="1">
      <alignment horizontal="left" vertical="center"/>
    </xf>
    <xf numFmtId="3" fontId="7" fillId="0" borderId="27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55" xfId="0" applyNumberFormat="1" applyFont="1" applyBorder="1" applyAlignment="1">
      <alignment/>
    </xf>
    <xf numFmtId="3" fontId="63" fillId="0" borderId="72" xfId="0" applyNumberFormat="1" applyFont="1" applyBorder="1" applyAlignment="1">
      <alignment vertical="center"/>
    </xf>
    <xf numFmtId="3" fontId="67" fillId="0" borderId="54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left"/>
    </xf>
    <xf numFmtId="172" fontId="5" fillId="0" borderId="21" xfId="700" applyFont="1" applyBorder="1" applyAlignment="1">
      <alignment horizontal="right" vertical="center"/>
    </xf>
    <xf numFmtId="0" fontId="113" fillId="0" borderId="0" xfId="0" applyFont="1" applyAlignment="1">
      <alignment/>
    </xf>
    <xf numFmtId="2" fontId="14" fillId="36" borderId="21" xfId="0" applyNumberFormat="1" applyFont="1" applyFill="1" applyBorder="1" applyAlignment="1">
      <alignment horizontal="center" vertical="center"/>
    </xf>
    <xf numFmtId="172" fontId="14" fillId="36" borderId="21" xfId="700" applyFont="1" applyFill="1" applyBorder="1" applyAlignment="1">
      <alignment horizontal="center" vertical="center"/>
    </xf>
    <xf numFmtId="178" fontId="14" fillId="36" borderId="21" xfId="0" applyNumberFormat="1" applyFont="1" applyFill="1" applyBorder="1" applyAlignment="1">
      <alignment horizontal="center" vertical="center"/>
    </xf>
    <xf numFmtId="40" fontId="14" fillId="36" borderId="60" xfId="700" applyNumberFormat="1" applyFont="1" applyFill="1" applyBorder="1" applyAlignment="1">
      <alignment horizontal="center" vertical="center"/>
    </xf>
    <xf numFmtId="0" fontId="114" fillId="28" borderId="21" xfId="0" applyFont="1" applyFill="1" applyBorder="1" applyAlignment="1">
      <alignment vertical="center"/>
    </xf>
    <xf numFmtId="0" fontId="114" fillId="28" borderId="21" xfId="0" applyFont="1" applyFill="1" applyBorder="1" applyAlignment="1">
      <alignment horizontal="center"/>
    </xf>
    <xf numFmtId="2" fontId="114" fillId="28" borderId="21" xfId="0" applyNumberFormat="1" applyFont="1" applyFill="1" applyBorder="1" applyAlignment="1">
      <alignment horizontal="center"/>
    </xf>
    <xf numFmtId="0" fontId="114" fillId="0" borderId="21" xfId="0" applyFont="1" applyBorder="1" applyAlignment="1">
      <alignment horizontal="center" vertical="center"/>
    </xf>
    <xf numFmtId="0" fontId="114" fillId="28" borderId="42" xfId="0" applyFont="1" applyFill="1" applyBorder="1" applyAlignment="1">
      <alignment horizontal="center" vertical="center" wrapText="1"/>
    </xf>
    <xf numFmtId="0" fontId="114" fillId="28" borderId="43" xfId="0" applyFont="1" applyFill="1" applyBorder="1" applyAlignment="1">
      <alignment horizontal="center" vertical="center"/>
    </xf>
    <xf numFmtId="0" fontId="114" fillId="0" borderId="43" xfId="0" applyFont="1" applyFill="1" applyBorder="1" applyAlignment="1">
      <alignment horizontal="center" vertical="center"/>
    </xf>
    <xf numFmtId="2" fontId="114" fillId="28" borderId="43" xfId="0" applyNumberFormat="1" applyFont="1" applyFill="1" applyBorder="1" applyAlignment="1">
      <alignment horizontal="center" vertical="center"/>
    </xf>
    <xf numFmtId="178" fontId="114" fillId="28" borderId="43" xfId="0" applyNumberFormat="1" applyFont="1" applyFill="1" applyBorder="1" applyAlignment="1">
      <alignment horizontal="center" vertical="center"/>
    </xf>
    <xf numFmtId="0" fontId="114" fillId="28" borderId="29" xfId="0" applyFont="1" applyFill="1" applyBorder="1" applyAlignment="1">
      <alignment horizontal="center" vertical="center"/>
    </xf>
    <xf numFmtId="3" fontId="5" fillId="0" borderId="68" xfId="0" applyNumberFormat="1" applyFont="1" applyBorder="1" applyAlignment="1">
      <alignment horizontal="center" vertical="center" wrapText="1"/>
    </xf>
    <xf numFmtId="0" fontId="5" fillId="36" borderId="43" xfId="0" applyFont="1" applyFill="1" applyBorder="1" applyAlignment="1">
      <alignment horizontal="center" vertical="center"/>
    </xf>
    <xf numFmtId="172" fontId="1" fillId="36" borderId="42" xfId="700" applyFont="1" applyFill="1" applyBorder="1" applyAlignment="1">
      <alignment horizontal="center" vertical="center"/>
    </xf>
    <xf numFmtId="172" fontId="1" fillId="36" borderId="42" xfId="546" applyNumberFormat="1" applyFont="1" applyFill="1" applyBorder="1" applyAlignment="1">
      <alignment horizontal="center" vertical="center"/>
      <protection/>
    </xf>
    <xf numFmtId="4" fontId="1" fillId="36" borderId="42" xfId="546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" fontId="0" fillId="36" borderId="21" xfId="700" applyNumberFormat="1" applyFont="1" applyFill="1" applyBorder="1" applyAlignment="1">
      <alignment horizontal="center"/>
    </xf>
    <xf numFmtId="3" fontId="115" fillId="36" borderId="21" xfId="0" applyNumberFormat="1" applyFont="1" applyFill="1" applyBorder="1" applyAlignment="1">
      <alignment horizontal="center"/>
    </xf>
    <xf numFmtId="3" fontId="115" fillId="36" borderId="21" xfId="0" applyNumberFormat="1" applyFont="1" applyFill="1" applyBorder="1" applyAlignment="1" quotePrefix="1">
      <alignment horizontal="center"/>
    </xf>
    <xf numFmtId="177" fontId="115" fillId="36" borderId="21" xfId="0" applyNumberFormat="1" applyFont="1" applyFill="1" applyBorder="1" applyAlignment="1">
      <alignment horizontal="center"/>
    </xf>
    <xf numFmtId="2" fontId="104" fillId="36" borderId="21" xfId="0" applyNumberFormat="1" applyFont="1" applyFill="1" applyBorder="1" applyAlignment="1">
      <alignment/>
    </xf>
    <xf numFmtId="1" fontId="104" fillId="36" borderId="21" xfId="0" applyNumberFormat="1" applyFont="1" applyFill="1" applyBorder="1" applyAlignment="1">
      <alignment horizontal="center"/>
    </xf>
    <xf numFmtId="0" fontId="104" fillId="0" borderId="0" xfId="0" applyFont="1" applyAlignment="1">
      <alignment/>
    </xf>
    <xf numFmtId="0" fontId="95" fillId="0" borderId="0" xfId="321" applyAlignment="1" applyProtection="1">
      <alignment/>
      <protection/>
    </xf>
    <xf numFmtId="188" fontId="0" fillId="0" borderId="23" xfId="0" applyNumberFormat="1" applyFont="1" applyFill="1" applyBorder="1" applyAlignment="1">
      <alignment horizontal="left" vertical="center"/>
    </xf>
    <xf numFmtId="0" fontId="4" fillId="0" borderId="21" xfId="462" applyFont="1" applyFill="1" applyBorder="1" applyAlignment="1">
      <alignment vertical="center" wrapText="1"/>
      <protection/>
    </xf>
    <xf numFmtId="0" fontId="0" fillId="0" borderId="21" xfId="462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vertical="center" wrapText="1"/>
    </xf>
    <xf numFmtId="177" fontId="4" fillId="0" borderId="0" xfId="0" applyNumberFormat="1" applyFont="1" applyBorder="1" applyAlignment="1">
      <alignment horizontal="center"/>
    </xf>
    <xf numFmtId="202" fontId="0" fillId="0" borderId="0" xfId="333" applyNumberFormat="1" applyFont="1" applyAlignment="1">
      <alignment/>
    </xf>
    <xf numFmtId="4" fontId="10" fillId="0" borderId="76" xfId="0" applyNumberFormat="1" applyFont="1" applyBorder="1" applyAlignment="1">
      <alignment horizontal="center"/>
    </xf>
    <xf numFmtId="176" fontId="10" fillId="0" borderId="42" xfId="0" applyNumberFormat="1" applyFont="1" applyBorder="1" applyAlignment="1" quotePrefix="1">
      <alignment horizontal="center" vertical="center"/>
    </xf>
    <xf numFmtId="4" fontId="10" fillId="0" borderId="42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4" fontId="8" fillId="0" borderId="42" xfId="0" applyNumberFormat="1" applyFont="1" applyBorder="1" applyAlignment="1">
      <alignment horizontal="right"/>
    </xf>
    <xf numFmtId="4" fontId="12" fillId="0" borderId="42" xfId="0" applyNumberFormat="1" applyFont="1" applyBorder="1" applyAlignment="1">
      <alignment horizontal="right"/>
    </xf>
    <xf numFmtId="4" fontId="12" fillId="36" borderId="42" xfId="0" applyNumberFormat="1" applyFont="1" applyFill="1" applyBorder="1" applyAlignment="1">
      <alignment horizontal="right"/>
    </xf>
    <xf numFmtId="4" fontId="12" fillId="0" borderId="42" xfId="0" applyNumberFormat="1" applyFont="1" applyBorder="1" applyAlignment="1">
      <alignment horizontal="right" vertical="center"/>
    </xf>
    <xf numFmtId="4" fontId="12" fillId="36" borderId="42" xfId="0" applyNumberFormat="1" applyFont="1" applyFill="1" applyBorder="1" applyAlignment="1">
      <alignment horizontal="right" vertical="center"/>
    </xf>
    <xf numFmtId="4" fontId="8" fillId="0" borderId="42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" fontId="5" fillId="0" borderId="73" xfId="0" applyNumberFormat="1" applyFont="1" applyBorder="1" applyAlignment="1">
      <alignment/>
    </xf>
    <xf numFmtId="176" fontId="10" fillId="0" borderId="70" xfId="0" applyNumberFormat="1" applyFont="1" applyBorder="1" applyAlignment="1" quotePrefix="1">
      <alignment horizontal="center" vertical="center"/>
    </xf>
    <xf numFmtId="4" fontId="10" fillId="0" borderId="70" xfId="0" applyNumberFormat="1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4" fontId="12" fillId="0" borderId="70" xfId="0" applyNumberFormat="1" applyFont="1" applyBorder="1" applyAlignment="1">
      <alignment horizontal="right" vertical="center"/>
    </xf>
    <xf numFmtId="4" fontId="5" fillId="0" borderId="70" xfId="0" applyNumberFormat="1" applyFont="1" applyBorder="1" applyAlignment="1">
      <alignment/>
    </xf>
    <xf numFmtId="2" fontId="9" fillId="0" borderId="77" xfId="0" applyNumberFormat="1" applyFont="1" applyFill="1" applyBorder="1" applyAlignment="1">
      <alignment horizontal="center" vertical="justify" wrapText="1"/>
    </xf>
    <xf numFmtId="0" fontId="0" fillId="0" borderId="40" xfId="462" applyFont="1" applyFill="1" applyBorder="1">
      <alignment/>
      <protection/>
    </xf>
    <xf numFmtId="2" fontId="14" fillId="36" borderId="59" xfId="0" applyNumberFormat="1" applyFont="1" applyFill="1" applyBorder="1" applyAlignment="1">
      <alignment horizontal="center" vertical="center"/>
    </xf>
    <xf numFmtId="4" fontId="12" fillId="0" borderId="41" xfId="0" applyNumberFormat="1" applyFont="1" applyBorder="1" applyAlignment="1">
      <alignment horizontal="right" vertical="center"/>
    </xf>
    <xf numFmtId="43" fontId="0" fillId="0" borderId="0" xfId="70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7" fillId="36" borderId="21" xfId="0" applyFont="1" applyFill="1" applyBorder="1" applyAlignment="1">
      <alignment/>
    </xf>
    <xf numFmtId="0" fontId="77" fillId="36" borderId="21" xfId="0" applyFont="1" applyFill="1" applyBorder="1" applyAlignment="1">
      <alignment horizontal="left" wrapText="1"/>
    </xf>
    <xf numFmtId="0" fontId="77" fillId="36" borderId="21" xfId="0" applyFont="1" applyFill="1" applyBorder="1" applyAlignment="1">
      <alignment horizontal="left" vertical="center" wrapText="1"/>
    </xf>
    <xf numFmtId="172" fontId="1" fillId="36" borderId="21" xfId="700" applyFont="1" applyFill="1" applyBorder="1" applyAlignment="1">
      <alignment horizontal="center" vertical="center" wrapText="1"/>
    </xf>
    <xf numFmtId="3" fontId="4" fillId="36" borderId="21" xfId="0" applyNumberFormat="1" applyFont="1" applyFill="1" applyBorder="1" applyAlignment="1">
      <alignment horizontal="center"/>
    </xf>
    <xf numFmtId="2" fontId="0" fillId="36" borderId="21" xfId="700" applyNumberFormat="1" applyFont="1" applyFill="1" applyBorder="1" applyAlignment="1">
      <alignment horizontal="right" vertical="center"/>
    </xf>
    <xf numFmtId="2" fontId="0" fillId="0" borderId="21" xfId="700" applyNumberFormat="1" applyFont="1" applyFill="1" applyBorder="1" applyAlignment="1">
      <alignment horizontal="right" vertical="center"/>
    </xf>
    <xf numFmtId="180" fontId="0" fillId="36" borderId="21" xfId="700" applyNumberFormat="1" applyFont="1" applyFill="1" applyBorder="1" applyAlignment="1">
      <alignment vertical="center"/>
    </xf>
    <xf numFmtId="0" fontId="12" fillId="36" borderId="21" xfId="0" applyFont="1" applyFill="1" applyBorder="1" applyAlignment="1" applyProtection="1">
      <alignment horizontal="center" vertical="center" wrapText="1"/>
      <protection/>
    </xf>
    <xf numFmtId="172" fontId="0" fillId="36" borderId="58" xfId="700" applyFont="1" applyFill="1" applyBorder="1" applyAlignment="1" applyProtection="1">
      <alignment vertical="center" wrapText="1"/>
      <protection/>
    </xf>
    <xf numFmtId="172" fontId="0" fillId="36" borderId="24" xfId="700" applyFont="1" applyFill="1" applyBorder="1" applyAlignment="1" applyProtection="1">
      <alignment vertical="center" wrapText="1"/>
      <protection/>
    </xf>
    <xf numFmtId="172" fontId="0" fillId="36" borderId="25" xfId="700" applyFont="1" applyFill="1" applyBorder="1" applyAlignment="1" applyProtection="1">
      <alignment vertical="center" wrapText="1"/>
      <protection/>
    </xf>
    <xf numFmtId="0" fontId="4" fillId="36" borderId="21" xfId="0" applyFont="1" applyFill="1" applyBorder="1" applyAlignment="1">
      <alignment horizontal="center" vertical="center"/>
    </xf>
    <xf numFmtId="177" fontId="10" fillId="28" borderId="21" xfId="0" applyNumberFormat="1" applyFont="1" applyFill="1" applyBorder="1" applyAlignment="1">
      <alignment horizontal="center" vertical="center"/>
    </xf>
    <xf numFmtId="177" fontId="10" fillId="28" borderId="21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7" fontId="4" fillId="0" borderId="21" xfId="462" applyNumberFormat="1" applyFont="1" applyFill="1" applyBorder="1" applyAlignment="1">
      <alignment horizontal="right" vertical="center"/>
      <protection/>
    </xf>
    <xf numFmtId="177" fontId="4" fillId="0" borderId="21" xfId="0" applyNumberFormat="1" applyFont="1" applyBorder="1" applyAlignment="1">
      <alignment horizontal="right" vertical="center"/>
    </xf>
    <xf numFmtId="177" fontId="8" fillId="0" borderId="21" xfId="462" applyNumberFormat="1" applyFont="1" applyFill="1" applyBorder="1" applyAlignment="1">
      <alignment horizontal="right" vertical="center"/>
      <protection/>
    </xf>
    <xf numFmtId="177" fontId="8" fillId="0" borderId="21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177" fontId="10" fillId="0" borderId="21" xfId="0" applyNumberFormat="1" applyFont="1" applyBorder="1" applyAlignment="1">
      <alignment horizontal="right" vertical="center"/>
    </xf>
    <xf numFmtId="177" fontId="116" fillId="0" borderId="21" xfId="0" applyNumberFormat="1" applyFont="1" applyBorder="1" applyAlignment="1">
      <alignment horizontal="right" vertical="center"/>
    </xf>
    <xf numFmtId="177" fontId="116" fillId="0" borderId="21" xfId="462" applyNumberFormat="1" applyFont="1" applyFill="1" applyBorder="1" applyAlignment="1">
      <alignment horizontal="right" vertical="center"/>
      <protection/>
    </xf>
    <xf numFmtId="195" fontId="116" fillId="0" borderId="21" xfId="462" applyNumberFormat="1" applyFont="1" applyFill="1" applyBorder="1" applyAlignment="1">
      <alignment horizontal="right" vertical="center"/>
      <protection/>
    </xf>
    <xf numFmtId="194" fontId="116" fillId="0" borderId="68" xfId="0" applyNumberFormat="1" applyFont="1" applyFill="1" applyBorder="1" applyAlignment="1">
      <alignment horizontal="right"/>
    </xf>
    <xf numFmtId="0" fontId="8" fillId="0" borderId="21" xfId="0" applyFont="1" applyBorder="1" applyAlignment="1" quotePrefix="1">
      <alignment horizontal="center" vertical="center"/>
    </xf>
    <xf numFmtId="177" fontId="10" fillId="0" borderId="21" xfId="462" applyNumberFormat="1" applyFont="1" applyFill="1" applyBorder="1" applyAlignment="1">
      <alignment horizontal="right" vertical="center"/>
      <protection/>
    </xf>
    <xf numFmtId="177" fontId="10" fillId="0" borderId="21" xfId="700" applyNumberFormat="1" applyFont="1" applyFill="1" applyBorder="1" applyAlignment="1">
      <alignment horizontal="right" vertical="center"/>
    </xf>
    <xf numFmtId="178" fontId="70" fillId="0" borderId="21" xfId="462" applyNumberFormat="1" applyFont="1" applyFill="1" applyBorder="1" applyAlignment="1">
      <alignment horizontal="right" vertical="center"/>
      <protection/>
    </xf>
    <xf numFmtId="0" fontId="8" fillId="0" borderId="0" xfId="0" applyFont="1" applyAlignment="1">
      <alignment vertical="center"/>
    </xf>
    <xf numFmtId="4" fontId="12" fillId="0" borderId="70" xfId="0" applyNumberFormat="1" applyFont="1" applyBorder="1" applyAlignment="1">
      <alignment horizontal="center" vertical="center"/>
    </xf>
    <xf numFmtId="4" fontId="12" fillId="36" borderId="70" xfId="0" applyNumberFormat="1" applyFont="1" applyFill="1" applyBorder="1" applyAlignment="1">
      <alignment horizontal="center" vertical="center"/>
    </xf>
    <xf numFmtId="4" fontId="8" fillId="0" borderId="70" xfId="0" applyNumberFormat="1" applyFont="1" applyBorder="1" applyAlignment="1">
      <alignment horizontal="center" vertical="center"/>
    </xf>
    <xf numFmtId="177" fontId="70" fillId="0" borderId="60" xfId="462" applyNumberFormat="1" applyFont="1" applyFill="1" applyBorder="1" applyAlignment="1">
      <alignment horizontal="right" vertical="center"/>
      <protection/>
    </xf>
    <xf numFmtId="204" fontId="0" fillId="0" borderId="0" xfId="0" applyNumberFormat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4" fontId="11" fillId="36" borderId="78" xfId="0" applyNumberFormat="1" applyFont="1" applyFill="1" applyBorder="1" applyAlignment="1">
      <alignment horizontal="center" vertical="center"/>
    </xf>
    <xf numFmtId="4" fontId="11" fillId="36" borderId="79" xfId="0" applyNumberFormat="1" applyFont="1" applyFill="1" applyBorder="1" applyAlignment="1">
      <alignment horizontal="center" vertical="center"/>
    </xf>
    <xf numFmtId="4" fontId="11" fillId="36" borderId="67" xfId="0" applyNumberFormat="1" applyFont="1" applyFill="1" applyBorder="1" applyAlignment="1">
      <alignment horizontal="center" vertical="center"/>
    </xf>
    <xf numFmtId="0" fontId="10" fillId="36" borderId="80" xfId="0" applyFont="1" applyFill="1" applyBorder="1" applyAlignment="1">
      <alignment horizontal="center" vertical="center"/>
    </xf>
    <xf numFmtId="0" fontId="0" fillId="36" borderId="81" xfId="0" applyFill="1" applyBorder="1" applyAlignment="1">
      <alignment horizontal="center" vertical="center"/>
    </xf>
    <xf numFmtId="0" fontId="0" fillId="36" borderId="82" xfId="0" applyFill="1" applyBorder="1" applyAlignment="1">
      <alignment horizontal="center" vertical="center"/>
    </xf>
    <xf numFmtId="0" fontId="0" fillId="36" borderId="22" xfId="0" applyFill="1" applyBorder="1" applyAlignment="1">
      <alignment horizontal="left" vertical="center"/>
    </xf>
    <xf numFmtId="0" fontId="0" fillId="36" borderId="68" xfId="0" applyFill="1" applyBorder="1" applyAlignment="1">
      <alignment horizontal="left" vertical="center"/>
    </xf>
    <xf numFmtId="0" fontId="0" fillId="36" borderId="23" xfId="0" applyFill="1" applyBorder="1" applyAlignment="1">
      <alignment horizontal="left" vertical="center"/>
    </xf>
    <xf numFmtId="0" fontId="9" fillId="36" borderId="77" xfId="0" applyNumberFormat="1" applyFont="1" applyFill="1" applyBorder="1" applyAlignment="1">
      <alignment horizontal="center" vertical="center"/>
    </xf>
    <xf numFmtId="0" fontId="9" fillId="36" borderId="50" xfId="0" applyNumberFormat="1" applyFont="1" applyFill="1" applyBorder="1" applyAlignment="1">
      <alignment horizontal="center" vertical="center"/>
    </xf>
    <xf numFmtId="0" fontId="9" fillId="36" borderId="51" xfId="0" applyNumberFormat="1" applyFont="1" applyFill="1" applyBorder="1" applyAlignment="1">
      <alignment horizontal="center" vertical="center"/>
    </xf>
    <xf numFmtId="0" fontId="9" fillId="36" borderId="59" xfId="0" applyNumberFormat="1" applyFont="1" applyFill="1" applyBorder="1" applyAlignment="1">
      <alignment horizontal="center" vertical="center"/>
    </xf>
    <xf numFmtId="0" fontId="9" fillId="36" borderId="21" xfId="0" applyNumberFormat="1" applyFont="1" applyFill="1" applyBorder="1" applyAlignment="1">
      <alignment horizontal="center" vertical="center"/>
    </xf>
    <xf numFmtId="0" fontId="9" fillId="36" borderId="60" xfId="0" applyNumberFormat="1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0" fontId="10" fillId="36" borderId="59" xfId="0" applyNumberFormat="1" applyFont="1" applyFill="1" applyBorder="1" applyAlignment="1">
      <alignment vertical="center"/>
    </xf>
    <xf numFmtId="0" fontId="10" fillId="36" borderId="22" xfId="0" applyFont="1" applyFill="1" applyBorder="1" applyAlignment="1">
      <alignment horizontal="left" vertical="center"/>
    </xf>
    <xf numFmtId="0" fontId="1" fillId="36" borderId="61" xfId="0" applyNumberFormat="1" applyFont="1" applyFill="1" applyBorder="1" applyAlignment="1">
      <alignment horizontal="left"/>
    </xf>
    <xf numFmtId="0" fontId="1" fillId="36" borderId="43" xfId="0" applyNumberFormat="1" applyFont="1" applyFill="1" applyBorder="1" applyAlignment="1">
      <alignment horizontal="left"/>
    </xf>
    <xf numFmtId="0" fontId="1" fillId="36" borderId="63" xfId="0" applyNumberFormat="1" applyFont="1" applyFill="1" applyBorder="1" applyAlignment="1">
      <alignment horizontal="left"/>
    </xf>
    <xf numFmtId="0" fontId="1" fillId="36" borderId="61" xfId="0" applyFont="1" applyFill="1" applyBorder="1" applyAlignment="1">
      <alignment horizontal="left" vertical="center" wrapText="1"/>
    </xf>
    <xf numFmtId="0" fontId="1" fillId="36" borderId="43" xfId="0" applyFont="1" applyFill="1" applyBorder="1" applyAlignment="1">
      <alignment horizontal="left" vertical="center" wrapText="1"/>
    </xf>
    <xf numFmtId="0" fontId="1" fillId="36" borderId="63" xfId="0" applyFont="1" applyFill="1" applyBorder="1" applyAlignment="1">
      <alignment horizontal="left" vertical="center" wrapText="1"/>
    </xf>
    <xf numFmtId="0" fontId="10" fillId="36" borderId="22" xfId="0" applyFont="1" applyFill="1" applyBorder="1" applyAlignment="1">
      <alignment horizontal="left" vertical="center" wrapText="1"/>
    </xf>
    <xf numFmtId="0" fontId="0" fillId="36" borderId="68" xfId="0" applyFill="1" applyBorder="1" applyAlignment="1">
      <alignment horizontal="left" vertical="center" wrapText="1"/>
    </xf>
    <xf numFmtId="0" fontId="0" fillId="36" borderId="23" xfId="0" applyFill="1" applyBorder="1" applyAlignment="1">
      <alignment horizontal="left" vertical="center" wrapText="1"/>
    </xf>
    <xf numFmtId="0" fontId="10" fillId="36" borderId="68" xfId="0" applyFont="1" applyFill="1" applyBorder="1" applyAlignment="1">
      <alignment horizontal="left" vertical="center"/>
    </xf>
    <xf numFmtId="0" fontId="10" fillId="36" borderId="23" xfId="0" applyFont="1" applyFill="1" applyBorder="1" applyAlignment="1">
      <alignment horizontal="left" vertical="center"/>
    </xf>
    <xf numFmtId="0" fontId="11" fillId="36" borderId="61" xfId="0" applyNumberFormat="1" applyFont="1" applyFill="1" applyBorder="1" applyAlignment="1">
      <alignment horizontal="left" vertical="center"/>
    </xf>
    <xf numFmtId="0" fontId="11" fillId="36" borderId="29" xfId="0" applyNumberFormat="1" applyFont="1" applyFill="1" applyBorder="1" applyAlignment="1">
      <alignment horizontal="left" vertical="center"/>
    </xf>
    <xf numFmtId="0" fontId="0" fillId="36" borderId="22" xfId="0" applyFill="1" applyBorder="1" applyAlignment="1">
      <alignment horizontal="left" vertical="center" wrapText="1"/>
    </xf>
    <xf numFmtId="0" fontId="9" fillId="36" borderId="83" xfId="0" applyNumberFormat="1" applyFont="1" applyFill="1" applyBorder="1" applyAlignment="1">
      <alignment horizontal="left" vertical="center"/>
    </xf>
    <xf numFmtId="0" fontId="9" fillId="36" borderId="55" xfId="0" applyNumberFormat="1" applyFont="1" applyFill="1" applyBorder="1" applyAlignment="1">
      <alignment horizontal="left" vertical="center"/>
    </xf>
    <xf numFmtId="0" fontId="9" fillId="36" borderId="40" xfId="0" applyNumberFormat="1" applyFont="1" applyFill="1" applyBorder="1" applyAlignment="1">
      <alignment horizontal="left" vertical="center"/>
    </xf>
    <xf numFmtId="0" fontId="9" fillId="36" borderId="52" xfId="0" applyNumberFormat="1" applyFont="1" applyFill="1" applyBorder="1" applyAlignment="1">
      <alignment horizontal="left" vertical="center"/>
    </xf>
    <xf numFmtId="0" fontId="9" fillId="36" borderId="69" xfId="0" applyNumberFormat="1" applyFont="1" applyFill="1" applyBorder="1" applyAlignment="1">
      <alignment horizontal="left" vertical="center"/>
    </xf>
    <xf numFmtId="0" fontId="9" fillId="36" borderId="54" xfId="0" applyNumberFormat="1" applyFont="1" applyFill="1" applyBorder="1" applyAlignment="1">
      <alignment horizontal="left" vertical="center"/>
    </xf>
    <xf numFmtId="175" fontId="9" fillId="36" borderId="78" xfId="333" applyFont="1" applyFill="1" applyBorder="1" applyAlignment="1">
      <alignment horizontal="center" vertical="center"/>
    </xf>
    <xf numFmtId="175" fontId="9" fillId="36" borderId="79" xfId="333" applyFont="1" applyFill="1" applyBorder="1" applyAlignment="1">
      <alignment horizontal="center" vertical="center"/>
    </xf>
    <xf numFmtId="175" fontId="9" fillId="36" borderId="67" xfId="333" applyFont="1" applyFill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177" fontId="10" fillId="0" borderId="21" xfId="0" applyNumberFormat="1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 wrapText="1"/>
    </xf>
    <xf numFmtId="0" fontId="64" fillId="0" borderId="42" xfId="0" applyFont="1" applyBorder="1" applyAlignment="1">
      <alignment vertical="center" wrapText="1"/>
    </xf>
    <xf numFmtId="0" fontId="64" fillId="0" borderId="43" xfId="0" applyFont="1" applyBorder="1" applyAlignment="1">
      <alignment vertical="center" wrapText="1"/>
    </xf>
    <xf numFmtId="0" fontId="64" fillId="0" borderId="29" xfId="0" applyFont="1" applyBorder="1" applyAlignment="1">
      <alignment vertical="center" wrapText="1"/>
    </xf>
    <xf numFmtId="0" fontId="64" fillId="0" borderId="42" xfId="0" applyFont="1" applyBorder="1" applyAlignment="1">
      <alignment horizontal="left" vertical="center" wrapText="1"/>
    </xf>
    <xf numFmtId="0" fontId="64" fillId="0" borderId="43" xfId="0" applyFont="1" applyBorder="1" applyAlignment="1">
      <alignment horizontal="left" vertical="center" wrapText="1"/>
    </xf>
    <xf numFmtId="0" fontId="64" fillId="0" borderId="29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10" fontId="71" fillId="0" borderId="0" xfId="627" applyNumberFormat="1" applyFont="1" applyFill="1" applyBorder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64" fillId="0" borderId="77" xfId="0" applyFont="1" applyBorder="1" applyAlignment="1">
      <alignment horizontal="center" vertical="center" wrapText="1"/>
    </xf>
    <xf numFmtId="0" fontId="64" fillId="0" borderId="50" xfId="0" applyFont="1" applyBorder="1" applyAlignment="1">
      <alignment horizontal="center" vertical="center" wrapText="1"/>
    </xf>
    <xf numFmtId="0" fontId="64" fillId="0" borderId="5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4" fillId="0" borderId="50" xfId="0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0" fillId="36" borderId="22" xfId="0" applyFont="1" applyFill="1" applyBorder="1" applyAlignment="1">
      <alignment horizontal="center" vertical="center" wrapText="1"/>
    </xf>
    <xf numFmtId="0" fontId="0" fillId="36" borderId="23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36" borderId="23" xfId="0" applyFont="1" applyFill="1" applyBorder="1" applyAlignment="1">
      <alignment horizontal="center" vertical="center" wrapText="1"/>
    </xf>
    <xf numFmtId="172" fontId="8" fillId="0" borderId="42" xfId="700" applyFont="1" applyBorder="1" applyAlignment="1">
      <alignment vertical="center"/>
    </xf>
    <xf numFmtId="172" fontId="8" fillId="0" borderId="43" xfId="700" applyFont="1" applyBorder="1" applyAlignment="1">
      <alignment vertical="center"/>
    </xf>
    <xf numFmtId="172" fontId="8" fillId="0" borderId="29" xfId="700" applyFont="1" applyBorder="1" applyAlignment="1">
      <alignment vertical="center"/>
    </xf>
    <xf numFmtId="10" fontId="8" fillId="0" borderId="42" xfId="0" applyNumberFormat="1" applyFont="1" applyBorder="1" applyAlignment="1">
      <alignment horizontal="center" vertical="center"/>
    </xf>
    <xf numFmtId="10" fontId="8" fillId="0" borderId="43" xfId="0" applyNumberFormat="1" applyFont="1" applyBorder="1" applyAlignment="1">
      <alignment horizontal="center" vertical="center"/>
    </xf>
    <xf numFmtId="10" fontId="8" fillId="0" borderId="29" xfId="0" applyNumberFormat="1" applyFont="1" applyBorder="1" applyAlignment="1">
      <alignment horizontal="center" vertical="center"/>
    </xf>
    <xf numFmtId="9" fontId="8" fillId="0" borderId="42" xfId="0" applyNumberFormat="1" applyFont="1" applyBorder="1" applyAlignment="1">
      <alignment horizontal="center" vertical="center"/>
    </xf>
    <xf numFmtId="9" fontId="8" fillId="0" borderId="43" xfId="0" applyNumberFormat="1" applyFont="1" applyBorder="1" applyAlignment="1">
      <alignment horizontal="center" vertical="center"/>
    </xf>
    <xf numFmtId="9" fontId="8" fillId="0" borderId="29" xfId="0" applyNumberFormat="1" applyFont="1" applyBorder="1" applyAlignment="1">
      <alignment horizontal="center" vertical="center"/>
    </xf>
    <xf numFmtId="4" fontId="8" fillId="0" borderId="42" xfId="0" applyNumberFormat="1" applyFont="1" applyFill="1" applyBorder="1" applyAlignment="1">
      <alignment horizontal="center" vertical="center"/>
    </xf>
    <xf numFmtId="4" fontId="8" fillId="0" borderId="43" xfId="0" applyNumberFormat="1" applyFont="1" applyFill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/>
    </xf>
    <xf numFmtId="4" fontId="8" fillId="0" borderId="42" xfId="627" applyNumberFormat="1" applyFont="1" applyBorder="1" applyAlignment="1">
      <alignment horizontal="center" vertical="center"/>
    </xf>
    <xf numFmtId="4" fontId="8" fillId="0" borderId="43" xfId="627" applyNumberFormat="1" applyFont="1" applyBorder="1" applyAlignment="1">
      <alignment horizontal="center" vertical="center"/>
    </xf>
    <xf numFmtId="4" fontId="8" fillId="0" borderId="29" xfId="627" applyNumberFormat="1" applyFont="1" applyBorder="1" applyAlignment="1">
      <alignment horizontal="center" vertical="center"/>
    </xf>
    <xf numFmtId="190" fontId="8" fillId="0" borderId="72" xfId="0" applyNumberFormat="1" applyFont="1" applyBorder="1" applyAlignment="1">
      <alignment horizontal="center" vertical="center"/>
    </xf>
    <xf numFmtId="190" fontId="8" fillId="0" borderId="53" xfId="0" applyNumberFormat="1" applyFont="1" applyBorder="1" applyAlignment="1">
      <alignment horizontal="center" vertical="center"/>
    </xf>
    <xf numFmtId="190" fontId="8" fillId="0" borderId="54" xfId="0" applyNumberFormat="1" applyFont="1" applyBorder="1" applyAlignment="1">
      <alignment horizontal="center" vertical="center"/>
    </xf>
    <xf numFmtId="4" fontId="8" fillId="0" borderId="27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4" fontId="8" fillId="0" borderId="55" xfId="0" applyNumberFormat="1" applyFont="1" applyFill="1" applyBorder="1" applyAlignment="1">
      <alignment horizontal="center" vertical="center"/>
    </xf>
    <xf numFmtId="39" fontId="8" fillId="0" borderId="22" xfId="700" applyNumberFormat="1" applyFont="1" applyBorder="1" applyAlignment="1">
      <alignment horizontal="center" vertical="center"/>
    </xf>
    <xf numFmtId="39" fontId="8" fillId="0" borderId="68" xfId="700" applyNumberFormat="1" applyFont="1" applyBorder="1" applyAlignment="1">
      <alignment horizontal="center" vertical="center"/>
    </xf>
    <xf numFmtId="39" fontId="8" fillId="0" borderId="23" xfId="700" applyNumberFormat="1" applyFont="1" applyBorder="1" applyAlignment="1">
      <alignment horizontal="center" vertical="center"/>
    </xf>
    <xf numFmtId="0" fontId="8" fillId="27" borderId="42" xfId="0" applyFont="1" applyFill="1" applyBorder="1" applyAlignment="1">
      <alignment horizontal="center" vertical="center"/>
    </xf>
    <xf numFmtId="0" fontId="8" fillId="27" borderId="43" xfId="0" applyFont="1" applyFill="1" applyBorder="1" applyAlignment="1">
      <alignment horizontal="center" vertical="center"/>
    </xf>
    <xf numFmtId="0" fontId="8" fillId="27" borderId="29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68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 indent="1"/>
    </xf>
    <xf numFmtId="0" fontId="8" fillId="0" borderId="55" xfId="0" applyFont="1" applyBorder="1" applyAlignment="1">
      <alignment horizontal="left" vertical="center" indent="1"/>
    </xf>
    <xf numFmtId="0" fontId="8" fillId="0" borderId="70" xfId="0" applyFont="1" applyBorder="1" applyAlignment="1">
      <alignment horizontal="left" vertical="center" indent="1"/>
    </xf>
    <xf numFmtId="0" fontId="8" fillId="0" borderId="52" xfId="0" applyFont="1" applyBorder="1" applyAlignment="1">
      <alignment horizontal="left" vertical="center" inden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55" xfId="0" applyFont="1" applyBorder="1" applyAlignment="1">
      <alignment horizontal="center" vertical="center" wrapText="1"/>
    </xf>
    <xf numFmtId="0" fontId="66" fillId="0" borderId="7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66" fillId="0" borderId="72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 wrapText="1"/>
    </xf>
    <xf numFmtId="0" fontId="66" fillId="0" borderId="5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66" fillId="0" borderId="7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52" xfId="0" applyFont="1" applyBorder="1" applyAlignment="1">
      <alignment horizontal="center" vertical="center"/>
    </xf>
    <xf numFmtId="0" fontId="66" fillId="0" borderId="72" xfId="0" applyFont="1" applyBorder="1" applyAlignment="1">
      <alignment horizontal="center" vertical="center"/>
    </xf>
    <xf numFmtId="0" fontId="66" fillId="0" borderId="53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190" fontId="8" fillId="0" borderId="42" xfId="0" applyNumberFormat="1" applyFont="1" applyBorder="1" applyAlignment="1">
      <alignment horizontal="center" vertical="center"/>
    </xf>
    <xf numFmtId="190" fontId="8" fillId="0" borderId="43" xfId="0" applyNumberFormat="1" applyFont="1" applyBorder="1" applyAlignment="1">
      <alignment horizontal="center" vertical="center"/>
    </xf>
    <xf numFmtId="190" fontId="8" fillId="0" borderId="29" xfId="0" applyNumberFormat="1" applyFont="1" applyBorder="1" applyAlignment="1">
      <alignment horizontal="center"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 indent="1"/>
    </xf>
    <xf numFmtId="0" fontId="8" fillId="0" borderId="55" xfId="0" applyFont="1" applyBorder="1" applyAlignment="1">
      <alignment horizontal="left" vertical="center" wrapText="1" indent="1"/>
    </xf>
    <xf numFmtId="0" fontId="8" fillId="0" borderId="70" xfId="0" applyFont="1" applyBorder="1" applyAlignment="1">
      <alignment horizontal="left" vertical="center" wrapText="1" indent="1"/>
    </xf>
    <xf numFmtId="0" fontId="8" fillId="0" borderId="52" xfId="0" applyFont="1" applyBorder="1" applyAlignment="1">
      <alignment horizontal="left" vertical="center" wrapText="1" indent="1"/>
    </xf>
    <xf numFmtId="0" fontId="8" fillId="0" borderId="72" xfId="0" applyFont="1" applyBorder="1" applyAlignment="1">
      <alignment horizontal="left" vertical="center" wrapText="1" indent="1"/>
    </xf>
    <xf numFmtId="0" fontId="8" fillId="0" borderId="54" xfId="0" applyFont="1" applyBorder="1" applyAlignment="1">
      <alignment horizontal="left" vertical="center" wrapText="1" indent="1"/>
    </xf>
    <xf numFmtId="192" fontId="8" fillId="0" borderId="42" xfId="0" applyNumberFormat="1" applyFont="1" applyBorder="1" applyAlignment="1">
      <alignment horizontal="center" vertical="center"/>
    </xf>
    <xf numFmtId="192" fontId="8" fillId="0" borderId="43" xfId="0" applyNumberFormat="1" applyFont="1" applyBorder="1" applyAlignment="1">
      <alignment horizontal="center" vertical="center"/>
    </xf>
    <xf numFmtId="192" fontId="8" fillId="0" borderId="29" xfId="0" applyNumberFormat="1" applyFont="1" applyBorder="1" applyAlignment="1">
      <alignment horizontal="center" vertical="center"/>
    </xf>
    <xf numFmtId="192" fontId="8" fillId="0" borderId="42" xfId="0" applyNumberFormat="1" applyFont="1" applyFill="1" applyBorder="1" applyAlignment="1">
      <alignment horizontal="center" vertical="center"/>
    </xf>
    <xf numFmtId="192" fontId="8" fillId="0" borderId="43" xfId="0" applyNumberFormat="1" applyFont="1" applyFill="1" applyBorder="1" applyAlignment="1">
      <alignment horizontal="center" vertical="center"/>
    </xf>
    <xf numFmtId="192" fontId="8" fillId="0" borderId="29" xfId="0" applyNumberFormat="1" applyFont="1" applyFill="1" applyBorder="1" applyAlignment="1">
      <alignment horizontal="center" vertical="center"/>
    </xf>
    <xf numFmtId="0" fontId="8" fillId="36" borderId="43" xfId="0" applyFont="1" applyFill="1" applyBorder="1" applyAlignment="1">
      <alignment horizontal="center" vertical="center"/>
    </xf>
    <xf numFmtId="0" fontId="8" fillId="36" borderId="29" xfId="0" applyFont="1" applyFill="1" applyBorder="1" applyAlignment="1">
      <alignment horizontal="center" vertical="center"/>
    </xf>
    <xf numFmtId="9" fontId="8" fillId="0" borderId="53" xfId="0" applyNumberFormat="1" applyFont="1" applyBorder="1" applyAlignment="1">
      <alignment horizontal="center" vertical="center"/>
    </xf>
    <xf numFmtId="9" fontId="8" fillId="0" borderId="54" xfId="0" applyNumberFormat="1" applyFont="1" applyBorder="1" applyAlignment="1">
      <alignment horizontal="center" vertical="center"/>
    </xf>
    <xf numFmtId="9" fontId="8" fillId="0" borderId="72" xfId="0" applyNumberFormat="1" applyFont="1" applyBorder="1" applyAlignment="1">
      <alignment horizontal="center" vertical="center"/>
    </xf>
    <xf numFmtId="9" fontId="8" fillId="0" borderId="72" xfId="0" applyNumberFormat="1" applyFont="1" applyBorder="1" applyAlignment="1">
      <alignment horizontal="left" vertical="center" indent="2"/>
    </xf>
    <xf numFmtId="9" fontId="8" fillId="0" borderId="54" xfId="0" applyNumberFormat="1" applyFont="1" applyBorder="1" applyAlignment="1">
      <alignment horizontal="left" vertical="center" indent="2"/>
    </xf>
    <xf numFmtId="9" fontId="8" fillId="0" borderId="42" xfId="0" applyNumberFormat="1" applyFont="1" applyBorder="1" applyAlignment="1">
      <alignment horizontal="left" vertical="center" indent="2"/>
    </xf>
    <xf numFmtId="9" fontId="8" fillId="0" borderId="29" xfId="0" applyNumberFormat="1" applyFont="1" applyBorder="1" applyAlignment="1">
      <alignment horizontal="left" vertical="center" indent="2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3" fontId="68" fillId="0" borderId="27" xfId="0" applyNumberFormat="1" applyFont="1" applyBorder="1" applyAlignment="1">
      <alignment horizontal="center" vertical="center"/>
    </xf>
    <xf numFmtId="3" fontId="68" fillId="0" borderId="28" xfId="0" applyNumberFormat="1" applyFont="1" applyBorder="1" applyAlignment="1">
      <alignment horizontal="center" vertical="center"/>
    </xf>
    <xf numFmtId="3" fontId="68" fillId="0" borderId="55" xfId="0" applyNumberFormat="1" applyFont="1" applyBorder="1" applyAlignment="1">
      <alignment horizontal="center" vertical="center"/>
    </xf>
    <xf numFmtId="3" fontId="68" fillId="0" borderId="72" xfId="0" applyNumberFormat="1" applyFont="1" applyBorder="1" applyAlignment="1">
      <alignment horizontal="center" vertical="center"/>
    </xf>
    <xf numFmtId="3" fontId="68" fillId="0" borderId="53" xfId="0" applyNumberFormat="1" applyFont="1" applyBorder="1" applyAlignment="1">
      <alignment horizontal="center" vertical="center"/>
    </xf>
    <xf numFmtId="3" fontId="68" fillId="0" borderId="54" xfId="0" applyNumberFormat="1" applyFont="1" applyBorder="1" applyAlignment="1">
      <alignment horizontal="center" vertical="center"/>
    </xf>
    <xf numFmtId="3" fontId="68" fillId="0" borderId="42" xfId="0" applyNumberFormat="1" applyFont="1" applyBorder="1" applyAlignment="1">
      <alignment horizontal="center" vertical="center"/>
    </xf>
    <xf numFmtId="3" fontId="68" fillId="0" borderId="43" xfId="0" applyNumberFormat="1" applyFont="1" applyBorder="1" applyAlignment="1">
      <alignment horizontal="center" vertical="center"/>
    </xf>
    <xf numFmtId="3" fontId="68" fillId="0" borderId="29" xfId="0" applyNumberFormat="1" applyFont="1" applyBorder="1" applyAlignment="1">
      <alignment horizontal="center" vertical="center"/>
    </xf>
    <xf numFmtId="3" fontId="68" fillId="0" borderId="22" xfId="0" applyNumberFormat="1" applyFont="1" applyBorder="1" applyAlignment="1">
      <alignment horizontal="center" vertical="center" wrapText="1"/>
    </xf>
    <xf numFmtId="3" fontId="68" fillId="0" borderId="68" xfId="0" applyNumberFormat="1" applyFont="1" applyBorder="1" applyAlignment="1">
      <alignment horizontal="center" vertical="center" wrapText="1"/>
    </xf>
    <xf numFmtId="3" fontId="68" fillId="0" borderId="23" xfId="0" applyNumberFormat="1" applyFont="1" applyBorder="1" applyAlignment="1">
      <alignment horizontal="center" vertical="center" wrapText="1"/>
    </xf>
    <xf numFmtId="3" fontId="68" fillId="0" borderId="22" xfId="0" applyNumberFormat="1" applyFont="1" applyBorder="1" applyAlignment="1">
      <alignment horizontal="center" vertical="center"/>
    </xf>
    <xf numFmtId="3" fontId="68" fillId="0" borderId="68" xfId="0" applyNumberFormat="1" applyFont="1" applyBorder="1" applyAlignment="1">
      <alignment horizontal="center" vertical="center"/>
    </xf>
    <xf numFmtId="3" fontId="68" fillId="0" borderId="23" xfId="0" applyNumberFormat="1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left" vertical="center" wrapText="1"/>
    </xf>
    <xf numFmtId="3" fontId="7" fillId="0" borderId="43" xfId="0" applyNumberFormat="1" applyFont="1" applyBorder="1" applyAlignment="1">
      <alignment horizontal="left" vertical="center" wrapText="1"/>
    </xf>
    <xf numFmtId="3" fontId="7" fillId="0" borderId="29" xfId="0" applyNumberFormat="1" applyFont="1" applyBorder="1" applyAlignment="1">
      <alignment horizontal="left" vertical="center" wrapText="1"/>
    </xf>
    <xf numFmtId="3" fontId="67" fillId="0" borderId="72" xfId="0" applyNumberFormat="1" applyFont="1" applyBorder="1" applyAlignment="1">
      <alignment horizontal="center" vertical="center"/>
    </xf>
    <xf numFmtId="3" fontId="67" fillId="0" borderId="53" xfId="0" applyNumberFormat="1" applyFont="1" applyBorder="1" applyAlignment="1">
      <alignment horizontal="center" vertical="center"/>
    </xf>
    <xf numFmtId="3" fontId="67" fillId="0" borderId="54" xfId="0" applyNumberFormat="1" applyFont="1" applyBorder="1" applyAlignment="1">
      <alignment horizontal="center" vertical="center"/>
    </xf>
    <xf numFmtId="3" fontId="68" fillId="0" borderId="42" xfId="0" applyNumberFormat="1" applyFont="1" applyBorder="1" applyAlignment="1">
      <alignment horizontal="center" vertical="center" wrapText="1"/>
    </xf>
    <xf numFmtId="3" fontId="68" fillId="0" borderId="29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55" xfId="0" applyNumberFormat="1" applyFont="1" applyBorder="1" applyAlignment="1">
      <alignment horizontal="center" vertical="center" wrapText="1"/>
    </xf>
    <xf numFmtId="3" fontId="0" fillId="0" borderId="70" xfId="0" applyNumberFormat="1" applyFont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center" vertical="center" wrapText="1"/>
    </xf>
    <xf numFmtId="3" fontId="68" fillId="0" borderId="43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6" borderId="68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36" borderId="42" xfId="0" applyFont="1" applyFill="1" applyBorder="1" applyAlignment="1">
      <alignment horizontal="left" wrapText="1"/>
    </xf>
    <xf numFmtId="0" fontId="7" fillId="36" borderId="43" xfId="0" applyFont="1" applyFill="1" applyBorder="1" applyAlignment="1">
      <alignment horizontal="left" wrapText="1"/>
    </xf>
    <xf numFmtId="0" fontId="7" fillId="36" borderId="29" xfId="0" applyFont="1" applyFill="1" applyBorder="1" applyAlignment="1">
      <alignment horizontal="left" wrapText="1"/>
    </xf>
    <xf numFmtId="0" fontId="61" fillId="0" borderId="27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1" fillId="0" borderId="55" xfId="0" applyFont="1" applyBorder="1" applyAlignment="1">
      <alignment horizontal="center" vertical="center"/>
    </xf>
    <xf numFmtId="0" fontId="61" fillId="0" borderId="7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172" fontId="1" fillId="36" borderId="27" xfId="700" applyFont="1" applyFill="1" applyBorder="1" applyAlignment="1">
      <alignment horizontal="center" vertical="center" wrapText="1"/>
    </xf>
    <xf numFmtId="172" fontId="1" fillId="36" borderId="55" xfId="700" applyFont="1" applyFill="1" applyBorder="1" applyAlignment="1">
      <alignment horizontal="center" vertical="center" wrapText="1"/>
    </xf>
    <xf numFmtId="172" fontId="1" fillId="36" borderId="72" xfId="700" applyFont="1" applyFill="1" applyBorder="1" applyAlignment="1">
      <alignment horizontal="center" vertical="center" wrapText="1"/>
    </xf>
    <xf numFmtId="172" fontId="1" fillId="36" borderId="54" xfId="700" applyFont="1" applyFill="1" applyBorder="1" applyAlignment="1">
      <alignment horizontal="center" vertical="center" wrapText="1"/>
    </xf>
    <xf numFmtId="172" fontId="1" fillId="36" borderId="21" xfId="700" applyFont="1" applyFill="1" applyBorder="1" applyAlignment="1">
      <alignment horizontal="center" vertical="center" wrapText="1"/>
    </xf>
    <xf numFmtId="0" fontId="0" fillId="36" borderId="21" xfId="0" applyFont="1" applyFill="1" applyBorder="1" applyAlignment="1" applyProtection="1">
      <alignment horizontal="center"/>
      <protection/>
    </xf>
    <xf numFmtId="0" fontId="1" fillId="36" borderId="21" xfId="0" applyFont="1" applyFill="1" applyBorder="1" applyAlignment="1" applyProtection="1">
      <alignment horizontal="center"/>
      <protection/>
    </xf>
    <xf numFmtId="0" fontId="1" fillId="36" borderId="21" xfId="0" applyFont="1" applyFill="1" applyBorder="1" applyAlignment="1" applyProtection="1">
      <alignment vertical="center"/>
      <protection/>
    </xf>
    <xf numFmtId="10" fontId="1" fillId="36" borderId="28" xfId="627" applyNumberFormat="1" applyFont="1" applyFill="1" applyBorder="1" applyAlignment="1" applyProtection="1">
      <alignment horizontal="center" vertical="center"/>
      <protection/>
    </xf>
    <xf numFmtId="0" fontId="10" fillId="36" borderId="21" xfId="0" applyFont="1" applyFill="1" applyBorder="1" applyAlignment="1" applyProtection="1">
      <alignment/>
      <protection/>
    </xf>
    <xf numFmtId="0" fontId="0" fillId="36" borderId="25" xfId="0" applyFont="1" applyFill="1" applyBorder="1" applyAlignment="1" applyProtection="1">
      <alignment/>
      <protection/>
    </xf>
    <xf numFmtId="181" fontId="0" fillId="36" borderId="25" xfId="700" applyNumberFormat="1" applyFont="1" applyFill="1" applyBorder="1" applyAlignment="1" applyProtection="1">
      <alignment/>
      <protection/>
    </xf>
    <xf numFmtId="0" fontId="0" fillId="36" borderId="25" xfId="0" applyFont="1" applyFill="1" applyBorder="1" applyAlignment="1" applyProtection="1">
      <alignment horizontal="center"/>
      <protection/>
    </xf>
    <xf numFmtId="172" fontId="0" fillId="36" borderId="25" xfId="700" applyFont="1" applyFill="1" applyBorder="1" applyAlignment="1" applyProtection="1">
      <alignment horizontal="center"/>
      <protection/>
    </xf>
    <xf numFmtId="0" fontId="0" fillId="36" borderId="24" xfId="0" applyFont="1" applyFill="1" applyBorder="1" applyAlignment="1" applyProtection="1">
      <alignment/>
      <protection/>
    </xf>
    <xf numFmtId="181" fontId="0" fillId="36" borderId="24" xfId="700" applyNumberFormat="1" applyFont="1" applyFill="1" applyBorder="1" applyAlignment="1" applyProtection="1">
      <alignment/>
      <protection/>
    </xf>
    <xf numFmtId="0" fontId="0" fillId="36" borderId="24" xfId="0" applyFont="1" applyFill="1" applyBorder="1" applyAlignment="1" applyProtection="1">
      <alignment horizontal="center"/>
      <protection/>
    </xf>
    <xf numFmtId="172" fontId="0" fillId="36" borderId="24" xfId="700" applyFont="1" applyFill="1" applyBorder="1" applyAlignment="1" applyProtection="1">
      <alignment horizontal="center"/>
      <protection/>
    </xf>
    <xf numFmtId="0" fontId="0" fillId="36" borderId="58" xfId="0" applyFont="1" applyFill="1" applyBorder="1" applyAlignment="1" applyProtection="1">
      <alignment/>
      <protection/>
    </xf>
    <xf numFmtId="181" fontId="0" fillId="36" borderId="58" xfId="700" applyNumberFormat="1" applyFont="1" applyFill="1" applyBorder="1" applyAlignment="1" applyProtection="1">
      <alignment/>
      <protection/>
    </xf>
    <xf numFmtId="0" fontId="0" fillId="36" borderId="58" xfId="0" applyFont="1" applyFill="1" applyBorder="1" applyAlignment="1" applyProtection="1">
      <alignment horizontal="center"/>
      <protection/>
    </xf>
    <xf numFmtId="172" fontId="0" fillId="36" borderId="58" xfId="700" applyFont="1" applyFill="1" applyBorder="1" applyAlignment="1" applyProtection="1">
      <alignment horizontal="center"/>
      <protection/>
    </xf>
    <xf numFmtId="0" fontId="12" fillId="36" borderId="21" xfId="0" applyFont="1" applyFill="1" applyBorder="1" applyAlignment="1" applyProtection="1">
      <alignment vertical="center" wrapText="1"/>
      <protection/>
    </xf>
    <xf numFmtId="0" fontId="12" fillId="36" borderId="21" xfId="0" applyFont="1" applyFill="1" applyBorder="1" applyAlignment="1" applyProtection="1">
      <alignment horizontal="center"/>
      <protection/>
    </xf>
    <xf numFmtId="0" fontId="12" fillId="36" borderId="21" xfId="0" applyFont="1" applyFill="1" applyBorder="1" applyAlignment="1" applyProtection="1">
      <alignment horizontal="center" vertical="center" wrapText="1"/>
      <protection/>
    </xf>
    <xf numFmtId="172" fontId="0" fillId="36" borderId="25" xfId="700" applyFont="1" applyFill="1" applyBorder="1" applyAlignment="1" applyProtection="1">
      <alignment/>
      <protection/>
    </xf>
    <xf numFmtId="4" fontId="0" fillId="36" borderId="25" xfId="0" applyNumberFormat="1" applyFont="1" applyFill="1" applyBorder="1" applyAlignment="1" applyProtection="1">
      <alignment horizontal="center"/>
      <protection/>
    </xf>
    <xf numFmtId="183" fontId="0" fillId="36" borderId="25" xfId="0" applyNumberFormat="1" applyFont="1" applyFill="1" applyBorder="1" applyAlignment="1" applyProtection="1">
      <alignment horizontal="center" vertical="center" wrapText="1"/>
      <protection/>
    </xf>
    <xf numFmtId="4" fontId="0" fillId="36" borderId="25" xfId="700" applyNumberFormat="1" applyFont="1" applyFill="1" applyBorder="1" applyAlignment="1" applyProtection="1">
      <alignment horizontal="center" vertical="center" wrapText="1"/>
      <protection/>
    </xf>
    <xf numFmtId="172" fontId="0" fillId="36" borderId="24" xfId="766" applyFont="1" applyFill="1" applyBorder="1" applyAlignment="1" applyProtection="1">
      <alignment/>
      <protection/>
    </xf>
    <xf numFmtId="4" fontId="0" fillId="36" borderId="24" xfId="0" applyNumberFormat="1" applyFont="1" applyFill="1" applyBorder="1" applyAlignment="1" applyProtection="1">
      <alignment horizontal="center"/>
      <protection/>
    </xf>
    <xf numFmtId="183" fontId="0" fillId="36" borderId="24" xfId="0" applyNumberFormat="1" applyFont="1" applyFill="1" applyBorder="1" applyAlignment="1" applyProtection="1">
      <alignment horizontal="center" vertical="center" wrapText="1"/>
      <protection/>
    </xf>
    <xf numFmtId="4" fontId="0" fillId="36" borderId="58" xfId="700" applyNumberFormat="1" applyFont="1" applyFill="1" applyBorder="1" applyAlignment="1" applyProtection="1">
      <alignment horizontal="center" vertical="center" wrapText="1"/>
      <protection/>
    </xf>
    <xf numFmtId="172" fontId="0" fillId="36" borderId="84" xfId="700" applyFont="1" applyFill="1" applyBorder="1" applyAlignment="1" applyProtection="1">
      <alignment/>
      <protection/>
    </xf>
    <xf numFmtId="172" fontId="0" fillId="36" borderId="85" xfId="700" applyFont="1" applyFill="1" applyBorder="1" applyAlignment="1" applyProtection="1">
      <alignment/>
      <protection/>
    </xf>
    <xf numFmtId="172" fontId="0" fillId="36" borderId="86" xfId="700" applyFont="1" applyFill="1" applyBorder="1" applyAlignment="1" applyProtection="1">
      <alignment/>
      <protection/>
    </xf>
    <xf numFmtId="4" fontId="0" fillId="36" borderId="84" xfId="0" applyNumberFormat="1" applyFont="1" applyFill="1" applyBorder="1" applyAlignment="1" applyProtection="1">
      <alignment horizontal="center"/>
      <protection/>
    </xf>
    <xf numFmtId="4" fontId="0" fillId="36" borderId="86" xfId="0" applyNumberFormat="1" applyFont="1" applyFill="1" applyBorder="1" applyAlignment="1" applyProtection="1">
      <alignment horizontal="center"/>
      <protection/>
    </xf>
    <xf numFmtId="183" fontId="0" fillId="36" borderId="84" xfId="0" applyNumberFormat="1" applyFont="1" applyFill="1" applyBorder="1" applyAlignment="1" applyProtection="1">
      <alignment horizontal="center" vertical="center" wrapText="1"/>
      <protection/>
    </xf>
    <xf numFmtId="183" fontId="0" fillId="36" borderId="85" xfId="0" applyNumberFormat="1" applyFont="1" applyFill="1" applyBorder="1" applyAlignment="1" applyProtection="1">
      <alignment horizontal="center" vertical="center" wrapText="1"/>
      <protection/>
    </xf>
    <xf numFmtId="183" fontId="0" fillId="36" borderId="86" xfId="0" applyNumberFormat="1" applyFont="1" applyFill="1" applyBorder="1" applyAlignment="1" applyProtection="1">
      <alignment horizontal="center" vertical="center" wrapText="1"/>
      <protection/>
    </xf>
    <xf numFmtId="172" fontId="0" fillId="36" borderId="24" xfId="700" applyFont="1" applyFill="1" applyBorder="1" applyAlignment="1" applyProtection="1">
      <alignment/>
      <protection/>
    </xf>
    <xf numFmtId="183" fontId="0" fillId="36" borderId="58" xfId="0" applyNumberFormat="1" applyFont="1" applyFill="1" applyBorder="1" applyAlignment="1" applyProtection="1">
      <alignment horizontal="center" vertical="center" wrapText="1"/>
      <protection/>
    </xf>
    <xf numFmtId="0" fontId="12" fillId="36" borderId="21" xfId="0" applyFont="1" applyFill="1" applyBorder="1" applyAlignment="1" applyProtection="1">
      <alignment horizontal="right"/>
      <protection/>
    </xf>
    <xf numFmtId="0" fontId="12" fillId="36" borderId="42" xfId="0" applyFont="1" applyFill="1" applyBorder="1" applyAlignment="1" applyProtection="1">
      <alignment horizontal="right"/>
      <protection/>
    </xf>
    <xf numFmtId="2" fontId="12" fillId="36" borderId="29" xfId="700" applyNumberFormat="1" applyFont="1" applyFill="1" applyBorder="1" applyAlignment="1" applyProtection="1">
      <alignment horizontal="center" vertical="center"/>
      <protection/>
    </xf>
    <xf numFmtId="2" fontId="12" fillId="36" borderId="21" xfId="700" applyNumberFormat="1" applyFont="1" applyFill="1" applyBorder="1" applyAlignment="1" applyProtection="1">
      <alignment horizontal="center" vertical="center"/>
      <protection/>
    </xf>
    <xf numFmtId="172" fontId="12" fillId="36" borderId="21" xfId="700" applyFont="1" applyFill="1" applyBorder="1" applyAlignment="1" applyProtection="1">
      <alignment horizontal="center"/>
      <protection/>
    </xf>
    <xf numFmtId="172" fontId="0" fillId="36" borderId="24" xfId="700" applyFont="1" applyFill="1" applyBorder="1" applyAlignment="1" applyProtection="1">
      <alignment vertical="center" wrapText="1"/>
      <protection/>
    </xf>
    <xf numFmtId="4" fontId="0" fillId="36" borderId="24" xfId="700" applyNumberFormat="1" applyFont="1" applyFill="1" applyBorder="1" applyAlignment="1" applyProtection="1">
      <alignment horizontal="center" vertical="center" wrapText="1"/>
      <protection/>
    </xf>
    <xf numFmtId="172" fontId="0" fillId="36" borderId="25" xfId="700" applyFont="1" applyFill="1" applyBorder="1" applyAlignment="1" applyProtection="1">
      <alignment vertical="center" wrapText="1"/>
      <protection/>
    </xf>
    <xf numFmtId="172" fontId="0" fillId="36" borderId="58" xfId="700" applyFont="1" applyFill="1" applyBorder="1" applyAlignment="1" applyProtection="1">
      <alignment vertical="center" wrapText="1"/>
      <protection/>
    </xf>
    <xf numFmtId="172" fontId="0" fillId="36" borderId="24" xfId="700" applyFont="1" applyFill="1" applyBorder="1" applyAlignment="1" applyProtection="1">
      <alignment horizontal="left"/>
      <protection/>
    </xf>
    <xf numFmtId="39" fontId="0" fillId="36" borderId="24" xfId="700" applyNumberFormat="1" applyFont="1" applyFill="1" applyBorder="1" applyAlignment="1" applyProtection="1">
      <alignment/>
      <protection/>
    </xf>
    <xf numFmtId="39" fontId="0" fillId="36" borderId="58" xfId="700" applyNumberFormat="1" applyFont="1" applyFill="1" applyBorder="1" applyAlignment="1" applyProtection="1">
      <alignment/>
      <protection/>
    </xf>
    <xf numFmtId="172" fontId="0" fillId="36" borderId="58" xfId="700" applyFont="1" applyFill="1" applyBorder="1" applyAlignment="1" applyProtection="1">
      <alignment horizontal="left"/>
      <protection/>
    </xf>
    <xf numFmtId="4" fontId="0" fillId="36" borderId="58" xfId="0" applyNumberFormat="1" applyFont="1" applyFill="1" applyBorder="1" applyAlignment="1" applyProtection="1">
      <alignment horizontal="center"/>
      <protection/>
    </xf>
    <xf numFmtId="0" fontId="11" fillId="36" borderId="42" xfId="0" applyFont="1" applyFill="1" applyBorder="1" applyAlignment="1" applyProtection="1">
      <alignment horizontal="center" vertical="center"/>
      <protection/>
    </xf>
    <xf numFmtId="0" fontId="11" fillId="36" borderId="43" xfId="0" applyFont="1" applyFill="1" applyBorder="1" applyAlignment="1" applyProtection="1">
      <alignment horizontal="center" vertical="center"/>
      <protection/>
    </xf>
    <xf numFmtId="0" fontId="13" fillId="36" borderId="27" xfId="700" applyNumberFormat="1" applyFont="1" applyFill="1" applyBorder="1" applyAlignment="1" applyProtection="1">
      <alignment/>
      <protection/>
    </xf>
    <xf numFmtId="0" fontId="13" fillId="36" borderId="28" xfId="700" applyNumberFormat="1" applyFont="1" applyFill="1" applyBorder="1" applyAlignment="1" applyProtection="1">
      <alignment/>
      <protection/>
    </xf>
    <xf numFmtId="0" fontId="13" fillId="36" borderId="55" xfId="700" applyNumberFormat="1" applyFont="1" applyFill="1" applyBorder="1" applyAlignment="1" applyProtection="1">
      <alignment/>
      <protection/>
    </xf>
    <xf numFmtId="0" fontId="1" fillId="36" borderId="72" xfId="0" applyFont="1" applyFill="1" applyBorder="1" applyAlignment="1" applyProtection="1">
      <alignment horizontal="center" vertical="center" wrapText="1"/>
      <protection/>
    </xf>
    <xf numFmtId="0" fontId="1" fillId="36" borderId="53" xfId="0" applyFont="1" applyFill="1" applyBorder="1" applyAlignment="1" applyProtection="1">
      <alignment horizontal="center" vertical="center" wrapText="1"/>
      <protection/>
    </xf>
    <xf numFmtId="0" fontId="1" fillId="36" borderId="54" xfId="0" applyFont="1" applyFill="1" applyBorder="1" applyAlignment="1" applyProtection="1">
      <alignment horizontal="center" vertical="center" wrapText="1"/>
      <protection/>
    </xf>
    <xf numFmtId="0" fontId="12" fillId="36" borderId="72" xfId="700" applyNumberFormat="1" applyFont="1" applyFill="1" applyBorder="1" applyAlignment="1" applyProtection="1">
      <alignment horizontal="center" vertical="center" wrapText="1"/>
      <protection/>
    </xf>
    <xf numFmtId="0" fontId="12" fillId="36" borderId="53" xfId="700" applyNumberFormat="1" applyFont="1" applyFill="1" applyBorder="1" applyAlignment="1" applyProtection="1">
      <alignment horizontal="center" vertical="center" wrapText="1"/>
      <protection/>
    </xf>
    <xf numFmtId="0" fontId="12" fillId="36" borderId="54" xfId="700" applyNumberFormat="1" applyFont="1" applyFill="1" applyBorder="1" applyAlignment="1" applyProtection="1">
      <alignment horizontal="center" vertical="center" wrapText="1"/>
      <protection/>
    </xf>
    <xf numFmtId="0" fontId="0" fillId="27" borderId="21" xfId="0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vertical="center"/>
      <protection/>
    </xf>
    <xf numFmtId="10" fontId="1" fillId="0" borderId="28" xfId="627" applyNumberFormat="1" applyFont="1" applyBorder="1" applyAlignment="1" applyProtection="1">
      <alignment horizontal="center" vertical="center"/>
      <protection/>
    </xf>
    <xf numFmtId="0" fontId="59" fillId="0" borderId="21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181" fontId="0" fillId="0" borderId="25" xfId="700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center"/>
      <protection/>
    </xf>
    <xf numFmtId="172" fontId="0" fillId="0" borderId="25" xfId="700" applyFont="1" applyBorder="1" applyAlignment="1" applyProtection="1">
      <alignment horizontal="center"/>
      <protection/>
    </xf>
    <xf numFmtId="172" fontId="0" fillId="0" borderId="24" xfId="70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/>
      <protection/>
    </xf>
    <xf numFmtId="181" fontId="0" fillId="0" borderId="24" xfId="700" applyNumberFormat="1" applyFont="1" applyBorder="1" applyAlignment="1" applyProtection="1">
      <alignment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58" xfId="0" applyFont="1" applyBorder="1" applyAlignment="1" applyProtection="1">
      <alignment/>
      <protection/>
    </xf>
    <xf numFmtId="181" fontId="0" fillId="0" borderId="58" xfId="700" applyNumberFormat="1" applyFont="1" applyBorder="1" applyAlignment="1" applyProtection="1">
      <alignment/>
      <protection/>
    </xf>
    <xf numFmtId="0" fontId="0" fillId="0" borderId="58" xfId="0" applyFont="1" applyBorder="1" applyAlignment="1" applyProtection="1">
      <alignment horizontal="center"/>
      <protection/>
    </xf>
    <xf numFmtId="172" fontId="0" fillId="0" borderId="58" xfId="70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right"/>
      <protection/>
    </xf>
    <xf numFmtId="0" fontId="12" fillId="0" borderId="42" xfId="0" applyFont="1" applyBorder="1" applyAlignment="1" applyProtection="1">
      <alignment horizontal="right"/>
      <protection/>
    </xf>
    <xf numFmtId="2" fontId="12" fillId="0" borderId="29" xfId="700" applyNumberFormat="1" applyFont="1" applyBorder="1" applyAlignment="1" applyProtection="1">
      <alignment horizontal="center" vertical="center"/>
      <protection/>
    </xf>
    <xf numFmtId="2" fontId="12" fillId="0" borderId="21" xfId="700" applyNumberFormat="1" applyFont="1" applyBorder="1" applyAlignment="1" applyProtection="1">
      <alignment horizontal="center" vertical="center"/>
      <protection/>
    </xf>
    <xf numFmtId="172" fontId="12" fillId="0" borderId="21" xfId="700" applyFont="1" applyBorder="1" applyAlignment="1" applyProtection="1">
      <alignment horizontal="center"/>
      <protection/>
    </xf>
    <xf numFmtId="0" fontId="12" fillId="27" borderId="21" xfId="0" applyFont="1" applyFill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172" fontId="0" fillId="0" borderId="24" xfId="700" applyFont="1" applyBorder="1" applyAlignment="1" applyProtection="1">
      <alignment vertical="center" wrapText="1"/>
      <protection/>
    </xf>
    <xf numFmtId="183" fontId="0" fillId="0" borderId="24" xfId="0" applyNumberFormat="1" applyFont="1" applyBorder="1" applyAlignment="1" applyProtection="1">
      <alignment horizontal="center" vertical="center" wrapText="1"/>
      <protection/>
    </xf>
    <xf numFmtId="4" fontId="0" fillId="0" borderId="24" xfId="700" applyNumberFormat="1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vertical="center" wrapText="1"/>
      <protection/>
    </xf>
    <xf numFmtId="4" fontId="0" fillId="0" borderId="84" xfId="0" applyNumberFormat="1" applyFont="1" applyBorder="1" applyAlignment="1" applyProtection="1">
      <alignment horizontal="center"/>
      <protection/>
    </xf>
    <xf numFmtId="4" fontId="0" fillId="0" borderId="86" xfId="0" applyNumberFormat="1" applyFont="1" applyBorder="1" applyAlignment="1" applyProtection="1">
      <alignment horizontal="center"/>
      <protection/>
    </xf>
    <xf numFmtId="4" fontId="0" fillId="0" borderId="25" xfId="0" applyNumberFormat="1" applyFont="1" applyBorder="1" applyAlignment="1" applyProtection="1">
      <alignment horizontal="center"/>
      <protection/>
    </xf>
    <xf numFmtId="183" fontId="0" fillId="0" borderId="25" xfId="0" applyNumberFormat="1" applyFont="1" applyBorder="1" applyAlignment="1" applyProtection="1">
      <alignment horizontal="center" vertical="center" wrapText="1"/>
      <protection/>
    </xf>
    <xf numFmtId="4" fontId="0" fillId="0" borderId="25" xfId="700" applyNumberFormat="1" applyFont="1" applyBorder="1" applyAlignment="1" applyProtection="1">
      <alignment horizontal="center" vertical="center" wrapText="1"/>
      <protection/>
    </xf>
    <xf numFmtId="172" fontId="0" fillId="0" borderId="25" xfId="700" applyFont="1" applyBorder="1" applyAlignment="1" applyProtection="1">
      <alignment/>
      <protection/>
    </xf>
    <xf numFmtId="183" fontId="0" fillId="0" borderId="84" xfId="0" applyNumberFormat="1" applyFont="1" applyBorder="1" applyAlignment="1" applyProtection="1">
      <alignment horizontal="center" vertical="center" wrapText="1"/>
      <protection/>
    </xf>
    <xf numFmtId="183" fontId="0" fillId="0" borderId="85" xfId="0" applyNumberFormat="1" applyFont="1" applyBorder="1" applyAlignment="1" applyProtection="1">
      <alignment horizontal="center" vertical="center" wrapText="1"/>
      <protection/>
    </xf>
    <xf numFmtId="183" fontId="0" fillId="0" borderId="86" xfId="0" applyNumberFormat="1" applyFont="1" applyBorder="1" applyAlignment="1" applyProtection="1">
      <alignment horizontal="center" vertical="center" wrapText="1"/>
      <protection/>
    </xf>
    <xf numFmtId="4" fontId="0" fillId="0" borderId="24" xfId="0" applyNumberFormat="1" applyFont="1" applyBorder="1" applyAlignment="1" applyProtection="1">
      <alignment horizontal="center"/>
      <protection/>
    </xf>
    <xf numFmtId="183" fontId="0" fillId="0" borderId="58" xfId="0" applyNumberFormat="1" applyFont="1" applyBorder="1" applyAlignment="1" applyProtection="1">
      <alignment horizontal="center" vertical="center" wrapText="1"/>
      <protection/>
    </xf>
    <xf numFmtId="172" fontId="0" fillId="0" borderId="25" xfId="700" applyFont="1" applyBorder="1" applyAlignment="1" applyProtection="1">
      <alignment vertical="center" wrapText="1"/>
      <protection/>
    </xf>
    <xf numFmtId="172" fontId="0" fillId="0" borderId="24" xfId="700" applyFont="1" applyBorder="1" applyAlignment="1" applyProtection="1">
      <alignment/>
      <protection/>
    </xf>
    <xf numFmtId="4" fontId="0" fillId="0" borderId="24" xfId="0" applyNumberFormat="1" applyBorder="1" applyAlignment="1" applyProtection="1">
      <alignment horizontal="center"/>
      <protection/>
    </xf>
    <xf numFmtId="39" fontId="0" fillId="0" borderId="24" xfId="700" applyNumberFormat="1" applyFont="1" applyBorder="1" applyAlignment="1" applyProtection="1">
      <alignment/>
      <protection/>
    </xf>
    <xf numFmtId="172" fontId="0" fillId="0" borderId="24" xfId="700" applyFont="1" applyBorder="1" applyAlignment="1" applyProtection="1">
      <alignment horizontal="left"/>
      <protection/>
    </xf>
    <xf numFmtId="39" fontId="0" fillId="0" borderId="58" xfId="700" applyNumberFormat="1" applyFont="1" applyBorder="1" applyAlignment="1" applyProtection="1">
      <alignment/>
      <protection/>
    </xf>
    <xf numFmtId="172" fontId="0" fillId="0" borderId="58" xfId="700" applyFont="1" applyBorder="1" applyAlignment="1" applyProtection="1">
      <alignment horizontal="left"/>
      <protection/>
    </xf>
    <xf numFmtId="4" fontId="0" fillId="0" borderId="58" xfId="0" applyNumberFormat="1" applyBorder="1" applyAlignment="1" applyProtection="1">
      <alignment horizontal="center"/>
      <protection/>
    </xf>
    <xf numFmtId="0" fontId="58" fillId="0" borderId="42" xfId="0" applyFont="1" applyBorder="1" applyAlignment="1" applyProtection="1">
      <alignment horizontal="center" vertical="center"/>
      <protection/>
    </xf>
    <xf numFmtId="0" fontId="58" fillId="0" borderId="43" xfId="0" applyFont="1" applyBorder="1" applyAlignment="1" applyProtection="1">
      <alignment horizontal="center" vertical="center"/>
      <protection/>
    </xf>
    <xf numFmtId="0" fontId="13" fillId="0" borderId="27" xfId="700" applyNumberFormat="1" applyFont="1" applyBorder="1" applyAlignment="1" applyProtection="1">
      <alignment/>
      <protection/>
    </xf>
    <xf numFmtId="0" fontId="13" fillId="0" borderId="28" xfId="700" applyNumberFormat="1" applyFont="1" applyBorder="1" applyAlignment="1" applyProtection="1">
      <alignment/>
      <protection/>
    </xf>
    <xf numFmtId="0" fontId="13" fillId="0" borderId="55" xfId="700" applyNumberFormat="1" applyFont="1" applyBorder="1" applyAlignment="1" applyProtection="1">
      <alignment/>
      <protection/>
    </xf>
    <xf numFmtId="0" fontId="1" fillId="0" borderId="72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2" fillId="0" borderId="72" xfId="700" applyNumberFormat="1" applyFont="1" applyBorder="1" applyAlignment="1" applyProtection="1">
      <alignment horizontal="center" vertical="center" wrapText="1"/>
      <protection/>
    </xf>
    <xf numFmtId="0" fontId="12" fillId="0" borderId="53" xfId="700" applyNumberFormat="1" applyFont="1" applyBorder="1" applyAlignment="1" applyProtection="1">
      <alignment horizontal="center" vertical="center" wrapText="1"/>
      <protection/>
    </xf>
    <xf numFmtId="0" fontId="12" fillId="0" borderId="54" xfId="700" applyNumberFormat="1" applyFont="1" applyBorder="1" applyAlignment="1" applyProtection="1">
      <alignment horizontal="center" vertical="center" wrapText="1"/>
      <protection/>
    </xf>
    <xf numFmtId="3" fontId="7" fillId="36" borderId="21" xfId="0" applyNumberFormat="1" applyFont="1" applyFill="1" applyBorder="1" applyAlignment="1">
      <alignment horizontal="center"/>
    </xf>
    <xf numFmtId="3" fontId="4" fillId="36" borderId="21" xfId="0" applyNumberFormat="1" applyFont="1" applyFill="1" applyBorder="1" applyAlignment="1">
      <alignment horizontal="center" vertical="center"/>
    </xf>
    <xf numFmtId="3" fontId="5" fillId="36" borderId="21" xfId="0" applyNumberFormat="1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left" vertical="center"/>
    </xf>
    <xf numFmtId="0" fontId="7" fillId="36" borderId="28" xfId="0" applyFont="1" applyFill="1" applyBorder="1" applyAlignment="1">
      <alignment horizontal="left" vertical="center"/>
    </xf>
    <xf numFmtId="0" fontId="7" fillId="36" borderId="55" xfId="0" applyFont="1" applyFill="1" applyBorder="1" applyAlignment="1">
      <alignment horizontal="left" vertical="center"/>
    </xf>
    <xf numFmtId="0" fontId="7" fillId="36" borderId="72" xfId="0" applyFont="1" applyFill="1" applyBorder="1" applyAlignment="1">
      <alignment horizontal="left" vertical="center"/>
    </xf>
    <xf numFmtId="0" fontId="7" fillId="36" borderId="53" xfId="0" applyFont="1" applyFill="1" applyBorder="1" applyAlignment="1">
      <alignment horizontal="left" vertical="center"/>
    </xf>
    <xf numFmtId="0" fontId="7" fillId="36" borderId="54" xfId="0" applyFont="1" applyFill="1" applyBorder="1" applyAlignment="1">
      <alignment horizontal="left" vertical="center"/>
    </xf>
    <xf numFmtId="3" fontId="5" fillId="36" borderId="22" xfId="0" applyNumberFormat="1" applyFont="1" applyFill="1" applyBorder="1" applyAlignment="1">
      <alignment horizontal="center" vertical="center"/>
    </xf>
    <xf numFmtId="3" fontId="5" fillId="36" borderId="68" xfId="0" applyNumberFormat="1" applyFont="1" applyFill="1" applyBorder="1" applyAlignment="1">
      <alignment horizontal="center" vertical="center"/>
    </xf>
    <xf numFmtId="3" fontId="5" fillId="36" borderId="23" xfId="0" applyNumberFormat="1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left"/>
    </xf>
    <xf numFmtId="0" fontId="7" fillId="36" borderId="43" xfId="0" applyFont="1" applyFill="1" applyBorder="1" applyAlignment="1">
      <alignment horizontal="left"/>
    </xf>
    <xf numFmtId="0" fontId="7" fillId="36" borderId="29" xfId="0" applyFont="1" applyFill="1" applyBorder="1" applyAlignment="1">
      <alignment horizontal="left"/>
    </xf>
    <xf numFmtId="3" fontId="117" fillId="36" borderId="22" xfId="0" applyNumberFormat="1" applyFont="1" applyFill="1" applyBorder="1" applyAlignment="1">
      <alignment horizontal="center" vertical="center"/>
    </xf>
    <xf numFmtId="3" fontId="117" fillId="36" borderId="23" xfId="0" applyNumberFormat="1" applyFont="1" applyFill="1" applyBorder="1" applyAlignment="1">
      <alignment horizontal="center" vertical="center"/>
    </xf>
    <xf numFmtId="3" fontId="4" fillId="36" borderId="21" xfId="0" applyNumberFormat="1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3" fontId="0" fillId="36" borderId="21" xfId="0" applyNumberFormat="1" applyFont="1" applyFill="1" applyBorder="1" applyAlignment="1">
      <alignment horizontal="center"/>
    </xf>
    <xf numFmtId="3" fontId="4" fillId="36" borderId="21" xfId="0" applyNumberFormat="1" applyFont="1" applyFill="1" applyBorder="1" applyAlignment="1">
      <alignment horizontal="center"/>
    </xf>
    <xf numFmtId="1" fontId="4" fillId="36" borderId="21" xfId="0" applyNumberFormat="1" applyFont="1" applyFill="1" applyBorder="1" applyAlignment="1">
      <alignment horizontal="center"/>
    </xf>
    <xf numFmtId="173" fontId="91" fillId="0" borderId="87" xfId="0" applyNumberFormat="1" applyFont="1" applyBorder="1" applyAlignment="1">
      <alignment horizontal="center" vertical="center"/>
    </xf>
    <xf numFmtId="0" fontId="76" fillId="0" borderId="88" xfId="0" applyFont="1" applyBorder="1" applyAlignment="1">
      <alignment/>
    </xf>
    <xf numFmtId="10" fontId="91" fillId="0" borderId="89" xfId="0" applyNumberFormat="1" applyFont="1" applyBorder="1" applyAlignment="1">
      <alignment horizontal="center" vertical="center"/>
    </xf>
    <xf numFmtId="10" fontId="76" fillId="0" borderId="90" xfId="0" applyNumberFormat="1" applyFont="1" applyBorder="1" applyAlignment="1">
      <alignment/>
    </xf>
    <xf numFmtId="0" fontId="118" fillId="36" borderId="0" xfId="0" applyFont="1" applyFill="1" applyBorder="1" applyAlignment="1">
      <alignment horizontal="center" vertical="center"/>
    </xf>
    <xf numFmtId="0" fontId="76" fillId="36" borderId="0" xfId="0" applyFont="1" applyFill="1" applyBorder="1" applyAlignment="1">
      <alignment/>
    </xf>
    <xf numFmtId="10" fontId="106" fillId="36" borderId="0" xfId="0" applyNumberFormat="1" applyFont="1" applyFill="1" applyBorder="1" applyAlignment="1">
      <alignment horizontal="center" vertical="center"/>
    </xf>
    <xf numFmtId="0" fontId="105" fillId="36" borderId="0" xfId="0" applyFont="1" applyFill="1" applyBorder="1" applyAlignment="1">
      <alignment/>
    </xf>
    <xf numFmtId="0" fontId="107" fillId="36" borderId="0" xfId="0" applyFont="1" applyFill="1" applyBorder="1" applyAlignment="1">
      <alignment horizontal="center" vertical="center"/>
    </xf>
    <xf numFmtId="0" fontId="76" fillId="36" borderId="45" xfId="0" applyFont="1" applyFill="1" applyBorder="1" applyAlignment="1">
      <alignment/>
    </xf>
    <xf numFmtId="1" fontId="76" fillId="36" borderId="41" xfId="0" applyNumberFormat="1" applyFont="1" applyFill="1" applyBorder="1" applyAlignment="1">
      <alignment horizontal="left"/>
    </xf>
    <xf numFmtId="1" fontId="76" fillId="36" borderId="45" xfId="0" applyNumberFormat="1" applyFont="1" applyFill="1" applyBorder="1" applyAlignment="1">
      <alignment horizontal="left"/>
    </xf>
    <xf numFmtId="0" fontId="76" fillId="36" borderId="46" xfId="0" applyFont="1" applyFill="1" applyBorder="1" applyAlignment="1">
      <alignment/>
    </xf>
    <xf numFmtId="40" fontId="91" fillId="0" borderId="89" xfId="0" applyNumberFormat="1" applyFont="1" applyBorder="1" applyAlignment="1">
      <alignment horizontal="center" vertical="center"/>
    </xf>
    <xf numFmtId="0" fontId="76" fillId="0" borderId="90" xfId="0" applyFont="1" applyBorder="1" applyAlignment="1">
      <alignment/>
    </xf>
    <xf numFmtId="1" fontId="101" fillId="37" borderId="66" xfId="0" applyNumberFormat="1" applyFont="1" applyFill="1" applyBorder="1" applyAlignment="1">
      <alignment horizontal="left"/>
    </xf>
    <xf numFmtId="0" fontId="101" fillId="37" borderId="64" xfId="0" applyFont="1" applyFill="1" applyBorder="1" applyAlignment="1">
      <alignment/>
    </xf>
    <xf numFmtId="0" fontId="101" fillId="37" borderId="65" xfId="0" applyFont="1" applyFill="1" applyBorder="1" applyAlignment="1">
      <alignment/>
    </xf>
    <xf numFmtId="1" fontId="75" fillId="0" borderId="66" xfId="0" applyNumberFormat="1" applyFont="1" applyBorder="1" applyAlignment="1">
      <alignment horizontal="left"/>
    </xf>
    <xf numFmtId="0" fontId="76" fillId="0" borderId="64" xfId="0" applyFont="1" applyBorder="1" applyAlignment="1">
      <alignment/>
    </xf>
    <xf numFmtId="0" fontId="76" fillId="0" borderId="65" xfId="0" applyFont="1" applyBorder="1" applyAlignment="1">
      <alignment/>
    </xf>
    <xf numFmtId="1" fontId="76" fillId="0" borderId="66" xfId="0" applyNumberFormat="1" applyFont="1" applyBorder="1" applyAlignment="1">
      <alignment horizontal="left"/>
    </xf>
    <xf numFmtId="1" fontId="76" fillId="0" borderId="64" xfId="0" applyNumberFormat="1" applyFont="1" applyBorder="1" applyAlignment="1">
      <alignment horizontal="left"/>
    </xf>
    <xf numFmtId="1" fontId="76" fillId="0" borderId="65" xfId="0" applyNumberFormat="1" applyFont="1" applyBorder="1" applyAlignment="1">
      <alignment horizontal="left"/>
    </xf>
    <xf numFmtId="0" fontId="107" fillId="0" borderId="91" xfId="0" applyFont="1" applyBorder="1" applyAlignment="1">
      <alignment horizontal="center" vertical="center" wrapText="1"/>
    </xf>
    <xf numFmtId="0" fontId="76" fillId="0" borderId="92" xfId="0" applyFont="1" applyBorder="1" applyAlignment="1">
      <alignment/>
    </xf>
    <xf numFmtId="0" fontId="76" fillId="0" borderId="93" xfId="0" applyFont="1" applyBorder="1" applyAlignment="1">
      <alignment/>
    </xf>
    <xf numFmtId="0" fontId="76" fillId="0" borderId="40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94" xfId="0" applyFont="1" applyBorder="1" applyAlignment="1">
      <alignment/>
    </xf>
    <xf numFmtId="0" fontId="80" fillId="0" borderId="95" xfId="0" applyFont="1" applyBorder="1" applyAlignment="1">
      <alignment horizontal="center" vertical="center"/>
    </xf>
    <xf numFmtId="0" fontId="76" fillId="0" borderId="48" xfId="0" applyFont="1" applyBorder="1" applyAlignment="1">
      <alignment/>
    </xf>
    <xf numFmtId="0" fontId="76" fillId="0" borderId="96" xfId="0" applyFont="1" applyBorder="1" applyAlignment="1">
      <alignment/>
    </xf>
    <xf numFmtId="0" fontId="76" fillId="0" borderId="97" xfId="0" applyFont="1" applyBorder="1" applyAlignment="1">
      <alignment/>
    </xf>
    <xf numFmtId="0" fontId="76" fillId="0" borderId="45" xfId="0" applyFont="1" applyBorder="1" applyAlignment="1">
      <alignment/>
    </xf>
    <xf numFmtId="0" fontId="76" fillId="0" borderId="98" xfId="0" applyFont="1" applyBorder="1" applyAlignment="1">
      <alignment/>
    </xf>
    <xf numFmtId="1" fontId="75" fillId="0" borderId="99" xfId="0" applyNumberFormat="1" applyFont="1" applyBorder="1" applyAlignment="1">
      <alignment horizontal="left"/>
    </xf>
    <xf numFmtId="0" fontId="76" fillId="0" borderId="100" xfId="0" applyFont="1" applyBorder="1" applyAlignment="1">
      <alignment/>
    </xf>
    <xf numFmtId="0" fontId="76" fillId="0" borderId="101" xfId="0" applyFont="1" applyBorder="1" applyAlignment="1">
      <alignment/>
    </xf>
    <xf numFmtId="0" fontId="91" fillId="36" borderId="40" xfId="0" applyFont="1" applyFill="1" applyBorder="1" applyAlignment="1">
      <alignment horizontal="center" vertical="center"/>
    </xf>
    <xf numFmtId="0" fontId="91" fillId="36" borderId="0" xfId="0" applyFont="1" applyFill="1" applyBorder="1" applyAlignment="1">
      <alignment horizontal="center" vertical="center"/>
    </xf>
    <xf numFmtId="0" fontId="91" fillId="36" borderId="44" xfId="0" applyFont="1" applyFill="1" applyBorder="1" applyAlignment="1">
      <alignment horizontal="center" vertical="center"/>
    </xf>
    <xf numFmtId="0" fontId="91" fillId="36" borderId="41" xfId="0" applyFont="1" applyFill="1" applyBorder="1" applyAlignment="1">
      <alignment horizontal="center" vertical="center"/>
    </xf>
    <xf numFmtId="0" fontId="91" fillId="36" borderId="45" xfId="0" applyFont="1" applyFill="1" applyBorder="1" applyAlignment="1">
      <alignment horizontal="center" vertical="center"/>
    </xf>
    <xf numFmtId="0" fontId="91" fillId="36" borderId="46" xfId="0" applyFont="1" applyFill="1" applyBorder="1" applyAlignment="1">
      <alignment horizontal="center" vertical="center"/>
    </xf>
    <xf numFmtId="1" fontId="76" fillId="37" borderId="66" xfId="0" applyNumberFormat="1" applyFont="1" applyFill="1" applyBorder="1" applyAlignment="1">
      <alignment horizontal="left"/>
    </xf>
    <xf numFmtId="0" fontId="76" fillId="37" borderId="64" xfId="0" applyFont="1" applyFill="1" applyBorder="1" applyAlignment="1">
      <alignment/>
    </xf>
    <xf numFmtId="0" fontId="76" fillId="37" borderId="65" xfId="0" applyFont="1" applyFill="1" applyBorder="1" applyAlignment="1">
      <alignment/>
    </xf>
    <xf numFmtId="1" fontId="7" fillId="36" borderId="47" xfId="0" applyNumberFormat="1" applyFont="1" applyFill="1" applyBorder="1" applyAlignment="1">
      <alignment horizontal="left"/>
    </xf>
    <xf numFmtId="0" fontId="7" fillId="36" borderId="48" xfId="0" applyFont="1" applyFill="1" applyBorder="1" applyAlignment="1">
      <alignment/>
    </xf>
    <xf numFmtId="1" fontId="5" fillId="36" borderId="48" xfId="0" applyNumberFormat="1" applyFont="1" applyFill="1" applyBorder="1" applyAlignment="1">
      <alignment horizontal="left"/>
    </xf>
    <xf numFmtId="0" fontId="5" fillId="36" borderId="48" xfId="0" applyFont="1" applyFill="1" applyBorder="1" applyAlignment="1">
      <alignment/>
    </xf>
    <xf numFmtId="0" fontId="5" fillId="36" borderId="49" xfId="0" applyFont="1" applyFill="1" applyBorder="1" applyAlignment="1">
      <alignment/>
    </xf>
    <xf numFmtId="1" fontId="60" fillId="36" borderId="40" xfId="0" applyNumberFormat="1" applyFont="1" applyFill="1" applyBorder="1" applyAlignment="1">
      <alignment horizontal="left"/>
    </xf>
    <xf numFmtId="1" fontId="60" fillId="36" borderId="0" xfId="0" applyNumberFormat="1" applyFont="1" applyFill="1" applyBorder="1" applyAlignment="1">
      <alignment horizontal="left"/>
    </xf>
    <xf numFmtId="1" fontId="60" fillId="36" borderId="44" xfId="0" applyNumberFormat="1" applyFont="1" applyFill="1" applyBorder="1" applyAlignment="1">
      <alignment horizontal="left"/>
    </xf>
    <xf numFmtId="1" fontId="60" fillId="36" borderId="40" xfId="0" applyNumberFormat="1" applyFont="1" applyFill="1" applyBorder="1" applyAlignment="1">
      <alignment horizontal="left" wrapText="1"/>
    </xf>
    <xf numFmtId="1" fontId="60" fillId="36" borderId="0" xfId="0" applyNumberFormat="1" applyFont="1" applyFill="1" applyBorder="1" applyAlignment="1">
      <alignment horizontal="left" wrapText="1"/>
    </xf>
    <xf numFmtId="1" fontId="60" fillId="36" borderId="44" xfId="0" applyNumberFormat="1" applyFont="1" applyFill="1" applyBorder="1" applyAlignment="1">
      <alignment horizontal="left" wrapText="1"/>
    </xf>
    <xf numFmtId="1" fontId="5" fillId="36" borderId="40" xfId="0" applyNumberFormat="1" applyFont="1" applyFill="1" applyBorder="1" applyAlignment="1">
      <alignment horizontal="left"/>
    </xf>
    <xf numFmtId="1" fontId="5" fillId="36" borderId="0" xfId="0" applyNumberFormat="1" applyFont="1" applyFill="1" applyBorder="1" applyAlignment="1">
      <alignment horizontal="left"/>
    </xf>
    <xf numFmtId="1" fontId="5" fillId="36" borderId="44" xfId="0" applyNumberFormat="1" applyFont="1" applyFill="1" applyBorder="1" applyAlignment="1">
      <alignment horizontal="left"/>
    </xf>
    <xf numFmtId="0" fontId="80" fillId="0" borderId="102" xfId="0" applyFont="1" applyBorder="1" applyAlignment="1">
      <alignment horizontal="center" vertical="center"/>
    </xf>
    <xf numFmtId="0" fontId="76" fillId="0" borderId="103" xfId="0" applyFont="1" applyBorder="1" applyAlignment="1">
      <alignment/>
    </xf>
    <xf numFmtId="1" fontId="91" fillId="36" borderId="40" xfId="0" applyNumberFormat="1" applyFont="1" applyFill="1" applyBorder="1" applyAlignment="1">
      <alignment horizontal="left" wrapText="1"/>
    </xf>
    <xf numFmtId="1" fontId="91" fillId="36" borderId="0" xfId="0" applyNumberFormat="1" applyFont="1" applyFill="1" applyBorder="1" applyAlignment="1">
      <alignment horizontal="left" wrapText="1"/>
    </xf>
    <xf numFmtId="1" fontId="91" fillId="36" borderId="44" xfId="0" applyNumberFormat="1" applyFont="1" applyFill="1" applyBorder="1" applyAlignment="1">
      <alignment horizontal="left" wrapText="1"/>
    </xf>
    <xf numFmtId="1" fontId="91" fillId="36" borderId="40" xfId="0" applyNumberFormat="1" applyFont="1" applyFill="1" applyBorder="1" applyAlignment="1">
      <alignment horizontal="left"/>
    </xf>
    <xf numFmtId="1" fontId="91" fillId="36" borderId="0" xfId="0" applyNumberFormat="1" applyFont="1" applyFill="1" applyBorder="1" applyAlignment="1">
      <alignment horizontal="left"/>
    </xf>
    <xf numFmtId="1" fontId="91" fillId="36" borderId="44" xfId="0" applyNumberFormat="1" applyFont="1" applyFill="1" applyBorder="1" applyAlignment="1">
      <alignment horizontal="left"/>
    </xf>
    <xf numFmtId="1" fontId="91" fillId="36" borderId="47" xfId="0" applyNumberFormat="1" applyFont="1" applyFill="1" applyBorder="1" applyAlignment="1">
      <alignment horizontal="left"/>
    </xf>
    <xf numFmtId="0" fontId="91" fillId="36" borderId="48" xfId="0" applyFont="1" applyFill="1" applyBorder="1" applyAlignment="1">
      <alignment/>
    </xf>
    <xf numFmtId="1" fontId="91" fillId="36" borderId="48" xfId="0" applyNumberFormat="1" applyFont="1" applyFill="1" applyBorder="1" applyAlignment="1">
      <alignment horizontal="left"/>
    </xf>
    <xf numFmtId="0" fontId="91" fillId="36" borderId="49" xfId="0" applyFont="1" applyFill="1" applyBorder="1" applyAlignment="1">
      <alignment/>
    </xf>
    <xf numFmtId="0" fontId="91" fillId="36" borderId="0" xfId="0" applyFont="1" applyFill="1" applyBorder="1" applyAlignment="1">
      <alignment/>
    </xf>
    <xf numFmtId="0" fontId="91" fillId="36" borderId="44" xfId="0" applyFont="1" applyFill="1" applyBorder="1" applyAlignment="1">
      <alignment/>
    </xf>
    <xf numFmtId="0" fontId="4" fillId="36" borderId="21" xfId="0" applyFont="1" applyFill="1" applyBorder="1" applyAlignment="1">
      <alignment horizontal="center"/>
    </xf>
    <xf numFmtId="0" fontId="4" fillId="28" borderId="42" xfId="0" applyFont="1" applyFill="1" applyBorder="1" applyAlignment="1">
      <alignment horizontal="center" vertical="center"/>
    </xf>
    <xf numFmtId="0" fontId="4" fillId="28" borderId="43" xfId="0" applyFont="1" applyFill="1" applyBorder="1" applyAlignment="1">
      <alignment horizontal="center" vertical="center"/>
    </xf>
    <xf numFmtId="0" fontId="4" fillId="28" borderId="29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42" xfId="0" applyFont="1" applyFill="1" applyBorder="1" applyAlignment="1">
      <alignment horizontal="center" vertical="center"/>
    </xf>
    <xf numFmtId="0" fontId="4" fillId="36" borderId="43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28" borderId="42" xfId="0" applyFont="1" applyFill="1" applyBorder="1" applyAlignment="1">
      <alignment horizontal="left"/>
    </xf>
    <xf numFmtId="0" fontId="4" fillId="28" borderId="29" xfId="0" applyFont="1" applyFill="1" applyBorder="1" applyAlignment="1">
      <alignment horizontal="left"/>
    </xf>
    <xf numFmtId="0" fontId="7" fillId="28" borderId="21" xfId="0" applyFont="1" applyFill="1" applyBorder="1" applyAlignment="1">
      <alignment horizontal="center" vertical="center"/>
    </xf>
    <xf numFmtId="0" fontId="4" fillId="28" borderId="21" xfId="0" applyFont="1" applyFill="1" applyBorder="1" applyAlignment="1">
      <alignment horizontal="left"/>
    </xf>
    <xf numFmtId="0" fontId="7" fillId="28" borderId="21" xfId="0" applyFont="1" applyFill="1" applyBorder="1" applyAlignment="1">
      <alignment horizontal="center"/>
    </xf>
    <xf numFmtId="0" fontId="5" fillId="28" borderId="42" xfId="0" applyFont="1" applyFill="1" applyBorder="1" applyAlignment="1">
      <alignment horizontal="center"/>
    </xf>
    <xf numFmtId="0" fontId="5" fillId="28" borderId="43" xfId="0" applyFont="1" applyFill="1" applyBorder="1" applyAlignment="1">
      <alignment horizontal="center"/>
    </xf>
    <xf numFmtId="0" fontId="5" fillId="28" borderId="29" xfId="0" applyFont="1" applyFill="1" applyBorder="1" applyAlignment="1">
      <alignment horizontal="center"/>
    </xf>
    <xf numFmtId="0" fontId="58" fillId="36" borderId="42" xfId="0" applyFont="1" applyFill="1" applyBorder="1" applyAlignment="1" applyProtection="1">
      <alignment horizontal="center" vertical="center"/>
      <protection/>
    </xf>
    <xf numFmtId="0" fontId="58" fillId="36" borderId="43" xfId="0" applyFont="1" applyFill="1" applyBorder="1" applyAlignment="1" applyProtection="1">
      <alignment horizontal="center" vertical="center"/>
      <protection/>
    </xf>
    <xf numFmtId="0" fontId="12" fillId="36" borderId="72" xfId="700" applyNumberFormat="1" applyFont="1" applyFill="1" applyBorder="1" applyAlignment="1" applyProtection="1">
      <alignment horizontal="left" vertical="center" wrapText="1"/>
      <protection/>
    </xf>
    <xf numFmtId="0" fontId="12" fillId="36" borderId="53" xfId="700" applyNumberFormat="1" applyFont="1" applyFill="1" applyBorder="1" applyAlignment="1" applyProtection="1">
      <alignment horizontal="left" vertical="center" wrapText="1"/>
      <protection/>
    </xf>
    <xf numFmtId="0" fontId="12" fillId="36" borderId="54" xfId="700" applyNumberFormat="1" applyFont="1" applyFill="1" applyBorder="1" applyAlignment="1" applyProtection="1">
      <alignment horizontal="left" vertical="center" wrapText="1"/>
      <protection/>
    </xf>
    <xf numFmtId="4" fontId="0" fillId="36" borderId="58" xfId="0" applyNumberFormat="1" applyFill="1" applyBorder="1" applyAlignment="1" applyProtection="1">
      <alignment horizontal="center"/>
      <protection/>
    </xf>
    <xf numFmtId="172" fontId="0" fillId="36" borderId="84" xfId="713" applyFont="1" applyFill="1" applyBorder="1" applyAlignment="1" applyProtection="1">
      <alignment horizontal="left" vertical="center" wrapText="1"/>
      <protection/>
    </xf>
    <xf numFmtId="172" fontId="0" fillId="36" borderId="85" xfId="713" applyFont="1" applyFill="1" applyBorder="1" applyAlignment="1" applyProtection="1">
      <alignment horizontal="left" vertical="center" wrapText="1"/>
      <protection/>
    </xf>
    <xf numFmtId="172" fontId="0" fillId="36" borderId="86" xfId="713" applyFont="1" applyFill="1" applyBorder="1" applyAlignment="1" applyProtection="1">
      <alignment horizontal="left" vertical="center" wrapText="1"/>
      <protection/>
    </xf>
    <xf numFmtId="172" fontId="0" fillId="36" borderId="84" xfId="765" applyFont="1" applyFill="1" applyBorder="1" applyAlignment="1" applyProtection="1">
      <alignment horizontal="left" vertical="center" wrapText="1"/>
      <protection/>
    </xf>
    <xf numFmtId="172" fontId="0" fillId="36" borderId="85" xfId="765" applyFill="1" applyBorder="1" applyAlignment="1" applyProtection="1">
      <alignment horizontal="left" vertical="center" wrapText="1"/>
      <protection/>
    </xf>
    <xf numFmtId="172" fontId="0" fillId="36" borderId="86" xfId="765" applyFill="1" applyBorder="1" applyAlignment="1" applyProtection="1">
      <alignment horizontal="left" vertical="center" wrapText="1"/>
      <protection/>
    </xf>
    <xf numFmtId="4" fontId="0" fillId="36" borderId="24" xfId="0" applyNumberFormat="1" applyFill="1" applyBorder="1" applyAlignment="1" applyProtection="1">
      <alignment horizontal="center"/>
      <protection/>
    </xf>
    <xf numFmtId="39" fontId="0" fillId="36" borderId="25" xfId="700" applyNumberFormat="1" applyFont="1" applyFill="1" applyBorder="1" applyAlignment="1" applyProtection="1">
      <alignment/>
      <protection/>
    </xf>
    <xf numFmtId="0" fontId="0" fillId="36" borderId="21" xfId="0" applyFill="1" applyBorder="1" applyAlignment="1" applyProtection="1">
      <alignment horizontal="center"/>
      <protection/>
    </xf>
    <xf numFmtId="172" fontId="0" fillId="36" borderId="25" xfId="700" applyFont="1" applyFill="1" applyBorder="1" applyAlignment="1" applyProtection="1">
      <alignment horizontal="left"/>
      <protection/>
    </xf>
    <xf numFmtId="183" fontId="0" fillId="36" borderId="25" xfId="0" applyNumberFormat="1" applyFont="1" applyFill="1" applyBorder="1" applyAlignment="1" applyProtection="1">
      <alignment horizontal="center"/>
      <protection/>
    </xf>
    <xf numFmtId="4" fontId="0" fillId="36" borderId="84" xfId="700" applyNumberFormat="1" applyFont="1" applyFill="1" applyBorder="1" applyAlignment="1" applyProtection="1">
      <alignment horizontal="center" vertical="center" wrapText="1"/>
      <protection/>
    </xf>
    <xf numFmtId="4" fontId="0" fillId="36" borderId="85" xfId="700" applyNumberFormat="1" applyFont="1" applyFill="1" applyBorder="1" applyAlignment="1" applyProtection="1">
      <alignment horizontal="center" vertical="center" wrapText="1"/>
      <protection/>
    </xf>
    <xf numFmtId="4" fontId="0" fillId="36" borderId="86" xfId="700" applyNumberFormat="1" applyFont="1" applyFill="1" applyBorder="1" applyAlignment="1" applyProtection="1">
      <alignment horizontal="center" vertical="center" wrapText="1"/>
      <protection/>
    </xf>
    <xf numFmtId="4" fontId="0" fillId="36" borderId="24" xfId="766" applyNumberFormat="1" applyFont="1" applyFill="1" applyBorder="1" applyAlignment="1" applyProtection="1">
      <alignment horizontal="center" vertical="center" wrapText="1"/>
      <protection/>
    </xf>
    <xf numFmtId="0" fontId="59" fillId="36" borderId="21" xfId="0" applyFont="1" applyFill="1" applyBorder="1" applyAlignment="1" applyProtection="1">
      <alignment/>
      <protection/>
    </xf>
    <xf numFmtId="0" fontId="1" fillId="40" borderId="40" xfId="0" applyFont="1" applyFill="1" applyBorder="1" applyAlignment="1">
      <alignment horizontal="left" vertical="top" wrapText="1"/>
    </xf>
    <xf numFmtId="0" fontId="0" fillId="4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64" fillId="40" borderId="47" xfId="0" applyFont="1" applyFill="1" applyBorder="1" applyAlignment="1">
      <alignment horizont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838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Ênfase1" xfId="22"/>
    <cellStyle name="20% - Ênfase1 2" xfId="23"/>
    <cellStyle name="20% - Ênfase1 2 2" xfId="24"/>
    <cellStyle name="20% - Ênfase1 2 3" xfId="25"/>
    <cellStyle name="20% - Ênfase1 2 4" xfId="26"/>
    <cellStyle name="20% - Ênfase1 2_Compo" xfId="27"/>
    <cellStyle name="20% - Ênfase1 3" xfId="28"/>
    <cellStyle name="20% - Ênfase1 4" xfId="29"/>
    <cellStyle name="20% - Ênfase1 5" xfId="30"/>
    <cellStyle name="20% - Ênfase2" xfId="31"/>
    <cellStyle name="20% - Ênfase2 2" xfId="32"/>
    <cellStyle name="20% - Ênfase2 2 2" xfId="33"/>
    <cellStyle name="20% - Ênfase2 2 3" xfId="34"/>
    <cellStyle name="20% - Ênfase2 2 4" xfId="35"/>
    <cellStyle name="20% - Ênfase2 2_Compo" xfId="36"/>
    <cellStyle name="20% - Ênfase2 3" xfId="37"/>
    <cellStyle name="20% - Ênfase2 4" xfId="38"/>
    <cellStyle name="20% - Ênfase2 5" xfId="39"/>
    <cellStyle name="20% - Ênfase3" xfId="40"/>
    <cellStyle name="20% - Ênfase3 2" xfId="41"/>
    <cellStyle name="20% - Ênfase3 2 2" xfId="42"/>
    <cellStyle name="20% - Ênfase3 2 3" xfId="43"/>
    <cellStyle name="20% - Ênfase3 2 4" xfId="44"/>
    <cellStyle name="20% - Ênfase3 2_Compo" xfId="45"/>
    <cellStyle name="20% - Ênfase3 3" xfId="46"/>
    <cellStyle name="20% - Ênfase3 4" xfId="47"/>
    <cellStyle name="20% - Ênfase3 5" xfId="48"/>
    <cellStyle name="20% - Ênfase4" xfId="49"/>
    <cellStyle name="20% - Ênfase4 2" xfId="50"/>
    <cellStyle name="20% - Ênfase4 2 2" xfId="51"/>
    <cellStyle name="20% - Ênfase4 2 3" xfId="52"/>
    <cellStyle name="20% - Ênfase4 2 4" xfId="53"/>
    <cellStyle name="20% - Ênfase4 2_Compo" xfId="54"/>
    <cellStyle name="20% - Ênfase4 3" xfId="55"/>
    <cellStyle name="20% - Ênfase4 4" xfId="56"/>
    <cellStyle name="20% - Ênfase4 5" xfId="57"/>
    <cellStyle name="20% - Ênfase5" xfId="58"/>
    <cellStyle name="20% - Ênfase5 2" xfId="59"/>
    <cellStyle name="20% - Ênfase5 2 2" xfId="60"/>
    <cellStyle name="20% - Ênfase5 2 3" xfId="61"/>
    <cellStyle name="20% - Ênfase5 2 4" xfId="62"/>
    <cellStyle name="20% - Ênfase5 2_Compo" xfId="63"/>
    <cellStyle name="20% - Ênfase5 3" xfId="64"/>
    <cellStyle name="20% - Ênfase5 4" xfId="65"/>
    <cellStyle name="20% - Ênfase5 5" xfId="66"/>
    <cellStyle name="20% - Ênfase6" xfId="67"/>
    <cellStyle name="20% - Ênfase6 2" xfId="68"/>
    <cellStyle name="20% - Ênfase6 2 2" xfId="69"/>
    <cellStyle name="20% - Ênfase6 2 3" xfId="70"/>
    <cellStyle name="20% - Ênfase6 2 4" xfId="71"/>
    <cellStyle name="20% - Ênfase6 2_Compo" xfId="72"/>
    <cellStyle name="20% - Ênfase6 3" xfId="73"/>
    <cellStyle name="20% - Ênfase6 4" xfId="74"/>
    <cellStyle name="20% - Ênfase6 5" xfId="75"/>
    <cellStyle name="40% - Accent1" xfId="76"/>
    <cellStyle name="40% - Accent2" xfId="77"/>
    <cellStyle name="40% - Accent3" xfId="78"/>
    <cellStyle name="40% - Accent4" xfId="79"/>
    <cellStyle name="40% - Accent5" xfId="80"/>
    <cellStyle name="40% - Accent6" xfId="81"/>
    <cellStyle name="40% - Ênfase1" xfId="82"/>
    <cellStyle name="40% - Ênfase1 2" xfId="83"/>
    <cellStyle name="40% - Ênfase1 2 2" xfId="84"/>
    <cellStyle name="40% - Ênfase1 2 3" xfId="85"/>
    <cellStyle name="40% - Ênfase1 2 4" xfId="86"/>
    <cellStyle name="40% - Ênfase1 2_Compo" xfId="87"/>
    <cellStyle name="40% - Ênfase1 3" xfId="88"/>
    <cellStyle name="40% - Ênfase1 4" xfId="89"/>
    <cellStyle name="40% - Ênfase1 5" xfId="90"/>
    <cellStyle name="40% - Ênfase2" xfId="91"/>
    <cellStyle name="40% - Ênfase2 2" xfId="92"/>
    <cellStyle name="40% - Ênfase2 2 2" xfId="93"/>
    <cellStyle name="40% - Ênfase2 2 3" xfId="94"/>
    <cellStyle name="40% - Ênfase2 2 4" xfId="95"/>
    <cellStyle name="40% - Ênfase2 2_Compo" xfId="96"/>
    <cellStyle name="40% - Ênfase2 3" xfId="97"/>
    <cellStyle name="40% - Ênfase2 4" xfId="98"/>
    <cellStyle name="40% - Ênfase2 5" xfId="99"/>
    <cellStyle name="40% - Ênfase3" xfId="100"/>
    <cellStyle name="40% - Ênfase3 2" xfId="101"/>
    <cellStyle name="40% - Ênfase3 2 2" xfId="102"/>
    <cellStyle name="40% - Ênfase3 2 3" xfId="103"/>
    <cellStyle name="40% - Ênfase3 2 4" xfId="104"/>
    <cellStyle name="40% - Ênfase3 2_Compo" xfId="105"/>
    <cellStyle name="40% - Ênfase3 3" xfId="106"/>
    <cellStyle name="40% - Ênfase3 4" xfId="107"/>
    <cellStyle name="40% - Ênfase3 5" xfId="108"/>
    <cellStyle name="40% - Ênfase4" xfId="109"/>
    <cellStyle name="40% - Ênfase4 2" xfId="110"/>
    <cellStyle name="40% - Ênfase4 2 2" xfId="111"/>
    <cellStyle name="40% - Ênfase4 2 3" xfId="112"/>
    <cellStyle name="40% - Ênfase4 2 4" xfId="113"/>
    <cellStyle name="40% - Ênfase4 2_Compo" xfId="114"/>
    <cellStyle name="40% - Ênfase4 3" xfId="115"/>
    <cellStyle name="40% - Ênfase4 4" xfId="116"/>
    <cellStyle name="40% - Ênfase4 5" xfId="117"/>
    <cellStyle name="40% - Ênfase5" xfId="118"/>
    <cellStyle name="40% - Ênfase5 2" xfId="119"/>
    <cellStyle name="40% - Ênfase5 2 2" xfId="120"/>
    <cellStyle name="40% - Ênfase5 2 3" xfId="121"/>
    <cellStyle name="40% - Ênfase5 2 4" xfId="122"/>
    <cellStyle name="40% - Ênfase5 2_Compo" xfId="123"/>
    <cellStyle name="40% - Ênfase5 3" xfId="124"/>
    <cellStyle name="40% - Ênfase5 4" xfId="125"/>
    <cellStyle name="40% - Ênfase5 5" xfId="126"/>
    <cellStyle name="40% - Ênfase6" xfId="127"/>
    <cellStyle name="40% - Ênfase6 2" xfId="128"/>
    <cellStyle name="40% - Ênfase6 2 2" xfId="129"/>
    <cellStyle name="40% - Ênfase6 2 3" xfId="130"/>
    <cellStyle name="40% - Ênfase6 2 4" xfId="131"/>
    <cellStyle name="40% - Ênfase6 2_Compo" xfId="132"/>
    <cellStyle name="40% - Ênfase6 3" xfId="133"/>
    <cellStyle name="40% - Ênfase6 4" xfId="134"/>
    <cellStyle name="40% - Ênfase6 5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Ênfase1" xfId="142"/>
    <cellStyle name="60% - Ênfase1 2" xfId="143"/>
    <cellStyle name="60% - Ênfase1 2 2" xfId="144"/>
    <cellStyle name="60% - Ênfase1 2 3" xfId="145"/>
    <cellStyle name="60% - Ênfase1 2_ORÇAMENTO - FORUM DE V. GRANDE" xfId="146"/>
    <cellStyle name="60% - Ênfase1 3" xfId="147"/>
    <cellStyle name="60% - Ênfase1 4" xfId="148"/>
    <cellStyle name="60% - Ênfase1 5" xfId="149"/>
    <cellStyle name="60% - Ênfase1 6" xfId="150"/>
    <cellStyle name="60% - Ênfase2" xfId="151"/>
    <cellStyle name="60% - Ênfase2 2" xfId="152"/>
    <cellStyle name="60% - Ênfase2 2 2" xfId="153"/>
    <cellStyle name="60% - Ênfase2 2 3" xfId="154"/>
    <cellStyle name="60% - Ênfase2 2_ORÇAMENTO - FORUM DE V. GRANDE" xfId="155"/>
    <cellStyle name="60% - Ênfase2 3" xfId="156"/>
    <cellStyle name="60% - Ênfase2 4" xfId="157"/>
    <cellStyle name="60% - Ênfase2 5" xfId="158"/>
    <cellStyle name="60% - Ênfase2 6" xfId="159"/>
    <cellStyle name="60% - Ênfase3" xfId="160"/>
    <cellStyle name="60% - Ênfase3 2" xfId="161"/>
    <cellStyle name="60% - Ênfase3 2 2" xfId="162"/>
    <cellStyle name="60% - Ênfase3 2 3" xfId="163"/>
    <cellStyle name="60% - Ênfase3 2_ORÇAMENTO - FORUM DE V. GRANDE" xfId="164"/>
    <cellStyle name="60% - Ênfase3 3" xfId="165"/>
    <cellStyle name="60% - Ênfase3 4" xfId="166"/>
    <cellStyle name="60% - Ênfase3 5" xfId="167"/>
    <cellStyle name="60% - Ênfase3 6" xfId="168"/>
    <cellStyle name="60% - Ênfase4" xfId="169"/>
    <cellStyle name="60% - Ênfase4 2" xfId="170"/>
    <cellStyle name="60% - Ênfase4 2 2" xfId="171"/>
    <cellStyle name="60% - Ênfase4 2 3" xfId="172"/>
    <cellStyle name="60% - Ênfase4 2_ORÇAMENTO - FORUM DE V. GRANDE" xfId="173"/>
    <cellStyle name="60% - Ênfase4 3" xfId="174"/>
    <cellStyle name="60% - Ênfase4 4" xfId="175"/>
    <cellStyle name="60% - Ênfase4 5" xfId="176"/>
    <cellStyle name="60% - Ênfase4 6" xfId="177"/>
    <cellStyle name="60% - Ênfase5" xfId="178"/>
    <cellStyle name="60% - Ênfase5 2" xfId="179"/>
    <cellStyle name="60% - Ênfase5 2 2" xfId="180"/>
    <cellStyle name="60% - Ênfase5 2 3" xfId="181"/>
    <cellStyle name="60% - Ênfase5 2_ORÇAMENTO - FORUM DE V. GRANDE" xfId="182"/>
    <cellStyle name="60% - Ênfase5 3" xfId="183"/>
    <cellStyle name="60% - Ênfase5 4" xfId="184"/>
    <cellStyle name="60% - Ênfase5 5" xfId="185"/>
    <cellStyle name="60% - Ênfase5 6" xfId="186"/>
    <cellStyle name="60% - Ênfase6" xfId="187"/>
    <cellStyle name="60% - Ênfase6 2" xfId="188"/>
    <cellStyle name="60% - Ênfase6 2 2" xfId="189"/>
    <cellStyle name="60% - Ênfase6 2 3" xfId="190"/>
    <cellStyle name="60% - Ênfase6 2_ORÇAMENTO - FORUM DE V. GRANDE" xfId="191"/>
    <cellStyle name="60% - Ênfase6 3" xfId="192"/>
    <cellStyle name="60% - Ênfase6 4" xfId="193"/>
    <cellStyle name="60% - Ênfase6 5" xfId="194"/>
    <cellStyle name="60% - Ênfase6 6" xfId="195"/>
    <cellStyle name="Accent1" xfId="196"/>
    <cellStyle name="Accent2" xfId="197"/>
    <cellStyle name="Accent3" xfId="198"/>
    <cellStyle name="Accent4" xfId="199"/>
    <cellStyle name="Accent5" xfId="200"/>
    <cellStyle name="Accent6" xfId="201"/>
    <cellStyle name="Bad" xfId="202"/>
    <cellStyle name="Bom" xfId="203"/>
    <cellStyle name="Bom 2" xfId="204"/>
    <cellStyle name="Bom 2 2" xfId="205"/>
    <cellStyle name="Bom 2 3" xfId="206"/>
    <cellStyle name="Bom 2_ORÇAMENTO - FORUM DE V. GRANDE" xfId="207"/>
    <cellStyle name="Bom 3" xfId="208"/>
    <cellStyle name="Bom 4" xfId="209"/>
    <cellStyle name="Bom 5" xfId="210"/>
    <cellStyle name="Bom 6" xfId="211"/>
    <cellStyle name="Calculation" xfId="212"/>
    <cellStyle name="Cálculo" xfId="213"/>
    <cellStyle name="Cálculo 2" xfId="214"/>
    <cellStyle name="Cálculo 2 2" xfId="215"/>
    <cellStyle name="Cálculo 2 3" xfId="216"/>
    <cellStyle name="Cálculo 2_CIVIL- BL 1-2-3-4-5-6-7-8 " xfId="217"/>
    <cellStyle name="Cálculo 3" xfId="218"/>
    <cellStyle name="Cálculo 4" xfId="219"/>
    <cellStyle name="Cálculo 5" xfId="220"/>
    <cellStyle name="Cálculo 6" xfId="221"/>
    <cellStyle name="Cancel" xfId="222"/>
    <cellStyle name="Célula de Verificação" xfId="223"/>
    <cellStyle name="Célula de Verificação 2" xfId="224"/>
    <cellStyle name="Célula de Verificação 2 2" xfId="225"/>
    <cellStyle name="Célula de Verificação 2 3" xfId="226"/>
    <cellStyle name="Célula de Verificação 2_CIVIL- BL 1-2-3-4-5-6-7-8 " xfId="227"/>
    <cellStyle name="Célula de Verificação 3" xfId="228"/>
    <cellStyle name="Célula de Verificação 4" xfId="229"/>
    <cellStyle name="Célula de Verificação 5" xfId="230"/>
    <cellStyle name="Célula de Verificação 6" xfId="231"/>
    <cellStyle name="Célula Vinculada" xfId="232"/>
    <cellStyle name="Célula Vinculada 2" xfId="233"/>
    <cellStyle name="Célula Vinculada 2 2" xfId="234"/>
    <cellStyle name="Célula Vinculada 2 3" xfId="235"/>
    <cellStyle name="Célula Vinculada 2_CIVIL- BL 1-2-3-4-5-6-7-8 " xfId="236"/>
    <cellStyle name="Célula Vinculada 3" xfId="237"/>
    <cellStyle name="Célula Vinculada 4" xfId="238"/>
    <cellStyle name="Célula Vinculada 5" xfId="239"/>
    <cellStyle name="Célula Vinculada 6" xfId="240"/>
    <cellStyle name="Comma0" xfId="241"/>
    <cellStyle name="Currency0" xfId="242"/>
    <cellStyle name="Ênfase1" xfId="243"/>
    <cellStyle name="Ênfase1 2" xfId="244"/>
    <cellStyle name="Ênfase1 2 2" xfId="245"/>
    <cellStyle name="Ênfase1 2 3" xfId="246"/>
    <cellStyle name="Ênfase1 2_ORÇAMENTO - FORUM DE V. GRANDE" xfId="247"/>
    <cellStyle name="Ênfase1 3" xfId="248"/>
    <cellStyle name="Ênfase1 4" xfId="249"/>
    <cellStyle name="Ênfase1 5" xfId="250"/>
    <cellStyle name="Ênfase1 6" xfId="251"/>
    <cellStyle name="Ênfase2" xfId="252"/>
    <cellStyle name="Ênfase2 2" xfId="253"/>
    <cellStyle name="Ênfase2 2 2" xfId="254"/>
    <cellStyle name="Ênfase2 2 3" xfId="255"/>
    <cellStyle name="Ênfase2 2_ORÇAMENTO - FORUM DE V. GRANDE" xfId="256"/>
    <cellStyle name="Ênfase2 3" xfId="257"/>
    <cellStyle name="Ênfase2 4" xfId="258"/>
    <cellStyle name="Ênfase2 5" xfId="259"/>
    <cellStyle name="Ênfase2 6" xfId="260"/>
    <cellStyle name="Ênfase3" xfId="261"/>
    <cellStyle name="Ênfase3 2" xfId="262"/>
    <cellStyle name="Ênfase3 2 2" xfId="263"/>
    <cellStyle name="Ênfase3 2 3" xfId="264"/>
    <cellStyle name="Ênfase3 2_ORÇAMENTO - FORUM DE V. GRANDE" xfId="265"/>
    <cellStyle name="Ênfase3 3" xfId="266"/>
    <cellStyle name="Ênfase3 4" xfId="267"/>
    <cellStyle name="Ênfase3 5" xfId="268"/>
    <cellStyle name="Ênfase3 6" xfId="269"/>
    <cellStyle name="Ênfase4" xfId="270"/>
    <cellStyle name="Ênfase4 2" xfId="271"/>
    <cellStyle name="Ênfase4 2 2" xfId="272"/>
    <cellStyle name="Ênfase4 2 3" xfId="273"/>
    <cellStyle name="Ênfase4 2_ORÇAMENTO - FORUM DE V. GRANDE" xfId="274"/>
    <cellStyle name="Ênfase4 3" xfId="275"/>
    <cellStyle name="Ênfase4 4" xfId="276"/>
    <cellStyle name="Ênfase4 5" xfId="277"/>
    <cellStyle name="Ênfase4 6" xfId="278"/>
    <cellStyle name="Ênfase5" xfId="279"/>
    <cellStyle name="Ênfase5 2" xfId="280"/>
    <cellStyle name="Ênfase5 2 2" xfId="281"/>
    <cellStyle name="Ênfase5 2 3" xfId="282"/>
    <cellStyle name="Ênfase5 2_ORÇAMENTO - FORUM DE V. GRANDE" xfId="283"/>
    <cellStyle name="Ênfase5 3" xfId="284"/>
    <cellStyle name="Ênfase5 4" xfId="285"/>
    <cellStyle name="Ênfase5 5" xfId="286"/>
    <cellStyle name="Ênfase5 6" xfId="287"/>
    <cellStyle name="Ênfase6" xfId="288"/>
    <cellStyle name="Ênfase6 2" xfId="289"/>
    <cellStyle name="Ênfase6 2 2" xfId="290"/>
    <cellStyle name="Ênfase6 2 3" xfId="291"/>
    <cellStyle name="Ênfase6 2_ORÇAMENTO - FORUM DE V. GRANDE" xfId="292"/>
    <cellStyle name="Ênfase6 3" xfId="293"/>
    <cellStyle name="Ênfase6 4" xfId="294"/>
    <cellStyle name="Ênfase6 5" xfId="295"/>
    <cellStyle name="Ênfase6 6" xfId="296"/>
    <cellStyle name="Entrada" xfId="297"/>
    <cellStyle name="Entrada 2" xfId="298"/>
    <cellStyle name="Entrada 2 2" xfId="299"/>
    <cellStyle name="Entrada 2 3" xfId="300"/>
    <cellStyle name="Entrada 2_CIVIL- BL 1-2-3-4-5-6-7-8 " xfId="301"/>
    <cellStyle name="Entrada 3" xfId="302"/>
    <cellStyle name="Entrada 4" xfId="303"/>
    <cellStyle name="Entrada 5" xfId="304"/>
    <cellStyle name="Entrada 6" xfId="305"/>
    <cellStyle name="Estilo 1" xfId="306"/>
    <cellStyle name="Euro" xfId="307"/>
    <cellStyle name="Euro 2" xfId="308"/>
    <cellStyle name="Euro 2 2" xfId="309"/>
    <cellStyle name="Euro 3" xfId="310"/>
    <cellStyle name="Excel Built-in Normal" xfId="311"/>
    <cellStyle name="Excel Built-in Normal 1 1" xfId="312"/>
    <cellStyle name="Excel Built-in Normal 10 3" xfId="313"/>
    <cellStyle name="Excel Built-in Vírgula 6" xfId="314"/>
    <cellStyle name="Explanatory Text" xfId="315"/>
    <cellStyle name="Heading 1" xfId="316"/>
    <cellStyle name="Heading 2" xfId="317"/>
    <cellStyle name="Heading 3" xfId="318"/>
    <cellStyle name="Heading 4" xfId="319"/>
    <cellStyle name="Hiperlink 2" xfId="320"/>
    <cellStyle name="Hyperlink" xfId="321"/>
    <cellStyle name="Hyperlink 2" xfId="322"/>
    <cellStyle name="Followed Hyperlink" xfId="323"/>
    <cellStyle name="Incorreto" xfId="324"/>
    <cellStyle name="Incorreto 2" xfId="325"/>
    <cellStyle name="Incorreto 2 2" xfId="326"/>
    <cellStyle name="Incorreto 2 3" xfId="327"/>
    <cellStyle name="Incorreto 2_ORÇAMENTO - FORUM DE V. GRANDE" xfId="328"/>
    <cellStyle name="Incorreto 3" xfId="329"/>
    <cellStyle name="Incorreto 4" xfId="330"/>
    <cellStyle name="Incorreto 5" xfId="331"/>
    <cellStyle name="Incorreto 6" xfId="332"/>
    <cellStyle name="Currency" xfId="333"/>
    <cellStyle name="Currency [0]" xfId="334"/>
    <cellStyle name="Moeda 10" xfId="335"/>
    <cellStyle name="Moeda 2" xfId="336"/>
    <cellStyle name="Moeda 2 2" xfId="337"/>
    <cellStyle name="Moeda 2 3" xfId="338"/>
    <cellStyle name="Moeda 2_ORÇAMENTO - FORUM DE V. GRANDE" xfId="339"/>
    <cellStyle name="Moeda 24" xfId="340"/>
    <cellStyle name="Moeda 3" xfId="341"/>
    <cellStyle name="Moeda 4" xfId="342"/>
    <cellStyle name="Moeda 5" xfId="343"/>
    <cellStyle name="Moeda 6" xfId="344"/>
    <cellStyle name="Moeda 7" xfId="345"/>
    <cellStyle name="Moeda 8" xfId="346"/>
    <cellStyle name="Moeda 9" xfId="347"/>
    <cellStyle name="Neutra" xfId="348"/>
    <cellStyle name="Neutra 2" xfId="349"/>
    <cellStyle name="Neutra 2 2" xfId="350"/>
    <cellStyle name="Neutra 2 3" xfId="351"/>
    <cellStyle name="Neutra 2_ORÇAMENTO - FORUM DE V. GRANDE" xfId="352"/>
    <cellStyle name="Neutra 3" xfId="353"/>
    <cellStyle name="Neutra 4" xfId="354"/>
    <cellStyle name="Neutra 5" xfId="355"/>
    <cellStyle name="Neutra 6" xfId="356"/>
    <cellStyle name="Normal 10" xfId="357"/>
    <cellStyle name="Normal 10 2" xfId="358"/>
    <cellStyle name="Normal 10_Compo-Civil" xfId="359"/>
    <cellStyle name="Normal 11" xfId="360"/>
    <cellStyle name="Normal 11 2" xfId="361"/>
    <cellStyle name="Normal 11_Compo-Civil" xfId="362"/>
    <cellStyle name="Normal 12" xfId="363"/>
    <cellStyle name="Normal 12 2" xfId="364"/>
    <cellStyle name="Normal 12_Compo-Civil" xfId="365"/>
    <cellStyle name="Normal 13" xfId="366"/>
    <cellStyle name="Normal 13 2" xfId="367"/>
    <cellStyle name="Normal 13 2 2" xfId="368"/>
    <cellStyle name="Normal 13 2 3" xfId="369"/>
    <cellStyle name="Normal 13 2_Compo-Civil" xfId="370"/>
    <cellStyle name="Normal 13 3" xfId="371"/>
    <cellStyle name="Normal 13 4" xfId="372"/>
    <cellStyle name="Normal 13_Compo-Civil" xfId="373"/>
    <cellStyle name="Normal 14" xfId="374"/>
    <cellStyle name="Normal 14 2" xfId="375"/>
    <cellStyle name="Normal 14_Compo-Civil" xfId="376"/>
    <cellStyle name="Normal 15" xfId="377"/>
    <cellStyle name="Normal 15 2" xfId="378"/>
    <cellStyle name="Normal 15 2 2" xfId="379"/>
    <cellStyle name="Normal 15 2 3" xfId="380"/>
    <cellStyle name="Normal 15 2_Compo-Civil" xfId="381"/>
    <cellStyle name="Normal 15 3" xfId="382"/>
    <cellStyle name="Normal 15 4" xfId="383"/>
    <cellStyle name="Normal 15_Compo-Civil" xfId="384"/>
    <cellStyle name="Normal 16" xfId="385"/>
    <cellStyle name="Normal 16 2" xfId="386"/>
    <cellStyle name="Normal 16 2 2" xfId="387"/>
    <cellStyle name="Normal 16 2 3" xfId="388"/>
    <cellStyle name="Normal 16 2_Compo-Civil" xfId="389"/>
    <cellStyle name="Normal 16 3" xfId="390"/>
    <cellStyle name="Normal 16 4" xfId="391"/>
    <cellStyle name="Normal 16_Compo-Civil" xfId="392"/>
    <cellStyle name="Normal 17" xfId="393"/>
    <cellStyle name="Normal 17 2" xfId="394"/>
    <cellStyle name="Normal 17_Compo-Civil" xfId="395"/>
    <cellStyle name="Normal 18" xfId="396"/>
    <cellStyle name="Normal 18 2" xfId="397"/>
    <cellStyle name="Normal 18_Compo-Civil" xfId="398"/>
    <cellStyle name="Normal 19" xfId="399"/>
    <cellStyle name="Normal 19 2" xfId="400"/>
    <cellStyle name="Normal 19_Compo-Civil" xfId="401"/>
    <cellStyle name="Normal 2" xfId="402"/>
    <cellStyle name="Normal 2 10" xfId="403"/>
    <cellStyle name="Normal 2 2" xfId="404"/>
    <cellStyle name="Normal 2 2 2" xfId="405"/>
    <cellStyle name="Normal 2 2 2 2" xfId="406"/>
    <cellStyle name="Normal 2 2 2_ORÇAMENTO - FORUM DE V. GRANDE" xfId="407"/>
    <cellStyle name="Normal 2 2_Compo-Civil" xfId="408"/>
    <cellStyle name="Normal 2 3" xfId="409"/>
    <cellStyle name="Normal 2 4" xfId="410"/>
    <cellStyle name="Normal 2 5" xfId="411"/>
    <cellStyle name="Normal 2 6" xfId="412"/>
    <cellStyle name="Normal 2 7" xfId="413"/>
    <cellStyle name="Normal 2 8" xfId="414"/>
    <cellStyle name="Normal 2 9" xfId="415"/>
    <cellStyle name="Normal 20" xfId="416"/>
    <cellStyle name="Normal 20 2" xfId="417"/>
    <cellStyle name="Normal 20_Compo-Civil" xfId="418"/>
    <cellStyle name="Normal 21" xfId="419"/>
    <cellStyle name="Normal 21 2" xfId="420"/>
    <cellStyle name="Normal 21 3" xfId="421"/>
    <cellStyle name="Normal 21 4" xfId="422"/>
    <cellStyle name="Normal 21_Compo-Civil" xfId="423"/>
    <cellStyle name="Normal 22" xfId="424"/>
    <cellStyle name="Normal 22 2" xfId="425"/>
    <cellStyle name="Normal 22_Compo-Civil" xfId="426"/>
    <cellStyle name="Normal 23" xfId="427"/>
    <cellStyle name="Normal 23 2" xfId="428"/>
    <cellStyle name="Normal 23_Compo-Civil" xfId="429"/>
    <cellStyle name="Normal 24" xfId="430"/>
    <cellStyle name="Normal 24 2" xfId="431"/>
    <cellStyle name="Normal 24_Compo-Civil" xfId="432"/>
    <cellStyle name="Normal 25" xfId="433"/>
    <cellStyle name="Normal 25 2" xfId="434"/>
    <cellStyle name="Normal 25_Compo-Civil" xfId="435"/>
    <cellStyle name="Normal 26" xfId="436"/>
    <cellStyle name="Normal 26 2" xfId="437"/>
    <cellStyle name="Normal 26_Compo-Civil" xfId="438"/>
    <cellStyle name="Normal 27" xfId="439"/>
    <cellStyle name="Normal 27 2" xfId="440"/>
    <cellStyle name="Normal 27_Compo-Civil" xfId="441"/>
    <cellStyle name="Normal 28" xfId="442"/>
    <cellStyle name="Normal 28 2" xfId="443"/>
    <cellStyle name="Normal 28_Compo-Civil" xfId="444"/>
    <cellStyle name="Normal 29" xfId="445"/>
    <cellStyle name="Normal 3" xfId="446"/>
    <cellStyle name="Normal 3 2" xfId="447"/>
    <cellStyle name="Normal 3 3" xfId="448"/>
    <cellStyle name="Normal 3 4" xfId="449"/>
    <cellStyle name="Normal 30" xfId="450"/>
    <cellStyle name="Normal 31" xfId="451"/>
    <cellStyle name="Normal 32" xfId="452"/>
    <cellStyle name="Normal 33" xfId="453"/>
    <cellStyle name="Normal 34" xfId="454"/>
    <cellStyle name="Normal 35" xfId="455"/>
    <cellStyle name="Normal 36" xfId="456"/>
    <cellStyle name="Normal 37" xfId="457"/>
    <cellStyle name="Normal 38" xfId="458"/>
    <cellStyle name="Normal 39" xfId="459"/>
    <cellStyle name="Normal 4" xfId="460"/>
    <cellStyle name="Normal 4 10" xfId="461"/>
    <cellStyle name="Normal 4 2" xfId="462"/>
    <cellStyle name="Normal 4 2 2" xfId="463"/>
    <cellStyle name="Normal 4 2 3" xfId="464"/>
    <cellStyle name="Normal 4 2_Compo-Civil" xfId="465"/>
    <cellStyle name="Normal 4 3" xfId="466"/>
    <cellStyle name="Normal 4 4" xfId="467"/>
    <cellStyle name="Normal 4 5" xfId="468"/>
    <cellStyle name="Normal 4 6" xfId="469"/>
    <cellStyle name="Normal 4 7" xfId="470"/>
    <cellStyle name="Normal 4 8" xfId="471"/>
    <cellStyle name="Normal 4 9" xfId="472"/>
    <cellStyle name="Normal 4_ORÇAMENTO" xfId="473"/>
    <cellStyle name="Normal 40" xfId="474"/>
    <cellStyle name="Normal 41" xfId="475"/>
    <cellStyle name="Normal 42" xfId="476"/>
    <cellStyle name="Normal 43" xfId="477"/>
    <cellStyle name="Normal 44" xfId="478"/>
    <cellStyle name="Normal 45" xfId="479"/>
    <cellStyle name="Normal 46" xfId="480"/>
    <cellStyle name="Normal 47" xfId="481"/>
    <cellStyle name="Normal 48" xfId="482"/>
    <cellStyle name="Normal 49" xfId="483"/>
    <cellStyle name="Normal 5" xfId="484"/>
    <cellStyle name="Normal 5 2" xfId="485"/>
    <cellStyle name="Normal 5 3" xfId="486"/>
    <cellStyle name="Normal 5 4" xfId="487"/>
    <cellStyle name="Normal 5_Compo-Civil" xfId="488"/>
    <cellStyle name="Normal 50" xfId="489"/>
    <cellStyle name="Normal 51" xfId="490"/>
    <cellStyle name="Normal 52" xfId="491"/>
    <cellStyle name="Normal 53" xfId="492"/>
    <cellStyle name="Normal 54" xfId="493"/>
    <cellStyle name="Normal 55" xfId="494"/>
    <cellStyle name="Normal 56" xfId="495"/>
    <cellStyle name="Normal 57" xfId="496"/>
    <cellStyle name="Normal 58" xfId="497"/>
    <cellStyle name="Normal 59" xfId="498"/>
    <cellStyle name="Normal 6" xfId="499"/>
    <cellStyle name="Normal 6 2" xfId="500"/>
    <cellStyle name="Normal 6_Compo-Civil" xfId="501"/>
    <cellStyle name="Normal 60" xfId="502"/>
    <cellStyle name="Normal 61" xfId="503"/>
    <cellStyle name="Normal 62" xfId="504"/>
    <cellStyle name="Normal 63" xfId="505"/>
    <cellStyle name="Normal 64" xfId="506"/>
    <cellStyle name="Normal 65" xfId="507"/>
    <cellStyle name="Normal 66" xfId="508"/>
    <cellStyle name="Normal 67" xfId="509"/>
    <cellStyle name="Normal 68" xfId="510"/>
    <cellStyle name="Normal 69" xfId="511"/>
    <cellStyle name="Normal 7" xfId="512"/>
    <cellStyle name="Normal 7 2" xfId="513"/>
    <cellStyle name="Normal 7_Compo-Civil" xfId="514"/>
    <cellStyle name="Normal 70" xfId="515"/>
    <cellStyle name="Normal 71" xfId="516"/>
    <cellStyle name="Normal 72" xfId="517"/>
    <cellStyle name="Normal 73" xfId="518"/>
    <cellStyle name="Normal 74" xfId="519"/>
    <cellStyle name="Normal 75" xfId="520"/>
    <cellStyle name="Normal 76" xfId="521"/>
    <cellStyle name="Normal 77" xfId="522"/>
    <cellStyle name="Normal 78" xfId="523"/>
    <cellStyle name="Normal 79" xfId="524"/>
    <cellStyle name="Normal 8" xfId="525"/>
    <cellStyle name="Normal 8 2" xfId="526"/>
    <cellStyle name="Normal 8 3" xfId="527"/>
    <cellStyle name="Normal 8 4" xfId="528"/>
    <cellStyle name="Normal 8_Compo-Civil" xfId="529"/>
    <cellStyle name="Normal 80" xfId="530"/>
    <cellStyle name="Normal 81" xfId="531"/>
    <cellStyle name="Normal 82" xfId="532"/>
    <cellStyle name="Normal 83" xfId="533"/>
    <cellStyle name="Normal 84" xfId="534"/>
    <cellStyle name="Normal 85" xfId="535"/>
    <cellStyle name="Normal 86" xfId="536"/>
    <cellStyle name="Normal 87" xfId="537"/>
    <cellStyle name="Normal 88" xfId="538"/>
    <cellStyle name="Normal 89" xfId="539"/>
    <cellStyle name="Normal 9" xfId="540"/>
    <cellStyle name="Normal 9 2" xfId="541"/>
    <cellStyle name="Normal 9_Compo-Civil" xfId="542"/>
    <cellStyle name="Normal 90" xfId="543"/>
    <cellStyle name="Normal 91" xfId="544"/>
    <cellStyle name="Normal_5ª Medição 199" xfId="545"/>
    <cellStyle name="Normal_rol-rua2" xfId="546"/>
    <cellStyle name="Nota" xfId="547"/>
    <cellStyle name="Nota 10" xfId="548"/>
    <cellStyle name="Nota 10 2" xfId="549"/>
    <cellStyle name="Nota 11" xfId="550"/>
    <cellStyle name="Nota 11 2" xfId="551"/>
    <cellStyle name="Nota 12" xfId="552"/>
    <cellStyle name="Nota 12 2" xfId="553"/>
    <cellStyle name="Nota 13" xfId="554"/>
    <cellStyle name="Nota 13 2" xfId="555"/>
    <cellStyle name="Nota 14" xfId="556"/>
    <cellStyle name="Nota 14 2" xfId="557"/>
    <cellStyle name="Nota 15" xfId="558"/>
    <cellStyle name="Nota 15 2" xfId="559"/>
    <cellStyle name="Nota 16" xfId="560"/>
    <cellStyle name="Nota 16 2" xfId="561"/>
    <cellStyle name="Nota 17" xfId="562"/>
    <cellStyle name="Nota 17 2" xfId="563"/>
    <cellStyle name="Nota 18" xfId="564"/>
    <cellStyle name="Nota 18 2" xfId="565"/>
    <cellStyle name="Nota 19" xfId="566"/>
    <cellStyle name="Nota 19 2" xfId="567"/>
    <cellStyle name="Nota 2" xfId="568"/>
    <cellStyle name="Nota 2 2" xfId="569"/>
    <cellStyle name="Nota 2 3" xfId="570"/>
    <cellStyle name="Nota 2 4" xfId="571"/>
    <cellStyle name="Nota 2_CIVIL- BL 1-2-3-4-5-6-7-8 " xfId="572"/>
    <cellStyle name="Nota 20" xfId="573"/>
    <cellStyle name="Nota 20 2" xfId="574"/>
    <cellStyle name="Nota 21" xfId="575"/>
    <cellStyle name="Nota 21 2" xfId="576"/>
    <cellStyle name="Nota 22" xfId="577"/>
    <cellStyle name="Nota 22 2" xfId="578"/>
    <cellStyle name="Nota 23" xfId="579"/>
    <cellStyle name="Nota 23 2" xfId="580"/>
    <cellStyle name="Nota 24" xfId="581"/>
    <cellStyle name="Nota 24 2" xfId="582"/>
    <cellStyle name="Nota 25" xfId="583"/>
    <cellStyle name="Nota 25 2" xfId="584"/>
    <cellStyle name="Nota 26" xfId="585"/>
    <cellStyle name="Nota 26 2" xfId="586"/>
    <cellStyle name="Nota 27" xfId="587"/>
    <cellStyle name="Nota 27 2" xfId="588"/>
    <cellStyle name="Nota 28" xfId="589"/>
    <cellStyle name="Nota 28 2" xfId="590"/>
    <cellStyle name="Nota 29" xfId="591"/>
    <cellStyle name="Nota 29 2" xfId="592"/>
    <cellStyle name="Nota 3" xfId="593"/>
    <cellStyle name="Nota 3 2" xfId="594"/>
    <cellStyle name="Nota 30" xfId="595"/>
    <cellStyle name="Nota 30 2" xfId="596"/>
    <cellStyle name="Nota 31" xfId="597"/>
    <cellStyle name="Nota 31 2" xfId="598"/>
    <cellStyle name="Nota 32" xfId="599"/>
    <cellStyle name="Nota 32 2" xfId="600"/>
    <cellStyle name="Nota 33" xfId="601"/>
    <cellStyle name="Nota 33 2" xfId="602"/>
    <cellStyle name="Nota 34" xfId="603"/>
    <cellStyle name="Nota 34 2" xfId="604"/>
    <cellStyle name="Nota 35" xfId="605"/>
    <cellStyle name="Nota 35 2" xfId="606"/>
    <cellStyle name="Nota 36" xfId="607"/>
    <cellStyle name="Nota 36 2" xfId="608"/>
    <cellStyle name="Nota 37" xfId="609"/>
    <cellStyle name="Nota 37 2" xfId="610"/>
    <cellStyle name="Nota 38" xfId="611"/>
    <cellStyle name="Nota 39" xfId="612"/>
    <cellStyle name="Nota 4" xfId="613"/>
    <cellStyle name="Nota 4 2" xfId="614"/>
    <cellStyle name="Nota 5" xfId="615"/>
    <cellStyle name="Nota 5 2" xfId="616"/>
    <cellStyle name="Nota 6" xfId="617"/>
    <cellStyle name="Nota 6 2" xfId="618"/>
    <cellStyle name="Nota 7" xfId="619"/>
    <cellStyle name="Nota 7 2" xfId="620"/>
    <cellStyle name="Nota 8" xfId="621"/>
    <cellStyle name="Nota 8 2" xfId="622"/>
    <cellStyle name="Nota 9" xfId="623"/>
    <cellStyle name="Nota 9 2" xfId="624"/>
    <cellStyle name="Output" xfId="625"/>
    <cellStyle name="planilhas" xfId="626"/>
    <cellStyle name="Percent" xfId="627"/>
    <cellStyle name="Porcentagem 10" xfId="628"/>
    <cellStyle name="Porcentagem 10 2" xfId="629"/>
    <cellStyle name="Porcentagem 11" xfId="630"/>
    <cellStyle name="Porcentagem 12" xfId="631"/>
    <cellStyle name="Porcentagem 13" xfId="632"/>
    <cellStyle name="Porcentagem 14" xfId="633"/>
    <cellStyle name="Porcentagem 15" xfId="634"/>
    <cellStyle name="Porcentagem 16" xfId="635"/>
    <cellStyle name="Porcentagem 17" xfId="636"/>
    <cellStyle name="Porcentagem 18" xfId="637"/>
    <cellStyle name="Porcentagem 19" xfId="638"/>
    <cellStyle name="Porcentagem 2" xfId="639"/>
    <cellStyle name="Porcentagem 2 10" xfId="640"/>
    <cellStyle name="Porcentagem 2 11" xfId="641"/>
    <cellStyle name="Porcentagem 2 12" xfId="642"/>
    <cellStyle name="Porcentagem 2 13" xfId="643"/>
    <cellStyle name="Porcentagem 2 14" xfId="644"/>
    <cellStyle name="Porcentagem 2 15" xfId="645"/>
    <cellStyle name="Porcentagem 2 16" xfId="646"/>
    <cellStyle name="Porcentagem 2 17" xfId="647"/>
    <cellStyle name="Porcentagem 2 18" xfId="648"/>
    <cellStyle name="Porcentagem 2 19" xfId="649"/>
    <cellStyle name="Porcentagem 2 2" xfId="650"/>
    <cellStyle name="Porcentagem 2 2 2" xfId="651"/>
    <cellStyle name="Porcentagem 2 2 3" xfId="652"/>
    <cellStyle name="Porcentagem 2 20" xfId="653"/>
    <cellStyle name="Porcentagem 2 21" xfId="654"/>
    <cellStyle name="Porcentagem 2 22" xfId="655"/>
    <cellStyle name="Porcentagem 2 23" xfId="656"/>
    <cellStyle name="Porcentagem 2 24" xfId="657"/>
    <cellStyle name="Porcentagem 2 25" xfId="658"/>
    <cellStyle name="Porcentagem 2 26" xfId="659"/>
    <cellStyle name="Porcentagem 2 27" xfId="660"/>
    <cellStyle name="Porcentagem 2 28" xfId="661"/>
    <cellStyle name="Porcentagem 2 29" xfId="662"/>
    <cellStyle name="Porcentagem 2 3" xfId="663"/>
    <cellStyle name="Porcentagem 2 30" xfId="664"/>
    <cellStyle name="Porcentagem 2 4" xfId="665"/>
    <cellStyle name="Porcentagem 2 5" xfId="666"/>
    <cellStyle name="Porcentagem 2 6" xfId="667"/>
    <cellStyle name="Porcentagem 2 7" xfId="668"/>
    <cellStyle name="Porcentagem 2 8" xfId="669"/>
    <cellStyle name="Porcentagem 2 9" xfId="670"/>
    <cellStyle name="Porcentagem 20" xfId="671"/>
    <cellStyle name="Porcentagem 21" xfId="672"/>
    <cellStyle name="Porcentagem 22" xfId="673"/>
    <cellStyle name="Porcentagem 23" xfId="674"/>
    <cellStyle name="Porcentagem 24" xfId="675"/>
    <cellStyle name="Porcentagem 25" xfId="676"/>
    <cellStyle name="Porcentagem 26" xfId="677"/>
    <cellStyle name="Porcentagem 27" xfId="678"/>
    <cellStyle name="Porcentagem 28" xfId="679"/>
    <cellStyle name="Porcentagem 29" xfId="680"/>
    <cellStyle name="Porcentagem 3" xfId="681"/>
    <cellStyle name="Porcentagem 30" xfId="682"/>
    <cellStyle name="Porcentagem 31" xfId="683"/>
    <cellStyle name="Porcentagem 33" xfId="684"/>
    <cellStyle name="Porcentagem 4" xfId="685"/>
    <cellStyle name="Porcentagem 5" xfId="686"/>
    <cellStyle name="Porcentagem 6" xfId="687"/>
    <cellStyle name="Porcentagem 7" xfId="688"/>
    <cellStyle name="Porcentagem 8" xfId="689"/>
    <cellStyle name="Porcentagem 9" xfId="690"/>
    <cellStyle name="Saída" xfId="691"/>
    <cellStyle name="Saída 2" xfId="692"/>
    <cellStyle name="Saída 2 2" xfId="693"/>
    <cellStyle name="Saída 2 3" xfId="694"/>
    <cellStyle name="Saída 2_CIVIL- BL 1-2-3-4-5-6-7-8 " xfId="695"/>
    <cellStyle name="Saída 3" xfId="696"/>
    <cellStyle name="Saída 4" xfId="697"/>
    <cellStyle name="Saída 5" xfId="698"/>
    <cellStyle name="Saída 6" xfId="699"/>
    <cellStyle name="Comma" xfId="700"/>
    <cellStyle name="Comma [0]" xfId="701"/>
    <cellStyle name="Separador de milhares 10" xfId="702"/>
    <cellStyle name="Separador de milhares 11" xfId="703"/>
    <cellStyle name="Separador de milhares 12" xfId="704"/>
    <cellStyle name="Separador de milhares 13" xfId="705"/>
    <cellStyle name="Separador de milhares 14" xfId="706"/>
    <cellStyle name="Separador de milhares 15" xfId="707"/>
    <cellStyle name="Separador de milhares 16" xfId="708"/>
    <cellStyle name="Separador de milhares 17" xfId="709"/>
    <cellStyle name="Separador de milhares 18" xfId="710"/>
    <cellStyle name="Separador de milhares 19" xfId="711"/>
    <cellStyle name="Separador de milhares 2" xfId="712"/>
    <cellStyle name="Separador de milhares 2 10" xfId="713"/>
    <cellStyle name="Separador de milhares 2 11" xfId="714"/>
    <cellStyle name="Separador de milhares 2 12" xfId="715"/>
    <cellStyle name="Separador de milhares 2 13" xfId="716"/>
    <cellStyle name="Separador de milhares 2 14" xfId="717"/>
    <cellStyle name="Separador de milhares 2 15" xfId="718"/>
    <cellStyle name="Separador de milhares 2 16" xfId="719"/>
    <cellStyle name="Separador de milhares 2 17" xfId="720"/>
    <cellStyle name="Separador de milhares 2 18" xfId="721"/>
    <cellStyle name="Separador de milhares 2 19" xfId="722"/>
    <cellStyle name="Separador de milhares 2 2" xfId="723"/>
    <cellStyle name="Separador de milhares 2 2 2" xfId="724"/>
    <cellStyle name="Separador de milhares 2 20" xfId="725"/>
    <cellStyle name="Separador de milhares 2 21" xfId="726"/>
    <cellStyle name="Separador de milhares 2 22" xfId="727"/>
    <cellStyle name="Separador de milhares 2 23" xfId="728"/>
    <cellStyle name="Separador de milhares 2 24" xfId="729"/>
    <cellStyle name="Separador de milhares 2 25" xfId="730"/>
    <cellStyle name="Separador de milhares 2 26" xfId="731"/>
    <cellStyle name="Separador de milhares 2 27" xfId="732"/>
    <cellStyle name="Separador de milhares 2 28" xfId="733"/>
    <cellStyle name="Separador de milhares 2 29" xfId="734"/>
    <cellStyle name="Separador de milhares 2 3" xfId="735"/>
    <cellStyle name="Separador de milhares 2 30" xfId="736"/>
    <cellStyle name="Separador de milhares 2 31" xfId="737"/>
    <cellStyle name="Separador de milhares 2 4" xfId="738"/>
    <cellStyle name="Separador de milhares 2 5" xfId="739"/>
    <cellStyle name="Separador de milhares 2 6" xfId="740"/>
    <cellStyle name="Separador de milhares 2 7" xfId="741"/>
    <cellStyle name="Separador de milhares 2 8" xfId="742"/>
    <cellStyle name="Separador de milhares 2 9" xfId="743"/>
    <cellStyle name="Separador de milhares 20" xfId="744"/>
    <cellStyle name="Separador de milhares 21" xfId="745"/>
    <cellStyle name="Separador de milhares 22" xfId="746"/>
    <cellStyle name="Separador de milhares 23" xfId="747"/>
    <cellStyle name="Separador de milhares 24" xfId="748"/>
    <cellStyle name="Separador de milhares 25" xfId="749"/>
    <cellStyle name="Separador de milhares 26" xfId="750"/>
    <cellStyle name="Separador de milhares 27" xfId="751"/>
    <cellStyle name="Separador de milhares 28" xfId="752"/>
    <cellStyle name="Separador de milhares 29" xfId="753"/>
    <cellStyle name="Separador de milhares 3" xfId="754"/>
    <cellStyle name="Separador de milhares 3 2" xfId="755"/>
    <cellStyle name="Separador de milhares 3 3" xfId="756"/>
    <cellStyle name="Separador de milhares 3 4" xfId="757"/>
    <cellStyle name="Separador de milhares 30" xfId="758"/>
    <cellStyle name="Separador de milhares 31" xfId="759"/>
    <cellStyle name="Separador de milhares 4" xfId="760"/>
    <cellStyle name="Separador de milhares 5" xfId="761"/>
    <cellStyle name="Separador de milhares 5 2" xfId="762"/>
    <cellStyle name="Separador de milhares 5 3" xfId="763"/>
    <cellStyle name="Separador de milhares 6" xfId="764"/>
    <cellStyle name="Separador de milhares 6 2" xfId="765"/>
    <cellStyle name="Separador de milhares 7" xfId="766"/>
    <cellStyle name="Separador de milhares 8" xfId="767"/>
    <cellStyle name="Separador de milhares 9" xfId="768"/>
    <cellStyle name="Texto de Aviso" xfId="769"/>
    <cellStyle name="Texto de Aviso 2" xfId="770"/>
    <cellStyle name="Texto de Aviso 2 2" xfId="771"/>
    <cellStyle name="Texto de Aviso 2 3" xfId="772"/>
    <cellStyle name="Texto de Aviso 2_ORÇAMENTO - FORUM DE V. GRANDE" xfId="773"/>
    <cellStyle name="Texto de Aviso 3" xfId="774"/>
    <cellStyle name="Texto de Aviso 4" xfId="775"/>
    <cellStyle name="Texto de Aviso 5" xfId="776"/>
    <cellStyle name="Texto de Aviso 6" xfId="777"/>
    <cellStyle name="Texto Explicativo" xfId="778"/>
    <cellStyle name="Texto Explicativo 2" xfId="779"/>
    <cellStyle name="Texto Explicativo 2 2" xfId="780"/>
    <cellStyle name="Texto Explicativo 2 3" xfId="781"/>
    <cellStyle name="Texto Explicativo 2_ORÇAMENTO - FORUM DE V. GRANDE" xfId="782"/>
    <cellStyle name="Texto Explicativo 3" xfId="783"/>
    <cellStyle name="Texto Explicativo 4" xfId="784"/>
    <cellStyle name="Texto Explicativo 5" xfId="785"/>
    <cellStyle name="Texto Explicativo 6" xfId="786"/>
    <cellStyle name="Title" xfId="787"/>
    <cellStyle name="Título" xfId="788"/>
    <cellStyle name="Título 1" xfId="789"/>
    <cellStyle name="Título 1 2" xfId="790"/>
    <cellStyle name="Título 1 2 2" xfId="791"/>
    <cellStyle name="Título 1 2 3" xfId="792"/>
    <cellStyle name="Título 1 2_CIVIL- BL 1-2-3-4-5-6-7-8 " xfId="793"/>
    <cellStyle name="Título 1 3" xfId="794"/>
    <cellStyle name="Título 1 4" xfId="795"/>
    <cellStyle name="Título 1 5" xfId="796"/>
    <cellStyle name="Título 1 6" xfId="797"/>
    <cellStyle name="Título 10" xfId="798"/>
    <cellStyle name="Título 2" xfId="799"/>
    <cellStyle name="Título 2 2" xfId="800"/>
    <cellStyle name="Título 2 2 2" xfId="801"/>
    <cellStyle name="Título 2 2 3" xfId="802"/>
    <cellStyle name="Título 2 2_CIVIL- BL 1-2-3-4-5-6-7-8 " xfId="803"/>
    <cellStyle name="Título 2 3" xfId="804"/>
    <cellStyle name="Título 2 4" xfId="805"/>
    <cellStyle name="Título 2 5" xfId="806"/>
    <cellStyle name="Título 2 6" xfId="807"/>
    <cellStyle name="Título 3" xfId="808"/>
    <cellStyle name="Título 3 2" xfId="809"/>
    <cellStyle name="Título 3 2 2" xfId="810"/>
    <cellStyle name="Título 3 2 3" xfId="811"/>
    <cellStyle name="Título 3 2_CIVIL- BL 1-2-3-4-5-6-7-8 " xfId="812"/>
    <cellStyle name="Título 3 3" xfId="813"/>
    <cellStyle name="Título 3 4" xfId="814"/>
    <cellStyle name="Título 3 5" xfId="815"/>
    <cellStyle name="Título 3 6" xfId="816"/>
    <cellStyle name="Título 4" xfId="817"/>
    <cellStyle name="Título 4 2" xfId="818"/>
    <cellStyle name="Título 4 2 2" xfId="819"/>
    <cellStyle name="Título 4 2 3" xfId="820"/>
    <cellStyle name="Título 4 2_ORÇAMENTO - FORUM DE V. GRANDE" xfId="821"/>
    <cellStyle name="Título 4 3" xfId="822"/>
    <cellStyle name="Título 4 4" xfId="823"/>
    <cellStyle name="Título 4 5" xfId="824"/>
    <cellStyle name="Título 4 6" xfId="825"/>
    <cellStyle name="Título 5" xfId="826"/>
    <cellStyle name="Título 5 2" xfId="827"/>
    <cellStyle name="Título 5 3" xfId="828"/>
    <cellStyle name="Título 5_ORÇAMENTO - FORUM DE V. GRANDE" xfId="829"/>
    <cellStyle name="Título 6" xfId="830"/>
    <cellStyle name="Título 7" xfId="831"/>
    <cellStyle name="Título 8" xfId="832"/>
    <cellStyle name="Título 9" xfId="833"/>
    <cellStyle name="Total" xfId="834"/>
    <cellStyle name="Total 2" xfId="835"/>
    <cellStyle name="Total 2 2" xfId="836"/>
    <cellStyle name="Total 2 3" xfId="837"/>
    <cellStyle name="Total 2_CIVIL- BL 1-2-3-4-5-6-7-8 " xfId="838"/>
    <cellStyle name="Total 3" xfId="839"/>
    <cellStyle name="Total 4" xfId="840"/>
    <cellStyle name="Total 5" xfId="841"/>
    <cellStyle name="Total 6" xfId="842"/>
    <cellStyle name="Total 7" xfId="843"/>
    <cellStyle name="Vírgula 2" xfId="844"/>
    <cellStyle name="Vírgula 2 2" xfId="845"/>
    <cellStyle name="Vírgula 2 3" xfId="846"/>
    <cellStyle name="Vírgula 3" xfId="847"/>
    <cellStyle name="Vírgula 3 2" xfId="848"/>
    <cellStyle name="Vírgula 4" xfId="849"/>
    <cellStyle name="Vírgula 4 2" xfId="850"/>
    <cellStyle name="Vírgula 5" xfId="851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27</xdr:row>
      <xdr:rowOff>57150</xdr:rowOff>
    </xdr:from>
    <xdr:to>
      <xdr:col>5</xdr:col>
      <xdr:colOff>152400</xdr:colOff>
      <xdr:row>33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5514975"/>
          <a:ext cx="3476625" cy="1152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1285875</xdr:colOff>
      <xdr:row>27</xdr:row>
      <xdr:rowOff>57150</xdr:rowOff>
    </xdr:from>
    <xdr:to>
      <xdr:col>5</xdr:col>
      <xdr:colOff>152400</xdr:colOff>
      <xdr:row>33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5514975"/>
          <a:ext cx="3476625" cy="115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27</xdr:row>
      <xdr:rowOff>57150</xdr:rowOff>
    </xdr:from>
    <xdr:to>
      <xdr:col>5</xdr:col>
      <xdr:colOff>152400</xdr:colOff>
      <xdr:row>33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5686425"/>
          <a:ext cx="3476625" cy="1152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1285875</xdr:colOff>
      <xdr:row>27</xdr:row>
      <xdr:rowOff>57150</xdr:rowOff>
    </xdr:from>
    <xdr:to>
      <xdr:col>5</xdr:col>
      <xdr:colOff>152400</xdr:colOff>
      <xdr:row>33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5686425"/>
          <a:ext cx="3476625" cy="115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ao\d\A%20Meus%20documentos\A1%20V&#193;RZEA%20GRANDE%202018\JARDIM%20PAULA%20II\OR&#199;AMENTO\QUANTIDADE%20E%20OR&#199;AMENTO%20-%20JD%20PAULA%20II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nas\Projetos\A1%20V&#193;RZEA%20GRANDE%202018\BAIRRO%2023%20DE%20SETEMBRO%20E%20OUTROS\OR&#199;AMENTO\QUANTIDADE%20E%20OR&#199;AMENTO%20%2023%20SETEMBRO%20N&#195;O%20DESONERA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nas\Projetos\A1%20V&#193;RZEA%20GRANDE%202018\BAIRRO%20ASA%20BRANCA-%20SANTA%20ISABEL\OR&#199;AMENTO\QUANTIDADE%20E%20OR&#199;AMENTO%20%20ASA%20BRANCA%20N&#195;O%20DESONERA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nas\Projetos\A0%20V&#193;RZEA%20GRANDE%202019\AA%20PROJETO%2025KM\0A%20JARDIM%20GL&#211;RIA%20PARTE%20ALTA\DRENAGEM\NS%20-%20BUEIRO%20DE%20TALVEGUE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QUANTIDADE%20E%20OR&#199;AMENTO%20GLORIA%20AL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CFF"/>
      <sheetName val="QUANT"/>
      <sheetName val="ORÇA "/>
      <sheetName val="TRANSP"/>
      <sheetName val="MEMORIAL DE CALCULO"/>
      <sheetName val="BLD"/>
      <sheetName val="TERRAP E PAVIM"/>
      <sheetName val="BDI"/>
      <sheetName val="BDI DIFERENCIADO"/>
      <sheetName val="DRENO"/>
      <sheetName val="SN HOR"/>
      <sheetName val="SN VERT"/>
      <sheetName val="LASTRO"/>
      <sheetName val="TAB REAJUSTAMENTO"/>
    </sheetNames>
    <sheetDataSet>
      <sheetData sheetId="0">
        <row r="9">
          <cell r="B9" t="str">
            <v>SERVIÇOS PRELIMINARES</v>
          </cell>
        </row>
        <row r="12">
          <cell r="B12" t="str">
            <v>ADMINISTRAÇÃO LOCAL</v>
          </cell>
        </row>
        <row r="15">
          <cell r="B15" t="str">
            <v>ENSAIOS TECNOLÓGICOS DE SOLO E ASFALTO</v>
          </cell>
        </row>
        <row r="18">
          <cell r="B18" t="str">
            <v>TERRAPLENAGEM</v>
          </cell>
        </row>
        <row r="21">
          <cell r="B21" t="str">
            <v>PAVIMENTAÇÃO</v>
          </cell>
        </row>
        <row r="24">
          <cell r="B24" t="str">
            <v>SINALIZAÇÃO HORIZONTAL/VERTICAL</v>
          </cell>
        </row>
        <row r="30">
          <cell r="B30" t="str">
            <v>DRENAGEM</v>
          </cell>
        </row>
        <row r="33">
          <cell r="B33" t="str">
            <v>FORNECIMENTO/ASSENTAMENTO DE TUBOS TIPO PA-1 e PA-2</v>
          </cell>
        </row>
        <row r="36">
          <cell r="B36" t="str">
            <v>ASSENTAMENTO E REJUNTAMENTO DE TUBO DE CONCRETO </v>
          </cell>
        </row>
        <row r="44">
          <cell r="C44">
            <v>2275368.3</v>
          </cell>
        </row>
      </sheetData>
      <sheetData sheetId="1">
        <row r="42">
          <cell r="U42">
            <v>2275368.2999999993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QUANT"/>
      <sheetName val="ORÇA "/>
      <sheetName val="CFF"/>
      <sheetName val="TRANSP"/>
      <sheetName val="MEMORIAL DE CALCULO"/>
      <sheetName val="BLS"/>
      <sheetName val="BLD"/>
      <sheetName val="BLT"/>
      <sheetName val="TERRAP E PAVIM"/>
      <sheetName val="BDI"/>
      <sheetName val="BDI DIFERENCIADO"/>
      <sheetName val="DRENO"/>
      <sheetName val="SN HOR"/>
      <sheetName val="SN VERT"/>
      <sheetName val="LASTRO"/>
    </sheetNames>
    <sheetDataSet>
      <sheetData sheetId="1">
        <row r="1">
          <cell r="A1" t="str">
            <v>PREFEITURA MUNICIPAL DE VÁRZEA GRANDE</v>
          </cell>
        </row>
        <row r="5">
          <cell r="A5" t="str">
            <v>ITEM</v>
          </cell>
          <cell r="B5" t="str">
            <v>CODIGO</v>
          </cell>
          <cell r="C5" t="str">
            <v>BANCO</v>
          </cell>
          <cell r="D5" t="str">
            <v>DISCRIMINAÇÃO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QUANT"/>
      <sheetName val="ORÇA "/>
      <sheetName val="TRANSP"/>
      <sheetName val="CFF"/>
      <sheetName val="MEMORIAL DE CALCULO"/>
      <sheetName val="BLS"/>
      <sheetName val="BLD"/>
      <sheetName val="TERRAP E PAVIM"/>
      <sheetName val="BDI"/>
      <sheetName val="BDI DIFERENCIADO"/>
      <sheetName val="DRENO"/>
      <sheetName val="SN HOR"/>
      <sheetName val="SN VERT"/>
      <sheetName val="LASTRO"/>
      <sheetName val="NS DRENAGEM"/>
    </sheetNames>
    <sheetDataSet>
      <sheetData sheetId="0">
        <row r="28">
          <cell r="B28" t="str">
            <v>OBRAS COMPLEMENTARES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EIROS DISTRITO DE AGUAÇÚ"/>
    </sheetNames>
    <sheetDataSet>
      <sheetData sheetId="0">
        <row r="5">
          <cell r="I5">
            <v>17</v>
          </cell>
          <cell r="R5">
            <v>24.726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QUANT"/>
      <sheetName val="ORÇA "/>
      <sheetName val="TRANSP"/>
      <sheetName val="CFF"/>
      <sheetName val="TERRAP E PAVIM"/>
      <sheetName val="MEMORIAL DE CALCULO"/>
      <sheetName val="BLD"/>
      <sheetName val="BLS"/>
      <sheetName val="BLT"/>
      <sheetName val="DREN PROF"/>
      <sheetName val="BDI"/>
      <sheetName val="BDI DIFERENCIADO"/>
      <sheetName val="SN HOR"/>
      <sheetName val="SN VERT"/>
      <sheetName val="LASTRO"/>
      <sheetName val="ALUGUEL"/>
    </sheetNames>
    <sheetDataSet>
      <sheetData sheetId="2">
        <row r="103">
          <cell r="J103">
            <v>3597519.1300000004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orcafascio.com/banco/sinapi/insumos/5b05f7f614fef9480be9ed4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115" zoomScaleNormal="115" zoomScalePageLayoutView="0" workbookViewId="0" topLeftCell="A22">
      <selection activeCell="E32" sqref="E32"/>
    </sheetView>
  </sheetViews>
  <sheetFormatPr defaultColWidth="9.140625" defaultRowHeight="12.75"/>
  <cols>
    <col min="1" max="1" width="16.7109375" style="0" customWidth="1"/>
    <col min="2" max="2" width="48.140625" style="0" customWidth="1"/>
    <col min="3" max="3" width="24.8515625" style="18" customWidth="1"/>
    <col min="5" max="5" width="14.8515625" style="0" bestFit="1" customWidth="1"/>
    <col min="6" max="6" width="15.28125" style="0" bestFit="1" customWidth="1"/>
    <col min="7" max="7" width="12.57421875" style="0" customWidth="1"/>
    <col min="9" max="9" width="15.28125" style="0" bestFit="1" customWidth="1"/>
  </cols>
  <sheetData>
    <row r="1" spans="1:3" ht="13.5" thickBot="1">
      <c r="A1" s="8"/>
      <c r="B1" s="8"/>
      <c r="C1" s="221"/>
    </row>
    <row r="2" spans="1:3" ht="20.25" customHeight="1">
      <c r="A2" s="569" t="s">
        <v>94</v>
      </c>
      <c r="B2" s="570"/>
      <c r="C2" s="571"/>
    </row>
    <row r="3" spans="1:3" ht="12.75" customHeight="1">
      <c r="A3" s="572" t="s">
        <v>28</v>
      </c>
      <c r="B3" s="573"/>
      <c r="C3" s="574"/>
    </row>
    <row r="4" spans="1:3" ht="12.75" customHeight="1">
      <c r="A4" s="572"/>
      <c r="B4" s="573"/>
      <c r="C4" s="574"/>
    </row>
    <row r="5" spans="1:3" ht="12.75">
      <c r="A5" s="576" t="s">
        <v>95</v>
      </c>
      <c r="B5" s="575" t="s">
        <v>96</v>
      </c>
      <c r="C5" s="209" t="s">
        <v>473</v>
      </c>
    </row>
    <row r="6" spans="1:3" ht="14.25" customHeight="1">
      <c r="A6" s="576"/>
      <c r="B6" s="575"/>
      <c r="C6" s="210" t="s">
        <v>474</v>
      </c>
    </row>
    <row r="7" spans="1:3" ht="14.25" customHeight="1">
      <c r="A7" s="576"/>
      <c r="B7" s="575"/>
      <c r="C7" s="210" t="s">
        <v>475</v>
      </c>
    </row>
    <row r="8" spans="1:3" ht="12.75">
      <c r="A8" s="576"/>
      <c r="B8" s="575"/>
      <c r="C8" s="210" t="s">
        <v>245</v>
      </c>
    </row>
    <row r="9" spans="1:3" ht="15.75">
      <c r="A9" s="211" t="s">
        <v>15</v>
      </c>
      <c r="B9" s="212" t="s">
        <v>0</v>
      </c>
      <c r="C9" s="213" t="s">
        <v>29</v>
      </c>
    </row>
    <row r="10" spans="1:3" ht="12.75" customHeight="1">
      <c r="A10" s="563" t="str">
        <f>'ORÇA '!B7</f>
        <v>I</v>
      </c>
      <c r="B10" s="577" t="str">
        <f>QUANT!D6</f>
        <v>SERVIÇOS PRELIMINARES</v>
      </c>
      <c r="C10" s="560">
        <f>'ORÇA '!J11</f>
        <v>36807.64</v>
      </c>
    </row>
    <row r="11" spans="1:3" ht="14.25" customHeight="1">
      <c r="A11" s="564"/>
      <c r="B11" s="567"/>
      <c r="C11" s="561"/>
    </row>
    <row r="12" spans="1:3" ht="12.75" customHeight="1">
      <c r="A12" s="565"/>
      <c r="B12" s="568"/>
      <c r="C12" s="562"/>
    </row>
    <row r="13" spans="1:3" ht="12.75">
      <c r="A13" s="563" t="str">
        <f>'ORÇA '!B13</f>
        <v>II</v>
      </c>
      <c r="B13" s="566" t="str">
        <f>QUANT!D12</f>
        <v>ADMINISTRAÇÃO LOCAL</v>
      </c>
      <c r="C13" s="560">
        <f>'ORÇA '!J18</f>
        <v>117439.04</v>
      </c>
    </row>
    <row r="14" spans="1:5" ht="12.75">
      <c r="A14" s="564"/>
      <c r="B14" s="567"/>
      <c r="C14" s="561"/>
      <c r="E14" s="446">
        <f>C13/C43</f>
        <v>0.03759905626621825</v>
      </c>
    </row>
    <row r="15" spans="1:3" ht="12.75">
      <c r="A15" s="565"/>
      <c r="B15" s="567"/>
      <c r="C15" s="562"/>
    </row>
    <row r="16" spans="1:3" ht="12.75">
      <c r="A16" s="563" t="str">
        <f>'ORÇA '!B20</f>
        <v>III</v>
      </c>
      <c r="B16" s="566" t="str">
        <f>QUANT!D19</f>
        <v>ENSAIOS TECNOLÓGICOS DE SOLO E ASFALTO</v>
      </c>
      <c r="C16" s="560">
        <f>'ORÇA '!J25</f>
        <v>53621.36</v>
      </c>
    </row>
    <row r="17" spans="1:3" ht="12.75">
      <c r="A17" s="564"/>
      <c r="B17" s="567"/>
      <c r="C17" s="561"/>
    </row>
    <row r="18" spans="1:3" ht="12.75">
      <c r="A18" s="565"/>
      <c r="B18" s="568"/>
      <c r="C18" s="562"/>
    </row>
    <row r="19" spans="1:3" ht="12.75" customHeight="1">
      <c r="A19" s="563" t="str">
        <f>'ORÇA '!B27</f>
        <v>1V</v>
      </c>
      <c r="B19" s="584" t="str">
        <f>'ORÇA '!D27</f>
        <v>TERRAPLENAGEM</v>
      </c>
      <c r="C19" s="560">
        <f>'ORÇA '!J33</f>
        <v>258471.34</v>
      </c>
    </row>
    <row r="20" spans="1:3" ht="7.5" customHeight="1">
      <c r="A20" s="564"/>
      <c r="B20" s="585"/>
      <c r="C20" s="561"/>
    </row>
    <row r="21" spans="1:3" ht="12.75">
      <c r="A21" s="565"/>
      <c r="B21" s="586"/>
      <c r="C21" s="562"/>
    </row>
    <row r="22" spans="1:3" ht="12.75" customHeight="1">
      <c r="A22" s="563" t="str">
        <f>'ORÇA '!B35</f>
        <v>V</v>
      </c>
      <c r="B22" s="577" t="str">
        <f>QUANT!D34</f>
        <v>PAVIMENTAÇÃO</v>
      </c>
      <c r="C22" s="560">
        <f>'ORÇA '!J45</f>
        <v>1400438.0399999998</v>
      </c>
    </row>
    <row r="23" spans="1:3" ht="17.25" customHeight="1">
      <c r="A23" s="564"/>
      <c r="B23" s="587"/>
      <c r="C23" s="561"/>
    </row>
    <row r="24" spans="1:3" ht="17.25" customHeight="1">
      <c r="A24" s="565"/>
      <c r="B24" s="588"/>
      <c r="C24" s="562"/>
    </row>
    <row r="25" spans="1:3" ht="17.25" customHeight="1">
      <c r="A25" s="563" t="str">
        <f>'ORÇA '!B47</f>
        <v>VI</v>
      </c>
      <c r="B25" s="577" t="str">
        <f>'ORÇA '!D47</f>
        <v>SINALIZAÇÃO HORIZONTAL/VERTICAL</v>
      </c>
      <c r="C25" s="560">
        <f>'ORÇA '!J51</f>
        <v>39804.41</v>
      </c>
    </row>
    <row r="26" spans="1:3" ht="12.75" customHeight="1">
      <c r="A26" s="564"/>
      <c r="B26" s="587"/>
      <c r="C26" s="561"/>
    </row>
    <row r="27" spans="1:3" ht="12.75" customHeight="1">
      <c r="A27" s="565"/>
      <c r="B27" s="588"/>
      <c r="C27" s="562"/>
    </row>
    <row r="28" spans="1:3" ht="12.75" customHeight="1">
      <c r="A28" s="563" t="str">
        <f>'ORÇA '!B53</f>
        <v>VII</v>
      </c>
      <c r="B28" s="591" t="str">
        <f>QUANT!D52</f>
        <v>OBRAS COMPLEMENTARES</v>
      </c>
      <c r="C28" s="560">
        <f>'ORÇA '!J56</f>
        <v>229660.69999999998</v>
      </c>
    </row>
    <row r="29" spans="1:3" ht="12.75" customHeight="1">
      <c r="A29" s="564"/>
      <c r="B29" s="585"/>
      <c r="C29" s="561"/>
    </row>
    <row r="30" spans="1:3" ht="12.75" customHeight="1">
      <c r="A30" s="565"/>
      <c r="B30" s="586"/>
      <c r="C30" s="562"/>
    </row>
    <row r="31" spans="1:3" ht="12.75" customHeight="1">
      <c r="A31" s="563" t="str">
        <f>'ORÇA '!B58</f>
        <v>VIII</v>
      </c>
      <c r="B31" s="584" t="str">
        <f>QUANT!D57</f>
        <v>DRENAGEM</v>
      </c>
      <c r="C31" s="560">
        <f>'ORÇA '!J72</f>
        <v>269294.39</v>
      </c>
    </row>
    <row r="32" spans="1:3" ht="12.75" customHeight="1">
      <c r="A32" s="564"/>
      <c r="B32" s="585"/>
      <c r="C32" s="561"/>
    </row>
    <row r="33" spans="1:3" ht="12.75" customHeight="1">
      <c r="A33" s="565"/>
      <c r="B33" s="586"/>
      <c r="C33" s="562"/>
    </row>
    <row r="34" spans="1:3" ht="12.75" customHeight="1">
      <c r="A34" s="563" t="str">
        <f>'ORÇA '!B74</f>
        <v>IX</v>
      </c>
      <c r="B34" s="584" t="str">
        <f>QUANT!D73</f>
        <v>FORNECIMENTO DE TUBOS TIPO PA-1</v>
      </c>
      <c r="C34" s="560">
        <f>'ORÇA '!J77</f>
        <v>218692.38</v>
      </c>
    </row>
    <row r="35" spans="1:3" ht="12.75" customHeight="1">
      <c r="A35" s="564"/>
      <c r="B35" s="585"/>
      <c r="C35" s="561"/>
    </row>
    <row r="36" spans="1:3" ht="12.75" customHeight="1">
      <c r="A36" s="565"/>
      <c r="B36" s="586"/>
      <c r="C36" s="562"/>
    </row>
    <row r="37" spans="1:3" ht="12.75" customHeight="1">
      <c r="A37" s="563" t="str">
        <f>'ORÇA '!B79</f>
        <v>X</v>
      </c>
      <c r="B37" s="584" t="str">
        <f>QUANT!D78</f>
        <v>ASSENTAMENTO DE TUBO DE CONCRETO </v>
      </c>
      <c r="C37" s="560">
        <f>'ORÇA '!J82</f>
        <v>106760.82</v>
      </c>
    </row>
    <row r="38" spans="1:3" ht="12.75" customHeight="1">
      <c r="A38" s="564"/>
      <c r="B38" s="585"/>
      <c r="C38" s="561"/>
    </row>
    <row r="39" spans="1:3" ht="12.75" customHeight="1">
      <c r="A39" s="565"/>
      <c r="B39" s="586"/>
      <c r="C39" s="562"/>
    </row>
    <row r="40" spans="1:3" ht="12.75">
      <c r="A40" s="563" t="str">
        <f>'ORÇA '!B84</f>
        <v>XI</v>
      </c>
      <c r="B40" s="584" t="str">
        <f>'ORÇA '!D84</f>
        <v>ÓRGÃOS ACESSÓRIOS</v>
      </c>
      <c r="C40" s="560">
        <f>'ORÇA '!J100</f>
        <v>392467.00000000006</v>
      </c>
    </row>
    <row r="41" spans="1:3" ht="12.75">
      <c r="A41" s="564"/>
      <c r="B41" s="585"/>
      <c r="C41" s="561"/>
    </row>
    <row r="42" spans="1:3" ht="12.75">
      <c r="A42" s="565"/>
      <c r="B42" s="586"/>
      <c r="C42" s="562"/>
    </row>
    <row r="43" spans="1:7" ht="12.75">
      <c r="A43" s="592" t="s">
        <v>31</v>
      </c>
      <c r="B43" s="593"/>
      <c r="C43" s="598">
        <f>SUM(C10:C42)</f>
        <v>3123457.1199999996</v>
      </c>
      <c r="E43" s="484" t="s">
        <v>560</v>
      </c>
      <c r="F43" s="484" t="s">
        <v>561</v>
      </c>
      <c r="G43" s="484" t="s">
        <v>562</v>
      </c>
    </row>
    <row r="44" spans="1:7" ht="12.75">
      <c r="A44" s="594"/>
      <c r="B44" s="595"/>
      <c r="C44" s="599"/>
      <c r="E44" s="558">
        <v>3597519.13</v>
      </c>
      <c r="F44" s="559">
        <f>C43</f>
        <v>3123457.1199999996</v>
      </c>
      <c r="G44" s="558">
        <f>E44-F44</f>
        <v>474062.01000000024</v>
      </c>
    </row>
    <row r="45" spans="1:3" ht="12.75">
      <c r="A45" s="596"/>
      <c r="B45" s="597"/>
      <c r="C45" s="600"/>
    </row>
    <row r="46" spans="1:3" ht="12.75" customHeight="1">
      <c r="A46" s="263" t="s">
        <v>456</v>
      </c>
      <c r="B46" s="247"/>
      <c r="C46" s="249">
        <f>F47</f>
        <v>2.750015</v>
      </c>
    </row>
    <row r="47" spans="1:9" ht="15.75">
      <c r="A47" s="589" t="s">
        <v>455</v>
      </c>
      <c r="B47" s="590"/>
      <c r="C47" s="440">
        <f>C43/C46</f>
        <v>1135796.3938378517</v>
      </c>
      <c r="F47">
        <f>'TERRAP E PAVIM'!H23/1000</f>
        <v>2.750015</v>
      </c>
      <c r="I47" s="498">
        <f>C43/F47</f>
        <v>1135796.3938378517</v>
      </c>
    </row>
    <row r="48" spans="1:3" ht="12.75" customHeight="1">
      <c r="A48" s="248"/>
      <c r="B48" s="214"/>
      <c r="C48" s="222"/>
    </row>
    <row r="49" spans="1:3" ht="12.75">
      <c r="A49" s="578" t="str">
        <f>QUANT!A2</f>
        <v>BAIRRO:JARDIM GLÓRIA</v>
      </c>
      <c r="B49" s="579"/>
      <c r="C49" s="580"/>
    </row>
    <row r="50" spans="1:3" ht="12.75">
      <c r="A50" s="581" t="str">
        <f>QUANT!A3</f>
        <v>RUAS: Louro, Loro, Rosário Oeste, Cáceres, Aroeira, Santos, Rondonópolis, Pinheiros e Jacarandá</v>
      </c>
      <c r="B50" s="582"/>
      <c r="C50" s="583"/>
    </row>
    <row r="51" spans="1:3" ht="13.5" thickBot="1">
      <c r="A51" s="215" t="str">
        <f>QUANT!A4</f>
        <v>OBRA: PAVIMENTAÇÃO DE VIAS URBANS</v>
      </c>
      <c r="B51" s="358"/>
      <c r="C51" s="359"/>
    </row>
    <row r="53" ht="15.75">
      <c r="A53" s="144"/>
    </row>
    <row r="54" ht="15.75">
      <c r="A54" s="144"/>
    </row>
  </sheetData>
  <sheetProtection/>
  <mergeCells count="42">
    <mergeCell ref="C37:C39"/>
    <mergeCell ref="B34:B36"/>
    <mergeCell ref="A43:B45"/>
    <mergeCell ref="C43:C45"/>
    <mergeCell ref="B40:B42"/>
    <mergeCell ref="C40:C42"/>
    <mergeCell ref="A34:A36"/>
    <mergeCell ref="A37:A39"/>
    <mergeCell ref="B37:B39"/>
    <mergeCell ref="A47:B47"/>
    <mergeCell ref="B31:B33"/>
    <mergeCell ref="A31:A33"/>
    <mergeCell ref="A22:A24"/>
    <mergeCell ref="A40:A42"/>
    <mergeCell ref="A28:A30"/>
    <mergeCell ref="B28:B30"/>
    <mergeCell ref="A19:A21"/>
    <mergeCell ref="B19:B21"/>
    <mergeCell ref="B13:B15"/>
    <mergeCell ref="B22:B24"/>
    <mergeCell ref="A25:A27"/>
    <mergeCell ref="B25:B27"/>
    <mergeCell ref="B10:B12"/>
    <mergeCell ref="C10:C12"/>
    <mergeCell ref="C19:C21"/>
    <mergeCell ref="A49:C49"/>
    <mergeCell ref="A50:C50"/>
    <mergeCell ref="C22:C24"/>
    <mergeCell ref="C28:C30"/>
    <mergeCell ref="C31:C33"/>
    <mergeCell ref="C34:C36"/>
    <mergeCell ref="C25:C27"/>
    <mergeCell ref="C13:C15"/>
    <mergeCell ref="A16:A18"/>
    <mergeCell ref="B16:B18"/>
    <mergeCell ref="C16:C18"/>
    <mergeCell ref="A13:A15"/>
    <mergeCell ref="A2:C2"/>
    <mergeCell ref="A3:C4"/>
    <mergeCell ref="B5:B8"/>
    <mergeCell ref="A5:A8"/>
    <mergeCell ref="A10:A12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A1" sqref="A1:U41"/>
    </sheetView>
  </sheetViews>
  <sheetFormatPr defaultColWidth="9.140625" defaultRowHeight="12.75"/>
  <cols>
    <col min="1" max="11" width="4.140625" style="0" customWidth="1"/>
    <col min="12" max="12" width="6.8515625" style="0" customWidth="1"/>
    <col min="13" max="20" width="4.140625" style="0" customWidth="1"/>
    <col min="21" max="21" width="12.7109375" style="0" customWidth="1"/>
  </cols>
  <sheetData>
    <row r="1" spans="1:21" ht="15">
      <c r="A1" s="836" t="s">
        <v>51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  <c r="T1" s="837"/>
      <c r="U1" s="33">
        <v>43374</v>
      </c>
    </row>
    <row r="2" spans="1:21" ht="12.75">
      <c r="A2" s="838" t="s">
        <v>52</v>
      </c>
      <c r="B2" s="839"/>
      <c r="C2" s="839"/>
      <c r="D2" s="839"/>
      <c r="E2" s="840"/>
      <c r="F2" s="838" t="s">
        <v>216</v>
      </c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40"/>
      <c r="U2" s="19" t="s">
        <v>53</v>
      </c>
    </row>
    <row r="3" spans="1:21" ht="12.75">
      <c r="A3" s="841" t="s">
        <v>54</v>
      </c>
      <c r="B3" s="842"/>
      <c r="C3" s="842"/>
      <c r="D3" s="842"/>
      <c r="E3" s="843"/>
      <c r="F3" s="844" t="s">
        <v>559</v>
      </c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6"/>
      <c r="U3" s="20" t="s">
        <v>8</v>
      </c>
    </row>
    <row r="4" spans="1:21" ht="12.75">
      <c r="A4" s="801" t="s">
        <v>55</v>
      </c>
      <c r="B4" s="801"/>
      <c r="C4" s="801"/>
      <c r="D4" s="801"/>
      <c r="E4" s="801"/>
      <c r="F4" s="801"/>
      <c r="G4" s="801"/>
      <c r="H4" s="801"/>
      <c r="I4" s="801"/>
      <c r="J4" s="801"/>
      <c r="K4" s="803" t="s">
        <v>11</v>
      </c>
      <c r="L4" s="803"/>
      <c r="M4" s="803" t="s">
        <v>56</v>
      </c>
      <c r="N4" s="803"/>
      <c r="O4" s="803"/>
      <c r="P4" s="803"/>
      <c r="Q4" s="803" t="s">
        <v>57</v>
      </c>
      <c r="R4" s="803"/>
      <c r="S4" s="803"/>
      <c r="T4" s="803"/>
      <c r="U4" s="803" t="s">
        <v>50</v>
      </c>
    </row>
    <row r="5" spans="1:21" ht="12.75">
      <c r="A5" s="801"/>
      <c r="B5" s="801"/>
      <c r="C5" s="801"/>
      <c r="D5" s="801"/>
      <c r="E5" s="801"/>
      <c r="F5" s="801"/>
      <c r="G5" s="801"/>
      <c r="H5" s="801"/>
      <c r="I5" s="801"/>
      <c r="J5" s="801"/>
      <c r="K5" s="803"/>
      <c r="L5" s="803"/>
      <c r="M5" s="803" t="s">
        <v>58</v>
      </c>
      <c r="N5" s="803"/>
      <c r="O5" s="803" t="s">
        <v>59</v>
      </c>
      <c r="P5" s="803"/>
      <c r="Q5" s="803" t="s">
        <v>58</v>
      </c>
      <c r="R5" s="803"/>
      <c r="S5" s="803" t="s">
        <v>59</v>
      </c>
      <c r="T5" s="803"/>
      <c r="U5" s="803"/>
    </row>
    <row r="6" spans="1:21" ht="12.75">
      <c r="A6" s="834"/>
      <c r="B6" s="834"/>
      <c r="C6" s="834"/>
      <c r="D6" s="834"/>
      <c r="E6" s="834"/>
      <c r="F6" s="834"/>
      <c r="G6" s="834"/>
      <c r="H6" s="834"/>
      <c r="I6" s="834"/>
      <c r="J6" s="834"/>
      <c r="K6" s="835"/>
      <c r="L6" s="835"/>
      <c r="M6" s="835"/>
      <c r="N6" s="835"/>
      <c r="O6" s="835"/>
      <c r="P6" s="835"/>
      <c r="Q6" s="833"/>
      <c r="R6" s="833"/>
      <c r="S6" s="833"/>
      <c r="T6" s="833"/>
      <c r="U6" s="21"/>
    </row>
    <row r="7" spans="1:21" ht="12.75">
      <c r="A7" s="831"/>
      <c r="B7" s="831"/>
      <c r="C7" s="831"/>
      <c r="D7" s="831"/>
      <c r="E7" s="831"/>
      <c r="F7" s="831"/>
      <c r="G7" s="831"/>
      <c r="H7" s="831"/>
      <c r="I7" s="831"/>
      <c r="J7" s="831"/>
      <c r="K7" s="809"/>
      <c r="L7" s="809"/>
      <c r="M7" s="809"/>
      <c r="N7" s="809"/>
      <c r="O7" s="809"/>
      <c r="P7" s="809"/>
      <c r="Q7" s="832"/>
      <c r="R7" s="832"/>
      <c r="S7" s="832"/>
      <c r="T7" s="832"/>
      <c r="U7" s="21"/>
    </row>
    <row r="8" spans="1:21" ht="12.75">
      <c r="A8" s="820"/>
      <c r="B8" s="820"/>
      <c r="C8" s="820"/>
      <c r="D8" s="820"/>
      <c r="E8" s="820"/>
      <c r="F8" s="820"/>
      <c r="G8" s="820"/>
      <c r="H8" s="820"/>
      <c r="I8" s="820"/>
      <c r="J8" s="820"/>
      <c r="K8" s="809"/>
      <c r="L8" s="809"/>
      <c r="M8" s="809"/>
      <c r="N8" s="809"/>
      <c r="O8" s="809"/>
      <c r="P8" s="809"/>
      <c r="Q8" s="832"/>
      <c r="R8" s="832"/>
      <c r="S8" s="832"/>
      <c r="T8" s="832"/>
      <c r="U8" s="21"/>
    </row>
    <row r="9" spans="1:21" ht="12.75">
      <c r="A9" s="831"/>
      <c r="B9" s="831"/>
      <c r="C9" s="831"/>
      <c r="D9" s="831"/>
      <c r="E9" s="831"/>
      <c r="F9" s="831"/>
      <c r="G9" s="831"/>
      <c r="H9" s="831"/>
      <c r="I9" s="831"/>
      <c r="J9" s="831"/>
      <c r="K9" s="809"/>
      <c r="L9" s="809"/>
      <c r="M9" s="809"/>
      <c r="N9" s="809"/>
      <c r="O9" s="809"/>
      <c r="P9" s="809"/>
      <c r="Q9" s="832"/>
      <c r="R9" s="832"/>
      <c r="S9" s="832"/>
      <c r="T9" s="832"/>
      <c r="U9" s="21"/>
    </row>
    <row r="10" spans="1:21" ht="12.75">
      <c r="A10" s="831"/>
      <c r="B10" s="831"/>
      <c r="C10" s="831"/>
      <c r="D10" s="831"/>
      <c r="E10" s="831"/>
      <c r="F10" s="831"/>
      <c r="G10" s="831"/>
      <c r="H10" s="831"/>
      <c r="I10" s="831"/>
      <c r="J10" s="831"/>
      <c r="K10" s="809"/>
      <c r="L10" s="809"/>
      <c r="M10" s="809"/>
      <c r="N10" s="809"/>
      <c r="O10" s="809"/>
      <c r="P10" s="809"/>
      <c r="Q10" s="832"/>
      <c r="R10" s="832"/>
      <c r="S10" s="832"/>
      <c r="T10" s="832"/>
      <c r="U10" s="21"/>
    </row>
    <row r="11" spans="1:21" ht="12.75">
      <c r="A11" s="831"/>
      <c r="B11" s="831"/>
      <c r="C11" s="831"/>
      <c r="D11" s="831"/>
      <c r="E11" s="831"/>
      <c r="F11" s="831"/>
      <c r="G11" s="831"/>
      <c r="H11" s="831"/>
      <c r="I11" s="831"/>
      <c r="J11" s="831"/>
      <c r="K11" s="809"/>
      <c r="L11" s="809"/>
      <c r="M11" s="809"/>
      <c r="N11" s="809"/>
      <c r="O11" s="809"/>
      <c r="P11" s="809"/>
      <c r="Q11" s="832"/>
      <c r="R11" s="832"/>
      <c r="S11" s="832"/>
      <c r="T11" s="832"/>
      <c r="U11" s="21"/>
    </row>
    <row r="12" spans="1:21" ht="12.75">
      <c r="A12" s="820"/>
      <c r="B12" s="820"/>
      <c r="C12" s="820"/>
      <c r="D12" s="820"/>
      <c r="E12" s="820"/>
      <c r="F12" s="820"/>
      <c r="G12" s="820"/>
      <c r="H12" s="820"/>
      <c r="I12" s="820"/>
      <c r="J12" s="820"/>
      <c r="K12" s="809"/>
      <c r="L12" s="809"/>
      <c r="M12" s="809"/>
      <c r="N12" s="809"/>
      <c r="O12" s="809"/>
      <c r="P12" s="809"/>
      <c r="Q12" s="832"/>
      <c r="R12" s="832"/>
      <c r="S12" s="832"/>
      <c r="T12" s="832"/>
      <c r="U12" s="21"/>
    </row>
    <row r="13" spans="1:21" ht="12.75">
      <c r="A13" s="820"/>
      <c r="B13" s="820"/>
      <c r="C13" s="820"/>
      <c r="D13" s="820"/>
      <c r="E13" s="820"/>
      <c r="F13" s="820"/>
      <c r="G13" s="820"/>
      <c r="H13" s="820"/>
      <c r="I13" s="820"/>
      <c r="J13" s="820"/>
      <c r="K13" s="809"/>
      <c r="L13" s="809"/>
      <c r="M13" s="809"/>
      <c r="N13" s="809"/>
      <c r="O13" s="809"/>
      <c r="P13" s="809"/>
      <c r="Q13" s="832"/>
      <c r="R13" s="832"/>
      <c r="S13" s="832"/>
      <c r="T13" s="832"/>
      <c r="U13" s="21"/>
    </row>
    <row r="14" spans="1:21" ht="12.75">
      <c r="A14" s="831"/>
      <c r="B14" s="831"/>
      <c r="C14" s="831"/>
      <c r="D14" s="831"/>
      <c r="E14" s="831"/>
      <c r="F14" s="831"/>
      <c r="G14" s="831"/>
      <c r="H14" s="831"/>
      <c r="I14" s="831"/>
      <c r="J14" s="831"/>
      <c r="K14" s="809"/>
      <c r="L14" s="809"/>
      <c r="M14" s="809"/>
      <c r="N14" s="809"/>
      <c r="O14" s="809"/>
      <c r="P14" s="809"/>
      <c r="Q14" s="832"/>
      <c r="R14" s="832"/>
      <c r="S14" s="832"/>
      <c r="T14" s="832"/>
      <c r="U14" s="21"/>
    </row>
    <row r="15" spans="1:21" ht="12.75">
      <c r="A15" s="784"/>
      <c r="B15" s="784"/>
      <c r="C15" s="784"/>
      <c r="D15" s="784"/>
      <c r="E15" s="784"/>
      <c r="F15" s="784"/>
      <c r="G15" s="784"/>
      <c r="H15" s="784"/>
      <c r="I15" s="784"/>
      <c r="J15" s="784"/>
      <c r="K15" s="784"/>
      <c r="L15" s="784"/>
      <c r="M15" s="784"/>
      <c r="N15" s="784"/>
      <c r="O15" s="784"/>
      <c r="P15" s="784"/>
      <c r="Q15" s="784"/>
      <c r="R15" s="785" t="s">
        <v>60</v>
      </c>
      <c r="S15" s="785"/>
      <c r="T15" s="785"/>
      <c r="U15" s="22">
        <f>SUM(U6:U14)</f>
        <v>0</v>
      </c>
    </row>
    <row r="16" spans="1:21" ht="24">
      <c r="A16" s="801" t="s">
        <v>61</v>
      </c>
      <c r="B16" s="801"/>
      <c r="C16" s="801"/>
      <c r="D16" s="801"/>
      <c r="E16" s="801"/>
      <c r="F16" s="801"/>
      <c r="G16" s="801"/>
      <c r="H16" s="801"/>
      <c r="I16" s="801"/>
      <c r="J16" s="801"/>
      <c r="K16" s="801"/>
      <c r="L16" s="801"/>
      <c r="M16" s="801"/>
      <c r="N16" s="801"/>
      <c r="O16" s="803" t="s">
        <v>2</v>
      </c>
      <c r="P16" s="803"/>
      <c r="Q16" s="803"/>
      <c r="R16" s="803" t="s">
        <v>62</v>
      </c>
      <c r="S16" s="803"/>
      <c r="T16" s="803"/>
      <c r="U16" s="531" t="s">
        <v>50</v>
      </c>
    </row>
    <row r="17" spans="1:21" ht="12.75">
      <c r="A17" s="830" t="s">
        <v>170</v>
      </c>
      <c r="B17" s="830"/>
      <c r="C17" s="830"/>
      <c r="D17" s="830"/>
      <c r="E17" s="830"/>
      <c r="F17" s="830"/>
      <c r="G17" s="830"/>
      <c r="H17" s="830"/>
      <c r="I17" s="830"/>
      <c r="J17" s="830"/>
      <c r="K17" s="830"/>
      <c r="L17" s="830"/>
      <c r="M17" s="830"/>
      <c r="N17" s="830"/>
      <c r="O17" s="821">
        <v>5.92</v>
      </c>
      <c r="P17" s="821"/>
      <c r="Q17" s="821"/>
      <c r="R17" s="828">
        <v>15.8259</v>
      </c>
      <c r="S17" s="828"/>
      <c r="T17" s="828"/>
      <c r="U17" s="150">
        <f>(O17*R17)</f>
        <v>93.689328</v>
      </c>
    </row>
    <row r="18" spans="1:21" ht="12.75">
      <c r="A18" s="827"/>
      <c r="B18" s="827"/>
      <c r="C18" s="827"/>
      <c r="D18" s="827"/>
      <c r="E18" s="827"/>
      <c r="F18" s="827"/>
      <c r="G18" s="827"/>
      <c r="H18" s="827"/>
      <c r="I18" s="827"/>
      <c r="J18" s="827"/>
      <c r="K18" s="827"/>
      <c r="L18" s="827"/>
      <c r="M18" s="827"/>
      <c r="N18" s="827"/>
      <c r="O18" s="810"/>
      <c r="P18" s="810"/>
      <c r="Q18" s="810"/>
      <c r="R18" s="828"/>
      <c r="S18" s="828"/>
      <c r="T18" s="828"/>
      <c r="U18" s="23"/>
    </row>
    <row r="19" spans="1:21" ht="12.75">
      <c r="A19" s="829"/>
      <c r="B19" s="829"/>
      <c r="C19" s="829"/>
      <c r="D19" s="829"/>
      <c r="E19" s="829"/>
      <c r="F19" s="829"/>
      <c r="G19" s="829"/>
      <c r="H19" s="829"/>
      <c r="I19" s="829"/>
      <c r="J19" s="829"/>
      <c r="K19" s="829"/>
      <c r="L19" s="829"/>
      <c r="M19" s="829"/>
      <c r="N19" s="829"/>
      <c r="O19" s="806"/>
      <c r="P19" s="806"/>
      <c r="Q19" s="806"/>
      <c r="R19" s="807"/>
      <c r="S19" s="807"/>
      <c r="T19" s="807"/>
      <c r="U19" s="24"/>
    </row>
    <row r="20" spans="1:21" ht="12.75">
      <c r="A20" s="784"/>
      <c r="B20" s="784"/>
      <c r="C20" s="784"/>
      <c r="D20" s="784"/>
      <c r="E20" s="784"/>
      <c r="F20" s="784"/>
      <c r="G20" s="784"/>
      <c r="H20" s="784"/>
      <c r="I20" s="784"/>
      <c r="J20" s="784"/>
      <c r="K20" s="784"/>
      <c r="L20" s="784"/>
      <c r="M20" s="784"/>
      <c r="N20" s="784"/>
      <c r="O20" s="784"/>
      <c r="P20" s="784"/>
      <c r="Q20" s="784"/>
      <c r="R20" s="785" t="s">
        <v>63</v>
      </c>
      <c r="S20" s="785"/>
      <c r="T20" s="785"/>
      <c r="U20" s="25">
        <f>SUM(U17:U19)</f>
        <v>93.689328</v>
      </c>
    </row>
    <row r="21" spans="1:21" ht="12.75">
      <c r="A21" s="822" t="s">
        <v>64</v>
      </c>
      <c r="B21" s="822"/>
      <c r="C21" s="822"/>
      <c r="D21" s="822"/>
      <c r="E21" s="822"/>
      <c r="F21" s="822"/>
      <c r="G21" s="822"/>
      <c r="H21" s="822"/>
      <c r="I21" s="823"/>
      <c r="J21" s="824">
        <v>1</v>
      </c>
      <c r="K21" s="825"/>
      <c r="L21" s="825"/>
      <c r="M21" s="826" t="s">
        <v>65</v>
      </c>
      <c r="N21" s="826"/>
      <c r="O21" s="826"/>
      <c r="P21" s="826"/>
      <c r="Q21" s="826"/>
      <c r="R21" s="826"/>
      <c r="S21" s="826"/>
      <c r="T21" s="826"/>
      <c r="U21" s="25">
        <f>SUM(U15,U20)</f>
        <v>93.689328</v>
      </c>
    </row>
    <row r="22" spans="1:21" ht="12.75">
      <c r="A22" s="802"/>
      <c r="B22" s="802"/>
      <c r="C22" s="802"/>
      <c r="D22" s="802" t="s">
        <v>66</v>
      </c>
      <c r="E22" s="802"/>
      <c r="F22" s="802"/>
      <c r="G22" s="802"/>
      <c r="H22" s="802"/>
      <c r="I22" s="802"/>
      <c r="J22" s="802"/>
      <c r="K22" s="802"/>
      <c r="L22" s="802"/>
      <c r="M22" s="802"/>
      <c r="N22" s="802"/>
      <c r="O22" s="802"/>
      <c r="P22" s="802"/>
      <c r="Q22" s="802"/>
      <c r="R22" s="802"/>
      <c r="S22" s="802"/>
      <c r="T22" s="802"/>
      <c r="U22" s="25">
        <f>U21/J21</f>
        <v>93.689328</v>
      </c>
    </row>
    <row r="23" spans="1:21" ht="24">
      <c r="A23" s="801" t="s">
        <v>67</v>
      </c>
      <c r="B23" s="801"/>
      <c r="C23" s="801"/>
      <c r="D23" s="801"/>
      <c r="E23" s="801"/>
      <c r="F23" s="801"/>
      <c r="G23" s="801"/>
      <c r="H23" s="801"/>
      <c r="I23" s="801"/>
      <c r="J23" s="801"/>
      <c r="K23" s="801"/>
      <c r="L23" s="801"/>
      <c r="M23" s="803" t="s">
        <v>1</v>
      </c>
      <c r="N23" s="803"/>
      <c r="O23" s="803" t="s">
        <v>68</v>
      </c>
      <c r="P23" s="803"/>
      <c r="Q23" s="803"/>
      <c r="R23" s="803" t="s">
        <v>69</v>
      </c>
      <c r="S23" s="803"/>
      <c r="T23" s="803"/>
      <c r="U23" s="531" t="s">
        <v>70</v>
      </c>
    </row>
    <row r="24" spans="1:21" ht="12.75">
      <c r="A24" s="820" t="s">
        <v>228</v>
      </c>
      <c r="B24" s="820"/>
      <c r="C24" s="820"/>
      <c r="D24" s="820"/>
      <c r="E24" s="820"/>
      <c r="F24" s="820"/>
      <c r="G24" s="820"/>
      <c r="H24" s="820"/>
      <c r="I24" s="820"/>
      <c r="J24" s="820"/>
      <c r="K24" s="820"/>
      <c r="L24" s="820"/>
      <c r="M24" s="809" t="s">
        <v>5</v>
      </c>
      <c r="N24" s="809"/>
      <c r="O24" s="887">
        <v>13.44</v>
      </c>
      <c r="P24" s="887"/>
      <c r="Q24" s="887"/>
      <c r="R24" s="811">
        <v>75.65</v>
      </c>
      <c r="S24" s="811"/>
      <c r="T24" s="811"/>
      <c r="U24" s="150">
        <f>(O24*R24)</f>
        <v>1016.736</v>
      </c>
    </row>
    <row r="25" spans="1:21" ht="12.75">
      <c r="A25" s="820" t="s">
        <v>229</v>
      </c>
      <c r="B25" s="820"/>
      <c r="C25" s="820"/>
      <c r="D25" s="820"/>
      <c r="E25" s="820"/>
      <c r="F25" s="820"/>
      <c r="G25" s="820"/>
      <c r="H25" s="820"/>
      <c r="I25" s="820"/>
      <c r="J25" s="820"/>
      <c r="K25" s="820"/>
      <c r="L25" s="820"/>
      <c r="M25" s="809" t="s">
        <v>5</v>
      </c>
      <c r="N25" s="809"/>
      <c r="O25" s="887">
        <v>7.78</v>
      </c>
      <c r="P25" s="887"/>
      <c r="Q25" s="887"/>
      <c r="R25" s="811">
        <v>53.82</v>
      </c>
      <c r="S25" s="811"/>
      <c r="T25" s="811"/>
      <c r="U25" s="150">
        <f>(O25*R25)</f>
        <v>418.7196</v>
      </c>
    </row>
    <row r="26" spans="1:21" ht="12.75">
      <c r="A26" s="820" t="s">
        <v>230</v>
      </c>
      <c r="B26" s="820"/>
      <c r="C26" s="820"/>
      <c r="D26" s="820"/>
      <c r="E26" s="820"/>
      <c r="F26" s="820"/>
      <c r="G26" s="820"/>
      <c r="H26" s="820"/>
      <c r="I26" s="820"/>
      <c r="J26" s="820"/>
      <c r="K26" s="820"/>
      <c r="L26" s="820"/>
      <c r="M26" s="809" t="s">
        <v>4</v>
      </c>
      <c r="N26" s="809"/>
      <c r="O26" s="874">
        <v>1.64</v>
      </c>
      <c r="P26" s="874"/>
      <c r="Q26" s="874"/>
      <c r="R26" s="811">
        <v>363.68</v>
      </c>
      <c r="S26" s="811"/>
      <c r="T26" s="811"/>
      <c r="U26" s="150">
        <f>(O26*R26)</f>
        <v>596.4352</v>
      </c>
    </row>
    <row r="27" spans="1:21" ht="12.75">
      <c r="A27" s="808" t="s">
        <v>231</v>
      </c>
      <c r="B27" s="808"/>
      <c r="C27" s="808"/>
      <c r="D27" s="808"/>
      <c r="E27" s="808"/>
      <c r="F27" s="808"/>
      <c r="G27" s="808"/>
      <c r="H27" s="808"/>
      <c r="I27" s="808"/>
      <c r="J27" s="808"/>
      <c r="K27" s="808"/>
      <c r="L27" s="808"/>
      <c r="M27" s="809" t="s">
        <v>83</v>
      </c>
      <c r="N27" s="809"/>
      <c r="O27" s="874">
        <v>33.7</v>
      </c>
      <c r="P27" s="874"/>
      <c r="Q27" s="874"/>
      <c r="R27" s="811">
        <v>9.05</v>
      </c>
      <c r="S27" s="811"/>
      <c r="T27" s="811"/>
      <c r="U27" s="150">
        <f>(O27*R27)</f>
        <v>304.98500000000007</v>
      </c>
    </row>
    <row r="28" spans="1:21" ht="12.75">
      <c r="A28" s="812" t="s">
        <v>232</v>
      </c>
      <c r="B28" s="813"/>
      <c r="C28" s="813"/>
      <c r="D28" s="813"/>
      <c r="E28" s="813"/>
      <c r="F28" s="813"/>
      <c r="G28" s="813"/>
      <c r="H28" s="813"/>
      <c r="I28" s="813"/>
      <c r="J28" s="813"/>
      <c r="K28" s="813"/>
      <c r="L28" s="814"/>
      <c r="M28" s="815" t="s">
        <v>4</v>
      </c>
      <c r="N28" s="816"/>
      <c r="O28" s="883">
        <v>0.34</v>
      </c>
      <c r="P28" s="884"/>
      <c r="Q28" s="885"/>
      <c r="R28" s="811">
        <v>346.09</v>
      </c>
      <c r="S28" s="811"/>
      <c r="T28" s="811"/>
      <c r="U28" s="150">
        <f>(O28*R28)</f>
        <v>117.6706</v>
      </c>
    </row>
    <row r="29" spans="1:21" ht="12.75">
      <c r="A29" s="804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5"/>
      <c r="N29" s="805"/>
      <c r="O29" s="806"/>
      <c r="P29" s="806"/>
      <c r="Q29" s="806"/>
      <c r="R29" s="807"/>
      <c r="S29" s="807"/>
      <c r="T29" s="807"/>
      <c r="U29" s="26"/>
    </row>
    <row r="30" spans="1:21" ht="12.75">
      <c r="A30" s="784"/>
      <c r="B30" s="784"/>
      <c r="C30" s="784"/>
      <c r="D30" s="784"/>
      <c r="E30" s="784"/>
      <c r="F30" s="784"/>
      <c r="G30" s="784"/>
      <c r="H30" s="784"/>
      <c r="I30" s="784"/>
      <c r="J30" s="784"/>
      <c r="K30" s="784"/>
      <c r="L30" s="784"/>
      <c r="M30" s="784"/>
      <c r="N30" s="784"/>
      <c r="O30" s="784"/>
      <c r="P30" s="784"/>
      <c r="Q30" s="784"/>
      <c r="R30" s="785" t="s">
        <v>71</v>
      </c>
      <c r="S30" s="785"/>
      <c r="T30" s="785"/>
      <c r="U30" s="25">
        <f>SUM(U24:U29)</f>
        <v>2454.5464</v>
      </c>
    </row>
    <row r="31" spans="1:21" ht="12.75">
      <c r="A31" s="801" t="s">
        <v>72</v>
      </c>
      <c r="B31" s="801"/>
      <c r="C31" s="801"/>
      <c r="D31" s="801"/>
      <c r="E31" s="801"/>
      <c r="F31" s="801"/>
      <c r="G31" s="801"/>
      <c r="H31" s="801"/>
      <c r="I31" s="802" t="s">
        <v>73</v>
      </c>
      <c r="J31" s="802"/>
      <c r="K31" s="802"/>
      <c r="L31" s="802"/>
      <c r="M31" s="802"/>
      <c r="N31" s="802"/>
      <c r="O31" s="803" t="s">
        <v>74</v>
      </c>
      <c r="P31" s="803"/>
      <c r="Q31" s="803"/>
      <c r="R31" s="803" t="s">
        <v>69</v>
      </c>
      <c r="S31" s="803"/>
      <c r="T31" s="803"/>
      <c r="U31" s="803" t="s">
        <v>70</v>
      </c>
    </row>
    <row r="32" spans="1:21" ht="12.75">
      <c r="A32" s="801"/>
      <c r="B32" s="801"/>
      <c r="C32" s="801"/>
      <c r="D32" s="801"/>
      <c r="E32" s="801"/>
      <c r="F32" s="801"/>
      <c r="G32" s="801"/>
      <c r="H32" s="801"/>
      <c r="I32" s="802" t="s">
        <v>75</v>
      </c>
      <c r="J32" s="802"/>
      <c r="K32" s="802" t="s">
        <v>76</v>
      </c>
      <c r="L32" s="802"/>
      <c r="M32" s="802" t="s">
        <v>14</v>
      </c>
      <c r="N32" s="802"/>
      <c r="O32" s="803"/>
      <c r="P32" s="803"/>
      <c r="Q32" s="803"/>
      <c r="R32" s="803"/>
      <c r="S32" s="803"/>
      <c r="T32" s="803"/>
      <c r="U32" s="803"/>
    </row>
    <row r="33" spans="1:21" ht="12.75">
      <c r="A33" s="797"/>
      <c r="B33" s="797"/>
      <c r="C33" s="797"/>
      <c r="D33" s="797"/>
      <c r="E33" s="797"/>
      <c r="F33" s="797"/>
      <c r="G33" s="797"/>
      <c r="H33" s="797"/>
      <c r="I33" s="798"/>
      <c r="J33" s="798"/>
      <c r="K33" s="798"/>
      <c r="L33" s="798"/>
      <c r="M33" s="798"/>
      <c r="N33" s="798"/>
      <c r="O33" s="799"/>
      <c r="P33" s="799"/>
      <c r="Q33" s="799"/>
      <c r="R33" s="800"/>
      <c r="S33" s="800"/>
      <c r="T33" s="800"/>
      <c r="U33" s="532">
        <f>INT((M33*O33*R33)*100)/100</f>
        <v>0</v>
      </c>
    </row>
    <row r="34" spans="1:21" ht="12.75">
      <c r="A34" s="793"/>
      <c r="B34" s="793"/>
      <c r="C34" s="793"/>
      <c r="D34" s="793"/>
      <c r="E34" s="793"/>
      <c r="F34" s="793"/>
      <c r="G34" s="793"/>
      <c r="H34" s="793"/>
      <c r="I34" s="794"/>
      <c r="J34" s="794"/>
      <c r="K34" s="794"/>
      <c r="L34" s="794"/>
      <c r="M34" s="794"/>
      <c r="N34" s="794"/>
      <c r="O34" s="795"/>
      <c r="P34" s="795"/>
      <c r="Q34" s="795"/>
      <c r="R34" s="796"/>
      <c r="S34" s="796"/>
      <c r="T34" s="796"/>
      <c r="U34" s="533">
        <f>INT((M34*O34*R34)*100)/100</f>
        <v>0</v>
      </c>
    </row>
    <row r="35" spans="1:21" ht="12.75">
      <c r="A35" s="793"/>
      <c r="B35" s="793"/>
      <c r="C35" s="793"/>
      <c r="D35" s="793"/>
      <c r="E35" s="793"/>
      <c r="F35" s="793"/>
      <c r="G35" s="793"/>
      <c r="H35" s="793"/>
      <c r="I35" s="794"/>
      <c r="J35" s="794"/>
      <c r="K35" s="794"/>
      <c r="L35" s="794"/>
      <c r="M35" s="794">
        <f>SUM(I35:L35)</f>
        <v>0</v>
      </c>
      <c r="N35" s="794"/>
      <c r="O35" s="795"/>
      <c r="P35" s="795"/>
      <c r="Q35" s="795"/>
      <c r="R35" s="796"/>
      <c r="S35" s="796"/>
      <c r="T35" s="796"/>
      <c r="U35" s="533">
        <f>INT((M35*O35*R35)*100)/100</f>
        <v>0</v>
      </c>
    </row>
    <row r="36" spans="1:21" ht="12.75">
      <c r="A36" s="789"/>
      <c r="B36" s="789"/>
      <c r="C36" s="789"/>
      <c r="D36" s="789"/>
      <c r="E36" s="789"/>
      <c r="F36" s="789"/>
      <c r="G36" s="789"/>
      <c r="H36" s="789"/>
      <c r="I36" s="790"/>
      <c r="J36" s="790"/>
      <c r="K36" s="790"/>
      <c r="L36" s="790"/>
      <c r="M36" s="790">
        <f>SUM(I36:L36)</f>
        <v>0</v>
      </c>
      <c r="N36" s="790"/>
      <c r="O36" s="791"/>
      <c r="P36" s="791"/>
      <c r="Q36" s="791"/>
      <c r="R36" s="792"/>
      <c r="S36" s="792"/>
      <c r="T36" s="792"/>
      <c r="U36" s="534">
        <f>INT((M36*O36*R36)*100)/100</f>
        <v>0</v>
      </c>
    </row>
    <row r="37" spans="1:21" ht="12.75">
      <c r="A37" s="784"/>
      <c r="B37" s="784"/>
      <c r="C37" s="784"/>
      <c r="D37" s="784"/>
      <c r="E37" s="784"/>
      <c r="F37" s="784"/>
      <c r="G37" s="784"/>
      <c r="H37" s="784"/>
      <c r="I37" s="784"/>
      <c r="J37" s="784"/>
      <c r="K37" s="784"/>
      <c r="L37" s="784"/>
      <c r="M37" s="784"/>
      <c r="N37" s="784"/>
      <c r="O37" s="784"/>
      <c r="P37" s="784"/>
      <c r="Q37" s="784"/>
      <c r="R37" s="785" t="s">
        <v>77</v>
      </c>
      <c r="S37" s="785"/>
      <c r="T37" s="785"/>
      <c r="U37" s="27">
        <f>SUM(U33:U36)</f>
        <v>0</v>
      </c>
    </row>
    <row r="38" spans="1:21" ht="12.75">
      <c r="A38" s="784"/>
      <c r="B38" s="784"/>
      <c r="C38" s="784"/>
      <c r="D38" s="784"/>
      <c r="E38" s="784"/>
      <c r="F38" s="784"/>
      <c r="G38" s="784"/>
      <c r="H38" s="784"/>
      <c r="I38" s="784"/>
      <c r="J38" s="784"/>
      <c r="K38" s="784"/>
      <c r="L38" s="784"/>
      <c r="M38" s="784"/>
      <c r="N38" s="784"/>
      <c r="O38" s="784"/>
      <c r="P38" s="784"/>
      <c r="Q38" s="784"/>
      <c r="R38" s="784"/>
      <c r="S38" s="784"/>
      <c r="T38" s="784"/>
      <c r="U38" s="784"/>
    </row>
    <row r="39" spans="1:21" ht="12.75">
      <c r="A39" s="786" t="s">
        <v>78</v>
      </c>
      <c r="B39" s="786"/>
      <c r="C39" s="786"/>
      <c r="D39" s="786"/>
      <c r="E39" s="786"/>
      <c r="F39" s="786"/>
      <c r="G39" s="786"/>
      <c r="H39" s="786"/>
      <c r="I39" s="786"/>
      <c r="J39" s="786"/>
      <c r="K39" s="786"/>
      <c r="L39" s="786"/>
      <c r="M39" s="786"/>
      <c r="N39" s="786"/>
      <c r="O39" s="786"/>
      <c r="P39" s="786"/>
      <c r="Q39" s="786"/>
      <c r="R39" s="786"/>
      <c r="S39" s="786"/>
      <c r="T39" s="786"/>
      <c r="U39" s="28">
        <f>SUM(U22,U30,U37)</f>
        <v>2548.235728</v>
      </c>
    </row>
    <row r="40" spans="1:21" ht="12.75">
      <c r="A40" s="29" t="s">
        <v>79</v>
      </c>
      <c r="B40" s="30"/>
      <c r="C40" s="30"/>
      <c r="D40" s="30"/>
      <c r="E40" s="30"/>
      <c r="F40" s="30"/>
      <c r="G40" s="30"/>
      <c r="H40" s="31" t="s">
        <v>80</v>
      </c>
      <c r="I40" s="787">
        <v>0</v>
      </c>
      <c r="J40" s="787"/>
      <c r="K40" s="30" t="s">
        <v>81</v>
      </c>
      <c r="L40" s="30"/>
      <c r="M40" s="30"/>
      <c r="N40" s="30"/>
      <c r="O40" s="30"/>
      <c r="P40" s="30"/>
      <c r="Q40" s="30"/>
      <c r="R40" s="30"/>
      <c r="S40" s="30"/>
      <c r="T40" s="30"/>
      <c r="U40" s="32">
        <f>TRUNC((U39*I40),2)</f>
        <v>0</v>
      </c>
    </row>
    <row r="41" spans="1:21" ht="14.25">
      <c r="A41" s="788" t="s">
        <v>82</v>
      </c>
      <c r="B41" s="788"/>
      <c r="C41" s="788"/>
      <c r="D41" s="788"/>
      <c r="E41" s="788"/>
      <c r="F41" s="788"/>
      <c r="G41" s="788"/>
      <c r="H41" s="788"/>
      <c r="I41" s="788"/>
      <c r="J41" s="788"/>
      <c r="K41" s="788"/>
      <c r="L41" s="788"/>
      <c r="M41" s="788"/>
      <c r="N41" s="788"/>
      <c r="O41" s="788"/>
      <c r="P41" s="788"/>
      <c r="Q41" s="788"/>
      <c r="R41" s="788"/>
      <c r="S41" s="788"/>
      <c r="T41" s="788"/>
      <c r="U41" s="32">
        <f>((U40+U39))</f>
        <v>2548.235728</v>
      </c>
    </row>
  </sheetData>
  <sheetProtection/>
  <mergeCells count="157">
    <mergeCell ref="A37:Q37"/>
    <mergeCell ref="R37:T37"/>
    <mergeCell ref="A38:U38"/>
    <mergeCell ref="A39:T39"/>
    <mergeCell ref="I40:J40"/>
    <mergeCell ref="A41:T41"/>
    <mergeCell ref="A36:H36"/>
    <mergeCell ref="I36:J36"/>
    <mergeCell ref="K36:L36"/>
    <mergeCell ref="M36:N36"/>
    <mergeCell ref="O36:Q36"/>
    <mergeCell ref="R36:T36"/>
    <mergeCell ref="A35:H35"/>
    <mergeCell ref="I35:J35"/>
    <mergeCell ref="K35:L35"/>
    <mergeCell ref="M35:N35"/>
    <mergeCell ref="O35:Q35"/>
    <mergeCell ref="R35:T35"/>
    <mergeCell ref="A34:H34"/>
    <mergeCell ref="I34:J34"/>
    <mergeCell ref="K34:L34"/>
    <mergeCell ref="M34:N34"/>
    <mergeCell ref="O34:Q34"/>
    <mergeCell ref="R34:T34"/>
    <mergeCell ref="A33:H33"/>
    <mergeCell ref="I33:J33"/>
    <mergeCell ref="K33:L33"/>
    <mergeCell ref="M33:N33"/>
    <mergeCell ref="O33:Q33"/>
    <mergeCell ref="R33:T33"/>
    <mergeCell ref="A31:H32"/>
    <mergeCell ref="I31:N31"/>
    <mergeCell ref="O31:Q32"/>
    <mergeCell ref="R31:T32"/>
    <mergeCell ref="U31:U32"/>
    <mergeCell ref="I32:J32"/>
    <mergeCell ref="K32:L32"/>
    <mergeCell ref="M32:N32"/>
    <mergeCell ref="A29:L29"/>
    <mergeCell ref="M29:N29"/>
    <mergeCell ref="O29:Q29"/>
    <mergeCell ref="R29:T29"/>
    <mergeCell ref="A30:Q30"/>
    <mergeCell ref="R30:T30"/>
    <mergeCell ref="A27:L27"/>
    <mergeCell ref="M27:N27"/>
    <mergeCell ref="O27:Q27"/>
    <mergeCell ref="R27:T27"/>
    <mergeCell ref="A28:L28"/>
    <mergeCell ref="M28:N28"/>
    <mergeCell ref="O28:Q28"/>
    <mergeCell ref="R28:T28"/>
    <mergeCell ref="A25:L25"/>
    <mergeCell ref="M25:N25"/>
    <mergeCell ref="O25:Q25"/>
    <mergeCell ref="R25:T25"/>
    <mergeCell ref="A26:L26"/>
    <mergeCell ref="M26:N26"/>
    <mergeCell ref="O26:Q26"/>
    <mergeCell ref="R26:T26"/>
    <mergeCell ref="A23:L23"/>
    <mergeCell ref="M23:N23"/>
    <mergeCell ref="O23:Q23"/>
    <mergeCell ref="R23:T23"/>
    <mergeCell ref="A24:L24"/>
    <mergeCell ref="M24:N24"/>
    <mergeCell ref="O24:Q24"/>
    <mergeCell ref="R24:T24"/>
    <mergeCell ref="A20:Q20"/>
    <mergeCell ref="R20:T20"/>
    <mergeCell ref="A21:I21"/>
    <mergeCell ref="J21:L21"/>
    <mergeCell ref="M21:T21"/>
    <mergeCell ref="A22:C22"/>
    <mergeCell ref="D22:T22"/>
    <mergeCell ref="A18:N18"/>
    <mergeCell ref="O18:Q18"/>
    <mergeCell ref="R18:T18"/>
    <mergeCell ref="A19:N19"/>
    <mergeCell ref="O19:Q19"/>
    <mergeCell ref="R19:T19"/>
    <mergeCell ref="A15:Q15"/>
    <mergeCell ref="R15:T15"/>
    <mergeCell ref="A16:N16"/>
    <mergeCell ref="O16:Q16"/>
    <mergeCell ref="R16:T16"/>
    <mergeCell ref="A17:N17"/>
    <mergeCell ref="O17:Q17"/>
    <mergeCell ref="R17:T17"/>
    <mergeCell ref="A14:J14"/>
    <mergeCell ref="K14:L14"/>
    <mergeCell ref="M14:N14"/>
    <mergeCell ref="O14:P14"/>
    <mergeCell ref="Q14:R14"/>
    <mergeCell ref="S14:T14"/>
    <mergeCell ref="A13:J13"/>
    <mergeCell ref="K13:L13"/>
    <mergeCell ref="M13:N13"/>
    <mergeCell ref="O13:P13"/>
    <mergeCell ref="Q13:R13"/>
    <mergeCell ref="S13:T13"/>
    <mergeCell ref="A12:J12"/>
    <mergeCell ref="K12:L12"/>
    <mergeCell ref="M12:N12"/>
    <mergeCell ref="O12:P12"/>
    <mergeCell ref="Q12:R12"/>
    <mergeCell ref="S12:T12"/>
    <mergeCell ref="A11:J11"/>
    <mergeCell ref="K11:L11"/>
    <mergeCell ref="M11:N11"/>
    <mergeCell ref="O11:P11"/>
    <mergeCell ref="Q11:R11"/>
    <mergeCell ref="S11:T11"/>
    <mergeCell ref="A10:J10"/>
    <mergeCell ref="K10:L10"/>
    <mergeCell ref="M10:N10"/>
    <mergeCell ref="O10:P10"/>
    <mergeCell ref="Q10:R10"/>
    <mergeCell ref="S10:T10"/>
    <mergeCell ref="A9:J9"/>
    <mergeCell ref="K9:L9"/>
    <mergeCell ref="M9:N9"/>
    <mergeCell ref="O9:P9"/>
    <mergeCell ref="Q9:R9"/>
    <mergeCell ref="S9:T9"/>
    <mergeCell ref="A8:J8"/>
    <mergeCell ref="K8:L8"/>
    <mergeCell ref="M8:N8"/>
    <mergeCell ref="O8:P8"/>
    <mergeCell ref="Q8:R8"/>
    <mergeCell ref="S8:T8"/>
    <mergeCell ref="S6:T6"/>
    <mergeCell ref="A7:J7"/>
    <mergeCell ref="K7:L7"/>
    <mergeCell ref="M7:N7"/>
    <mergeCell ref="O7:P7"/>
    <mergeCell ref="Q7:R7"/>
    <mergeCell ref="S7:T7"/>
    <mergeCell ref="U4:U5"/>
    <mergeCell ref="M5:N5"/>
    <mergeCell ref="O5:P5"/>
    <mergeCell ref="Q5:R5"/>
    <mergeCell ref="S5:T5"/>
    <mergeCell ref="A6:J6"/>
    <mergeCell ref="K6:L6"/>
    <mergeCell ref="M6:N6"/>
    <mergeCell ref="O6:P6"/>
    <mergeCell ref="Q6:R6"/>
    <mergeCell ref="A1:T1"/>
    <mergeCell ref="A2:E2"/>
    <mergeCell ref="F2:T2"/>
    <mergeCell ref="A3:E3"/>
    <mergeCell ref="F3:T3"/>
    <mergeCell ref="A4:J5"/>
    <mergeCell ref="K4:L5"/>
    <mergeCell ref="M4:P4"/>
    <mergeCell ref="Q4:T4"/>
  </mergeCells>
  <conditionalFormatting sqref="O6:P14">
    <cfRule type="cellIs" priority="1" dxfId="0" operator="equal" stopIfTrue="1">
      <formula>1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zoomScale="85" zoomScaleNormal="85" zoomScalePageLayoutView="0" workbookViewId="0" topLeftCell="A1">
      <selection activeCell="H23" sqref="H23"/>
    </sheetView>
  </sheetViews>
  <sheetFormatPr defaultColWidth="9.140625" defaultRowHeight="12.75"/>
  <cols>
    <col min="1" max="1" width="35.00390625" style="0" customWidth="1"/>
    <col min="2" max="2" width="3.7109375" style="0" customWidth="1"/>
    <col min="3" max="3" width="2.7109375" style="0" customWidth="1"/>
    <col min="4" max="4" width="7.28125" style="0" bestFit="1" customWidth="1"/>
    <col min="5" max="5" width="4.7109375" style="0" customWidth="1"/>
    <col min="6" max="6" width="2.7109375" style="0" customWidth="1"/>
    <col min="7" max="7" width="8.421875" style="0" customWidth="1"/>
    <col min="8" max="9" width="9.28125" style="0" bestFit="1" customWidth="1"/>
    <col min="10" max="10" width="11.00390625" style="0" customWidth="1"/>
    <col min="11" max="11" width="35.57421875" style="0" customWidth="1"/>
  </cols>
  <sheetData>
    <row r="1" spans="1:11" ht="15.75">
      <c r="A1" s="907" t="s">
        <v>376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</row>
    <row r="2" spans="1:11" ht="15.75">
      <c r="A2" s="919" t="s">
        <v>118</v>
      </c>
      <c r="B2" s="920"/>
      <c r="C2" s="920"/>
      <c r="D2" s="920"/>
      <c r="E2" s="920"/>
      <c r="F2" s="920"/>
      <c r="G2" s="920"/>
      <c r="H2" s="920"/>
      <c r="I2" s="920"/>
      <c r="J2" s="920"/>
      <c r="K2" s="921"/>
    </row>
    <row r="3" spans="1:11" ht="12.75" customHeight="1">
      <c r="A3" s="910" t="str">
        <f>RESUMO!A50</f>
        <v>RUAS: Louro, Loro, Rosário Oeste, Cáceres, Aroeira, Santos, Rondonópolis, Pinheiros e Jacarandá</v>
      </c>
      <c r="B3" s="911"/>
      <c r="C3" s="911"/>
      <c r="D3" s="911"/>
      <c r="E3" s="911"/>
      <c r="F3" s="911"/>
      <c r="G3" s="911"/>
      <c r="H3" s="911"/>
      <c r="I3" s="911"/>
      <c r="J3" s="911"/>
      <c r="K3" s="912"/>
    </row>
    <row r="4" spans="1:11" ht="30" customHeight="1">
      <c r="A4" s="913"/>
      <c r="B4" s="914"/>
      <c r="C4" s="914"/>
      <c r="D4" s="914"/>
      <c r="E4" s="914"/>
      <c r="F4" s="914"/>
      <c r="G4" s="914"/>
      <c r="H4" s="914"/>
      <c r="I4" s="914"/>
      <c r="J4" s="914"/>
      <c r="K4" s="915"/>
    </row>
    <row r="5" spans="1:11" ht="15.75">
      <c r="A5" s="907" t="s">
        <v>376</v>
      </c>
      <c r="B5" s="907"/>
      <c r="C5" s="907"/>
      <c r="D5" s="907"/>
      <c r="E5" s="907"/>
      <c r="F5" s="907"/>
      <c r="G5" s="907"/>
      <c r="H5" s="907"/>
      <c r="I5" s="907"/>
      <c r="J5" s="907"/>
      <c r="K5" s="908" t="s">
        <v>326</v>
      </c>
    </row>
    <row r="6" spans="1:11" ht="12.75">
      <c r="A6" s="908" t="s">
        <v>84</v>
      </c>
      <c r="B6" s="926" t="s">
        <v>85</v>
      </c>
      <c r="C6" s="926"/>
      <c r="D6" s="926"/>
      <c r="E6" s="926"/>
      <c r="F6" s="926"/>
      <c r="G6" s="926"/>
      <c r="H6" s="924" t="s">
        <v>86</v>
      </c>
      <c r="I6" s="925"/>
      <c r="J6" s="924" t="s">
        <v>327</v>
      </c>
      <c r="K6" s="908"/>
    </row>
    <row r="7" spans="1:11" ht="12.75">
      <c r="A7" s="908"/>
      <c r="B7" s="908" t="s">
        <v>87</v>
      </c>
      <c r="C7" s="908"/>
      <c r="D7" s="908"/>
      <c r="E7" s="908" t="s">
        <v>88</v>
      </c>
      <c r="F7" s="908"/>
      <c r="G7" s="908"/>
      <c r="H7" s="924" t="s">
        <v>328</v>
      </c>
      <c r="I7" s="924" t="s">
        <v>91</v>
      </c>
      <c r="J7" s="925"/>
      <c r="K7" s="908"/>
    </row>
    <row r="8" spans="1:11" ht="12.75">
      <c r="A8" s="908"/>
      <c r="B8" s="908"/>
      <c r="C8" s="908"/>
      <c r="D8" s="908"/>
      <c r="E8" s="908"/>
      <c r="F8" s="908"/>
      <c r="G8" s="908"/>
      <c r="H8" s="925"/>
      <c r="I8" s="925"/>
      <c r="J8" s="925"/>
      <c r="K8" s="908"/>
    </row>
    <row r="9" spans="1:11" ht="15" customHeight="1">
      <c r="A9" s="916" t="s">
        <v>495</v>
      </c>
      <c r="B9" s="449">
        <v>3</v>
      </c>
      <c r="C9" s="277" t="s">
        <v>92</v>
      </c>
      <c r="D9" s="427">
        <v>0</v>
      </c>
      <c r="E9" s="449">
        <v>5</v>
      </c>
      <c r="F9" s="277" t="s">
        <v>92</v>
      </c>
      <c r="G9" s="427">
        <v>0</v>
      </c>
      <c r="H9" s="278">
        <f>((E9-B9)*20+G9-D9)</f>
        <v>40</v>
      </c>
      <c r="I9" s="278">
        <f aca="true" t="shared" si="0" ref="I9:I20">H9</f>
        <v>40</v>
      </c>
      <c r="J9" s="451">
        <v>100</v>
      </c>
      <c r="K9" s="279" t="s">
        <v>329</v>
      </c>
    </row>
    <row r="10" spans="1:11" ht="15">
      <c r="A10" s="917"/>
      <c r="B10" s="282">
        <v>5</v>
      </c>
      <c r="C10" s="281" t="s">
        <v>92</v>
      </c>
      <c r="D10" s="428">
        <v>0</v>
      </c>
      <c r="E10" s="282">
        <v>8</v>
      </c>
      <c r="F10" s="281" t="s">
        <v>92</v>
      </c>
      <c r="G10" s="428">
        <v>10</v>
      </c>
      <c r="H10" s="278">
        <f>(E10-B10)*20+G10-D10</f>
        <v>70</v>
      </c>
      <c r="I10" s="278">
        <f>H10</f>
        <v>70</v>
      </c>
      <c r="J10" s="451">
        <v>100</v>
      </c>
      <c r="K10" s="279" t="s">
        <v>329</v>
      </c>
    </row>
    <row r="11" spans="1:11" ht="15">
      <c r="A11" s="917"/>
      <c r="B11" s="282">
        <v>19</v>
      </c>
      <c r="C11" s="281" t="s">
        <v>92</v>
      </c>
      <c r="D11" s="428">
        <v>0</v>
      </c>
      <c r="E11" s="282">
        <v>15</v>
      </c>
      <c r="F11" s="281" t="s">
        <v>92</v>
      </c>
      <c r="G11" s="428">
        <v>10</v>
      </c>
      <c r="H11" s="278">
        <f>((E11-B11)*20+G11-D11)*-1</f>
        <v>70</v>
      </c>
      <c r="I11" s="278">
        <f t="shared" si="0"/>
        <v>70</v>
      </c>
      <c r="J11" s="451">
        <v>100</v>
      </c>
      <c r="K11" s="279" t="s">
        <v>329</v>
      </c>
    </row>
    <row r="12" spans="1:11" ht="15">
      <c r="A12" s="918"/>
      <c r="B12" s="282">
        <v>15</v>
      </c>
      <c r="C12" s="281" t="s">
        <v>92</v>
      </c>
      <c r="D12" s="428">
        <v>10</v>
      </c>
      <c r="E12" s="282">
        <v>13</v>
      </c>
      <c r="F12" s="281" t="s">
        <v>92</v>
      </c>
      <c r="G12" s="428">
        <v>0</v>
      </c>
      <c r="H12" s="278">
        <f>((E12-B12)*20+G12-D12)*-1</f>
        <v>50</v>
      </c>
      <c r="I12" s="278">
        <f>H12</f>
        <v>50</v>
      </c>
      <c r="J12" s="451">
        <v>100</v>
      </c>
      <c r="K12" s="279" t="s">
        <v>329</v>
      </c>
    </row>
    <row r="13" spans="1:11" ht="15" customHeight="1">
      <c r="A13" s="916" t="s">
        <v>536</v>
      </c>
      <c r="B13" s="527">
        <v>6</v>
      </c>
      <c r="C13" s="277" t="s">
        <v>92</v>
      </c>
      <c r="D13" s="427">
        <v>0</v>
      </c>
      <c r="E13" s="527">
        <v>9</v>
      </c>
      <c r="F13" s="277" t="s">
        <v>92</v>
      </c>
      <c r="G13" s="427">
        <v>0</v>
      </c>
      <c r="H13" s="278">
        <f>((E13-B13)*20+G13-D13)</f>
        <v>60</v>
      </c>
      <c r="I13" s="278">
        <f>H13</f>
        <v>60</v>
      </c>
      <c r="J13" s="451">
        <v>100</v>
      </c>
      <c r="K13" s="279" t="s">
        <v>329</v>
      </c>
    </row>
    <row r="14" spans="1:11" ht="15">
      <c r="A14" s="917"/>
      <c r="B14" s="282">
        <v>9</v>
      </c>
      <c r="C14" s="281" t="s">
        <v>92</v>
      </c>
      <c r="D14" s="428">
        <v>0</v>
      </c>
      <c r="E14" s="282">
        <v>12</v>
      </c>
      <c r="F14" s="281" t="s">
        <v>92</v>
      </c>
      <c r="G14" s="428">
        <v>10</v>
      </c>
      <c r="H14" s="278">
        <f>((E14-B14)*20+G14-D14)</f>
        <v>70</v>
      </c>
      <c r="I14" s="278">
        <f>H14</f>
        <v>70</v>
      </c>
      <c r="J14" s="451">
        <v>100</v>
      </c>
      <c r="K14" s="279" t="s">
        <v>329</v>
      </c>
    </row>
    <row r="15" spans="1:11" ht="15">
      <c r="A15" s="917"/>
      <c r="B15" s="282">
        <v>21</v>
      </c>
      <c r="C15" s="281" t="s">
        <v>92</v>
      </c>
      <c r="D15" s="428">
        <v>0</v>
      </c>
      <c r="E15" s="282">
        <v>17</v>
      </c>
      <c r="F15" s="281" t="s">
        <v>92</v>
      </c>
      <c r="G15" s="428">
        <v>10</v>
      </c>
      <c r="H15" s="278">
        <f>((E15-B15)*20+G15-D15)*-1</f>
        <v>70</v>
      </c>
      <c r="I15" s="278">
        <f>H15</f>
        <v>70</v>
      </c>
      <c r="J15" s="451">
        <v>100</v>
      </c>
      <c r="K15" s="279" t="s">
        <v>329</v>
      </c>
    </row>
    <row r="16" spans="1:11" ht="15">
      <c r="A16" s="918"/>
      <c r="B16" s="282">
        <v>17</v>
      </c>
      <c r="C16" s="281" t="s">
        <v>92</v>
      </c>
      <c r="D16" s="428">
        <v>10</v>
      </c>
      <c r="E16" s="282">
        <v>14</v>
      </c>
      <c r="F16" s="281" t="s">
        <v>92</v>
      </c>
      <c r="G16" s="428">
        <v>0</v>
      </c>
      <c r="H16" s="278">
        <f>((E16-B16)*20+G16-D16)*-1</f>
        <v>70</v>
      </c>
      <c r="I16" s="278">
        <f>H16</f>
        <v>70</v>
      </c>
      <c r="J16" s="451">
        <v>100</v>
      </c>
      <c r="K16" s="279" t="s">
        <v>329</v>
      </c>
    </row>
    <row r="17" spans="1:11" ht="15">
      <c r="A17" s="909" t="s">
        <v>542</v>
      </c>
      <c r="B17" s="282">
        <v>19</v>
      </c>
      <c r="C17" s="281" t="s">
        <v>92</v>
      </c>
      <c r="D17" s="428">
        <v>0</v>
      </c>
      <c r="E17" s="282">
        <v>21</v>
      </c>
      <c r="F17" s="281" t="s">
        <v>92</v>
      </c>
      <c r="G17" s="428">
        <v>0</v>
      </c>
      <c r="H17" s="278">
        <f>((E17-B17)*20+G17-D17)</f>
        <v>40</v>
      </c>
      <c r="I17" s="278">
        <f t="shared" si="0"/>
        <v>40</v>
      </c>
      <c r="J17" s="451">
        <v>100</v>
      </c>
      <c r="K17" s="279" t="s">
        <v>329</v>
      </c>
    </row>
    <row r="18" spans="1:11" ht="15">
      <c r="A18" s="909"/>
      <c r="B18" s="282">
        <v>23</v>
      </c>
      <c r="C18" s="281" t="s">
        <v>92</v>
      </c>
      <c r="D18" s="428">
        <v>0</v>
      </c>
      <c r="E18" s="280">
        <v>21</v>
      </c>
      <c r="F18" s="283" t="s">
        <v>92</v>
      </c>
      <c r="G18" s="429">
        <v>0</v>
      </c>
      <c r="H18" s="278">
        <f>((E18-B18)*20+G18-D18)*-1</f>
        <v>40</v>
      </c>
      <c r="I18" s="278">
        <f t="shared" si="0"/>
        <v>40</v>
      </c>
      <c r="J18" s="451">
        <v>100</v>
      </c>
      <c r="K18" s="279" t="s">
        <v>329</v>
      </c>
    </row>
    <row r="19" spans="1:11" s="491" customFormat="1" ht="13.5" customHeight="1">
      <c r="A19" s="922" t="s">
        <v>543</v>
      </c>
      <c r="B19" s="486">
        <v>15</v>
      </c>
      <c r="C19" s="487" t="s">
        <v>92</v>
      </c>
      <c r="D19" s="488">
        <v>0</v>
      </c>
      <c r="E19" s="486">
        <v>17</v>
      </c>
      <c r="F19" s="487" t="s">
        <v>92</v>
      </c>
      <c r="G19" s="488">
        <v>0</v>
      </c>
      <c r="H19" s="278">
        <f>((E19-B19)*20+G19-D19)</f>
        <v>40</v>
      </c>
      <c r="I19" s="489">
        <f t="shared" si="0"/>
        <v>40</v>
      </c>
      <c r="J19" s="490">
        <v>100</v>
      </c>
      <c r="K19" s="279" t="s">
        <v>329</v>
      </c>
    </row>
    <row r="20" spans="1:11" s="491" customFormat="1" ht="13.5" customHeight="1">
      <c r="A20" s="923"/>
      <c r="B20" s="486">
        <v>18</v>
      </c>
      <c r="C20" s="487" t="s">
        <v>92</v>
      </c>
      <c r="D20" s="488">
        <v>7.671</v>
      </c>
      <c r="E20" s="486">
        <v>17</v>
      </c>
      <c r="F20" s="487" t="s">
        <v>92</v>
      </c>
      <c r="G20" s="488">
        <v>0</v>
      </c>
      <c r="H20" s="278">
        <f>((E20-B20)*20+G20-D20)*-1</f>
        <v>27.671</v>
      </c>
      <c r="I20" s="489">
        <f t="shared" si="0"/>
        <v>27.671</v>
      </c>
      <c r="J20" s="490">
        <v>100</v>
      </c>
      <c r="K20" s="279" t="s">
        <v>329</v>
      </c>
    </row>
    <row r="21" spans="1:11" ht="15">
      <c r="A21" s="450"/>
      <c r="B21" s="280"/>
      <c r="C21" s="283"/>
      <c r="D21" s="428"/>
      <c r="E21" s="280"/>
      <c r="F21" s="283"/>
      <c r="G21" s="428"/>
      <c r="H21" s="278"/>
      <c r="I21" s="278"/>
      <c r="J21" s="451"/>
      <c r="K21" s="279"/>
    </row>
    <row r="22" spans="1:11" ht="12.75">
      <c r="A22" s="450"/>
      <c r="B22" s="908"/>
      <c r="C22" s="908"/>
      <c r="D22" s="908"/>
      <c r="E22" s="908"/>
      <c r="F22" s="908"/>
      <c r="G22" s="908"/>
      <c r="H22" s="439">
        <f>SUM(H9:H21)</f>
        <v>647.671</v>
      </c>
      <c r="I22" s="439">
        <f>SUM(I9:I21)</f>
        <v>647.671</v>
      </c>
      <c r="J22" s="925"/>
      <c r="K22" s="925"/>
    </row>
    <row r="23" spans="1:11" ht="12.75">
      <c r="A23" s="430" t="s">
        <v>449</v>
      </c>
      <c r="B23" s="927"/>
      <c r="C23" s="927"/>
      <c r="D23" s="927"/>
      <c r="E23" s="927"/>
      <c r="F23" s="927"/>
      <c r="G23" s="927"/>
      <c r="H23" s="452">
        <f>ROUND((H22+I22),0)</f>
        <v>1295</v>
      </c>
      <c r="I23" s="452"/>
      <c r="J23" s="928"/>
      <c r="K23" s="928"/>
    </row>
  </sheetData>
  <sheetProtection/>
  <mergeCells count="21">
    <mergeCell ref="B23:G23"/>
    <mergeCell ref="J23:K23"/>
    <mergeCell ref="I7:I8"/>
    <mergeCell ref="B22:G22"/>
    <mergeCell ref="J22:K22"/>
    <mergeCell ref="J6:J8"/>
    <mergeCell ref="A19:A20"/>
    <mergeCell ref="H6:I6"/>
    <mergeCell ref="H7:H8"/>
    <mergeCell ref="E7:G8"/>
    <mergeCell ref="A9:A12"/>
    <mergeCell ref="B6:G6"/>
    <mergeCell ref="A1:K1"/>
    <mergeCell ref="A5:J5"/>
    <mergeCell ref="K5:K8"/>
    <mergeCell ref="A6:A8"/>
    <mergeCell ref="B7:D8"/>
    <mergeCell ref="A17:A18"/>
    <mergeCell ref="A3:K4"/>
    <mergeCell ref="A13:A16"/>
    <mergeCell ref="A2:K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I33" sqref="A1:I34"/>
    </sheetView>
  </sheetViews>
  <sheetFormatPr defaultColWidth="9.140625" defaultRowHeight="12.75"/>
  <cols>
    <col min="1" max="1" width="8.00390625" style="0" customWidth="1"/>
    <col min="2" max="2" width="37.421875" style="0" customWidth="1"/>
    <col min="3" max="4" width="8.00390625" style="0" customWidth="1"/>
    <col min="5" max="5" width="15.7109375" style="0" customWidth="1"/>
    <col min="6" max="6" width="8.00390625" style="0" customWidth="1"/>
    <col min="7" max="8" width="15.57421875" style="0" customWidth="1"/>
    <col min="9" max="9" width="19.8515625" style="0" customWidth="1"/>
  </cols>
  <sheetData>
    <row r="1" spans="1:9" ht="15.75">
      <c r="A1" s="977" t="s">
        <v>118</v>
      </c>
      <c r="B1" s="978"/>
      <c r="C1" s="978"/>
      <c r="D1" s="979"/>
      <c r="E1" s="980"/>
      <c r="F1" s="980"/>
      <c r="G1" s="979"/>
      <c r="H1" s="980"/>
      <c r="I1" s="981"/>
    </row>
    <row r="2" spans="1:9" ht="14.25">
      <c r="A2" s="982" t="str">
        <f>QUANT!A2</f>
        <v>BAIRRO:JARDIM GLÓRIA</v>
      </c>
      <c r="B2" s="983"/>
      <c r="C2" s="983"/>
      <c r="D2" s="983"/>
      <c r="E2" s="983"/>
      <c r="F2" s="983"/>
      <c r="G2" s="983"/>
      <c r="H2" s="983"/>
      <c r="I2" s="984"/>
    </row>
    <row r="3" spans="1:9" ht="38.25" customHeight="1">
      <c r="A3" s="985" t="str">
        <f>QUANT!A3</f>
        <v>RUAS: Louro, Loro, Rosário Oeste, Cáceres, Aroeira, Santos, Rondonópolis, Pinheiros e Jacarandá</v>
      </c>
      <c r="B3" s="986"/>
      <c r="C3" s="986"/>
      <c r="D3" s="986"/>
      <c r="E3" s="986"/>
      <c r="F3" s="986"/>
      <c r="G3" s="986"/>
      <c r="H3" s="986"/>
      <c r="I3" s="987"/>
    </row>
    <row r="4" spans="1:9" ht="12.75">
      <c r="A4" s="988" t="s">
        <v>260</v>
      </c>
      <c r="B4" s="989"/>
      <c r="C4" s="989"/>
      <c r="D4" s="989"/>
      <c r="E4" s="989"/>
      <c r="F4" s="989"/>
      <c r="G4" s="989"/>
      <c r="H4" s="989"/>
      <c r="I4" s="990"/>
    </row>
    <row r="5" spans="1:9" ht="13.5" thickBot="1">
      <c r="A5" s="939" t="s">
        <v>117</v>
      </c>
      <c r="B5" s="938"/>
      <c r="C5" s="938"/>
      <c r="D5" s="940"/>
      <c r="E5" s="938"/>
      <c r="F5" s="938"/>
      <c r="G5" s="940"/>
      <c r="H5" s="938"/>
      <c r="I5" s="941"/>
    </row>
    <row r="6" spans="1:9" ht="16.5" customHeight="1">
      <c r="A6" s="968" t="s">
        <v>259</v>
      </c>
      <c r="B6" s="969"/>
      <c r="C6" s="969"/>
      <c r="D6" s="969"/>
      <c r="E6" s="969"/>
      <c r="F6" s="969"/>
      <c r="G6" s="969"/>
      <c r="H6" s="969"/>
      <c r="I6" s="970"/>
    </row>
    <row r="7" spans="1:9" ht="16.5" customHeight="1" thickBot="1">
      <c r="A7" s="971"/>
      <c r="B7" s="972"/>
      <c r="C7" s="972"/>
      <c r="D7" s="972"/>
      <c r="E7" s="972"/>
      <c r="F7" s="972"/>
      <c r="G7" s="972"/>
      <c r="H7" s="972"/>
      <c r="I7" s="973"/>
    </row>
    <row r="8" spans="1:9" ht="15">
      <c r="A8" s="991" t="s">
        <v>32</v>
      </c>
      <c r="B8" s="959" t="s">
        <v>0</v>
      </c>
      <c r="C8" s="960"/>
      <c r="D8" s="961"/>
      <c r="E8" s="62" t="s">
        <v>102</v>
      </c>
      <c r="F8" s="62" t="s">
        <v>103</v>
      </c>
      <c r="G8" s="62" t="s">
        <v>104</v>
      </c>
      <c r="H8" s="62" t="s">
        <v>105</v>
      </c>
      <c r="I8" s="63" t="s">
        <v>106</v>
      </c>
    </row>
    <row r="9" spans="1:9" ht="15.75" thickBot="1">
      <c r="A9" s="992"/>
      <c r="B9" s="962"/>
      <c r="C9" s="963"/>
      <c r="D9" s="964"/>
      <c r="E9" s="64" t="s">
        <v>107</v>
      </c>
      <c r="F9" s="64" t="s">
        <v>108</v>
      </c>
      <c r="G9" s="64" t="s">
        <v>108</v>
      </c>
      <c r="H9" s="64" t="s">
        <v>108</v>
      </c>
      <c r="I9" s="65" t="s">
        <v>108</v>
      </c>
    </row>
    <row r="10" spans="1:9" ht="15">
      <c r="A10" s="57" t="s">
        <v>42</v>
      </c>
      <c r="B10" s="965" t="s">
        <v>109</v>
      </c>
      <c r="C10" s="966"/>
      <c r="D10" s="967"/>
      <c r="E10" s="58">
        <f>SUM(E11:E14)</f>
        <v>6.080000000000001</v>
      </c>
      <c r="F10" s="58"/>
      <c r="G10" s="59"/>
      <c r="H10" s="60"/>
      <c r="I10" s="61"/>
    </row>
    <row r="11" spans="1:9" ht="15">
      <c r="A11" s="40" t="s">
        <v>43</v>
      </c>
      <c r="B11" s="950" t="s">
        <v>110</v>
      </c>
      <c r="C11" s="948"/>
      <c r="D11" s="949"/>
      <c r="E11" s="37">
        <v>4.01</v>
      </c>
      <c r="F11" s="37"/>
      <c r="G11" s="37"/>
      <c r="H11" s="38"/>
      <c r="I11" s="39"/>
    </row>
    <row r="12" spans="1:9" ht="15">
      <c r="A12" s="40" t="s">
        <v>44</v>
      </c>
      <c r="B12" s="226" t="s">
        <v>140</v>
      </c>
      <c r="C12" s="224"/>
      <c r="D12" s="225"/>
      <c r="E12" s="37">
        <v>0.4</v>
      </c>
      <c r="F12" s="37"/>
      <c r="G12" s="37"/>
      <c r="H12" s="38"/>
      <c r="I12" s="39"/>
    </row>
    <row r="13" spans="1:9" ht="15">
      <c r="A13" s="40" t="s">
        <v>111</v>
      </c>
      <c r="B13" s="950" t="s">
        <v>100</v>
      </c>
      <c r="C13" s="948"/>
      <c r="D13" s="949"/>
      <c r="E13" s="37">
        <v>0.56</v>
      </c>
      <c r="F13" s="37"/>
      <c r="G13" s="37"/>
      <c r="H13" s="38"/>
      <c r="I13" s="39"/>
    </row>
    <row r="14" spans="1:9" ht="15">
      <c r="A14" s="40" t="s">
        <v>139</v>
      </c>
      <c r="B14" s="950" t="s">
        <v>99</v>
      </c>
      <c r="C14" s="948"/>
      <c r="D14" s="949"/>
      <c r="E14" s="37">
        <v>1.11</v>
      </c>
      <c r="F14" s="37"/>
      <c r="G14" s="37"/>
      <c r="H14" s="38"/>
      <c r="I14" s="39"/>
    </row>
    <row r="15" spans="1:9" ht="15">
      <c r="A15" s="41"/>
      <c r="B15" s="974"/>
      <c r="C15" s="975"/>
      <c r="D15" s="976"/>
      <c r="E15" s="42"/>
      <c r="F15" s="43"/>
      <c r="G15" s="42"/>
      <c r="H15" s="44"/>
      <c r="I15" s="45"/>
    </row>
    <row r="16" spans="1:9" ht="15">
      <c r="A16" s="35" t="s">
        <v>33</v>
      </c>
      <c r="B16" s="947" t="s">
        <v>112</v>
      </c>
      <c r="C16" s="948"/>
      <c r="D16" s="949"/>
      <c r="E16" s="36">
        <f>E17</f>
        <v>7.3</v>
      </c>
      <c r="F16" s="36"/>
      <c r="G16" s="37"/>
      <c r="H16" s="38"/>
      <c r="I16" s="39"/>
    </row>
    <row r="17" spans="1:9" ht="15">
      <c r="A17" s="40" t="s">
        <v>40</v>
      </c>
      <c r="B17" s="950" t="s">
        <v>113</v>
      </c>
      <c r="C17" s="948"/>
      <c r="D17" s="949"/>
      <c r="E17" s="37">
        <v>7.3</v>
      </c>
      <c r="F17" s="37"/>
      <c r="G17" s="37"/>
      <c r="H17" s="38"/>
      <c r="I17" s="39"/>
    </row>
    <row r="18" spans="1:9" ht="15">
      <c r="A18" s="46"/>
      <c r="B18" s="944"/>
      <c r="C18" s="945"/>
      <c r="D18" s="946"/>
      <c r="E18" s="47"/>
      <c r="F18" s="48"/>
      <c r="G18" s="47"/>
      <c r="H18" s="49"/>
      <c r="I18" s="50"/>
    </row>
    <row r="19" spans="1:9" ht="15">
      <c r="A19" s="35" t="s">
        <v>34</v>
      </c>
      <c r="B19" s="947" t="s">
        <v>114</v>
      </c>
      <c r="C19" s="948"/>
      <c r="D19" s="949"/>
      <c r="E19" s="36">
        <f>E20+E21+E23+E22</f>
        <v>5.65</v>
      </c>
      <c r="F19" s="36"/>
      <c r="G19" s="37"/>
      <c r="H19" s="51"/>
      <c r="I19" s="39"/>
    </row>
    <row r="20" spans="1:9" ht="15">
      <c r="A20" s="40" t="s">
        <v>39</v>
      </c>
      <c r="B20" s="950" t="s">
        <v>141</v>
      </c>
      <c r="C20" s="948"/>
      <c r="D20" s="949"/>
      <c r="E20" s="68">
        <v>0.65</v>
      </c>
      <c r="F20" s="37"/>
      <c r="G20" s="37"/>
      <c r="H20" s="51"/>
      <c r="I20" s="39"/>
    </row>
    <row r="21" spans="1:9" ht="15">
      <c r="A21" s="40" t="s">
        <v>35</v>
      </c>
      <c r="B21" s="950" t="s">
        <v>142</v>
      </c>
      <c r="C21" s="948"/>
      <c r="D21" s="949"/>
      <c r="E21" s="37">
        <v>3</v>
      </c>
      <c r="F21" s="37"/>
      <c r="G21" s="37"/>
      <c r="H21" s="51"/>
      <c r="I21" s="39"/>
    </row>
    <row r="22" spans="1:9" ht="15">
      <c r="A22" s="40" t="s">
        <v>47</v>
      </c>
      <c r="B22" s="950" t="s">
        <v>143</v>
      </c>
      <c r="C22" s="951"/>
      <c r="D22" s="952"/>
      <c r="E22" s="37">
        <v>2</v>
      </c>
      <c r="F22" s="37"/>
      <c r="G22" s="37"/>
      <c r="H22" s="51"/>
      <c r="I22" s="39"/>
    </row>
    <row r="23" spans="1:9" ht="15">
      <c r="A23" s="40" t="s">
        <v>48</v>
      </c>
      <c r="B23" s="950" t="s">
        <v>101</v>
      </c>
      <c r="C23" s="948"/>
      <c r="D23" s="949"/>
      <c r="E23" s="37">
        <v>0</v>
      </c>
      <c r="F23" s="37"/>
      <c r="G23" s="37"/>
      <c r="H23" s="38"/>
      <c r="I23" s="39"/>
    </row>
    <row r="24" spans="1:9" ht="12.75">
      <c r="A24" s="40"/>
      <c r="B24" s="947" t="s">
        <v>115</v>
      </c>
      <c r="C24" s="948"/>
      <c r="D24" s="949"/>
      <c r="E24" s="52"/>
      <c r="F24" s="52"/>
      <c r="G24" s="53"/>
      <c r="H24" s="54"/>
      <c r="I24" s="55"/>
    </row>
    <row r="25" spans="1:9" ht="12.75" customHeight="1">
      <c r="A25" s="953" t="s">
        <v>116</v>
      </c>
      <c r="B25" s="954"/>
      <c r="C25" s="954"/>
      <c r="D25" s="955"/>
      <c r="E25" s="931">
        <f>TRUNC((((1+((E11+E12+E13)/100))*(1+((E14)/100))*(1+((E16/100)))/(1-((E20+E21+E22+E23)/100)))-1),4)</f>
        <v>0.207</v>
      </c>
      <c r="F25" s="942"/>
      <c r="G25" s="942"/>
      <c r="H25" s="942"/>
      <c r="I25" s="929">
        <v>0</v>
      </c>
    </row>
    <row r="26" spans="1:9" ht="23.25" customHeight="1" thickBot="1">
      <c r="A26" s="956"/>
      <c r="B26" s="957"/>
      <c r="C26" s="957"/>
      <c r="D26" s="958"/>
      <c r="E26" s="932"/>
      <c r="F26" s="943"/>
      <c r="G26" s="943"/>
      <c r="H26" s="943"/>
      <c r="I26" s="930"/>
    </row>
    <row r="27" spans="1:9" ht="12.75">
      <c r="A27" s="93"/>
      <c r="B27" s="94"/>
      <c r="C27" s="95"/>
      <c r="D27" s="95"/>
      <c r="E27" s="94"/>
      <c r="F27" s="96"/>
      <c r="G27" s="97"/>
      <c r="H27" s="97"/>
      <c r="I27" s="98"/>
    </row>
    <row r="28" spans="1:9" ht="12.75" customHeight="1">
      <c r="A28" s="66" t="s">
        <v>144</v>
      </c>
      <c r="B28" s="99"/>
      <c r="C28" s="56"/>
      <c r="D28" s="56"/>
      <c r="E28" s="56"/>
      <c r="F28" s="83"/>
      <c r="G28" s="86"/>
      <c r="H28" s="84"/>
      <c r="I28" s="85"/>
    </row>
    <row r="29" spans="1:9" ht="12.75">
      <c r="A29" s="66"/>
      <c r="B29" s="56"/>
      <c r="C29" s="82"/>
      <c r="D29" s="82"/>
      <c r="E29" s="56"/>
      <c r="F29" s="83"/>
      <c r="G29" s="84"/>
      <c r="H29" s="84"/>
      <c r="I29" s="85"/>
    </row>
    <row r="30" spans="1:9" ht="15.75">
      <c r="A30" s="66"/>
      <c r="B30" s="56"/>
      <c r="C30" s="56"/>
      <c r="D30" s="56"/>
      <c r="E30" s="56"/>
      <c r="F30" s="83"/>
      <c r="G30" s="935"/>
      <c r="H30" s="935"/>
      <c r="I30" s="87"/>
    </row>
    <row r="31" spans="1:9" ht="15.75">
      <c r="A31" s="66"/>
      <c r="B31" s="933"/>
      <c r="C31" s="934"/>
      <c r="D31" s="934"/>
      <c r="E31" s="934"/>
      <c r="F31" s="88"/>
      <c r="G31" s="935"/>
      <c r="H31" s="935"/>
      <c r="I31" s="87"/>
    </row>
    <row r="32" spans="1:9" ht="15.75">
      <c r="A32" s="66"/>
      <c r="B32" s="934"/>
      <c r="C32" s="934"/>
      <c r="D32" s="934"/>
      <c r="E32" s="934"/>
      <c r="F32" s="83"/>
      <c r="G32" s="935"/>
      <c r="H32" s="935"/>
      <c r="I32" s="87"/>
    </row>
    <row r="33" spans="1:9" ht="15.75">
      <c r="A33" s="66"/>
      <c r="B33" s="937"/>
      <c r="C33" s="934"/>
      <c r="D33" s="934"/>
      <c r="E33" s="934"/>
      <c r="F33" s="83"/>
      <c r="G33" s="935"/>
      <c r="H33" s="936"/>
      <c r="I33" s="87"/>
    </row>
    <row r="34" spans="1:9" ht="13.5" thickBot="1">
      <c r="A34" s="67"/>
      <c r="B34" s="938"/>
      <c r="C34" s="938"/>
      <c r="D34" s="938"/>
      <c r="E34" s="938"/>
      <c r="F34" s="89"/>
      <c r="G34" s="90"/>
      <c r="H34" s="91"/>
      <c r="I34" s="92"/>
    </row>
  </sheetData>
  <sheetProtection/>
  <mergeCells count="38">
    <mergeCell ref="A1:C1"/>
    <mergeCell ref="D1:F1"/>
    <mergeCell ref="G1:I1"/>
    <mergeCell ref="B11:D11"/>
    <mergeCell ref="B13:D13"/>
    <mergeCell ref="B14:D14"/>
    <mergeCell ref="A2:I2"/>
    <mergeCell ref="A3:I3"/>
    <mergeCell ref="A4:I4"/>
    <mergeCell ref="A8:A9"/>
    <mergeCell ref="B23:D23"/>
    <mergeCell ref="B24:D24"/>
    <mergeCell ref="A25:D26"/>
    <mergeCell ref="B8:D9"/>
    <mergeCell ref="B10:D10"/>
    <mergeCell ref="A6:I7"/>
    <mergeCell ref="B15:D15"/>
    <mergeCell ref="B16:D16"/>
    <mergeCell ref="B17:D17"/>
    <mergeCell ref="H25:H26"/>
    <mergeCell ref="A5:C5"/>
    <mergeCell ref="D5:F5"/>
    <mergeCell ref="G5:I5"/>
    <mergeCell ref="F25:F26"/>
    <mergeCell ref="G25:G26"/>
    <mergeCell ref="B18:D18"/>
    <mergeCell ref="B19:D19"/>
    <mergeCell ref="B20:D20"/>
    <mergeCell ref="B21:D21"/>
    <mergeCell ref="B22:D22"/>
    <mergeCell ref="I25:I26"/>
    <mergeCell ref="E25:E26"/>
    <mergeCell ref="B31:E32"/>
    <mergeCell ref="G32:G33"/>
    <mergeCell ref="H32:H33"/>
    <mergeCell ref="B33:E34"/>
    <mergeCell ref="G30:G31"/>
    <mergeCell ref="H30:H3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8">
      <selection activeCell="I34" sqref="A1:I34"/>
    </sheetView>
  </sheetViews>
  <sheetFormatPr defaultColWidth="9.140625" defaultRowHeight="12.75"/>
  <cols>
    <col min="1" max="1" width="8.00390625" style="0" customWidth="1"/>
    <col min="2" max="2" width="37.421875" style="0" customWidth="1"/>
    <col min="3" max="4" width="8.00390625" style="0" customWidth="1"/>
    <col min="5" max="5" width="15.7109375" style="0" customWidth="1"/>
    <col min="6" max="6" width="8.00390625" style="0" customWidth="1"/>
    <col min="7" max="8" width="15.57421875" style="0" customWidth="1"/>
    <col min="9" max="9" width="19.8515625" style="0" customWidth="1"/>
  </cols>
  <sheetData>
    <row r="1" spans="1:9" ht="15.75">
      <c r="A1" s="999" t="s">
        <v>118</v>
      </c>
      <c r="B1" s="1000"/>
      <c r="C1" s="1000"/>
      <c r="D1" s="1001"/>
      <c r="E1" s="1000"/>
      <c r="F1" s="1000"/>
      <c r="G1" s="1001"/>
      <c r="H1" s="1000"/>
      <c r="I1" s="1002"/>
    </row>
    <row r="2" spans="1:9" ht="15.75">
      <c r="A2" s="996" t="str">
        <f>QUANT!A2</f>
        <v>BAIRRO:JARDIM GLÓRIA</v>
      </c>
      <c r="B2" s="1003"/>
      <c r="C2" s="1003"/>
      <c r="D2" s="997"/>
      <c r="E2" s="1003"/>
      <c r="F2" s="1003"/>
      <c r="G2" s="997"/>
      <c r="H2" s="1003"/>
      <c r="I2" s="1004"/>
    </row>
    <row r="3" spans="1:9" ht="47.25" customHeight="1">
      <c r="A3" s="993" t="str">
        <f>QUANT!A3</f>
        <v>RUAS: Louro, Loro, Rosário Oeste, Cáceres, Aroeira, Santos, Rondonópolis, Pinheiros e Jacarandá</v>
      </c>
      <c r="B3" s="994"/>
      <c r="C3" s="994"/>
      <c r="D3" s="994"/>
      <c r="E3" s="994"/>
      <c r="F3" s="994"/>
      <c r="G3" s="994"/>
      <c r="H3" s="994"/>
      <c r="I3" s="995"/>
    </row>
    <row r="4" spans="1:9" ht="15.75">
      <c r="A4" s="996" t="s">
        <v>260</v>
      </c>
      <c r="B4" s="997"/>
      <c r="C4" s="997"/>
      <c r="D4" s="997"/>
      <c r="E4" s="997"/>
      <c r="F4" s="997"/>
      <c r="G4" s="997"/>
      <c r="H4" s="997"/>
      <c r="I4" s="998"/>
    </row>
    <row r="5" spans="1:9" ht="13.5" thickBot="1">
      <c r="A5" s="939" t="s">
        <v>117</v>
      </c>
      <c r="B5" s="938"/>
      <c r="C5" s="938"/>
      <c r="D5" s="940"/>
      <c r="E5" s="938"/>
      <c r="F5" s="938"/>
      <c r="G5" s="940"/>
      <c r="H5" s="938"/>
      <c r="I5" s="941"/>
    </row>
    <row r="6" spans="1:9" ht="16.5" customHeight="1">
      <c r="A6" s="968" t="s">
        <v>259</v>
      </c>
      <c r="B6" s="969"/>
      <c r="C6" s="969"/>
      <c r="D6" s="969"/>
      <c r="E6" s="969"/>
      <c r="F6" s="969"/>
      <c r="G6" s="969"/>
      <c r="H6" s="969"/>
      <c r="I6" s="970"/>
    </row>
    <row r="7" spans="1:9" ht="16.5" customHeight="1" thickBot="1">
      <c r="A7" s="971"/>
      <c r="B7" s="972"/>
      <c r="C7" s="972"/>
      <c r="D7" s="972"/>
      <c r="E7" s="972"/>
      <c r="F7" s="972"/>
      <c r="G7" s="972"/>
      <c r="H7" s="972"/>
      <c r="I7" s="973"/>
    </row>
    <row r="8" spans="1:9" ht="15">
      <c r="A8" s="991" t="s">
        <v>32</v>
      </c>
      <c r="B8" s="959" t="s">
        <v>0</v>
      </c>
      <c r="C8" s="960"/>
      <c r="D8" s="961"/>
      <c r="E8" s="62" t="s">
        <v>102</v>
      </c>
      <c r="F8" s="62" t="s">
        <v>103</v>
      </c>
      <c r="G8" s="62" t="s">
        <v>104</v>
      </c>
      <c r="H8" s="62" t="s">
        <v>105</v>
      </c>
      <c r="I8" s="63" t="s">
        <v>106</v>
      </c>
    </row>
    <row r="9" spans="1:9" ht="15.75" thickBot="1">
      <c r="A9" s="992"/>
      <c r="B9" s="962"/>
      <c r="C9" s="963"/>
      <c r="D9" s="964"/>
      <c r="E9" s="64" t="s">
        <v>107</v>
      </c>
      <c r="F9" s="64" t="s">
        <v>108</v>
      </c>
      <c r="G9" s="64" t="s">
        <v>108</v>
      </c>
      <c r="H9" s="64" t="s">
        <v>108</v>
      </c>
      <c r="I9" s="65" t="s">
        <v>108</v>
      </c>
    </row>
    <row r="10" spans="1:9" ht="15">
      <c r="A10" s="57" t="s">
        <v>42</v>
      </c>
      <c r="B10" s="965" t="s">
        <v>109</v>
      </c>
      <c r="C10" s="966"/>
      <c r="D10" s="967"/>
      <c r="E10" s="58">
        <f>SUM(E11:E14)</f>
        <v>5.63</v>
      </c>
      <c r="F10" s="58"/>
      <c r="G10" s="59"/>
      <c r="H10" s="60"/>
      <c r="I10" s="61"/>
    </row>
    <row r="11" spans="1:9" ht="15">
      <c r="A11" s="40" t="s">
        <v>43</v>
      </c>
      <c r="B11" s="950" t="s">
        <v>110</v>
      </c>
      <c r="C11" s="948"/>
      <c r="D11" s="949"/>
      <c r="E11" s="37">
        <v>3.45</v>
      </c>
      <c r="F11" s="37"/>
      <c r="G11" s="37"/>
      <c r="H11" s="38"/>
      <c r="I11" s="39"/>
    </row>
    <row r="12" spans="1:9" ht="15">
      <c r="A12" s="40" t="s">
        <v>44</v>
      </c>
      <c r="B12" s="226" t="s">
        <v>140</v>
      </c>
      <c r="C12" s="224"/>
      <c r="D12" s="225"/>
      <c r="E12" s="37">
        <v>0.48</v>
      </c>
      <c r="F12" s="37"/>
      <c r="G12" s="37"/>
      <c r="H12" s="38"/>
      <c r="I12" s="39"/>
    </row>
    <row r="13" spans="1:9" ht="15">
      <c r="A13" s="40" t="s">
        <v>111</v>
      </c>
      <c r="B13" s="950" t="s">
        <v>100</v>
      </c>
      <c r="C13" s="948"/>
      <c r="D13" s="949"/>
      <c r="E13" s="37">
        <v>0.85</v>
      </c>
      <c r="F13" s="37"/>
      <c r="G13" s="37"/>
      <c r="H13" s="38"/>
      <c r="I13" s="39"/>
    </row>
    <row r="14" spans="1:9" ht="15">
      <c r="A14" s="40" t="s">
        <v>139</v>
      </c>
      <c r="B14" s="950" t="s">
        <v>99</v>
      </c>
      <c r="C14" s="948"/>
      <c r="D14" s="949"/>
      <c r="E14" s="37">
        <v>0.85</v>
      </c>
      <c r="F14" s="37"/>
      <c r="G14" s="37"/>
      <c r="H14" s="38"/>
      <c r="I14" s="39"/>
    </row>
    <row r="15" spans="1:9" ht="15">
      <c r="A15" s="41"/>
      <c r="B15" s="974"/>
      <c r="C15" s="975"/>
      <c r="D15" s="976"/>
      <c r="E15" s="42"/>
      <c r="F15" s="43"/>
      <c r="G15" s="42"/>
      <c r="H15" s="44"/>
      <c r="I15" s="45"/>
    </row>
    <row r="16" spans="1:9" ht="15">
      <c r="A16" s="35" t="s">
        <v>33</v>
      </c>
      <c r="B16" s="947" t="s">
        <v>112</v>
      </c>
      <c r="C16" s="948"/>
      <c r="D16" s="949"/>
      <c r="E16" s="36">
        <f>E17</f>
        <v>5.11</v>
      </c>
      <c r="F16" s="36"/>
      <c r="G16" s="37"/>
      <c r="H16" s="38"/>
      <c r="I16" s="39"/>
    </row>
    <row r="17" spans="1:9" ht="15">
      <c r="A17" s="40" t="s">
        <v>40</v>
      </c>
      <c r="B17" s="950" t="s">
        <v>113</v>
      </c>
      <c r="C17" s="948"/>
      <c r="D17" s="949"/>
      <c r="E17" s="37">
        <v>5.11</v>
      </c>
      <c r="F17" s="37"/>
      <c r="G17" s="37"/>
      <c r="H17" s="38"/>
      <c r="I17" s="39"/>
    </row>
    <row r="18" spans="1:9" ht="15">
      <c r="A18" s="46"/>
      <c r="B18" s="944"/>
      <c r="C18" s="945"/>
      <c r="D18" s="946"/>
      <c r="E18" s="47"/>
      <c r="F18" s="48"/>
      <c r="G18" s="47"/>
      <c r="H18" s="49"/>
      <c r="I18" s="50"/>
    </row>
    <row r="19" spans="1:9" ht="15">
      <c r="A19" s="35" t="s">
        <v>34</v>
      </c>
      <c r="B19" s="947" t="s">
        <v>114</v>
      </c>
      <c r="C19" s="948"/>
      <c r="D19" s="949"/>
      <c r="E19" s="36">
        <f>E20+E21+E23+E22</f>
        <v>3.65</v>
      </c>
      <c r="F19" s="36"/>
      <c r="G19" s="37"/>
      <c r="H19" s="51"/>
      <c r="I19" s="39"/>
    </row>
    <row r="20" spans="1:9" ht="15">
      <c r="A20" s="40" t="s">
        <v>39</v>
      </c>
      <c r="B20" s="950" t="s">
        <v>141</v>
      </c>
      <c r="C20" s="948"/>
      <c r="D20" s="949"/>
      <c r="E20" s="68">
        <v>0.65</v>
      </c>
      <c r="F20" s="37"/>
      <c r="G20" s="37"/>
      <c r="H20" s="51"/>
      <c r="I20" s="39"/>
    </row>
    <row r="21" spans="1:9" ht="15">
      <c r="A21" s="40" t="s">
        <v>35</v>
      </c>
      <c r="B21" s="950" t="s">
        <v>142</v>
      </c>
      <c r="C21" s="948"/>
      <c r="D21" s="949"/>
      <c r="E21" s="37">
        <v>3</v>
      </c>
      <c r="F21" s="37"/>
      <c r="G21" s="37"/>
      <c r="H21" s="51"/>
      <c r="I21" s="39"/>
    </row>
    <row r="22" spans="1:9" ht="15">
      <c r="A22" s="40" t="s">
        <v>47</v>
      </c>
      <c r="B22" s="950" t="s">
        <v>143</v>
      </c>
      <c r="C22" s="951"/>
      <c r="D22" s="952"/>
      <c r="E22" s="37">
        <v>0</v>
      </c>
      <c r="F22" s="37"/>
      <c r="G22" s="37"/>
      <c r="H22" s="51"/>
      <c r="I22" s="39"/>
    </row>
    <row r="23" spans="1:9" ht="15">
      <c r="A23" s="40" t="s">
        <v>48</v>
      </c>
      <c r="B23" s="950" t="s">
        <v>101</v>
      </c>
      <c r="C23" s="948"/>
      <c r="D23" s="949"/>
      <c r="E23" s="37">
        <v>0</v>
      </c>
      <c r="F23" s="37"/>
      <c r="G23" s="37"/>
      <c r="H23" s="38"/>
      <c r="I23" s="39"/>
    </row>
    <row r="24" spans="1:9" ht="12.75">
      <c r="A24" s="40"/>
      <c r="B24" s="947" t="s">
        <v>115</v>
      </c>
      <c r="C24" s="948"/>
      <c r="D24" s="949"/>
      <c r="E24" s="52"/>
      <c r="F24" s="52"/>
      <c r="G24" s="53"/>
      <c r="H24" s="54"/>
      <c r="I24" s="55"/>
    </row>
    <row r="25" spans="1:9" ht="12.75" customHeight="1">
      <c r="A25" s="953" t="s">
        <v>116</v>
      </c>
      <c r="B25" s="954"/>
      <c r="C25" s="954"/>
      <c r="D25" s="955"/>
      <c r="E25" s="931">
        <f>TRUNC(((((1+((E11+E12+E13)/100))*(1+((E14)/100))*(1+((E16/100)))/(1-((E20+E21+E22+E23)/100)))-1)),4)</f>
        <v>0.1527</v>
      </c>
      <c r="F25" s="942"/>
      <c r="G25" s="942"/>
      <c r="H25" s="942"/>
      <c r="I25" s="929">
        <v>0</v>
      </c>
    </row>
    <row r="26" spans="1:9" ht="23.25" customHeight="1" thickBot="1">
      <c r="A26" s="956"/>
      <c r="B26" s="957"/>
      <c r="C26" s="957"/>
      <c r="D26" s="958"/>
      <c r="E26" s="932"/>
      <c r="F26" s="943"/>
      <c r="G26" s="943"/>
      <c r="H26" s="943"/>
      <c r="I26" s="930"/>
    </row>
    <row r="27" spans="1:9" ht="12.75">
      <c r="A27" s="93"/>
      <c r="B27" s="94"/>
      <c r="C27" s="95"/>
      <c r="D27" s="95"/>
      <c r="E27" s="94"/>
      <c r="F27" s="96"/>
      <c r="G27" s="97"/>
      <c r="H27" s="97"/>
      <c r="I27" s="98"/>
    </row>
    <row r="28" spans="1:9" ht="12.75" customHeight="1">
      <c r="A28" s="66" t="s">
        <v>144</v>
      </c>
      <c r="B28" s="99"/>
      <c r="C28" s="56"/>
      <c r="D28" s="56"/>
      <c r="E28" s="56"/>
      <c r="F28" s="83"/>
      <c r="G28" s="86"/>
      <c r="H28" s="84"/>
      <c r="I28" s="85"/>
    </row>
    <row r="29" spans="1:9" ht="12.75">
      <c r="A29" s="66"/>
      <c r="B29" s="56"/>
      <c r="C29" s="82"/>
      <c r="D29" s="82"/>
      <c r="E29" s="56"/>
      <c r="F29" s="83"/>
      <c r="G29" s="84"/>
      <c r="H29" s="84"/>
      <c r="I29" s="85"/>
    </row>
    <row r="30" spans="1:9" ht="15.75">
      <c r="A30" s="66"/>
      <c r="B30" s="56"/>
      <c r="C30" s="56"/>
      <c r="D30" s="56"/>
      <c r="E30" s="56"/>
      <c r="F30" s="83"/>
      <c r="G30" s="935"/>
      <c r="H30" s="935"/>
      <c r="I30" s="87"/>
    </row>
    <row r="31" spans="1:9" ht="15.75">
      <c r="A31" s="66"/>
      <c r="B31" s="933"/>
      <c r="C31" s="934"/>
      <c r="D31" s="934"/>
      <c r="E31" s="934"/>
      <c r="F31" s="88"/>
      <c r="G31" s="935"/>
      <c r="H31" s="935"/>
      <c r="I31" s="87"/>
    </row>
    <row r="32" spans="1:9" ht="15.75">
      <c r="A32" s="66"/>
      <c r="B32" s="934"/>
      <c r="C32" s="934"/>
      <c r="D32" s="934"/>
      <c r="E32" s="934"/>
      <c r="F32" s="83"/>
      <c r="G32" s="935"/>
      <c r="H32" s="935"/>
      <c r="I32" s="87"/>
    </row>
    <row r="33" spans="1:9" ht="15.75">
      <c r="A33" s="66"/>
      <c r="B33" s="937"/>
      <c r="C33" s="934"/>
      <c r="D33" s="934"/>
      <c r="E33" s="934"/>
      <c r="F33" s="83"/>
      <c r="G33" s="935"/>
      <c r="H33" s="936"/>
      <c r="I33" s="87"/>
    </row>
    <row r="34" spans="1:9" ht="13.5" thickBot="1">
      <c r="A34" s="67"/>
      <c r="B34" s="938"/>
      <c r="C34" s="938"/>
      <c r="D34" s="938"/>
      <c r="E34" s="938"/>
      <c r="F34" s="89"/>
      <c r="G34" s="90"/>
      <c r="H34" s="91"/>
      <c r="I34" s="92"/>
    </row>
  </sheetData>
  <sheetProtection/>
  <mergeCells count="40">
    <mergeCell ref="H25:H26"/>
    <mergeCell ref="I25:I26"/>
    <mergeCell ref="G30:G31"/>
    <mergeCell ref="H30:H31"/>
    <mergeCell ref="B31:E32"/>
    <mergeCell ref="G32:G33"/>
    <mergeCell ref="H32:H33"/>
    <mergeCell ref="B33:E34"/>
    <mergeCell ref="B23:D23"/>
    <mergeCell ref="B24:D24"/>
    <mergeCell ref="A25:D26"/>
    <mergeCell ref="E25:E26"/>
    <mergeCell ref="F25:F26"/>
    <mergeCell ref="G25:G26"/>
    <mergeCell ref="B17:D17"/>
    <mergeCell ref="B18:D18"/>
    <mergeCell ref="B19:D19"/>
    <mergeCell ref="B20:D20"/>
    <mergeCell ref="B21:D21"/>
    <mergeCell ref="B22:D22"/>
    <mergeCell ref="B10:D10"/>
    <mergeCell ref="B11:D11"/>
    <mergeCell ref="B13:D13"/>
    <mergeCell ref="B14:D14"/>
    <mergeCell ref="B15:D15"/>
    <mergeCell ref="B16:D16"/>
    <mergeCell ref="A5:C5"/>
    <mergeCell ref="D5:F5"/>
    <mergeCell ref="G5:I5"/>
    <mergeCell ref="A6:I7"/>
    <mergeCell ref="A8:A9"/>
    <mergeCell ref="B8:D9"/>
    <mergeCell ref="A3:I3"/>
    <mergeCell ref="A4:I4"/>
    <mergeCell ref="A1:C1"/>
    <mergeCell ref="D1:F1"/>
    <mergeCell ref="G1:I1"/>
    <mergeCell ref="A2:C2"/>
    <mergeCell ref="D2:F2"/>
    <mergeCell ref="G2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6"/>
  <sheetViews>
    <sheetView zoomScale="110" zoomScaleNormal="110" zoomScalePageLayoutView="0" workbookViewId="0" topLeftCell="A18">
      <selection activeCell="F50" sqref="F50"/>
    </sheetView>
  </sheetViews>
  <sheetFormatPr defaultColWidth="9.140625" defaultRowHeight="12.75"/>
  <cols>
    <col min="1" max="1" width="13.7109375" style="0" customWidth="1"/>
    <col min="2" max="2" width="19.140625" style="0" customWidth="1"/>
    <col min="3" max="3" width="15.140625" style="0" customWidth="1"/>
    <col min="4" max="4" width="10.8515625" style="0" bestFit="1" customWidth="1"/>
    <col min="5" max="5" width="10.421875" style="0" customWidth="1"/>
    <col min="6" max="6" width="16.140625" style="0" bestFit="1" customWidth="1"/>
    <col min="7" max="7" width="8.421875" style="0" customWidth="1"/>
    <col min="8" max="8" width="10.421875" style="0" customWidth="1"/>
    <col min="9" max="9" width="16.140625" style="0" bestFit="1" customWidth="1"/>
    <col min="10" max="10" width="12.7109375" style="0" customWidth="1"/>
  </cols>
  <sheetData>
    <row r="1" spans="1:7" ht="12.75">
      <c r="A1" s="1005" t="s">
        <v>539</v>
      </c>
      <c r="B1" s="1005"/>
      <c r="C1" s="1005"/>
      <c r="D1" s="1005"/>
      <c r="E1" s="1005"/>
      <c r="F1" s="1005"/>
      <c r="G1" s="1005"/>
    </row>
    <row r="2" spans="1:7" ht="12.75">
      <c r="A2" s="1006"/>
      <c r="B2" s="1007"/>
      <c r="C2" s="1007"/>
      <c r="D2" s="1007"/>
      <c r="E2" s="1007"/>
      <c r="F2" s="1007"/>
      <c r="G2" s="1008"/>
    </row>
    <row r="3" spans="1:7" ht="12.75">
      <c r="A3" s="1009" t="s">
        <v>353</v>
      </c>
      <c r="B3" s="1009"/>
      <c r="C3" s="70" t="s">
        <v>354</v>
      </c>
      <c r="D3" s="70" t="s">
        <v>355</v>
      </c>
      <c r="E3" s="344" t="s">
        <v>356</v>
      </c>
      <c r="F3" s="1013" t="s">
        <v>357</v>
      </c>
      <c r="G3" s="1009"/>
    </row>
    <row r="4" spans="1:7" ht="12.75">
      <c r="A4" s="1009"/>
      <c r="B4" s="1009"/>
      <c r="C4" s="70" t="s">
        <v>358</v>
      </c>
      <c r="D4" s="70" t="s">
        <v>358</v>
      </c>
      <c r="E4" s="70" t="s">
        <v>359</v>
      </c>
      <c r="F4" s="1014"/>
      <c r="G4" s="1009"/>
    </row>
    <row r="5" spans="1:7" ht="12.75">
      <c r="A5" s="1010" t="s">
        <v>495</v>
      </c>
      <c r="B5" s="1011"/>
      <c r="C5" s="1011"/>
      <c r="D5" s="1011"/>
      <c r="E5" s="1011"/>
      <c r="F5" s="1012"/>
      <c r="G5" s="16"/>
    </row>
    <row r="6" spans="1:7" ht="12.75">
      <c r="A6" s="345" t="s">
        <v>360</v>
      </c>
      <c r="B6" s="70"/>
      <c r="C6" s="346">
        <v>43.62</v>
      </c>
      <c r="D6" s="346">
        <v>0.1</v>
      </c>
      <c r="E6" s="346">
        <f>D6*C6*0.25</f>
        <v>1.0905</v>
      </c>
      <c r="F6" s="14" t="s">
        <v>361</v>
      </c>
      <c r="G6" s="16"/>
    </row>
    <row r="7" spans="1:7" ht="12.75">
      <c r="A7" s="345" t="s">
        <v>360</v>
      </c>
      <c r="B7" s="70"/>
      <c r="C7" s="346">
        <v>30</v>
      </c>
      <c r="D7" s="346">
        <v>0.1</v>
      </c>
      <c r="E7" s="346">
        <f>D7*C7</f>
        <v>3</v>
      </c>
      <c r="F7" s="14" t="s">
        <v>362</v>
      </c>
      <c r="G7" s="16"/>
    </row>
    <row r="8" spans="1:7" ht="12.75">
      <c r="A8" s="345"/>
      <c r="B8" s="70"/>
      <c r="C8" s="346"/>
      <c r="D8" s="346"/>
      <c r="E8" s="346"/>
      <c r="F8" s="14"/>
      <c r="G8" s="16"/>
    </row>
    <row r="9" spans="1:7" ht="12.75">
      <c r="A9" s="1009" t="s">
        <v>494</v>
      </c>
      <c r="B9" s="1009"/>
      <c r="C9" s="1009"/>
      <c r="D9" s="1009"/>
      <c r="E9" s="1009"/>
      <c r="F9" s="1009"/>
      <c r="G9" s="16"/>
    </row>
    <row r="10" spans="1:7" ht="12.75">
      <c r="A10" s="345" t="s">
        <v>360</v>
      </c>
      <c r="B10" s="70"/>
      <c r="C10" s="346">
        <f>285.24+77.1</f>
        <v>362.34000000000003</v>
      </c>
      <c r="D10" s="346">
        <v>0.1</v>
      </c>
      <c r="E10" s="346">
        <f>D10*C10*0.25</f>
        <v>9.0585</v>
      </c>
      <c r="F10" s="14" t="s">
        <v>361</v>
      </c>
      <c r="G10" s="16"/>
    </row>
    <row r="11" spans="1:7" ht="12.75">
      <c r="A11" s="345" t="s">
        <v>360</v>
      </c>
      <c r="B11" s="70"/>
      <c r="C11" s="346">
        <f>4*15</f>
        <v>60</v>
      </c>
      <c r="D11" s="346">
        <v>0.1</v>
      </c>
      <c r="E11" s="346">
        <f>D11*C11</f>
        <v>6</v>
      </c>
      <c r="F11" s="14" t="s">
        <v>362</v>
      </c>
      <c r="G11" s="16"/>
    </row>
    <row r="12" spans="1:7" ht="12.75">
      <c r="A12" s="345"/>
      <c r="B12" s="70"/>
      <c r="C12" s="346"/>
      <c r="D12" s="346"/>
      <c r="E12" s="346"/>
      <c r="F12" s="14"/>
      <c r="G12" s="16"/>
    </row>
    <row r="13" spans="1:7" ht="12.75">
      <c r="A13" s="1009" t="s">
        <v>534</v>
      </c>
      <c r="B13" s="1009"/>
      <c r="C13" s="1009"/>
      <c r="D13" s="1009"/>
      <c r="E13" s="1009"/>
      <c r="F13" s="1009"/>
      <c r="G13" s="16"/>
    </row>
    <row r="14" spans="1:7" ht="12.75">
      <c r="A14" s="345" t="s">
        <v>360</v>
      </c>
      <c r="B14" s="70"/>
      <c r="C14" s="346">
        <v>76.75</v>
      </c>
      <c r="D14" s="346">
        <v>0.1</v>
      </c>
      <c r="E14" s="346">
        <f>D14*C14*0.25</f>
        <v>1.9187500000000002</v>
      </c>
      <c r="F14" s="14" t="s">
        <v>361</v>
      </c>
      <c r="G14" s="16"/>
    </row>
    <row r="15" spans="1:7" ht="12.75">
      <c r="A15" s="345" t="s">
        <v>360</v>
      </c>
      <c r="B15" s="70"/>
      <c r="C15" s="346">
        <f>3*15</f>
        <v>45</v>
      </c>
      <c r="D15" s="346">
        <v>0.1</v>
      </c>
      <c r="E15" s="346">
        <f>D15*C15</f>
        <v>4.5</v>
      </c>
      <c r="F15" s="14" t="s">
        <v>362</v>
      </c>
      <c r="G15" s="16"/>
    </row>
    <row r="16" spans="1:7" ht="12.75">
      <c r="A16" s="345"/>
      <c r="B16" s="70"/>
      <c r="C16" s="346"/>
      <c r="D16" s="346"/>
      <c r="E16" s="346"/>
      <c r="F16" s="14"/>
      <c r="G16" s="16"/>
    </row>
    <row r="17" spans="1:7" ht="12.75">
      <c r="A17" s="1009" t="s">
        <v>535</v>
      </c>
      <c r="B17" s="1009"/>
      <c r="C17" s="1009"/>
      <c r="D17" s="1009"/>
      <c r="E17" s="1009"/>
      <c r="F17" s="1009"/>
      <c r="G17" s="16"/>
    </row>
    <row r="18" spans="1:7" ht="12.75">
      <c r="A18" s="345" t="s">
        <v>360</v>
      </c>
      <c r="B18" s="70"/>
      <c r="C18" s="346">
        <v>48.57</v>
      </c>
      <c r="D18" s="346">
        <v>0.1</v>
      </c>
      <c r="E18" s="346">
        <f>D18*C18*0.25</f>
        <v>1.21425</v>
      </c>
      <c r="F18" s="14" t="s">
        <v>361</v>
      </c>
      <c r="G18" s="16"/>
    </row>
    <row r="19" spans="1:7" ht="12.75">
      <c r="A19" s="345" t="s">
        <v>360</v>
      </c>
      <c r="B19" s="70"/>
      <c r="C19" s="346">
        <f>3*15</f>
        <v>45</v>
      </c>
      <c r="D19" s="346">
        <v>0.1</v>
      </c>
      <c r="E19" s="346">
        <f>D19*C19</f>
        <v>4.5</v>
      </c>
      <c r="F19" s="14" t="s">
        <v>362</v>
      </c>
      <c r="G19" s="16"/>
    </row>
    <row r="20" spans="1:7" ht="12.75">
      <c r="A20" s="345"/>
      <c r="B20" s="70"/>
      <c r="C20" s="346"/>
      <c r="D20" s="346"/>
      <c r="E20" s="346"/>
      <c r="F20" s="14"/>
      <c r="G20" s="16"/>
    </row>
    <row r="21" spans="1:7" ht="12.75">
      <c r="A21" s="1009" t="s">
        <v>536</v>
      </c>
      <c r="B21" s="1009"/>
      <c r="C21" s="1009"/>
      <c r="D21" s="1009"/>
      <c r="E21" s="1009"/>
      <c r="F21" s="1009"/>
      <c r="G21" s="16"/>
    </row>
    <row r="22" spans="1:7" ht="12.75">
      <c r="A22" s="345" t="s">
        <v>360</v>
      </c>
      <c r="B22" s="70"/>
      <c r="C22" s="346">
        <f>79.98+200.15+77.62</f>
        <v>357.75</v>
      </c>
      <c r="D22" s="346">
        <v>0.1</v>
      </c>
      <c r="E22" s="346">
        <f>D22*C22*0.25</f>
        <v>8.94375</v>
      </c>
      <c r="F22" s="14" t="s">
        <v>361</v>
      </c>
      <c r="G22" s="16"/>
    </row>
    <row r="23" spans="1:7" ht="12.75">
      <c r="A23" s="345" t="s">
        <v>360</v>
      </c>
      <c r="B23" s="70"/>
      <c r="C23" s="346">
        <f>6*15</f>
        <v>90</v>
      </c>
      <c r="D23" s="346">
        <v>0.1</v>
      </c>
      <c r="E23" s="346">
        <f>D23*C23</f>
        <v>9</v>
      </c>
      <c r="F23" s="14" t="s">
        <v>362</v>
      </c>
      <c r="G23" s="16"/>
    </row>
    <row r="24" spans="1:7" ht="12.75">
      <c r="A24" s="345"/>
      <c r="B24" s="70"/>
      <c r="C24" s="346"/>
      <c r="D24" s="346"/>
      <c r="E24" s="346"/>
      <c r="F24" s="14"/>
      <c r="G24" s="16"/>
    </row>
    <row r="25" spans="1:7" ht="12.75">
      <c r="A25" s="1009" t="s">
        <v>499</v>
      </c>
      <c r="B25" s="1009"/>
      <c r="C25" s="1009"/>
      <c r="D25" s="1009"/>
      <c r="E25" s="1009"/>
      <c r="F25" s="1009"/>
      <c r="G25" s="16"/>
    </row>
    <row r="26" spans="1:7" ht="12.75">
      <c r="A26" s="345" t="s">
        <v>360</v>
      </c>
      <c r="B26" s="70"/>
      <c r="C26" s="346">
        <v>76.4</v>
      </c>
      <c r="D26" s="346">
        <v>0.1</v>
      </c>
      <c r="E26" s="346">
        <f>D26*C26*0.25</f>
        <v>1.9100000000000001</v>
      </c>
      <c r="F26" s="14" t="s">
        <v>361</v>
      </c>
      <c r="G26" s="16"/>
    </row>
    <row r="27" spans="1:7" ht="12.75">
      <c r="A27" s="345" t="s">
        <v>360</v>
      </c>
      <c r="B27" s="70"/>
      <c r="C27" s="346">
        <f>3*15</f>
        <v>45</v>
      </c>
      <c r="D27" s="346">
        <v>0.1</v>
      </c>
      <c r="E27" s="346">
        <f>D27*C27</f>
        <v>4.5</v>
      </c>
      <c r="F27" s="14" t="s">
        <v>362</v>
      </c>
      <c r="G27" s="16"/>
    </row>
    <row r="28" spans="1:7" ht="12.75">
      <c r="A28" s="345"/>
      <c r="B28" s="70"/>
      <c r="C28" s="346"/>
      <c r="D28" s="346"/>
      <c r="E28" s="346"/>
      <c r="F28" s="14"/>
      <c r="G28" s="16"/>
    </row>
    <row r="29" spans="1:7" ht="12.75">
      <c r="A29" s="1009" t="s">
        <v>537</v>
      </c>
      <c r="B29" s="1009"/>
      <c r="C29" s="1009"/>
      <c r="D29" s="1009"/>
      <c r="E29" s="1009"/>
      <c r="F29" s="1009"/>
      <c r="G29" s="16"/>
    </row>
    <row r="30" spans="1:7" ht="12.75">
      <c r="A30" s="345" t="s">
        <v>360</v>
      </c>
      <c r="B30" s="70"/>
      <c r="C30" s="346">
        <v>75.46</v>
      </c>
      <c r="D30" s="346">
        <v>0.1</v>
      </c>
      <c r="E30" s="346">
        <f>C30*D30*0.25</f>
        <v>1.8864999999999998</v>
      </c>
      <c r="F30" s="14" t="s">
        <v>361</v>
      </c>
      <c r="G30" s="16"/>
    </row>
    <row r="31" spans="1:7" ht="12.75">
      <c r="A31" s="345" t="s">
        <v>360</v>
      </c>
      <c r="B31" s="70"/>
      <c r="C31" s="346">
        <f>3*15</f>
        <v>45</v>
      </c>
      <c r="D31" s="346">
        <v>0.1</v>
      </c>
      <c r="E31" s="346">
        <f>D31*C31</f>
        <v>4.5</v>
      </c>
      <c r="F31" s="14" t="s">
        <v>362</v>
      </c>
      <c r="G31" s="16"/>
    </row>
    <row r="32" spans="1:7" ht="12.75">
      <c r="A32" s="345"/>
      <c r="B32" s="70"/>
      <c r="C32" s="346"/>
      <c r="D32" s="346"/>
      <c r="E32" s="346"/>
      <c r="F32" s="14"/>
      <c r="G32" s="16"/>
    </row>
    <row r="33" spans="1:7" ht="12.75">
      <c r="A33" s="1009" t="s">
        <v>538</v>
      </c>
      <c r="B33" s="1009"/>
      <c r="C33" s="1009"/>
      <c r="D33" s="1009"/>
      <c r="E33" s="1009"/>
      <c r="F33" s="1009"/>
      <c r="G33" s="16"/>
    </row>
    <row r="34" spans="1:7" ht="12.75">
      <c r="A34" s="345" t="s">
        <v>360</v>
      </c>
      <c r="B34" s="70"/>
      <c r="C34" s="346">
        <v>101.28</v>
      </c>
      <c r="D34" s="346">
        <v>0.1</v>
      </c>
      <c r="E34" s="346">
        <f>D34*C34*0.25</f>
        <v>2.532</v>
      </c>
      <c r="F34" s="14" t="s">
        <v>361</v>
      </c>
      <c r="G34" s="16"/>
    </row>
    <row r="35" spans="1:7" ht="12.75">
      <c r="A35" s="345" t="s">
        <v>360</v>
      </c>
      <c r="B35" s="70"/>
      <c r="C35" s="346">
        <f>3*15</f>
        <v>45</v>
      </c>
      <c r="D35" s="346">
        <v>0.1</v>
      </c>
      <c r="E35" s="346">
        <f>D35*C35</f>
        <v>4.5</v>
      </c>
      <c r="F35" s="14" t="s">
        <v>362</v>
      </c>
      <c r="G35" s="16"/>
    </row>
    <row r="36" spans="1:7" ht="12.75">
      <c r="A36" s="345"/>
      <c r="B36" s="70"/>
      <c r="C36" s="346"/>
      <c r="D36" s="346"/>
      <c r="E36" s="346"/>
      <c r="F36" s="14"/>
      <c r="G36" s="16"/>
    </row>
    <row r="37" spans="1:7" ht="12.75">
      <c r="A37" s="1009" t="s">
        <v>496</v>
      </c>
      <c r="B37" s="1009"/>
      <c r="C37" s="1009"/>
      <c r="D37" s="1009"/>
      <c r="E37" s="1009"/>
      <c r="F37" s="1009"/>
      <c r="G37" s="16"/>
    </row>
    <row r="38" spans="1:7" ht="12.75">
      <c r="A38" s="345" t="s">
        <v>360</v>
      </c>
      <c r="B38" s="70"/>
      <c r="C38" s="346">
        <v>35.1</v>
      </c>
      <c r="D38" s="346">
        <v>0.1</v>
      </c>
      <c r="E38" s="346">
        <f>D38*C38*0.25</f>
        <v>0.8775000000000001</v>
      </c>
      <c r="F38" s="14" t="s">
        <v>361</v>
      </c>
      <c r="G38" s="16"/>
    </row>
    <row r="39" spans="1:7" ht="12.75">
      <c r="A39" s="345" t="s">
        <v>360</v>
      </c>
      <c r="B39" s="70"/>
      <c r="C39" s="346">
        <f>2*15</f>
        <v>30</v>
      </c>
      <c r="D39" s="346">
        <v>0.1</v>
      </c>
      <c r="E39" s="346">
        <f>D39*C39</f>
        <v>3</v>
      </c>
      <c r="F39" s="14" t="s">
        <v>362</v>
      </c>
      <c r="G39" s="16"/>
    </row>
    <row r="40" spans="1:7" ht="12.75">
      <c r="A40" s="345"/>
      <c r="B40" s="70"/>
      <c r="C40" s="346"/>
      <c r="D40" s="346"/>
      <c r="E40" s="346"/>
      <c r="F40" s="14"/>
      <c r="G40" s="16"/>
    </row>
    <row r="41" spans="1:7" ht="12.75">
      <c r="A41" s="1009" t="s">
        <v>501</v>
      </c>
      <c r="B41" s="1009"/>
      <c r="C41" s="1009"/>
      <c r="D41" s="1009"/>
      <c r="E41" s="1009"/>
      <c r="F41" s="1009"/>
      <c r="G41" s="16"/>
    </row>
    <row r="42" spans="1:7" s="34" customFormat="1" ht="12.75">
      <c r="A42" s="345" t="s">
        <v>360</v>
      </c>
      <c r="B42" s="70"/>
      <c r="C42" s="346">
        <v>733.77</v>
      </c>
      <c r="D42" s="346">
        <v>0.1</v>
      </c>
      <c r="E42" s="346">
        <f>D42*C42*0.25</f>
        <v>18.34425</v>
      </c>
      <c r="F42" s="14" t="s">
        <v>361</v>
      </c>
      <c r="G42" s="16"/>
    </row>
    <row r="43" spans="1:7" s="34" customFormat="1" ht="12.75">
      <c r="A43" s="345" t="s">
        <v>360</v>
      </c>
      <c r="B43" s="70"/>
      <c r="C43" s="346">
        <f>2*15</f>
        <v>30</v>
      </c>
      <c r="D43" s="346">
        <v>0.1</v>
      </c>
      <c r="E43" s="346">
        <f>D43*C43</f>
        <v>3</v>
      </c>
      <c r="F43" s="14" t="s">
        <v>362</v>
      </c>
      <c r="G43" s="16"/>
    </row>
    <row r="44" spans="1:7" ht="12.75">
      <c r="A44" s="469"/>
      <c r="B44" s="470"/>
      <c r="C44" s="471"/>
      <c r="D44" s="471"/>
      <c r="E44" s="471"/>
      <c r="F44" s="472"/>
      <c r="G44" s="16"/>
    </row>
    <row r="45" spans="1:7" s="34" customFormat="1" ht="12.75">
      <c r="A45" s="1009" t="s">
        <v>502</v>
      </c>
      <c r="B45" s="1009"/>
      <c r="C45" s="1009"/>
      <c r="D45" s="1009"/>
      <c r="E45" s="1009"/>
      <c r="F45" s="1009"/>
      <c r="G45" s="16"/>
    </row>
    <row r="46" spans="1:7" s="34" customFormat="1" ht="12.75">
      <c r="A46" s="345" t="s">
        <v>360</v>
      </c>
      <c r="B46" s="70"/>
      <c r="C46" s="346">
        <v>372.76</v>
      </c>
      <c r="D46" s="346">
        <v>0.1</v>
      </c>
      <c r="E46" s="346">
        <f>D46*C46*0.25</f>
        <v>9.319</v>
      </c>
      <c r="F46" s="14" t="s">
        <v>361</v>
      </c>
      <c r="G46" s="16"/>
    </row>
    <row r="47" spans="1:7" s="34" customFormat="1" ht="12.75">
      <c r="A47" s="345" t="s">
        <v>360</v>
      </c>
      <c r="B47" s="70"/>
      <c r="C47" s="346">
        <f>1*15</f>
        <v>15</v>
      </c>
      <c r="D47" s="346">
        <v>0.1</v>
      </c>
      <c r="E47" s="346">
        <f>D47*C47</f>
        <v>1.5</v>
      </c>
      <c r="F47" s="14" t="s">
        <v>362</v>
      </c>
      <c r="G47" s="16"/>
    </row>
    <row r="48" spans="1:7" ht="12.75">
      <c r="A48" s="345"/>
      <c r="B48" s="70"/>
      <c r="C48" s="346"/>
      <c r="D48" s="346"/>
      <c r="E48" s="346"/>
      <c r="F48" s="14"/>
      <c r="G48" s="16"/>
    </row>
    <row r="49" spans="1:7" ht="15.75">
      <c r="A49" s="1017" t="s">
        <v>363</v>
      </c>
      <c r="B49" s="1017"/>
      <c r="C49" s="1017"/>
      <c r="D49" s="1017"/>
      <c r="E49" s="1017"/>
      <c r="F49" s="1017"/>
      <c r="G49" s="1017"/>
    </row>
    <row r="50" spans="1:7" ht="12.75">
      <c r="A50" s="70" t="s">
        <v>364</v>
      </c>
      <c r="B50" s="70" t="s">
        <v>14</v>
      </c>
      <c r="C50" s="347">
        <f>C46+C42+C38+C34+C30+C26+C22+C18+C14+C10+C6</f>
        <v>2283.7999999999997</v>
      </c>
      <c r="D50" s="351" t="s">
        <v>7</v>
      </c>
      <c r="E50" s="348" t="s">
        <v>356</v>
      </c>
      <c r="F50" s="347">
        <f>E46+E42+E38+E34+E30+E26+E22+E18+E14+E10+E6</f>
        <v>57.095</v>
      </c>
      <c r="G50" s="349" t="s">
        <v>5</v>
      </c>
    </row>
    <row r="51" spans="1:7" ht="12.75">
      <c r="A51" s="70" t="s">
        <v>362</v>
      </c>
      <c r="B51" s="70" t="s">
        <v>365</v>
      </c>
      <c r="C51" s="350">
        <f>C47+C43+C39+C35+C31+C27+C23+C19+C15+C11+C7</f>
        <v>480</v>
      </c>
      <c r="D51" s="351" t="s">
        <v>7</v>
      </c>
      <c r="E51" s="352" t="s">
        <v>356</v>
      </c>
      <c r="F51" s="347">
        <f>E47+E43+E39+E35+E31+E27+E23+E19+E15+E11+E7</f>
        <v>48</v>
      </c>
      <c r="G51" s="349" t="s">
        <v>5</v>
      </c>
    </row>
    <row r="52" spans="1:7" ht="12.75">
      <c r="A52" s="1005" t="s">
        <v>366</v>
      </c>
      <c r="B52" s="1005"/>
      <c r="C52" s="350">
        <f>SUM(C50:C51)</f>
        <v>2763.7999999999997</v>
      </c>
      <c r="D52" s="351" t="s">
        <v>7</v>
      </c>
      <c r="E52" s="352"/>
      <c r="F52" s="347">
        <f>SUM(F50:F51)</f>
        <v>105.095</v>
      </c>
      <c r="G52" s="349" t="s">
        <v>5</v>
      </c>
    </row>
    <row r="53" spans="1:7" ht="12.75">
      <c r="A53" s="70"/>
      <c r="B53" s="70"/>
      <c r="C53" s="352"/>
      <c r="D53" s="352"/>
      <c r="E53" s="352"/>
      <c r="F53" s="353"/>
      <c r="G53" s="71"/>
    </row>
    <row r="54" spans="1:7" ht="15.75">
      <c r="A54" s="1019" t="s">
        <v>367</v>
      </c>
      <c r="B54" s="1019"/>
      <c r="C54" s="1019"/>
      <c r="D54" s="1019"/>
      <c r="E54" s="352"/>
      <c r="F54" s="352"/>
      <c r="G54" s="70"/>
    </row>
    <row r="55" spans="1:9" ht="12.75">
      <c r="A55" s="1018" t="s">
        <v>368</v>
      </c>
      <c r="B55" s="1018"/>
      <c r="C55" s="350">
        <f>'TERRAP E PAVIM'!H23*0.15*2</f>
        <v>825.0044999999999</v>
      </c>
      <c r="D55" s="349" t="s">
        <v>5</v>
      </c>
      <c r="E55" s="352"/>
      <c r="F55" s="352"/>
      <c r="G55" s="346"/>
      <c r="I55" s="286"/>
    </row>
    <row r="56" spans="1:7" ht="12.75" customHeight="1" hidden="1">
      <c r="A56" s="1015" t="s">
        <v>375</v>
      </c>
      <c r="B56" s="1016"/>
      <c r="C56" s="350">
        <v>0</v>
      </c>
      <c r="D56" s="349" t="s">
        <v>5</v>
      </c>
      <c r="E56" s="352"/>
      <c r="F56" s="352"/>
      <c r="G56" s="346"/>
    </row>
    <row r="57" spans="1:7" ht="12.75">
      <c r="A57" s="1015" t="s">
        <v>369</v>
      </c>
      <c r="B57" s="1016"/>
      <c r="C57" s="350">
        <f>(35*1.2)</f>
        <v>42</v>
      </c>
      <c r="D57" s="349" t="s">
        <v>5</v>
      </c>
      <c r="E57" s="352"/>
      <c r="F57" s="352"/>
      <c r="G57" s="70"/>
    </row>
    <row r="58" spans="1:9" ht="14.25">
      <c r="A58" s="1015" t="s">
        <v>370</v>
      </c>
      <c r="B58" s="1016"/>
      <c r="C58" s="354">
        <f>F50</f>
        <v>57.095</v>
      </c>
      <c r="D58" s="349" t="s">
        <v>5</v>
      </c>
      <c r="E58" s="352"/>
      <c r="F58" s="352"/>
      <c r="G58" s="70"/>
      <c r="I58" s="356"/>
    </row>
    <row r="59" spans="1:9" ht="14.25">
      <c r="A59" s="349" t="s">
        <v>371</v>
      </c>
      <c r="B59" s="349"/>
      <c r="C59" s="350">
        <f>F51</f>
        <v>48</v>
      </c>
      <c r="D59" s="349" t="s">
        <v>5</v>
      </c>
      <c r="E59" s="352"/>
      <c r="F59" s="352"/>
      <c r="G59" s="70"/>
      <c r="I59" s="356"/>
    </row>
    <row r="60" spans="1:7" ht="12.75">
      <c r="A60" s="349" t="s">
        <v>372</v>
      </c>
      <c r="B60" s="349"/>
      <c r="C60" s="350">
        <f>C59+C58+C55</f>
        <v>930.0994999999999</v>
      </c>
      <c r="D60" s="349" t="s">
        <v>5</v>
      </c>
      <c r="E60" s="70"/>
      <c r="F60" s="70"/>
      <c r="G60" s="70"/>
    </row>
    <row r="61" spans="1:7" ht="12.75" hidden="1">
      <c r="A61" s="349" t="s">
        <v>374</v>
      </c>
      <c r="B61" s="349"/>
      <c r="C61" s="350">
        <v>0</v>
      </c>
      <c r="D61" s="349" t="s">
        <v>5</v>
      </c>
      <c r="E61" s="70"/>
      <c r="F61" s="70"/>
      <c r="G61" s="70"/>
    </row>
    <row r="62" spans="1:7" ht="12.75">
      <c r="A62" s="349" t="s">
        <v>373</v>
      </c>
      <c r="B62" s="70"/>
      <c r="C62" s="350">
        <f>35*3.89+C57</f>
        <v>178.15</v>
      </c>
      <c r="D62" s="349" t="s">
        <v>5</v>
      </c>
      <c r="E62" s="70"/>
      <c r="F62" s="70"/>
      <c r="G62" s="70"/>
    </row>
    <row r="66" ht="90">
      <c r="B66" s="367"/>
    </row>
  </sheetData>
  <sheetProtection/>
  <mergeCells count="23">
    <mergeCell ref="A21:F21"/>
    <mergeCell ref="A25:F25"/>
    <mergeCell ref="A52:B52"/>
    <mergeCell ref="A55:B55"/>
    <mergeCell ref="A54:D54"/>
    <mergeCell ref="A29:F29"/>
    <mergeCell ref="A33:F33"/>
    <mergeCell ref="A57:B57"/>
    <mergeCell ref="A37:F37"/>
    <mergeCell ref="A49:G49"/>
    <mergeCell ref="A41:F41"/>
    <mergeCell ref="A45:F45"/>
    <mergeCell ref="A58:B58"/>
    <mergeCell ref="A56:B56"/>
    <mergeCell ref="A1:G1"/>
    <mergeCell ref="A2:G2"/>
    <mergeCell ref="A9:F9"/>
    <mergeCell ref="A13:F13"/>
    <mergeCell ref="A17:F17"/>
    <mergeCell ref="G3:G4"/>
    <mergeCell ref="A5:F5"/>
    <mergeCell ref="A3:B4"/>
    <mergeCell ref="F3:F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7"/>
  <sheetViews>
    <sheetView zoomScale="85" zoomScaleNormal="85" zoomScalePageLayoutView="0" workbookViewId="0" topLeftCell="A93">
      <selection activeCell="F107" sqref="A1:F107"/>
    </sheetView>
  </sheetViews>
  <sheetFormatPr defaultColWidth="9.140625" defaultRowHeight="12.75"/>
  <cols>
    <col min="1" max="1" width="44.140625" style="0" customWidth="1"/>
    <col min="2" max="2" width="25.7109375" style="0" customWidth="1"/>
    <col min="3" max="3" width="13.28125" style="0" customWidth="1"/>
    <col min="4" max="4" width="16.421875" style="0" customWidth="1"/>
    <col min="5" max="5" width="14.421875" style="0" customWidth="1"/>
    <col min="6" max="6" width="9.00390625" style="0" customWidth="1"/>
  </cols>
  <sheetData>
    <row r="1" spans="1:6" ht="12.75">
      <c r="A1" s="1020" t="s">
        <v>505</v>
      </c>
      <c r="B1" s="1021"/>
      <c r="C1" s="1021"/>
      <c r="D1" s="1021"/>
      <c r="E1" s="1021"/>
      <c r="F1" s="1022"/>
    </row>
    <row r="2" spans="1:6" ht="12.75">
      <c r="A2" s="70" t="s">
        <v>282</v>
      </c>
      <c r="B2" s="72" t="s">
        <v>283</v>
      </c>
      <c r="C2" s="72"/>
      <c r="D2" s="334"/>
      <c r="E2" s="72"/>
      <c r="F2" s="70" t="s">
        <v>454</v>
      </c>
    </row>
    <row r="3" spans="1:6" ht="12.75">
      <c r="A3" s="70" t="s">
        <v>284</v>
      </c>
      <c r="B3" s="70" t="s">
        <v>285</v>
      </c>
      <c r="C3" s="70" t="s">
        <v>15</v>
      </c>
      <c r="D3" s="335" t="s">
        <v>286</v>
      </c>
      <c r="E3" s="70" t="s">
        <v>287</v>
      </c>
      <c r="F3" s="70"/>
    </row>
    <row r="4" spans="1:6" ht="12.75" hidden="1">
      <c r="A4" s="1006" t="s">
        <v>457</v>
      </c>
      <c r="B4" s="1007"/>
      <c r="C4" s="1007"/>
      <c r="D4" s="1007"/>
      <c r="E4" s="1007"/>
      <c r="F4" s="1008"/>
    </row>
    <row r="5" spans="1:6" ht="25.5" hidden="1">
      <c r="A5" s="71" t="s">
        <v>461</v>
      </c>
      <c r="B5" s="16" t="s">
        <v>288</v>
      </c>
      <c r="C5" s="73" t="s">
        <v>445</v>
      </c>
      <c r="D5" s="431">
        <v>0.6</v>
      </c>
      <c r="E5" s="74">
        <f>0.283</f>
        <v>0.283</v>
      </c>
      <c r="F5" s="16"/>
    </row>
    <row r="6" spans="1:6" ht="25.5" hidden="1">
      <c r="A6" s="71" t="s">
        <v>461</v>
      </c>
      <c r="B6" s="16" t="s">
        <v>289</v>
      </c>
      <c r="C6" s="73" t="s">
        <v>446</v>
      </c>
      <c r="D6" s="431" t="s">
        <v>447</v>
      </c>
      <c r="E6" s="74">
        <f>(0.25*0.45)</f>
        <v>0.1125</v>
      </c>
      <c r="F6" s="16">
        <v>2</v>
      </c>
    </row>
    <row r="7" spans="1:6" ht="25.5" hidden="1">
      <c r="A7" s="71" t="s">
        <v>462</v>
      </c>
      <c r="B7" s="16" t="s">
        <v>288</v>
      </c>
      <c r="C7" s="73" t="s">
        <v>445</v>
      </c>
      <c r="D7" s="431">
        <v>0.6</v>
      </c>
      <c r="E7" s="74">
        <f>0.283*2</f>
        <v>0.566</v>
      </c>
      <c r="F7" s="16"/>
    </row>
    <row r="8" spans="1:6" ht="26.25" customHeight="1" hidden="1">
      <c r="A8" s="71" t="s">
        <v>462</v>
      </c>
      <c r="B8" s="16" t="s">
        <v>289</v>
      </c>
      <c r="C8" s="73" t="s">
        <v>446</v>
      </c>
      <c r="D8" s="431" t="s">
        <v>447</v>
      </c>
      <c r="E8" s="74">
        <f>(0.25*0.45)</f>
        <v>0.1125</v>
      </c>
      <c r="F8" s="16">
        <v>4</v>
      </c>
    </row>
    <row r="9" spans="1:6" ht="25.5" hidden="1">
      <c r="A9" s="71" t="s">
        <v>459</v>
      </c>
      <c r="B9" s="16" t="s">
        <v>288</v>
      </c>
      <c r="C9" s="73" t="s">
        <v>445</v>
      </c>
      <c r="D9" s="431">
        <v>0.6</v>
      </c>
      <c r="E9" s="74">
        <f>0.283</f>
        <v>0.283</v>
      </c>
      <c r="F9" s="16"/>
    </row>
    <row r="10" spans="1:6" ht="25.5" hidden="1">
      <c r="A10" s="71" t="s">
        <v>459</v>
      </c>
      <c r="B10" s="16" t="s">
        <v>289</v>
      </c>
      <c r="C10" s="73" t="s">
        <v>446</v>
      </c>
      <c r="D10" s="431" t="s">
        <v>447</v>
      </c>
      <c r="E10" s="74">
        <f>(0.25*0.45)</f>
        <v>0.1125</v>
      </c>
      <c r="F10" s="16">
        <v>2</v>
      </c>
    </row>
    <row r="11" spans="1:6" ht="12.75" hidden="1">
      <c r="A11" s="336"/>
      <c r="B11" s="337"/>
      <c r="C11" s="337"/>
      <c r="D11" s="338"/>
      <c r="E11" s="337"/>
      <c r="F11" s="339"/>
    </row>
    <row r="12" spans="1:6" ht="12.75" hidden="1">
      <c r="A12" s="1006" t="s">
        <v>460</v>
      </c>
      <c r="B12" s="1007"/>
      <c r="C12" s="1007"/>
      <c r="D12" s="1007"/>
      <c r="E12" s="1007"/>
      <c r="F12" s="1008"/>
    </row>
    <row r="13" spans="1:6" ht="25.5" hidden="1">
      <c r="A13" s="71" t="s">
        <v>458</v>
      </c>
      <c r="B13" s="16" t="s">
        <v>288</v>
      </c>
      <c r="C13" s="73" t="s">
        <v>445</v>
      </c>
      <c r="D13" s="431">
        <v>0.6</v>
      </c>
      <c r="E13" s="74">
        <f>0.283*2</f>
        <v>0.566</v>
      </c>
      <c r="F13" s="16"/>
    </row>
    <row r="14" spans="1:6" ht="25.5" hidden="1">
      <c r="A14" s="71" t="s">
        <v>458</v>
      </c>
      <c r="B14" s="16" t="s">
        <v>289</v>
      </c>
      <c r="C14" s="73" t="s">
        <v>446</v>
      </c>
      <c r="D14" s="431" t="s">
        <v>447</v>
      </c>
      <c r="E14" s="74">
        <f>(0.25*0.45)</f>
        <v>0.1125</v>
      </c>
      <c r="F14" s="16">
        <v>4</v>
      </c>
    </row>
    <row r="15" spans="1:6" ht="25.5" hidden="1">
      <c r="A15" s="71" t="s">
        <v>463</v>
      </c>
      <c r="B15" s="16" t="s">
        <v>288</v>
      </c>
      <c r="C15" s="73" t="s">
        <v>445</v>
      </c>
      <c r="D15" s="431">
        <v>0.6</v>
      </c>
      <c r="E15" s="74">
        <f>0.283*2</f>
        <v>0.566</v>
      </c>
      <c r="F15" s="16"/>
    </row>
    <row r="16" spans="1:6" ht="25.5" hidden="1">
      <c r="A16" s="71" t="s">
        <v>463</v>
      </c>
      <c r="B16" s="16" t="s">
        <v>289</v>
      </c>
      <c r="C16" s="73" t="s">
        <v>446</v>
      </c>
      <c r="D16" s="431" t="s">
        <v>447</v>
      </c>
      <c r="E16" s="74">
        <f>(0.25*0.45)</f>
        <v>0.1125</v>
      </c>
      <c r="F16" s="16">
        <v>4</v>
      </c>
    </row>
    <row r="17" spans="1:6" ht="12.75" hidden="1">
      <c r="A17" s="340"/>
      <c r="B17" s="341"/>
      <c r="C17" s="341"/>
      <c r="D17" s="341"/>
      <c r="E17" s="341"/>
      <c r="F17" s="342"/>
    </row>
    <row r="18" spans="1:6" ht="12.75" hidden="1">
      <c r="A18" s="1006" t="s">
        <v>464</v>
      </c>
      <c r="B18" s="1007"/>
      <c r="C18" s="1007"/>
      <c r="D18" s="1007"/>
      <c r="E18" s="1007"/>
      <c r="F18" s="1008"/>
    </row>
    <row r="19" spans="1:6" ht="25.5" hidden="1">
      <c r="A19" s="71" t="s">
        <v>458</v>
      </c>
      <c r="B19" s="16" t="s">
        <v>288</v>
      </c>
      <c r="C19" s="73" t="s">
        <v>445</v>
      </c>
      <c r="D19" s="431">
        <v>0.6</v>
      </c>
      <c r="E19" s="74">
        <f>0.283</f>
        <v>0.283</v>
      </c>
      <c r="F19" s="16"/>
    </row>
    <row r="20" spans="1:6" ht="25.5" hidden="1">
      <c r="A20" s="71" t="s">
        <v>458</v>
      </c>
      <c r="B20" s="16" t="s">
        <v>289</v>
      </c>
      <c r="C20" s="73" t="s">
        <v>446</v>
      </c>
      <c r="D20" s="431" t="s">
        <v>447</v>
      </c>
      <c r="E20" s="74">
        <f>(0.25*0.45)</f>
        <v>0.1125</v>
      </c>
      <c r="F20" s="16">
        <v>2</v>
      </c>
    </row>
    <row r="21" spans="1:6" ht="25.5" hidden="1">
      <c r="A21" s="71" t="s">
        <v>465</v>
      </c>
      <c r="B21" s="16" t="s">
        <v>288</v>
      </c>
      <c r="C21" s="73" t="s">
        <v>445</v>
      </c>
      <c r="D21" s="431">
        <v>0.6</v>
      </c>
      <c r="E21" s="74">
        <f>0.283*2</f>
        <v>0.566</v>
      </c>
      <c r="F21" s="16"/>
    </row>
    <row r="22" spans="1:6" ht="25.5" hidden="1">
      <c r="A22" s="71" t="s">
        <v>465</v>
      </c>
      <c r="B22" s="16" t="s">
        <v>289</v>
      </c>
      <c r="C22" s="73" t="s">
        <v>446</v>
      </c>
      <c r="D22" s="431" t="s">
        <v>447</v>
      </c>
      <c r="E22" s="74">
        <f>(0.25*0.45)</f>
        <v>0.1125</v>
      </c>
      <c r="F22" s="16">
        <v>4</v>
      </c>
    </row>
    <row r="23" spans="1:6" ht="25.5" hidden="1">
      <c r="A23" s="71" t="s">
        <v>466</v>
      </c>
      <c r="B23" s="16" t="s">
        <v>288</v>
      </c>
      <c r="C23" s="73" t="s">
        <v>445</v>
      </c>
      <c r="D23" s="431">
        <v>0.6</v>
      </c>
      <c r="E23" s="74">
        <f>0.283</f>
        <v>0.283</v>
      </c>
      <c r="F23" s="16"/>
    </row>
    <row r="24" spans="1:6" ht="25.5" hidden="1">
      <c r="A24" s="71" t="s">
        <v>466</v>
      </c>
      <c r="B24" s="16" t="s">
        <v>289</v>
      </c>
      <c r="C24" s="73" t="s">
        <v>446</v>
      </c>
      <c r="D24" s="431" t="s">
        <v>447</v>
      </c>
      <c r="E24" s="74">
        <f>(0.25*0.45)</f>
        <v>0.1125</v>
      </c>
      <c r="F24" s="16">
        <v>2</v>
      </c>
    </row>
    <row r="25" spans="1:6" ht="12.75" hidden="1">
      <c r="A25" s="340"/>
      <c r="B25" s="341"/>
      <c r="C25" s="341"/>
      <c r="D25" s="341"/>
      <c r="E25" s="341"/>
      <c r="F25" s="342"/>
    </row>
    <row r="26" spans="1:6" ht="12.75" hidden="1">
      <c r="A26" s="1006" t="s">
        <v>467</v>
      </c>
      <c r="B26" s="1007"/>
      <c r="C26" s="1007"/>
      <c r="D26" s="1007"/>
      <c r="E26" s="1007"/>
      <c r="F26" s="1008"/>
    </row>
    <row r="27" spans="1:6" ht="25.5" hidden="1">
      <c r="A27" s="71" t="s">
        <v>468</v>
      </c>
      <c r="B27" s="16" t="s">
        <v>288</v>
      </c>
      <c r="C27" s="73" t="s">
        <v>445</v>
      </c>
      <c r="D27" s="431">
        <v>0.6</v>
      </c>
      <c r="E27" s="74">
        <f>0.283*2</f>
        <v>0.566</v>
      </c>
      <c r="F27" s="16"/>
    </row>
    <row r="28" spans="1:6" ht="25.5" hidden="1">
      <c r="A28" s="71" t="s">
        <v>468</v>
      </c>
      <c r="B28" s="16" t="s">
        <v>289</v>
      </c>
      <c r="C28" s="73" t="s">
        <v>446</v>
      </c>
      <c r="D28" s="431" t="s">
        <v>447</v>
      </c>
      <c r="E28" s="74">
        <f>(0.25*0.45)</f>
        <v>0.1125</v>
      </c>
      <c r="F28" s="16">
        <v>4</v>
      </c>
    </row>
    <row r="29" spans="1:6" ht="25.5" hidden="1">
      <c r="A29" s="71" t="s">
        <v>469</v>
      </c>
      <c r="B29" s="16" t="s">
        <v>288</v>
      </c>
      <c r="C29" s="73" t="s">
        <v>445</v>
      </c>
      <c r="D29" s="431">
        <v>0.6</v>
      </c>
      <c r="E29" s="74">
        <f>0.283*2</f>
        <v>0.566</v>
      </c>
      <c r="F29" s="16"/>
    </row>
    <row r="30" spans="1:6" ht="25.5" hidden="1">
      <c r="A30" s="71" t="s">
        <v>469</v>
      </c>
      <c r="B30" s="16" t="s">
        <v>289</v>
      </c>
      <c r="C30" s="73" t="s">
        <v>446</v>
      </c>
      <c r="D30" s="431" t="s">
        <v>447</v>
      </c>
      <c r="E30" s="74">
        <f>(0.25*0.45)</f>
        <v>0.1125</v>
      </c>
      <c r="F30" s="16">
        <v>4</v>
      </c>
    </row>
    <row r="31" spans="1:6" ht="12.75" hidden="1">
      <c r="A31" s="340"/>
      <c r="B31" s="341"/>
      <c r="C31" s="341"/>
      <c r="D31" s="341"/>
      <c r="E31" s="341"/>
      <c r="F31" s="342"/>
    </row>
    <row r="32" spans="1:6" ht="12.75" hidden="1">
      <c r="A32" s="1006" t="s">
        <v>470</v>
      </c>
      <c r="B32" s="1007"/>
      <c r="C32" s="1007"/>
      <c r="D32" s="1007"/>
      <c r="E32" s="1007"/>
      <c r="F32" s="1008"/>
    </row>
    <row r="33" spans="1:6" ht="25.5" hidden="1">
      <c r="A33" s="71" t="s">
        <v>461</v>
      </c>
      <c r="B33" s="16" t="s">
        <v>288</v>
      </c>
      <c r="C33" s="73" t="s">
        <v>445</v>
      </c>
      <c r="D33" s="431">
        <v>0.6</v>
      </c>
      <c r="E33" s="74">
        <f>0.283</f>
        <v>0.283</v>
      </c>
      <c r="F33" s="16"/>
    </row>
    <row r="34" spans="1:6" ht="25.5" hidden="1">
      <c r="A34" s="71" t="s">
        <v>461</v>
      </c>
      <c r="B34" s="16" t="s">
        <v>289</v>
      </c>
      <c r="C34" s="73" t="s">
        <v>446</v>
      </c>
      <c r="D34" s="431" t="s">
        <v>447</v>
      </c>
      <c r="E34" s="74">
        <f>(0.25*0.45)</f>
        <v>0.1125</v>
      </c>
      <c r="F34" s="16">
        <v>2</v>
      </c>
    </row>
    <row r="35" spans="1:6" ht="25.5" hidden="1">
      <c r="A35" s="71" t="s">
        <v>471</v>
      </c>
      <c r="B35" s="16" t="s">
        <v>288</v>
      </c>
      <c r="C35" s="73" t="s">
        <v>445</v>
      </c>
      <c r="D35" s="431">
        <v>0.6</v>
      </c>
      <c r="E35" s="74">
        <f>0.283</f>
        <v>0.283</v>
      </c>
      <c r="F35" s="16"/>
    </row>
    <row r="36" spans="1:6" ht="25.5" hidden="1">
      <c r="A36" s="71" t="s">
        <v>471</v>
      </c>
      <c r="B36" s="16" t="s">
        <v>289</v>
      </c>
      <c r="C36" s="73" t="s">
        <v>446</v>
      </c>
      <c r="D36" s="431" t="s">
        <v>447</v>
      </c>
      <c r="E36" s="74">
        <f>(0.25*0.45)</f>
        <v>0.1125</v>
      </c>
      <c r="F36" s="16">
        <v>2</v>
      </c>
    </row>
    <row r="37" spans="1:6" ht="12.75" hidden="1">
      <c r="A37" s="340"/>
      <c r="B37" s="341"/>
      <c r="C37" s="341"/>
      <c r="D37" s="341"/>
      <c r="E37" s="341"/>
      <c r="F37" s="342"/>
    </row>
    <row r="38" spans="1:6" ht="12.75" hidden="1">
      <c r="A38" s="1006" t="s">
        <v>506</v>
      </c>
      <c r="B38" s="1007"/>
      <c r="C38" s="1007"/>
      <c r="D38" s="1007"/>
      <c r="E38" s="1007"/>
      <c r="F38" s="1008"/>
    </row>
    <row r="39" spans="1:6" ht="25.5" hidden="1">
      <c r="A39" s="71" t="s">
        <v>507</v>
      </c>
      <c r="B39" s="16" t="s">
        <v>288</v>
      </c>
      <c r="C39" s="73" t="s">
        <v>445</v>
      </c>
      <c r="D39" s="431">
        <v>0.6</v>
      </c>
      <c r="E39" s="74">
        <f>0.283</f>
        <v>0.283</v>
      </c>
      <c r="F39" s="16"/>
    </row>
    <row r="40" spans="1:6" ht="25.5" hidden="1">
      <c r="A40" s="71" t="s">
        <v>507</v>
      </c>
      <c r="B40" s="16" t="s">
        <v>289</v>
      </c>
      <c r="C40" s="73" t="s">
        <v>446</v>
      </c>
      <c r="D40" s="431" t="s">
        <v>447</v>
      </c>
      <c r="E40" s="74"/>
      <c r="F40" s="16">
        <v>2</v>
      </c>
    </row>
    <row r="41" spans="1:6" ht="25.5" hidden="1">
      <c r="A41" s="71" t="s">
        <v>508</v>
      </c>
      <c r="B41" s="16" t="s">
        <v>288</v>
      </c>
      <c r="C41" s="73" t="s">
        <v>445</v>
      </c>
      <c r="D41" s="431">
        <v>0.6</v>
      </c>
      <c r="E41" s="74">
        <f>0.283*2</f>
        <v>0.566</v>
      </c>
      <c r="F41" s="16"/>
    </row>
    <row r="42" spans="1:6" ht="25.5" hidden="1">
      <c r="A42" s="71" t="s">
        <v>508</v>
      </c>
      <c r="B42" s="16" t="s">
        <v>289</v>
      </c>
      <c r="C42" s="73" t="s">
        <v>446</v>
      </c>
      <c r="D42" s="431" t="s">
        <v>447</v>
      </c>
      <c r="E42" s="74"/>
      <c r="F42" s="16">
        <v>4</v>
      </c>
    </row>
    <row r="43" spans="1:6" ht="12.75" hidden="1">
      <c r="A43" s="340"/>
      <c r="B43" s="341"/>
      <c r="C43" s="341"/>
      <c r="D43" s="341"/>
      <c r="E43" s="341"/>
      <c r="F43" s="342"/>
    </row>
    <row r="44" spans="1:6" ht="12.75" hidden="1">
      <c r="A44" s="1006" t="s">
        <v>509</v>
      </c>
      <c r="B44" s="1007"/>
      <c r="C44" s="1007"/>
      <c r="D44" s="1007"/>
      <c r="E44" s="1007"/>
      <c r="F44" s="1008"/>
    </row>
    <row r="45" spans="1:6" ht="25.5" hidden="1">
      <c r="A45" s="71" t="s">
        <v>510</v>
      </c>
      <c r="B45" s="16" t="s">
        <v>288</v>
      </c>
      <c r="C45" s="73" t="s">
        <v>445</v>
      </c>
      <c r="D45" s="431">
        <v>0.6</v>
      </c>
      <c r="E45" s="74">
        <f>0.283</f>
        <v>0.283</v>
      </c>
      <c r="F45" s="233"/>
    </row>
    <row r="46" spans="1:6" ht="25.5" hidden="1">
      <c r="A46" s="71" t="s">
        <v>510</v>
      </c>
      <c r="B46" s="16" t="s">
        <v>289</v>
      </c>
      <c r="C46" s="73" t="s">
        <v>446</v>
      </c>
      <c r="D46" s="431" t="s">
        <v>447</v>
      </c>
      <c r="E46" s="74"/>
      <c r="F46" s="16">
        <v>2</v>
      </c>
    </row>
    <row r="47" spans="1:6" ht="25.5" hidden="1">
      <c r="A47" s="71" t="s">
        <v>511</v>
      </c>
      <c r="B47" s="16" t="s">
        <v>288</v>
      </c>
      <c r="C47" s="73" t="s">
        <v>445</v>
      </c>
      <c r="D47" s="431">
        <v>0.6</v>
      </c>
      <c r="E47" s="74">
        <f>0.283*2</f>
        <v>0.566</v>
      </c>
      <c r="F47" s="16"/>
    </row>
    <row r="48" spans="1:6" ht="25.5" hidden="1">
      <c r="A48" s="71" t="s">
        <v>511</v>
      </c>
      <c r="B48" s="16" t="s">
        <v>289</v>
      </c>
      <c r="C48" s="73" t="s">
        <v>446</v>
      </c>
      <c r="D48" s="431" t="s">
        <v>447</v>
      </c>
      <c r="E48" s="74"/>
      <c r="F48" s="16">
        <v>4</v>
      </c>
    </row>
    <row r="49" spans="1:6" ht="25.5" hidden="1">
      <c r="A49" s="71" t="s">
        <v>512</v>
      </c>
      <c r="B49" s="16" t="s">
        <v>288</v>
      </c>
      <c r="C49" s="73" t="s">
        <v>445</v>
      </c>
      <c r="D49" s="431">
        <v>0.6</v>
      </c>
      <c r="E49" s="74">
        <f>0.283</f>
        <v>0.283</v>
      </c>
      <c r="F49" s="16"/>
    </row>
    <row r="50" spans="1:6" ht="25.5" hidden="1">
      <c r="A50" s="71" t="s">
        <v>512</v>
      </c>
      <c r="B50" s="16" t="s">
        <v>289</v>
      </c>
      <c r="C50" s="73" t="s">
        <v>446</v>
      </c>
      <c r="D50" s="431" t="s">
        <v>447</v>
      </c>
      <c r="E50" s="74"/>
      <c r="F50" s="16">
        <v>2</v>
      </c>
    </row>
    <row r="51" spans="1:6" ht="12.75" hidden="1">
      <c r="A51" s="434"/>
      <c r="B51" s="433"/>
      <c r="C51" s="436"/>
      <c r="D51" s="437"/>
      <c r="E51" s="438"/>
      <c r="F51" s="233"/>
    </row>
    <row r="52" spans="1:6" ht="12.75" hidden="1">
      <c r="A52" s="1006" t="s">
        <v>515</v>
      </c>
      <c r="B52" s="1007"/>
      <c r="C52" s="1007"/>
      <c r="D52" s="1007"/>
      <c r="E52" s="1007"/>
      <c r="F52" s="1008"/>
    </row>
    <row r="53" spans="1:6" ht="25.5" hidden="1">
      <c r="A53" s="71" t="s">
        <v>510</v>
      </c>
      <c r="B53" s="16" t="s">
        <v>288</v>
      </c>
      <c r="C53" s="73" t="s">
        <v>445</v>
      </c>
      <c r="D53" s="431">
        <v>0.6</v>
      </c>
      <c r="E53" s="74">
        <f>0.283</f>
        <v>0.283</v>
      </c>
      <c r="F53" s="233"/>
    </row>
    <row r="54" spans="1:6" ht="25.5" hidden="1">
      <c r="A54" s="71" t="s">
        <v>510</v>
      </c>
      <c r="B54" s="16" t="s">
        <v>289</v>
      </c>
      <c r="C54" s="73" t="s">
        <v>446</v>
      </c>
      <c r="D54" s="431" t="s">
        <v>447</v>
      </c>
      <c r="E54" s="74"/>
      <c r="F54" s="16">
        <v>2</v>
      </c>
    </row>
    <row r="55" spans="1:6" ht="25.5" hidden="1">
      <c r="A55" s="71" t="s">
        <v>513</v>
      </c>
      <c r="B55" s="16" t="s">
        <v>288</v>
      </c>
      <c r="C55" s="73" t="s">
        <v>445</v>
      </c>
      <c r="D55" s="431">
        <v>0.6</v>
      </c>
      <c r="E55" s="74">
        <f>0.283*2</f>
        <v>0.566</v>
      </c>
      <c r="F55" s="16"/>
    </row>
    <row r="56" spans="1:6" ht="25.5" hidden="1">
      <c r="A56" s="71" t="s">
        <v>513</v>
      </c>
      <c r="B56" s="16" t="s">
        <v>289</v>
      </c>
      <c r="C56" s="73" t="s">
        <v>446</v>
      </c>
      <c r="D56" s="431" t="s">
        <v>447</v>
      </c>
      <c r="E56" s="74"/>
      <c r="F56" s="16">
        <v>4</v>
      </c>
    </row>
    <row r="57" spans="1:6" ht="12.75" hidden="1">
      <c r="A57" s="434"/>
      <c r="B57" s="433"/>
      <c r="C57" s="436"/>
      <c r="D57" s="437"/>
      <c r="E57" s="438"/>
      <c r="F57" s="233"/>
    </row>
    <row r="58" spans="1:6" ht="12.75" hidden="1">
      <c r="A58" s="1006" t="s">
        <v>514</v>
      </c>
      <c r="B58" s="1007"/>
      <c r="C58" s="1007"/>
      <c r="D58" s="1007"/>
      <c r="E58" s="1007"/>
      <c r="F58" s="1008"/>
    </row>
    <row r="59" spans="1:6" ht="25.5" hidden="1">
      <c r="A59" s="71" t="s">
        <v>516</v>
      </c>
      <c r="B59" s="16" t="s">
        <v>288</v>
      </c>
      <c r="C59" s="73" t="s">
        <v>445</v>
      </c>
      <c r="D59" s="431">
        <v>0.6</v>
      </c>
      <c r="E59" s="74">
        <f>0.283</f>
        <v>0.283</v>
      </c>
      <c r="F59" s="16"/>
    </row>
    <row r="60" spans="1:6" ht="25.5" hidden="1">
      <c r="A60" s="71" t="s">
        <v>516</v>
      </c>
      <c r="B60" s="16" t="s">
        <v>289</v>
      </c>
      <c r="C60" s="73" t="s">
        <v>446</v>
      </c>
      <c r="D60" s="431" t="s">
        <v>447</v>
      </c>
      <c r="E60" s="74"/>
      <c r="F60" s="16">
        <v>2</v>
      </c>
    </row>
    <row r="61" spans="1:6" ht="25.5" hidden="1">
      <c r="A61" s="71" t="s">
        <v>517</v>
      </c>
      <c r="B61" s="16" t="s">
        <v>288</v>
      </c>
      <c r="C61" s="73" t="s">
        <v>445</v>
      </c>
      <c r="D61" s="431">
        <v>0.6</v>
      </c>
      <c r="E61" s="74">
        <f>0.283*2</f>
        <v>0.566</v>
      </c>
      <c r="F61" s="16"/>
    </row>
    <row r="62" spans="1:6" ht="25.5" hidden="1">
      <c r="A62" s="71" t="s">
        <v>517</v>
      </c>
      <c r="B62" s="16" t="s">
        <v>289</v>
      </c>
      <c r="C62" s="73" t="s">
        <v>446</v>
      </c>
      <c r="D62" s="431" t="s">
        <v>447</v>
      </c>
      <c r="E62" s="74"/>
      <c r="F62" s="16">
        <v>4</v>
      </c>
    </row>
    <row r="63" spans="1:6" ht="12.75" hidden="1">
      <c r="A63" s="434"/>
      <c r="B63" s="433"/>
      <c r="C63" s="436"/>
      <c r="D63" s="437"/>
      <c r="E63" s="438"/>
      <c r="F63" s="233"/>
    </row>
    <row r="64" spans="1:6" ht="12.75" hidden="1">
      <c r="A64" s="1006" t="s">
        <v>518</v>
      </c>
      <c r="B64" s="1007"/>
      <c r="C64" s="1007"/>
      <c r="D64" s="1007"/>
      <c r="E64" s="1007"/>
      <c r="F64" s="1008"/>
    </row>
    <row r="65" spans="1:6" ht="25.5" hidden="1">
      <c r="A65" s="71" t="s">
        <v>516</v>
      </c>
      <c r="B65" s="16" t="s">
        <v>288</v>
      </c>
      <c r="C65" s="73" t="s">
        <v>445</v>
      </c>
      <c r="D65" s="431">
        <v>0.6</v>
      </c>
      <c r="E65" s="74">
        <f>0.283</f>
        <v>0.283</v>
      </c>
      <c r="F65" s="16"/>
    </row>
    <row r="66" spans="1:6" ht="25.5" hidden="1">
      <c r="A66" s="71" t="s">
        <v>516</v>
      </c>
      <c r="B66" s="16" t="s">
        <v>289</v>
      </c>
      <c r="C66" s="73" t="s">
        <v>446</v>
      </c>
      <c r="D66" s="431" t="s">
        <v>447</v>
      </c>
      <c r="E66" s="74"/>
      <c r="F66" s="16">
        <v>2</v>
      </c>
    </row>
    <row r="67" spans="1:6" ht="25.5" hidden="1">
      <c r="A67" s="71" t="s">
        <v>519</v>
      </c>
      <c r="B67" s="16" t="s">
        <v>288</v>
      </c>
      <c r="C67" s="73" t="s">
        <v>445</v>
      </c>
      <c r="D67" s="431">
        <v>0.6</v>
      </c>
      <c r="E67" s="74">
        <f>0.283*F67</f>
        <v>0</v>
      </c>
      <c r="F67" s="16"/>
    </row>
    <row r="68" spans="1:6" ht="25.5" hidden="1">
      <c r="A68" s="71" t="s">
        <v>519</v>
      </c>
      <c r="B68" s="16" t="s">
        <v>289</v>
      </c>
      <c r="C68" s="73" t="s">
        <v>446</v>
      </c>
      <c r="D68" s="431" t="s">
        <v>447</v>
      </c>
      <c r="E68" s="74"/>
      <c r="F68" s="16">
        <v>4</v>
      </c>
    </row>
    <row r="69" spans="1:6" ht="25.5" hidden="1">
      <c r="A69" s="71" t="s">
        <v>520</v>
      </c>
      <c r="B69" s="16" t="s">
        <v>288</v>
      </c>
      <c r="C69" s="73" t="s">
        <v>445</v>
      </c>
      <c r="D69" s="431">
        <v>0.6</v>
      </c>
      <c r="E69" s="74">
        <f>0.283*2</f>
        <v>0.566</v>
      </c>
      <c r="F69" s="16"/>
    </row>
    <row r="70" spans="1:6" ht="25.5" hidden="1">
      <c r="A70" s="71" t="s">
        <v>520</v>
      </c>
      <c r="B70" s="16" t="s">
        <v>289</v>
      </c>
      <c r="C70" s="73" t="s">
        <v>446</v>
      </c>
      <c r="D70" s="431" t="s">
        <v>447</v>
      </c>
      <c r="E70" s="74"/>
      <c r="F70" s="16">
        <v>4</v>
      </c>
    </row>
    <row r="71" spans="1:6" ht="25.5" hidden="1">
      <c r="A71" s="71" t="s">
        <v>521</v>
      </c>
      <c r="B71" s="16" t="s">
        <v>288</v>
      </c>
      <c r="C71" s="73" t="s">
        <v>445</v>
      </c>
      <c r="D71" s="431">
        <v>0.6</v>
      </c>
      <c r="E71" s="74">
        <f>0.283</f>
        <v>0.283</v>
      </c>
      <c r="F71" s="16"/>
    </row>
    <row r="72" spans="1:6" ht="25.5" hidden="1">
      <c r="A72" s="71" t="s">
        <v>521</v>
      </c>
      <c r="B72" s="16" t="s">
        <v>289</v>
      </c>
      <c r="C72" s="73" t="s">
        <v>446</v>
      </c>
      <c r="D72" s="431" t="s">
        <v>447</v>
      </c>
      <c r="E72" s="74"/>
      <c r="F72" s="16">
        <v>2</v>
      </c>
    </row>
    <row r="73" spans="1:6" s="464" customFormat="1" ht="12.75" hidden="1">
      <c r="A73" s="473"/>
      <c r="B73" s="474"/>
      <c r="C73" s="475"/>
      <c r="D73" s="476"/>
      <c r="E73" s="477"/>
      <c r="F73" s="478"/>
    </row>
    <row r="74" spans="1:6" s="464" customFormat="1" ht="12.75" hidden="1">
      <c r="A74" s="1006" t="s">
        <v>522</v>
      </c>
      <c r="B74" s="1007"/>
      <c r="C74" s="1007"/>
      <c r="D74" s="1007"/>
      <c r="E74" s="1007"/>
      <c r="F74" s="1008"/>
    </row>
    <row r="75" spans="1:6" s="34" customFormat="1" ht="25.5" hidden="1">
      <c r="A75" s="71" t="s">
        <v>510</v>
      </c>
      <c r="B75" s="16" t="s">
        <v>288</v>
      </c>
      <c r="C75" s="73" t="s">
        <v>445</v>
      </c>
      <c r="D75" s="431">
        <v>0.6</v>
      </c>
      <c r="E75" s="74">
        <f>0.283</f>
        <v>0.283</v>
      </c>
      <c r="F75" s="16"/>
    </row>
    <row r="76" spans="1:6" s="34" customFormat="1" ht="25.5" hidden="1">
      <c r="A76" s="71" t="s">
        <v>510</v>
      </c>
      <c r="B76" s="16" t="s">
        <v>289</v>
      </c>
      <c r="C76" s="73" t="s">
        <v>446</v>
      </c>
      <c r="D76" s="431" t="s">
        <v>447</v>
      </c>
      <c r="E76" s="74"/>
      <c r="F76" s="16">
        <v>2</v>
      </c>
    </row>
    <row r="77" spans="1:6" s="34" customFormat="1" ht="25.5" hidden="1">
      <c r="A77" s="71" t="s">
        <v>523</v>
      </c>
      <c r="B77" s="16" t="s">
        <v>288</v>
      </c>
      <c r="C77" s="73" t="s">
        <v>445</v>
      </c>
      <c r="D77" s="431">
        <v>0.6</v>
      </c>
      <c r="E77" s="74">
        <f>0.283</f>
        <v>0.283</v>
      </c>
      <c r="F77" s="16"/>
    </row>
    <row r="78" spans="1:6" s="34" customFormat="1" ht="25.5" hidden="1">
      <c r="A78" s="71" t="s">
        <v>523</v>
      </c>
      <c r="B78" s="16" t="s">
        <v>289</v>
      </c>
      <c r="C78" s="73" t="s">
        <v>446</v>
      </c>
      <c r="D78" s="431" t="s">
        <v>447</v>
      </c>
      <c r="E78" s="74"/>
      <c r="F78" s="16">
        <v>4</v>
      </c>
    </row>
    <row r="79" spans="1:6" s="464" customFormat="1" ht="12.75" hidden="1">
      <c r="A79" s="473"/>
      <c r="B79" s="474"/>
      <c r="C79" s="475"/>
      <c r="D79" s="476"/>
      <c r="E79" s="477"/>
      <c r="F79" s="478"/>
    </row>
    <row r="80" spans="1:6" s="34" customFormat="1" ht="12.75">
      <c r="A80" s="1006" t="s">
        <v>524</v>
      </c>
      <c r="B80" s="1007"/>
      <c r="C80" s="1007"/>
      <c r="D80" s="1007"/>
      <c r="E80" s="1007"/>
      <c r="F80" s="1008"/>
    </row>
    <row r="81" spans="1:6" s="34" customFormat="1" ht="25.5">
      <c r="A81" s="71" t="s">
        <v>510</v>
      </c>
      <c r="B81" s="16" t="s">
        <v>288</v>
      </c>
      <c r="C81" s="73" t="s">
        <v>445</v>
      </c>
      <c r="D81" s="431">
        <v>0.6</v>
      </c>
      <c r="E81" s="74">
        <f>0.283</f>
        <v>0.283</v>
      </c>
      <c r="F81" s="16"/>
    </row>
    <row r="82" spans="1:6" s="34" customFormat="1" ht="25.5">
      <c r="A82" s="71" t="s">
        <v>510</v>
      </c>
      <c r="B82" s="16" t="s">
        <v>289</v>
      </c>
      <c r="C82" s="73" t="s">
        <v>446</v>
      </c>
      <c r="D82" s="431" t="s">
        <v>447</v>
      </c>
      <c r="E82" s="74"/>
      <c r="F82" s="16">
        <v>2</v>
      </c>
    </row>
    <row r="83" spans="1:6" s="34" customFormat="1" ht="25.5">
      <c r="A83" s="71" t="s">
        <v>525</v>
      </c>
      <c r="B83" s="16" t="s">
        <v>288</v>
      </c>
      <c r="C83" s="73" t="s">
        <v>445</v>
      </c>
      <c r="D83" s="431">
        <v>0.6</v>
      </c>
      <c r="E83" s="74">
        <f>0.283*2</f>
        <v>0.566</v>
      </c>
      <c r="F83" s="16"/>
    </row>
    <row r="84" spans="1:6" s="34" customFormat="1" ht="25.5">
      <c r="A84" s="71" t="s">
        <v>525</v>
      </c>
      <c r="B84" s="16" t="s">
        <v>289</v>
      </c>
      <c r="C84" s="73" t="s">
        <v>446</v>
      </c>
      <c r="D84" s="431" t="s">
        <v>447</v>
      </c>
      <c r="E84" s="74"/>
      <c r="F84" s="16">
        <v>4</v>
      </c>
    </row>
    <row r="85" spans="1:6" s="464" customFormat="1" ht="12.75">
      <c r="A85" s="473"/>
      <c r="B85" s="474"/>
      <c r="C85" s="475"/>
      <c r="D85" s="476"/>
      <c r="E85" s="477"/>
      <c r="F85" s="478"/>
    </row>
    <row r="86" spans="1:6" s="34" customFormat="1" ht="12.75">
      <c r="A86" s="1006" t="s">
        <v>526</v>
      </c>
      <c r="B86" s="1007"/>
      <c r="C86" s="1007"/>
      <c r="D86" s="1007"/>
      <c r="E86" s="1007"/>
      <c r="F86" s="1008"/>
    </row>
    <row r="87" spans="1:6" s="34" customFormat="1" ht="25.5">
      <c r="A87" s="71" t="s">
        <v>516</v>
      </c>
      <c r="B87" s="16" t="s">
        <v>288</v>
      </c>
      <c r="C87" s="73" t="s">
        <v>445</v>
      </c>
      <c r="D87" s="431">
        <v>0.6</v>
      </c>
      <c r="E87" s="74">
        <f>0.283</f>
        <v>0.283</v>
      </c>
      <c r="F87" s="233"/>
    </row>
    <row r="88" spans="1:6" s="34" customFormat="1" ht="25.5">
      <c r="A88" s="71" t="s">
        <v>516</v>
      </c>
      <c r="B88" s="16" t="s">
        <v>289</v>
      </c>
      <c r="C88" s="73" t="s">
        <v>446</v>
      </c>
      <c r="D88" s="431" t="s">
        <v>447</v>
      </c>
      <c r="E88" s="74"/>
      <c r="F88" s="16">
        <v>2</v>
      </c>
    </row>
    <row r="89" spans="1:6" s="34" customFormat="1" ht="25.5">
      <c r="A89" s="71" t="s">
        <v>527</v>
      </c>
      <c r="B89" s="16" t="s">
        <v>288</v>
      </c>
      <c r="C89" s="73" t="s">
        <v>445</v>
      </c>
      <c r="D89" s="431">
        <v>0.6</v>
      </c>
      <c r="E89" s="74">
        <f>0.283*2</f>
        <v>0.566</v>
      </c>
      <c r="F89" s="233"/>
    </row>
    <row r="90" spans="1:6" s="34" customFormat="1" ht="25.5">
      <c r="A90" s="71" t="s">
        <v>527</v>
      </c>
      <c r="B90" s="16" t="s">
        <v>289</v>
      </c>
      <c r="C90" s="73" t="s">
        <v>446</v>
      </c>
      <c r="D90" s="431" t="s">
        <v>447</v>
      </c>
      <c r="E90" s="74"/>
      <c r="F90" s="16">
        <v>4</v>
      </c>
    </row>
    <row r="91" spans="1:6" s="34" customFormat="1" ht="12.75">
      <c r="A91" s="434"/>
      <c r="B91" s="433"/>
      <c r="C91" s="436"/>
      <c r="D91" s="437"/>
      <c r="E91" s="438"/>
      <c r="F91" s="233"/>
    </row>
    <row r="92" spans="1:6" s="34" customFormat="1" ht="12.75">
      <c r="A92" s="1006" t="s">
        <v>528</v>
      </c>
      <c r="B92" s="1007"/>
      <c r="C92" s="1007"/>
      <c r="D92" s="1007"/>
      <c r="E92" s="1007"/>
      <c r="F92" s="1008"/>
    </row>
    <row r="93" spans="1:6" s="34" customFormat="1" ht="25.5">
      <c r="A93" s="71" t="s">
        <v>516</v>
      </c>
      <c r="B93" s="16" t="s">
        <v>288</v>
      </c>
      <c r="C93" s="73" t="s">
        <v>445</v>
      </c>
      <c r="D93" s="431">
        <v>0.6</v>
      </c>
      <c r="E93" s="74">
        <f>0.283</f>
        <v>0.283</v>
      </c>
      <c r="F93" s="233"/>
    </row>
    <row r="94" spans="1:6" s="34" customFormat="1" ht="25.5">
      <c r="A94" s="71" t="s">
        <v>516</v>
      </c>
      <c r="B94" s="16" t="s">
        <v>289</v>
      </c>
      <c r="C94" s="73" t="s">
        <v>446</v>
      </c>
      <c r="D94" s="431" t="s">
        <v>447</v>
      </c>
      <c r="E94" s="74"/>
      <c r="F94" s="16">
        <v>2</v>
      </c>
    </row>
    <row r="95" spans="1:6" s="34" customFormat="1" ht="25.5">
      <c r="A95" s="71" t="s">
        <v>529</v>
      </c>
      <c r="B95" s="16" t="s">
        <v>288</v>
      </c>
      <c r="C95" s="73" t="s">
        <v>445</v>
      </c>
      <c r="D95" s="431">
        <v>0.6</v>
      </c>
      <c r="E95" s="74">
        <f>0.283</f>
        <v>0.283</v>
      </c>
      <c r="F95" s="233"/>
    </row>
    <row r="96" spans="1:6" s="34" customFormat="1" ht="25.5">
      <c r="A96" s="71" t="s">
        <v>529</v>
      </c>
      <c r="B96" s="16" t="s">
        <v>289</v>
      </c>
      <c r="C96" s="73" t="s">
        <v>446</v>
      </c>
      <c r="D96" s="431" t="s">
        <v>447</v>
      </c>
      <c r="E96" s="74"/>
      <c r="F96" s="16">
        <v>2</v>
      </c>
    </row>
    <row r="97" spans="1:6" s="464" customFormat="1" ht="12.75">
      <c r="A97" s="473"/>
      <c r="B97" s="474"/>
      <c r="C97" s="475"/>
      <c r="D97" s="476"/>
      <c r="E97" s="477"/>
      <c r="F97" s="478"/>
    </row>
    <row r="98" spans="1:6" s="464" customFormat="1" ht="12.75">
      <c r="A98" s="1006" t="s">
        <v>530</v>
      </c>
      <c r="B98" s="1007"/>
      <c r="C98" s="1007"/>
      <c r="D98" s="1007"/>
      <c r="E98" s="1007"/>
      <c r="F98" s="1008"/>
    </row>
    <row r="99" spans="1:6" s="464" customFormat="1" ht="25.5">
      <c r="A99" s="71" t="s">
        <v>531</v>
      </c>
      <c r="B99" s="16" t="s">
        <v>288</v>
      </c>
      <c r="C99" s="73" t="s">
        <v>445</v>
      </c>
      <c r="D99" s="431">
        <v>0.6</v>
      </c>
      <c r="E99" s="74">
        <f>0.283*2</f>
        <v>0.566</v>
      </c>
      <c r="F99" s="233"/>
    </row>
    <row r="100" spans="1:6" s="464" customFormat="1" ht="25.5">
      <c r="A100" s="71" t="s">
        <v>531</v>
      </c>
      <c r="B100" s="16" t="s">
        <v>289</v>
      </c>
      <c r="C100" s="73" t="s">
        <v>446</v>
      </c>
      <c r="D100" s="431" t="s">
        <v>447</v>
      </c>
      <c r="E100" s="74"/>
      <c r="F100" s="16">
        <v>4</v>
      </c>
    </row>
    <row r="101" spans="1:6" s="464" customFormat="1" ht="12.75">
      <c r="A101" s="473"/>
      <c r="B101" s="474"/>
      <c r="C101" s="475"/>
      <c r="D101" s="476"/>
      <c r="E101" s="477"/>
      <c r="F101" s="478"/>
    </row>
    <row r="102" spans="1:6" s="34" customFormat="1" ht="12.75">
      <c r="A102" s="1006" t="s">
        <v>532</v>
      </c>
      <c r="B102" s="1007"/>
      <c r="C102" s="1007"/>
      <c r="D102" s="1007"/>
      <c r="E102" s="1007"/>
      <c r="F102" s="1008"/>
    </row>
    <row r="103" spans="1:6" s="34" customFormat="1" ht="25.5">
      <c r="A103" s="71" t="s">
        <v>533</v>
      </c>
      <c r="B103" s="16" t="s">
        <v>288</v>
      </c>
      <c r="C103" s="73" t="s">
        <v>445</v>
      </c>
      <c r="D103" s="431">
        <v>0.6</v>
      </c>
      <c r="E103" s="74">
        <f>0.283</f>
        <v>0.283</v>
      </c>
      <c r="F103" s="233"/>
    </row>
    <row r="104" spans="1:6" s="34" customFormat="1" ht="25.5">
      <c r="A104" s="71" t="s">
        <v>533</v>
      </c>
      <c r="B104" s="16" t="s">
        <v>289</v>
      </c>
      <c r="C104" s="73" t="s">
        <v>446</v>
      </c>
      <c r="D104" s="431" t="s">
        <v>447</v>
      </c>
      <c r="E104" s="74"/>
      <c r="F104" s="16">
        <v>2</v>
      </c>
    </row>
    <row r="105" spans="1:6" s="464" customFormat="1" ht="12.75">
      <c r="A105" s="473"/>
      <c r="B105" s="474"/>
      <c r="C105" s="475"/>
      <c r="D105" s="476"/>
      <c r="E105" s="477"/>
      <c r="F105" s="478"/>
    </row>
    <row r="106" spans="1:6" ht="12.75">
      <c r="A106" s="16" t="s">
        <v>352</v>
      </c>
      <c r="B106" s="14"/>
      <c r="C106" s="14"/>
      <c r="D106" s="343" t="s">
        <v>290</v>
      </c>
      <c r="E106" s="69">
        <f>E103+E99+E95+E93+E89+E87+E83+E81+E77+E75+E71+E69+E67+E65+E61+E59+E55+E53+E49+E47+E45+E41+E39</f>
        <v>8.49</v>
      </c>
      <c r="F106" s="15"/>
    </row>
    <row r="107" spans="1:6" ht="12.75">
      <c r="A107" s="16" t="s">
        <v>289</v>
      </c>
      <c r="B107" s="14"/>
      <c r="C107" s="14"/>
      <c r="D107" s="343" t="s">
        <v>291</v>
      </c>
      <c r="E107" s="69">
        <f>F104+F100+F96+F94+F90+F88+F84+F82+F78+F76+F72+F70+F68+F66+F62+F60+F56+F54+F50+F48+F46+F42+F40</f>
        <v>66</v>
      </c>
      <c r="F107" s="15"/>
    </row>
  </sheetData>
  <sheetProtection/>
  <mergeCells count="17">
    <mergeCell ref="A92:F92"/>
    <mergeCell ref="A98:F98"/>
    <mergeCell ref="A102:F102"/>
    <mergeCell ref="A64:F64"/>
    <mergeCell ref="A74:F74"/>
    <mergeCell ref="A80:F80"/>
    <mergeCell ref="A86:F86"/>
    <mergeCell ref="A44:F44"/>
    <mergeCell ref="A52:F52"/>
    <mergeCell ref="A4:F4"/>
    <mergeCell ref="A1:F1"/>
    <mergeCell ref="A58:F58"/>
    <mergeCell ref="A12:F12"/>
    <mergeCell ref="A18:F18"/>
    <mergeCell ref="A26:F26"/>
    <mergeCell ref="A32:F32"/>
    <mergeCell ref="A38:F38"/>
  </mergeCells>
  <printOptions horizontalCentered="1"/>
  <pageMargins left="0.5118110236220472" right="0.5118110236220472" top="0.5905511811023623" bottom="0.3937007874015748" header="0.31496062992125984" footer="0.31496062992125984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43"/>
  <sheetViews>
    <sheetView zoomScalePageLayoutView="0" workbookViewId="0" topLeftCell="A1">
      <selection activeCell="Y30" sqref="Y30"/>
    </sheetView>
  </sheetViews>
  <sheetFormatPr defaultColWidth="9.140625" defaultRowHeight="12.75"/>
  <cols>
    <col min="1" max="11" width="4.140625" style="0" customWidth="1"/>
    <col min="12" max="12" width="6.8515625" style="0" customWidth="1"/>
    <col min="13" max="20" width="4.140625" style="0" customWidth="1"/>
    <col min="21" max="21" width="12.7109375" style="0" customWidth="1"/>
  </cols>
  <sheetData>
    <row r="1" spans="1:21" ht="19.5">
      <c r="A1" s="1023" t="s">
        <v>51</v>
      </c>
      <c r="B1" s="1024"/>
      <c r="C1" s="1024"/>
      <c r="D1" s="1024"/>
      <c r="E1" s="1024"/>
      <c r="F1" s="1024"/>
      <c r="G1" s="1024"/>
      <c r="H1" s="1024"/>
      <c r="I1" s="1024"/>
      <c r="J1" s="1024"/>
      <c r="K1" s="1024"/>
      <c r="L1" s="1024"/>
      <c r="M1" s="1024"/>
      <c r="N1" s="1024"/>
      <c r="O1" s="1024"/>
      <c r="P1" s="1024"/>
      <c r="Q1" s="1024"/>
      <c r="R1" s="1024"/>
      <c r="S1" s="1024"/>
      <c r="T1" s="1024"/>
      <c r="U1" s="102">
        <v>43374</v>
      </c>
    </row>
    <row r="2" spans="1:21" ht="12.75">
      <c r="A2" s="838" t="s">
        <v>52</v>
      </c>
      <c r="B2" s="839"/>
      <c r="C2" s="839"/>
      <c r="D2" s="839"/>
      <c r="E2" s="840"/>
      <c r="F2" s="838" t="s">
        <v>217</v>
      </c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40"/>
      <c r="U2" s="19" t="s">
        <v>53</v>
      </c>
    </row>
    <row r="3" spans="1:21" ht="12.75" customHeight="1">
      <c r="A3" s="841" t="s">
        <v>54</v>
      </c>
      <c r="B3" s="842"/>
      <c r="C3" s="842"/>
      <c r="D3" s="842"/>
      <c r="E3" s="843"/>
      <c r="F3" s="1025" t="s">
        <v>246</v>
      </c>
      <c r="G3" s="1026"/>
      <c r="H3" s="1026"/>
      <c r="I3" s="1026"/>
      <c r="J3" s="1026"/>
      <c r="K3" s="1026"/>
      <c r="L3" s="1026"/>
      <c r="M3" s="1026"/>
      <c r="N3" s="1026"/>
      <c r="O3" s="1026"/>
      <c r="P3" s="1026"/>
      <c r="Q3" s="1026"/>
      <c r="R3" s="1026"/>
      <c r="S3" s="1026"/>
      <c r="T3" s="1027"/>
      <c r="U3" s="20" t="s">
        <v>4</v>
      </c>
    </row>
    <row r="4" spans="1:21" ht="12.75" customHeight="1">
      <c r="A4" s="801" t="s">
        <v>55</v>
      </c>
      <c r="B4" s="801"/>
      <c r="C4" s="801"/>
      <c r="D4" s="801"/>
      <c r="E4" s="801"/>
      <c r="F4" s="801"/>
      <c r="G4" s="801"/>
      <c r="H4" s="801"/>
      <c r="I4" s="801"/>
      <c r="J4" s="801"/>
      <c r="K4" s="803" t="s">
        <v>11</v>
      </c>
      <c r="L4" s="803"/>
      <c r="M4" s="803" t="s">
        <v>56</v>
      </c>
      <c r="N4" s="803"/>
      <c r="O4" s="803"/>
      <c r="P4" s="803"/>
      <c r="Q4" s="803" t="s">
        <v>57</v>
      </c>
      <c r="R4" s="803"/>
      <c r="S4" s="803"/>
      <c r="T4" s="803"/>
      <c r="U4" s="803" t="s">
        <v>50</v>
      </c>
    </row>
    <row r="5" spans="1:21" ht="12.75" customHeight="1">
      <c r="A5" s="801"/>
      <c r="B5" s="801"/>
      <c r="C5" s="801"/>
      <c r="D5" s="801"/>
      <c r="E5" s="801"/>
      <c r="F5" s="801"/>
      <c r="G5" s="801"/>
      <c r="H5" s="801"/>
      <c r="I5" s="801"/>
      <c r="J5" s="801"/>
      <c r="K5" s="803"/>
      <c r="L5" s="803"/>
      <c r="M5" s="803" t="s">
        <v>58</v>
      </c>
      <c r="N5" s="803"/>
      <c r="O5" s="803" t="s">
        <v>59</v>
      </c>
      <c r="P5" s="803"/>
      <c r="Q5" s="803" t="s">
        <v>58</v>
      </c>
      <c r="R5" s="803"/>
      <c r="S5" s="803" t="s">
        <v>59</v>
      </c>
      <c r="T5" s="803"/>
      <c r="U5" s="803"/>
    </row>
    <row r="6" spans="1:24" ht="12.75">
      <c r="A6" s="834" t="s">
        <v>226</v>
      </c>
      <c r="B6" s="834"/>
      <c r="C6" s="834"/>
      <c r="D6" s="834"/>
      <c r="E6" s="834"/>
      <c r="F6" s="834"/>
      <c r="G6" s="834"/>
      <c r="H6" s="834"/>
      <c r="I6" s="834"/>
      <c r="J6" s="834"/>
      <c r="K6" s="1028">
        <v>1</v>
      </c>
      <c r="L6" s="1028"/>
      <c r="M6" s="1028">
        <v>1</v>
      </c>
      <c r="N6" s="1028"/>
      <c r="O6" s="1028">
        <v>0</v>
      </c>
      <c r="P6" s="1028"/>
      <c r="Q6" s="833">
        <v>165.9267</v>
      </c>
      <c r="R6" s="833"/>
      <c r="S6" s="833">
        <v>74.2148</v>
      </c>
      <c r="T6" s="833"/>
      <c r="U6" s="103">
        <f>K6*TRUNC((M6*Q6+O6*S6),2)</f>
        <v>165.92</v>
      </c>
      <c r="X6" t="s">
        <v>218</v>
      </c>
    </row>
    <row r="7" spans="1:24" ht="26.25" customHeight="1">
      <c r="A7" s="1029" t="s">
        <v>227</v>
      </c>
      <c r="B7" s="1030"/>
      <c r="C7" s="1030"/>
      <c r="D7" s="1030"/>
      <c r="E7" s="1030"/>
      <c r="F7" s="1030"/>
      <c r="G7" s="1030"/>
      <c r="H7" s="1030"/>
      <c r="I7" s="1030"/>
      <c r="J7" s="1031"/>
      <c r="K7" s="1028">
        <v>1</v>
      </c>
      <c r="L7" s="1028"/>
      <c r="M7" s="1028">
        <v>0.44</v>
      </c>
      <c r="N7" s="1028"/>
      <c r="O7" s="1028">
        <v>0.56</v>
      </c>
      <c r="P7" s="1028"/>
      <c r="Q7" s="833">
        <v>124.3413</v>
      </c>
      <c r="R7" s="833"/>
      <c r="S7" s="833">
        <v>54.0388</v>
      </c>
      <c r="T7" s="833"/>
      <c r="U7" s="103">
        <f>K7*TRUNC((M7*Q7+O7*S7),2)</f>
        <v>84.97</v>
      </c>
      <c r="X7" t="s">
        <v>219</v>
      </c>
    </row>
    <row r="8" spans="1:24" ht="25.5" customHeight="1">
      <c r="A8" s="1032" t="s">
        <v>224</v>
      </c>
      <c r="B8" s="1033"/>
      <c r="C8" s="1033"/>
      <c r="D8" s="1033"/>
      <c r="E8" s="1033"/>
      <c r="F8" s="1033"/>
      <c r="G8" s="1033"/>
      <c r="H8" s="1033"/>
      <c r="I8" s="1033"/>
      <c r="J8" s="1034"/>
      <c r="K8" s="1028">
        <v>1</v>
      </c>
      <c r="L8" s="1028"/>
      <c r="M8" s="1028">
        <v>1</v>
      </c>
      <c r="N8" s="1028"/>
      <c r="O8" s="1028">
        <v>0</v>
      </c>
      <c r="P8" s="1028"/>
      <c r="Q8" s="833">
        <v>202.2255</v>
      </c>
      <c r="R8" s="833"/>
      <c r="S8" s="833">
        <v>50.6638</v>
      </c>
      <c r="T8" s="833"/>
      <c r="U8" s="103">
        <f>K8*TRUNC((M8*Q8+O8*S8),2)</f>
        <v>202.22</v>
      </c>
      <c r="X8" t="s">
        <v>220</v>
      </c>
    </row>
    <row r="9" spans="1:21" ht="13.5" thickBot="1">
      <c r="A9" s="831"/>
      <c r="B9" s="831"/>
      <c r="C9" s="831"/>
      <c r="D9" s="831"/>
      <c r="E9" s="831"/>
      <c r="F9" s="831"/>
      <c r="G9" s="831"/>
      <c r="H9" s="831"/>
      <c r="I9" s="831"/>
      <c r="J9" s="831"/>
      <c r="K9" s="1035"/>
      <c r="L9" s="1035"/>
      <c r="M9" s="1035"/>
      <c r="N9" s="1035"/>
      <c r="O9" s="1035"/>
      <c r="P9" s="1035"/>
      <c r="Q9" s="832"/>
      <c r="R9" s="832"/>
      <c r="S9" s="832"/>
      <c r="T9" s="832"/>
      <c r="U9" s="21"/>
    </row>
    <row r="10" spans="1:21" ht="14.25">
      <c r="A10" s="831"/>
      <c r="B10" s="831"/>
      <c r="C10" s="831"/>
      <c r="D10" s="831"/>
      <c r="E10" s="831"/>
      <c r="F10" s="831"/>
      <c r="G10" s="831"/>
      <c r="H10" s="831"/>
      <c r="I10" s="831"/>
      <c r="J10" s="831"/>
      <c r="K10" s="1035"/>
      <c r="L10" s="1035"/>
      <c r="M10" s="1035"/>
      <c r="N10" s="1035"/>
      <c r="O10" s="1035"/>
      <c r="P10" s="1035"/>
      <c r="Q10" s="143"/>
      <c r="R10" s="143"/>
      <c r="S10" s="832"/>
      <c r="T10" s="832"/>
      <c r="U10" s="21"/>
    </row>
    <row r="11" spans="1:21" ht="12.75">
      <c r="A11" s="831"/>
      <c r="B11" s="831"/>
      <c r="C11" s="831"/>
      <c r="D11" s="831"/>
      <c r="E11" s="831"/>
      <c r="F11" s="831"/>
      <c r="G11" s="831"/>
      <c r="H11" s="831"/>
      <c r="I11" s="831"/>
      <c r="J11" s="831"/>
      <c r="K11" s="1035"/>
      <c r="L11" s="1035"/>
      <c r="M11" s="1035"/>
      <c r="N11" s="1035"/>
      <c r="O11" s="1035"/>
      <c r="P11" s="1035"/>
      <c r="Q11" s="832"/>
      <c r="R11" s="832"/>
      <c r="S11" s="832"/>
      <c r="T11" s="832"/>
      <c r="U11" s="21"/>
    </row>
    <row r="12" spans="1:21" ht="12.75">
      <c r="A12" s="820"/>
      <c r="B12" s="820"/>
      <c r="C12" s="820"/>
      <c r="D12" s="820"/>
      <c r="E12" s="820"/>
      <c r="F12" s="820"/>
      <c r="G12" s="820"/>
      <c r="H12" s="820"/>
      <c r="I12" s="820"/>
      <c r="J12" s="820"/>
      <c r="K12" s="1035"/>
      <c r="L12" s="1035"/>
      <c r="M12" s="1035"/>
      <c r="N12" s="1035"/>
      <c r="O12" s="1035"/>
      <c r="P12" s="1035"/>
      <c r="Q12" s="832"/>
      <c r="R12" s="832"/>
      <c r="S12" s="832"/>
      <c r="T12" s="832"/>
      <c r="U12" s="21"/>
    </row>
    <row r="13" spans="1:21" ht="12.75">
      <c r="A13" s="820"/>
      <c r="B13" s="820"/>
      <c r="C13" s="820"/>
      <c r="D13" s="820"/>
      <c r="E13" s="820"/>
      <c r="F13" s="820"/>
      <c r="G13" s="820"/>
      <c r="H13" s="820"/>
      <c r="I13" s="820"/>
      <c r="J13" s="820"/>
      <c r="K13" s="1035"/>
      <c r="L13" s="1035"/>
      <c r="M13" s="1035"/>
      <c r="N13" s="1035"/>
      <c r="O13" s="1035"/>
      <c r="P13" s="1035"/>
      <c r="Q13" s="832"/>
      <c r="R13" s="832"/>
      <c r="S13" s="832"/>
      <c r="T13" s="832"/>
      <c r="U13" s="21"/>
    </row>
    <row r="14" spans="1:21" ht="12.75">
      <c r="A14" s="831"/>
      <c r="B14" s="831"/>
      <c r="C14" s="831"/>
      <c r="D14" s="831"/>
      <c r="E14" s="831"/>
      <c r="F14" s="831"/>
      <c r="G14" s="831"/>
      <c r="H14" s="831"/>
      <c r="I14" s="831"/>
      <c r="J14" s="831"/>
      <c r="K14" s="1035"/>
      <c r="L14" s="1035"/>
      <c r="M14" s="1035"/>
      <c r="N14" s="1035"/>
      <c r="O14" s="1035"/>
      <c r="P14" s="1035"/>
      <c r="Q14" s="832"/>
      <c r="R14" s="832"/>
      <c r="S14" s="832"/>
      <c r="T14" s="832"/>
      <c r="U14" s="21"/>
    </row>
    <row r="15" spans="1:21" ht="12.75">
      <c r="A15" s="1038"/>
      <c r="B15" s="1038"/>
      <c r="C15" s="1038"/>
      <c r="D15" s="1038"/>
      <c r="E15" s="1038"/>
      <c r="F15" s="1038"/>
      <c r="G15" s="1038"/>
      <c r="H15" s="1038"/>
      <c r="I15" s="1038"/>
      <c r="J15" s="1038"/>
      <c r="K15" s="1039"/>
      <c r="L15" s="1039"/>
      <c r="M15" s="805"/>
      <c r="N15" s="805"/>
      <c r="O15" s="805"/>
      <c r="P15" s="805"/>
      <c r="Q15" s="1036"/>
      <c r="R15" s="1036"/>
      <c r="S15" s="1036"/>
      <c r="T15" s="1036"/>
      <c r="U15" s="21"/>
    </row>
    <row r="16" spans="1:21" ht="12.75">
      <c r="A16" s="1037"/>
      <c r="B16" s="1037"/>
      <c r="C16" s="1037"/>
      <c r="D16" s="1037"/>
      <c r="E16" s="1037"/>
      <c r="F16" s="1037"/>
      <c r="G16" s="1037"/>
      <c r="H16" s="1037"/>
      <c r="I16" s="1037"/>
      <c r="J16" s="1037"/>
      <c r="K16" s="1037"/>
      <c r="L16" s="1037"/>
      <c r="M16" s="1037"/>
      <c r="N16" s="1037"/>
      <c r="O16" s="1037"/>
      <c r="P16" s="1037"/>
      <c r="Q16" s="1037"/>
      <c r="R16" s="785" t="s">
        <v>60</v>
      </c>
      <c r="S16" s="785"/>
      <c r="T16" s="785"/>
      <c r="U16" s="22">
        <f>SUM(U6:U15)</f>
        <v>453.11</v>
      </c>
    </row>
    <row r="17" spans="1:21" ht="24" customHeight="1">
      <c r="A17" s="801" t="s">
        <v>61</v>
      </c>
      <c r="B17" s="801"/>
      <c r="C17" s="801"/>
      <c r="D17" s="801"/>
      <c r="E17" s="801"/>
      <c r="F17" s="801"/>
      <c r="G17" s="801"/>
      <c r="H17" s="801"/>
      <c r="I17" s="801"/>
      <c r="J17" s="801"/>
      <c r="K17" s="801"/>
      <c r="L17" s="801"/>
      <c r="M17" s="801"/>
      <c r="N17" s="801"/>
      <c r="O17" s="803" t="s">
        <v>2</v>
      </c>
      <c r="P17" s="803"/>
      <c r="Q17" s="803"/>
      <c r="R17" s="803" t="s">
        <v>62</v>
      </c>
      <c r="S17" s="803"/>
      <c r="T17" s="803"/>
      <c r="U17" s="253" t="s">
        <v>50</v>
      </c>
    </row>
    <row r="18" spans="1:21" ht="12.75" customHeight="1">
      <c r="A18" s="827" t="s">
        <v>241</v>
      </c>
      <c r="B18" s="827"/>
      <c r="C18" s="827"/>
      <c r="D18" s="827"/>
      <c r="E18" s="827"/>
      <c r="F18" s="827"/>
      <c r="G18" s="827"/>
      <c r="H18" s="827"/>
      <c r="I18" s="827"/>
      <c r="J18" s="827"/>
      <c r="K18" s="827"/>
      <c r="L18" s="827"/>
      <c r="M18" s="827"/>
      <c r="N18" s="827"/>
      <c r="O18" s="810">
        <v>1.5</v>
      </c>
      <c r="P18" s="810"/>
      <c r="Q18" s="810"/>
      <c r="R18" s="828">
        <v>15.8898</v>
      </c>
      <c r="S18" s="828"/>
      <c r="T18" s="828"/>
      <c r="U18" s="23">
        <f>ROUND(R18*O18,2)</f>
        <v>23.83</v>
      </c>
    </row>
    <row r="19" spans="1:21" ht="12.75">
      <c r="A19" s="827"/>
      <c r="B19" s="827"/>
      <c r="C19" s="827"/>
      <c r="D19" s="827"/>
      <c r="E19" s="827"/>
      <c r="F19" s="827"/>
      <c r="G19" s="827"/>
      <c r="H19" s="827"/>
      <c r="I19" s="827"/>
      <c r="J19" s="827"/>
      <c r="K19" s="827"/>
      <c r="L19" s="827"/>
      <c r="M19" s="827"/>
      <c r="N19" s="827"/>
      <c r="O19" s="810"/>
      <c r="P19" s="810"/>
      <c r="Q19" s="810"/>
      <c r="R19" s="828"/>
      <c r="S19" s="828"/>
      <c r="T19" s="828"/>
      <c r="U19" s="23"/>
    </row>
    <row r="20" spans="1:21" ht="12.75">
      <c r="A20" s="829"/>
      <c r="B20" s="829"/>
      <c r="C20" s="829"/>
      <c r="D20" s="829"/>
      <c r="E20" s="829"/>
      <c r="F20" s="829"/>
      <c r="G20" s="829"/>
      <c r="H20" s="829"/>
      <c r="I20" s="829"/>
      <c r="J20" s="829"/>
      <c r="K20" s="829"/>
      <c r="L20" s="829"/>
      <c r="M20" s="829"/>
      <c r="N20" s="829"/>
      <c r="O20" s="806"/>
      <c r="P20" s="806"/>
      <c r="Q20" s="806"/>
      <c r="R20" s="807"/>
      <c r="S20" s="807"/>
      <c r="T20" s="807"/>
      <c r="U20" s="24"/>
    </row>
    <row r="21" spans="1:21" ht="12.75">
      <c r="A21" s="1037"/>
      <c r="B21" s="1037"/>
      <c r="C21" s="1037"/>
      <c r="D21" s="1037"/>
      <c r="E21" s="1037"/>
      <c r="F21" s="1037"/>
      <c r="G21" s="1037"/>
      <c r="H21" s="1037"/>
      <c r="I21" s="1037"/>
      <c r="J21" s="1037"/>
      <c r="K21" s="1037"/>
      <c r="L21" s="1037"/>
      <c r="M21" s="1037"/>
      <c r="N21" s="1037"/>
      <c r="O21" s="1037"/>
      <c r="P21" s="1037"/>
      <c r="Q21" s="1037"/>
      <c r="R21" s="785" t="s">
        <v>63</v>
      </c>
      <c r="S21" s="785"/>
      <c r="T21" s="785"/>
      <c r="U21" s="25">
        <f>SUM(U18:U20)</f>
        <v>23.83</v>
      </c>
    </row>
    <row r="22" spans="1:21" ht="12.75">
      <c r="A22" s="822" t="s">
        <v>64</v>
      </c>
      <c r="B22" s="822"/>
      <c r="C22" s="822"/>
      <c r="D22" s="822"/>
      <c r="E22" s="822"/>
      <c r="F22" s="822"/>
      <c r="G22" s="822"/>
      <c r="H22" s="822"/>
      <c r="I22" s="823"/>
      <c r="J22" s="824">
        <v>1.5</v>
      </c>
      <c r="K22" s="825"/>
      <c r="L22" s="825"/>
      <c r="M22" s="826" t="s">
        <v>65</v>
      </c>
      <c r="N22" s="826"/>
      <c r="O22" s="826"/>
      <c r="P22" s="826"/>
      <c r="Q22" s="826"/>
      <c r="R22" s="826"/>
      <c r="S22" s="826"/>
      <c r="T22" s="826"/>
      <c r="U22" s="25">
        <f>SUM(U16,U21)</f>
        <v>476.94</v>
      </c>
    </row>
    <row r="23" spans="1:21" ht="12.75">
      <c r="A23" s="802"/>
      <c r="B23" s="802"/>
      <c r="C23" s="802"/>
      <c r="D23" s="802" t="s">
        <v>66</v>
      </c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25">
        <f>U22/J22</f>
        <v>317.96</v>
      </c>
    </row>
    <row r="24" spans="1:21" ht="24" customHeight="1">
      <c r="A24" s="801" t="s">
        <v>67</v>
      </c>
      <c r="B24" s="801"/>
      <c r="C24" s="801"/>
      <c r="D24" s="801"/>
      <c r="E24" s="801"/>
      <c r="F24" s="801"/>
      <c r="G24" s="801"/>
      <c r="H24" s="801"/>
      <c r="I24" s="801"/>
      <c r="J24" s="801"/>
      <c r="K24" s="801"/>
      <c r="L24" s="801"/>
      <c r="M24" s="803" t="s">
        <v>1</v>
      </c>
      <c r="N24" s="803"/>
      <c r="O24" s="803" t="s">
        <v>68</v>
      </c>
      <c r="P24" s="803"/>
      <c r="Q24" s="803"/>
      <c r="R24" s="803" t="s">
        <v>69</v>
      </c>
      <c r="S24" s="803"/>
      <c r="T24" s="803"/>
      <c r="U24" s="253" t="s">
        <v>70</v>
      </c>
    </row>
    <row r="25" spans="1:21" ht="12.75">
      <c r="A25" s="812" t="s">
        <v>171</v>
      </c>
      <c r="B25" s="813"/>
      <c r="C25" s="813"/>
      <c r="D25" s="813"/>
      <c r="E25" s="813"/>
      <c r="F25" s="813"/>
      <c r="G25" s="813"/>
      <c r="H25" s="813"/>
      <c r="I25" s="813"/>
      <c r="J25" s="813"/>
      <c r="K25" s="813"/>
      <c r="L25" s="814"/>
      <c r="M25" s="815" t="s">
        <v>4</v>
      </c>
      <c r="N25" s="816"/>
      <c r="O25" s="817">
        <v>1.15</v>
      </c>
      <c r="P25" s="818"/>
      <c r="Q25" s="819"/>
      <c r="R25" s="1040">
        <v>82.3251</v>
      </c>
      <c r="S25" s="1041"/>
      <c r="T25" s="1042"/>
      <c r="U25" s="23">
        <f>TRUNC(O25*R25,2)</f>
        <v>94.67</v>
      </c>
    </row>
    <row r="26" spans="1:21" ht="12.75">
      <c r="A26" s="820"/>
      <c r="B26" s="820"/>
      <c r="C26" s="820"/>
      <c r="D26" s="820"/>
      <c r="E26" s="820"/>
      <c r="F26" s="820"/>
      <c r="G26" s="820"/>
      <c r="H26" s="820"/>
      <c r="I26" s="820"/>
      <c r="J26" s="820"/>
      <c r="K26" s="820"/>
      <c r="L26" s="820"/>
      <c r="M26" s="809"/>
      <c r="N26" s="809"/>
      <c r="O26" s="821"/>
      <c r="P26" s="821"/>
      <c r="Q26" s="821"/>
      <c r="R26" s="811"/>
      <c r="S26" s="811"/>
      <c r="T26" s="811"/>
      <c r="U26" s="23"/>
    </row>
    <row r="27" spans="1:21" ht="12.75">
      <c r="A27" s="820"/>
      <c r="B27" s="820"/>
      <c r="C27" s="820"/>
      <c r="D27" s="820"/>
      <c r="E27" s="820"/>
      <c r="F27" s="820"/>
      <c r="G27" s="820"/>
      <c r="H27" s="820"/>
      <c r="I27" s="820"/>
      <c r="J27" s="820"/>
      <c r="K27" s="820"/>
      <c r="L27" s="820"/>
      <c r="M27" s="809"/>
      <c r="N27" s="809"/>
      <c r="O27" s="810"/>
      <c r="P27" s="810"/>
      <c r="Q27" s="810"/>
      <c r="R27" s="828"/>
      <c r="S27" s="828"/>
      <c r="T27" s="828"/>
      <c r="U27" s="23"/>
    </row>
    <row r="28" spans="1:21" ht="12.75">
      <c r="A28" s="820"/>
      <c r="B28" s="820"/>
      <c r="C28" s="820"/>
      <c r="D28" s="820"/>
      <c r="E28" s="820"/>
      <c r="F28" s="820"/>
      <c r="G28" s="820"/>
      <c r="H28" s="820"/>
      <c r="I28" s="820"/>
      <c r="J28" s="820"/>
      <c r="K28" s="820"/>
      <c r="L28" s="820"/>
      <c r="M28" s="809"/>
      <c r="N28" s="809"/>
      <c r="O28" s="810"/>
      <c r="P28" s="810"/>
      <c r="Q28" s="810"/>
      <c r="R28" s="828"/>
      <c r="S28" s="828"/>
      <c r="T28" s="828"/>
      <c r="U28" s="23"/>
    </row>
    <row r="29" spans="1:21" ht="12.75">
      <c r="A29" s="808"/>
      <c r="B29" s="808"/>
      <c r="C29" s="808"/>
      <c r="D29" s="808"/>
      <c r="E29" s="808"/>
      <c r="F29" s="808"/>
      <c r="G29" s="808"/>
      <c r="H29" s="808"/>
      <c r="I29" s="808"/>
      <c r="J29" s="808"/>
      <c r="K29" s="808"/>
      <c r="L29" s="808"/>
      <c r="M29" s="809"/>
      <c r="N29" s="809"/>
      <c r="O29" s="810"/>
      <c r="P29" s="810"/>
      <c r="Q29" s="810"/>
      <c r="R29" s="1043"/>
      <c r="S29" s="1043"/>
      <c r="T29" s="1043"/>
      <c r="U29" s="23"/>
    </row>
    <row r="30" spans="1:21" ht="12.75">
      <c r="A30" s="812"/>
      <c r="B30" s="813"/>
      <c r="C30" s="813"/>
      <c r="D30" s="813"/>
      <c r="E30" s="813"/>
      <c r="F30" s="813"/>
      <c r="G30" s="813"/>
      <c r="H30" s="813"/>
      <c r="I30" s="813"/>
      <c r="J30" s="813"/>
      <c r="K30" s="813"/>
      <c r="L30" s="814"/>
      <c r="M30" s="815"/>
      <c r="N30" s="816"/>
      <c r="O30" s="817"/>
      <c r="P30" s="818"/>
      <c r="Q30" s="819"/>
      <c r="R30" s="1040"/>
      <c r="S30" s="1041"/>
      <c r="T30" s="1042"/>
      <c r="U30" s="23"/>
    </row>
    <row r="31" spans="1:21" ht="12.75">
      <c r="A31" s="804"/>
      <c r="B31" s="804"/>
      <c r="C31" s="804"/>
      <c r="D31" s="804"/>
      <c r="E31" s="804"/>
      <c r="F31" s="804"/>
      <c r="G31" s="804"/>
      <c r="H31" s="804"/>
      <c r="I31" s="804"/>
      <c r="J31" s="804"/>
      <c r="K31" s="804"/>
      <c r="L31" s="804"/>
      <c r="M31" s="805"/>
      <c r="N31" s="805"/>
      <c r="O31" s="806"/>
      <c r="P31" s="806"/>
      <c r="Q31" s="806"/>
      <c r="R31" s="807"/>
      <c r="S31" s="807"/>
      <c r="T31" s="807"/>
      <c r="U31" s="26"/>
    </row>
    <row r="32" spans="1:21" ht="12.75">
      <c r="A32" s="1037"/>
      <c r="B32" s="1037"/>
      <c r="C32" s="1037"/>
      <c r="D32" s="1037"/>
      <c r="E32" s="1037"/>
      <c r="F32" s="1037"/>
      <c r="G32" s="1037"/>
      <c r="H32" s="1037"/>
      <c r="I32" s="1037"/>
      <c r="J32" s="1037"/>
      <c r="K32" s="1037"/>
      <c r="L32" s="1037"/>
      <c r="M32" s="1037"/>
      <c r="N32" s="1037"/>
      <c r="O32" s="1037"/>
      <c r="P32" s="1037"/>
      <c r="Q32" s="1037"/>
      <c r="R32" s="785" t="s">
        <v>71</v>
      </c>
      <c r="S32" s="785"/>
      <c r="T32" s="785"/>
      <c r="U32" s="25">
        <f>SUM(U25:U31)</f>
        <v>94.67</v>
      </c>
    </row>
    <row r="33" spans="1:21" ht="12.75" customHeight="1">
      <c r="A33" s="801" t="s">
        <v>72</v>
      </c>
      <c r="B33" s="801"/>
      <c r="C33" s="801"/>
      <c r="D33" s="801"/>
      <c r="E33" s="801"/>
      <c r="F33" s="801"/>
      <c r="G33" s="801"/>
      <c r="H33" s="801"/>
      <c r="I33" s="802" t="s">
        <v>73</v>
      </c>
      <c r="J33" s="802"/>
      <c r="K33" s="802"/>
      <c r="L33" s="802"/>
      <c r="M33" s="802"/>
      <c r="N33" s="802"/>
      <c r="O33" s="803" t="s">
        <v>74</v>
      </c>
      <c r="P33" s="803"/>
      <c r="Q33" s="803"/>
      <c r="R33" s="803" t="s">
        <v>69</v>
      </c>
      <c r="S33" s="803"/>
      <c r="T33" s="803"/>
      <c r="U33" s="803" t="s">
        <v>70</v>
      </c>
    </row>
    <row r="34" spans="1:21" ht="12.75">
      <c r="A34" s="801"/>
      <c r="B34" s="801"/>
      <c r="C34" s="801"/>
      <c r="D34" s="801"/>
      <c r="E34" s="801"/>
      <c r="F34" s="801"/>
      <c r="G34" s="801"/>
      <c r="H34" s="801"/>
      <c r="I34" s="802" t="s">
        <v>75</v>
      </c>
      <c r="J34" s="802"/>
      <c r="K34" s="802" t="s">
        <v>76</v>
      </c>
      <c r="L34" s="802"/>
      <c r="M34" s="802" t="s">
        <v>14</v>
      </c>
      <c r="N34" s="802"/>
      <c r="O34" s="803"/>
      <c r="P34" s="803"/>
      <c r="Q34" s="803"/>
      <c r="R34" s="803"/>
      <c r="S34" s="803"/>
      <c r="T34" s="803"/>
      <c r="U34" s="803"/>
    </row>
    <row r="35" spans="1:21" ht="12.75">
      <c r="A35" s="797"/>
      <c r="B35" s="797"/>
      <c r="C35" s="797"/>
      <c r="D35" s="797"/>
      <c r="E35" s="797"/>
      <c r="F35" s="797"/>
      <c r="G35" s="797"/>
      <c r="H35" s="797"/>
      <c r="I35" s="798"/>
      <c r="J35" s="798"/>
      <c r="K35" s="798"/>
      <c r="L35" s="798"/>
      <c r="M35" s="798"/>
      <c r="N35" s="798"/>
      <c r="O35" s="799"/>
      <c r="P35" s="799"/>
      <c r="Q35" s="799"/>
      <c r="R35" s="800"/>
      <c r="S35" s="800"/>
      <c r="T35" s="800"/>
      <c r="U35" s="252">
        <f>INT((M35*O35*R35)*100)/100</f>
        <v>0</v>
      </c>
    </row>
    <row r="36" spans="1:21" ht="12.75">
      <c r="A36" s="793"/>
      <c r="B36" s="793"/>
      <c r="C36" s="793"/>
      <c r="D36" s="793"/>
      <c r="E36" s="793"/>
      <c r="F36" s="793"/>
      <c r="G36" s="793"/>
      <c r="H36" s="793"/>
      <c r="I36" s="794"/>
      <c r="J36" s="794"/>
      <c r="K36" s="794"/>
      <c r="L36" s="794"/>
      <c r="M36" s="794"/>
      <c r="N36" s="794"/>
      <c r="O36" s="795"/>
      <c r="P36" s="795"/>
      <c r="Q36" s="795"/>
      <c r="R36" s="796"/>
      <c r="S36" s="796"/>
      <c r="T36" s="796"/>
      <c r="U36" s="254">
        <f>INT((M36*O36*R36)*100)/100</f>
        <v>0</v>
      </c>
    </row>
    <row r="37" spans="1:21" ht="12.75">
      <c r="A37" s="793"/>
      <c r="B37" s="793"/>
      <c r="C37" s="793"/>
      <c r="D37" s="793"/>
      <c r="E37" s="793"/>
      <c r="F37" s="793"/>
      <c r="G37" s="793"/>
      <c r="H37" s="793"/>
      <c r="I37" s="794"/>
      <c r="J37" s="794"/>
      <c r="K37" s="794"/>
      <c r="L37" s="794"/>
      <c r="M37" s="794">
        <f>SUM(I37:L37)</f>
        <v>0</v>
      </c>
      <c r="N37" s="794"/>
      <c r="O37" s="795"/>
      <c r="P37" s="795"/>
      <c r="Q37" s="795"/>
      <c r="R37" s="796"/>
      <c r="S37" s="796"/>
      <c r="T37" s="796"/>
      <c r="U37" s="254">
        <f>INT((M37*O37*R37)*100)/100</f>
        <v>0</v>
      </c>
    </row>
    <row r="38" spans="1:21" ht="12.75">
      <c r="A38" s="789"/>
      <c r="B38" s="789"/>
      <c r="C38" s="789"/>
      <c r="D38" s="789"/>
      <c r="E38" s="789"/>
      <c r="F38" s="789"/>
      <c r="G38" s="789"/>
      <c r="H38" s="789"/>
      <c r="I38" s="790"/>
      <c r="J38" s="790"/>
      <c r="K38" s="790"/>
      <c r="L38" s="790"/>
      <c r="M38" s="790">
        <f>SUM(I38:L38)</f>
        <v>0</v>
      </c>
      <c r="N38" s="790"/>
      <c r="O38" s="791"/>
      <c r="P38" s="791"/>
      <c r="Q38" s="791"/>
      <c r="R38" s="792"/>
      <c r="S38" s="792"/>
      <c r="T38" s="792"/>
      <c r="U38" s="255">
        <f>INT((M38*O38*R38)*100)/100</f>
        <v>0</v>
      </c>
    </row>
    <row r="39" spans="1:21" ht="12.75">
      <c r="A39" s="1037"/>
      <c r="B39" s="1037"/>
      <c r="C39" s="1037"/>
      <c r="D39" s="1037"/>
      <c r="E39" s="1037"/>
      <c r="F39" s="1037"/>
      <c r="G39" s="1037"/>
      <c r="H39" s="1037"/>
      <c r="I39" s="1037"/>
      <c r="J39" s="1037"/>
      <c r="K39" s="1037"/>
      <c r="L39" s="1037"/>
      <c r="M39" s="1037"/>
      <c r="N39" s="1037"/>
      <c r="O39" s="1037"/>
      <c r="P39" s="1037"/>
      <c r="Q39" s="1037"/>
      <c r="R39" s="785" t="s">
        <v>77</v>
      </c>
      <c r="S39" s="785"/>
      <c r="T39" s="785"/>
      <c r="U39" s="27">
        <f>SUM(U35:U38)</f>
        <v>0</v>
      </c>
    </row>
    <row r="40" spans="1:21" ht="12.75">
      <c r="A40" s="1037"/>
      <c r="B40" s="1037"/>
      <c r="C40" s="1037"/>
      <c r="D40" s="1037"/>
      <c r="E40" s="1037"/>
      <c r="F40" s="1037"/>
      <c r="G40" s="1037"/>
      <c r="H40" s="1037"/>
      <c r="I40" s="1037"/>
      <c r="J40" s="1037"/>
      <c r="K40" s="1037"/>
      <c r="L40" s="1037"/>
      <c r="M40" s="1037"/>
      <c r="N40" s="1037"/>
      <c r="O40" s="1037"/>
      <c r="P40" s="1037"/>
      <c r="Q40" s="1037"/>
      <c r="R40" s="1037"/>
      <c r="S40" s="1037"/>
      <c r="T40" s="1037"/>
      <c r="U40" s="1037"/>
    </row>
    <row r="41" spans="1:21" ht="12.75">
      <c r="A41" s="786" t="s">
        <v>78</v>
      </c>
      <c r="B41" s="786"/>
      <c r="C41" s="786"/>
      <c r="D41" s="786"/>
      <c r="E41" s="786"/>
      <c r="F41" s="786"/>
      <c r="G41" s="786"/>
      <c r="H41" s="786"/>
      <c r="I41" s="786"/>
      <c r="J41" s="786"/>
      <c r="K41" s="786"/>
      <c r="L41" s="786"/>
      <c r="M41" s="786"/>
      <c r="N41" s="786"/>
      <c r="O41" s="786"/>
      <c r="P41" s="786"/>
      <c r="Q41" s="786"/>
      <c r="R41" s="786"/>
      <c r="S41" s="786"/>
      <c r="T41" s="786"/>
      <c r="U41" s="28">
        <f>SUM(U23,U32,U39)</f>
        <v>412.63</v>
      </c>
    </row>
    <row r="42" spans="1:21" ht="12.75">
      <c r="A42" s="29" t="s">
        <v>79</v>
      </c>
      <c r="B42" s="30"/>
      <c r="C42" s="30"/>
      <c r="D42" s="30"/>
      <c r="E42" s="30"/>
      <c r="F42" s="30"/>
      <c r="G42" s="30"/>
      <c r="H42" s="31" t="s">
        <v>80</v>
      </c>
      <c r="I42" s="787">
        <v>0</v>
      </c>
      <c r="J42" s="787"/>
      <c r="K42" s="30" t="s">
        <v>81</v>
      </c>
      <c r="L42" s="30"/>
      <c r="M42" s="30"/>
      <c r="N42" s="30"/>
      <c r="O42" s="30"/>
      <c r="P42" s="30"/>
      <c r="Q42" s="30"/>
      <c r="R42" s="30"/>
      <c r="S42" s="30"/>
      <c r="T42" s="30"/>
      <c r="U42" s="32">
        <f>TRUNC((U41*I42),2)</f>
        <v>0</v>
      </c>
    </row>
    <row r="43" spans="1:21" ht="18.75">
      <c r="A43" s="1044" t="s">
        <v>82</v>
      </c>
      <c r="B43" s="1044"/>
      <c r="C43" s="1044"/>
      <c r="D43" s="1044"/>
      <c r="E43" s="1044"/>
      <c r="F43" s="1044"/>
      <c r="G43" s="1044"/>
      <c r="H43" s="1044"/>
      <c r="I43" s="1044"/>
      <c r="J43" s="1044"/>
      <c r="K43" s="1044"/>
      <c r="L43" s="1044"/>
      <c r="M43" s="1044"/>
      <c r="N43" s="1044"/>
      <c r="O43" s="1044"/>
      <c r="P43" s="1044"/>
      <c r="Q43" s="1044"/>
      <c r="R43" s="1044"/>
      <c r="S43" s="1044"/>
      <c r="T43" s="1044"/>
      <c r="U43" s="32">
        <f>TRUNC((U42+U41),2)</f>
        <v>412.63</v>
      </c>
    </row>
  </sheetData>
  <sheetProtection/>
  <mergeCells count="166">
    <mergeCell ref="A39:Q39"/>
    <mergeCell ref="R39:T39"/>
    <mergeCell ref="A40:U40"/>
    <mergeCell ref="A41:T41"/>
    <mergeCell ref="I42:J42"/>
    <mergeCell ref="A43:T43"/>
    <mergeCell ref="A38:H38"/>
    <mergeCell ref="I38:J38"/>
    <mergeCell ref="K38:L38"/>
    <mergeCell ref="M38:N38"/>
    <mergeCell ref="O38:Q38"/>
    <mergeCell ref="R38:T38"/>
    <mergeCell ref="A37:H37"/>
    <mergeCell ref="I37:J37"/>
    <mergeCell ref="K37:L37"/>
    <mergeCell ref="M37:N37"/>
    <mergeCell ref="O37:Q37"/>
    <mergeCell ref="R37:T37"/>
    <mergeCell ref="A36:H36"/>
    <mergeCell ref="I36:J36"/>
    <mergeCell ref="K36:L36"/>
    <mergeCell ref="M36:N36"/>
    <mergeCell ref="O36:Q36"/>
    <mergeCell ref="R36:T36"/>
    <mergeCell ref="A35:H35"/>
    <mergeCell ref="I35:J35"/>
    <mergeCell ref="K35:L35"/>
    <mergeCell ref="M35:N35"/>
    <mergeCell ref="O35:Q35"/>
    <mergeCell ref="R35:T35"/>
    <mergeCell ref="A33:H34"/>
    <mergeCell ref="I33:N33"/>
    <mergeCell ref="O33:Q34"/>
    <mergeCell ref="R33:T34"/>
    <mergeCell ref="U33:U34"/>
    <mergeCell ref="I34:J34"/>
    <mergeCell ref="K34:L34"/>
    <mergeCell ref="M34:N34"/>
    <mergeCell ref="A31:L31"/>
    <mergeCell ref="M31:N31"/>
    <mergeCell ref="O31:Q31"/>
    <mergeCell ref="R31:T31"/>
    <mergeCell ref="A32:Q32"/>
    <mergeCell ref="R32:T32"/>
    <mergeCell ref="A29:L29"/>
    <mergeCell ref="M29:N29"/>
    <mergeCell ref="O29:Q29"/>
    <mergeCell ref="R29:T29"/>
    <mergeCell ref="A30:L30"/>
    <mergeCell ref="M30:N30"/>
    <mergeCell ref="O30:Q30"/>
    <mergeCell ref="R30:T30"/>
    <mergeCell ref="A27:L27"/>
    <mergeCell ref="M27:N27"/>
    <mergeCell ref="O27:Q27"/>
    <mergeCell ref="R27:T27"/>
    <mergeCell ref="A28:L28"/>
    <mergeCell ref="M28:N28"/>
    <mergeCell ref="O28:Q28"/>
    <mergeCell ref="R28:T28"/>
    <mergeCell ref="A25:L25"/>
    <mergeCell ref="M25:N25"/>
    <mergeCell ref="O25:Q25"/>
    <mergeCell ref="R25:T25"/>
    <mergeCell ref="A26:L26"/>
    <mergeCell ref="M26:N26"/>
    <mergeCell ref="O26:Q26"/>
    <mergeCell ref="R26:T26"/>
    <mergeCell ref="A23:C23"/>
    <mergeCell ref="D23:T23"/>
    <mergeCell ref="A24:L24"/>
    <mergeCell ref="M24:N24"/>
    <mergeCell ref="O24:Q24"/>
    <mergeCell ref="R24:T24"/>
    <mergeCell ref="A20:N20"/>
    <mergeCell ref="O20:Q20"/>
    <mergeCell ref="R20:T20"/>
    <mergeCell ref="A21:Q21"/>
    <mergeCell ref="R21:T21"/>
    <mergeCell ref="A22:I22"/>
    <mergeCell ref="J22:L22"/>
    <mergeCell ref="M22:T22"/>
    <mergeCell ref="A18:N18"/>
    <mergeCell ref="O18:Q18"/>
    <mergeCell ref="R18:T18"/>
    <mergeCell ref="A19:N19"/>
    <mergeCell ref="O19:Q19"/>
    <mergeCell ref="R19:T19"/>
    <mergeCell ref="A16:Q16"/>
    <mergeCell ref="R16:T16"/>
    <mergeCell ref="A17:N17"/>
    <mergeCell ref="O17:Q17"/>
    <mergeCell ref="R17:T17"/>
    <mergeCell ref="A15:J15"/>
    <mergeCell ref="K15:L15"/>
    <mergeCell ref="M15:N15"/>
    <mergeCell ref="O15:P15"/>
    <mergeCell ref="Q15:R15"/>
    <mergeCell ref="S15:T15"/>
    <mergeCell ref="A14:J14"/>
    <mergeCell ref="K14:L14"/>
    <mergeCell ref="M14:N14"/>
    <mergeCell ref="O14:P14"/>
    <mergeCell ref="Q14:R14"/>
    <mergeCell ref="S14:T14"/>
    <mergeCell ref="A13:J13"/>
    <mergeCell ref="K13:L13"/>
    <mergeCell ref="M13:N13"/>
    <mergeCell ref="O13:P13"/>
    <mergeCell ref="Q13:R13"/>
    <mergeCell ref="S13:T13"/>
    <mergeCell ref="A12:J12"/>
    <mergeCell ref="K12:L12"/>
    <mergeCell ref="M12:N12"/>
    <mergeCell ref="O12:P12"/>
    <mergeCell ref="Q12:R12"/>
    <mergeCell ref="S12:T12"/>
    <mergeCell ref="A11:J11"/>
    <mergeCell ref="K11:L11"/>
    <mergeCell ref="M11:N11"/>
    <mergeCell ref="O11:P11"/>
    <mergeCell ref="Q11:R11"/>
    <mergeCell ref="S11:T11"/>
    <mergeCell ref="A10:J10"/>
    <mergeCell ref="K10:L10"/>
    <mergeCell ref="M10:N10"/>
    <mergeCell ref="O10:P10"/>
    <mergeCell ref="S10:T10"/>
    <mergeCell ref="A9:J9"/>
    <mergeCell ref="K9:L9"/>
    <mergeCell ref="M9:N9"/>
    <mergeCell ref="O9:P9"/>
    <mergeCell ref="Q9:R9"/>
    <mergeCell ref="S9:T9"/>
    <mergeCell ref="A8:J8"/>
    <mergeCell ref="K8:L8"/>
    <mergeCell ref="M8:N8"/>
    <mergeCell ref="O8:P8"/>
    <mergeCell ref="Q8:R8"/>
    <mergeCell ref="S8:T8"/>
    <mergeCell ref="S6:T6"/>
    <mergeCell ref="A7:J7"/>
    <mergeCell ref="K7:L7"/>
    <mergeCell ref="M7:N7"/>
    <mergeCell ref="O7:P7"/>
    <mergeCell ref="Q7:R7"/>
    <mergeCell ref="S7:T7"/>
    <mergeCell ref="U4:U5"/>
    <mergeCell ref="M5:N5"/>
    <mergeCell ref="O5:P5"/>
    <mergeCell ref="Q5:R5"/>
    <mergeCell ref="S5:T5"/>
    <mergeCell ref="A6:J6"/>
    <mergeCell ref="K6:L6"/>
    <mergeCell ref="M6:N6"/>
    <mergeCell ref="O6:P6"/>
    <mergeCell ref="Q6:R6"/>
    <mergeCell ref="A1:T1"/>
    <mergeCell ref="A2:E2"/>
    <mergeCell ref="F2:T2"/>
    <mergeCell ref="A3:E3"/>
    <mergeCell ref="F3:T3"/>
    <mergeCell ref="A4:J5"/>
    <mergeCell ref="K4:L5"/>
    <mergeCell ref="M4:P4"/>
    <mergeCell ref="Q4:T4"/>
  </mergeCells>
  <conditionalFormatting sqref="O6:P6 O9:P14">
    <cfRule type="cellIs" priority="3" dxfId="0" operator="equal" stopIfTrue="1">
      <formula>1</formula>
    </cfRule>
  </conditionalFormatting>
  <conditionalFormatting sqref="O7:P7">
    <cfRule type="cellIs" priority="2" dxfId="0" operator="equal" stopIfTrue="1">
      <formula>1</formula>
    </cfRule>
  </conditionalFormatting>
  <conditionalFormatting sqref="O8:P8">
    <cfRule type="cellIs" priority="1" dxfId="0" operator="equal" stopIfTrue="1">
      <formula>1</formula>
    </cfRule>
  </conditionalFormatting>
  <printOptions/>
  <pageMargins left="0.5118110236220472" right="0.31496062992125984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J41" sqref="J41"/>
    </sheetView>
  </sheetViews>
  <sheetFormatPr defaultColWidth="9.140625" defaultRowHeight="12.75"/>
  <cols>
    <col min="1" max="1" width="3.421875" style="0" bestFit="1" customWidth="1"/>
    <col min="2" max="2" width="11.421875" style="0" bestFit="1" customWidth="1"/>
    <col min="3" max="3" width="68.57421875" style="0" bestFit="1" customWidth="1"/>
    <col min="4" max="4" width="34.28125" style="0" bestFit="1" customWidth="1"/>
    <col min="5" max="5" width="11.421875" style="0" bestFit="1" customWidth="1"/>
    <col min="6" max="6" width="14.57421875" style="0" customWidth="1"/>
    <col min="7" max="7" width="13.7109375" style="0" bestFit="1" customWidth="1"/>
    <col min="8" max="8" width="15.140625" style="0" customWidth="1"/>
  </cols>
  <sheetData>
    <row r="1" spans="1:8" ht="13.5">
      <c r="A1" s="1049" t="s">
        <v>384</v>
      </c>
      <c r="B1" s="1050"/>
      <c r="C1" s="1050"/>
      <c r="D1" s="1050"/>
      <c r="E1" s="1050"/>
      <c r="F1" s="1050"/>
      <c r="G1" s="1050"/>
      <c r="H1" s="1051"/>
    </row>
    <row r="2" spans="1:8" ht="12.75">
      <c r="A2" s="1045" t="s">
        <v>385</v>
      </c>
      <c r="B2" s="1046"/>
      <c r="C2" s="1046" t="s">
        <v>386</v>
      </c>
      <c r="D2" s="1047"/>
      <c r="E2" s="1047"/>
      <c r="F2" s="1047"/>
      <c r="G2" s="1047"/>
      <c r="H2" s="1048"/>
    </row>
    <row r="3" spans="1:8" ht="12.75">
      <c r="A3" s="1045" t="s">
        <v>387</v>
      </c>
      <c r="B3" s="1046"/>
      <c r="C3" s="1046" t="s">
        <v>388</v>
      </c>
      <c r="D3" s="1047"/>
      <c r="E3" s="1047"/>
      <c r="F3" s="1047"/>
      <c r="G3" s="1047"/>
      <c r="H3" s="1048"/>
    </row>
    <row r="4" spans="1:8" ht="12.75">
      <c r="A4" s="1045" t="s">
        <v>389</v>
      </c>
      <c r="B4" s="1046"/>
      <c r="C4" s="1046" t="s">
        <v>390</v>
      </c>
      <c r="D4" s="1047"/>
      <c r="E4" s="1047"/>
      <c r="F4" s="1047"/>
      <c r="G4" s="1047"/>
      <c r="H4" s="1048"/>
    </row>
    <row r="5" spans="1:8" ht="12.75">
      <c r="A5" s="1045" t="s">
        <v>391</v>
      </c>
      <c r="B5" s="1046"/>
      <c r="C5" s="1046" t="s">
        <v>392</v>
      </c>
      <c r="D5" s="1047"/>
      <c r="E5" s="1047"/>
      <c r="F5" s="1047"/>
      <c r="G5" s="1047"/>
      <c r="H5" s="1048"/>
    </row>
    <row r="6" spans="1:8" ht="12.75">
      <c r="A6" s="1045" t="s">
        <v>393</v>
      </c>
      <c r="B6" s="1046"/>
      <c r="C6" s="1046" t="s">
        <v>394</v>
      </c>
      <c r="D6" s="1047"/>
      <c r="E6" s="1047"/>
      <c r="F6" s="1047"/>
      <c r="G6" s="1047"/>
      <c r="H6" s="1048"/>
    </row>
    <row r="7" spans="1:8" ht="12.75">
      <c r="A7" s="1045" t="s">
        <v>395</v>
      </c>
      <c r="B7" s="1046"/>
      <c r="C7" s="1046" t="s">
        <v>396</v>
      </c>
      <c r="D7" s="1047"/>
      <c r="E7" s="1047"/>
      <c r="F7" s="1047"/>
      <c r="G7" s="1047"/>
      <c r="H7" s="1048"/>
    </row>
    <row r="8" spans="1:8" ht="30">
      <c r="A8" s="371"/>
      <c r="B8" s="372" t="s">
        <v>397</v>
      </c>
      <c r="C8" s="372" t="s">
        <v>387</v>
      </c>
      <c r="D8" s="372" t="s">
        <v>393</v>
      </c>
      <c r="E8" s="372" t="s">
        <v>395</v>
      </c>
      <c r="F8" s="372" t="s">
        <v>398</v>
      </c>
      <c r="G8" s="372" t="s">
        <v>399</v>
      </c>
      <c r="H8" s="373" t="s">
        <v>441</v>
      </c>
    </row>
    <row r="9" spans="1:8" ht="26.25" thickBot="1">
      <c r="A9" s="374" t="s">
        <v>310</v>
      </c>
      <c r="B9" s="375" t="s">
        <v>400</v>
      </c>
      <c r="C9" s="376" t="s">
        <v>401</v>
      </c>
      <c r="D9" s="375" t="s">
        <v>402</v>
      </c>
      <c r="E9" s="375" t="s">
        <v>396</v>
      </c>
      <c r="F9" s="377">
        <v>408.59</v>
      </c>
      <c r="G9" s="375" t="s">
        <v>403</v>
      </c>
      <c r="H9" s="378">
        <v>408.59</v>
      </c>
    </row>
  </sheetData>
  <sheetProtection/>
  <mergeCells count="13">
    <mergeCell ref="A1:H1"/>
    <mergeCell ref="A2:B2"/>
    <mergeCell ref="C2:H2"/>
    <mergeCell ref="A3:B3"/>
    <mergeCell ref="C3:H3"/>
    <mergeCell ref="A4:B4"/>
    <mergeCell ref="C4:H4"/>
    <mergeCell ref="A5:B5"/>
    <mergeCell ref="C5:H5"/>
    <mergeCell ref="A6:B6"/>
    <mergeCell ref="C6:H6"/>
    <mergeCell ref="A7:B7"/>
    <mergeCell ref="C7:H7"/>
  </mergeCells>
  <printOptions/>
  <pageMargins left="0.511811024" right="0.511811024" top="0.787401575" bottom="0.7874015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:D17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SheetLayoutView="100" zoomScalePageLayoutView="0" workbookViewId="0" topLeftCell="A1">
      <pane ySplit="6" topLeftCell="A34" activePane="bottomLeft" state="frozen"/>
      <selection pane="topLeft" activeCell="A1" sqref="A1"/>
      <selection pane="bottomLeft" activeCell="A3" sqref="A3:E3"/>
    </sheetView>
  </sheetViews>
  <sheetFormatPr defaultColWidth="9.140625" defaultRowHeight="12.75"/>
  <cols>
    <col min="1" max="1" width="7.140625" style="0" customWidth="1"/>
    <col min="2" max="2" width="11.28125" style="18" customWidth="1"/>
    <col min="3" max="3" width="10.57421875" style="0" bestFit="1" customWidth="1"/>
    <col min="4" max="4" width="83.28125" style="0" customWidth="1"/>
    <col min="5" max="5" width="9.57421875" style="0" customWidth="1"/>
    <col min="6" max="6" width="14.28125" style="311" customWidth="1"/>
    <col min="8" max="8" width="15.00390625" style="0" customWidth="1"/>
    <col min="9" max="9" width="22.7109375" style="0" customWidth="1"/>
  </cols>
  <sheetData>
    <row r="1" spans="1:6" ht="18.75" customHeight="1">
      <c r="A1" s="603" t="s">
        <v>118</v>
      </c>
      <c r="B1" s="603"/>
      <c r="C1" s="603"/>
      <c r="D1" s="603"/>
      <c r="E1" s="603"/>
      <c r="F1" s="602" t="s">
        <v>38</v>
      </c>
    </row>
    <row r="2" spans="1:6" ht="15.75" customHeight="1">
      <c r="A2" s="604" t="s">
        <v>503</v>
      </c>
      <c r="B2" s="605"/>
      <c r="C2" s="605"/>
      <c r="D2" s="605"/>
      <c r="E2" s="606"/>
      <c r="F2" s="602"/>
    </row>
    <row r="3" spans="1:6" ht="30.75" customHeight="1">
      <c r="A3" s="607" t="s">
        <v>504</v>
      </c>
      <c r="B3" s="608"/>
      <c r="C3" s="608"/>
      <c r="D3" s="608"/>
      <c r="E3" s="609"/>
      <c r="F3" s="536">
        <f>'TERRAP E PAVIM'!S23</f>
        <v>17600.09</v>
      </c>
    </row>
    <row r="4" spans="1:6" ht="15" customHeight="1">
      <c r="A4" s="607" t="s">
        <v>448</v>
      </c>
      <c r="B4" s="608"/>
      <c r="C4" s="608"/>
      <c r="D4" s="608"/>
      <c r="E4" s="609"/>
      <c r="F4" s="537"/>
    </row>
    <row r="5" spans="1:6" s="101" customFormat="1" ht="12.75">
      <c r="A5" s="187" t="s">
        <v>32</v>
      </c>
      <c r="B5" s="187" t="s">
        <v>172</v>
      </c>
      <c r="C5" s="186" t="s">
        <v>173</v>
      </c>
      <c r="D5" s="186" t="s">
        <v>0</v>
      </c>
      <c r="E5" s="186" t="s">
        <v>1</v>
      </c>
      <c r="F5" s="194" t="s">
        <v>2</v>
      </c>
    </row>
    <row r="6" spans="1:6" s="101" customFormat="1" ht="12.75">
      <c r="A6" s="187" t="s">
        <v>42</v>
      </c>
      <c r="B6" s="187" t="s">
        <v>310</v>
      </c>
      <c r="C6" s="246"/>
      <c r="D6" s="199" t="s">
        <v>311</v>
      </c>
      <c r="E6" s="186"/>
      <c r="F6" s="194"/>
    </row>
    <row r="7" spans="1:8" ht="12.75">
      <c r="A7" s="538" t="s">
        <v>43</v>
      </c>
      <c r="B7" s="195" t="s">
        <v>149</v>
      </c>
      <c r="C7" s="195" t="s">
        <v>174</v>
      </c>
      <c r="D7" s="198" t="s">
        <v>150</v>
      </c>
      <c r="E7" s="195" t="s">
        <v>5</v>
      </c>
      <c r="F7" s="539">
        <v>12</v>
      </c>
      <c r="G7" s="140"/>
      <c r="H7" s="231" t="s">
        <v>149</v>
      </c>
    </row>
    <row r="8" spans="1:8" s="34" customFormat="1" ht="12.75">
      <c r="A8" s="538" t="s">
        <v>44</v>
      </c>
      <c r="B8" s="195">
        <v>93584</v>
      </c>
      <c r="C8" s="195" t="s">
        <v>174</v>
      </c>
      <c r="D8" s="198" t="s">
        <v>156</v>
      </c>
      <c r="E8" s="195" t="s">
        <v>5</v>
      </c>
      <c r="F8" s="540">
        <v>30</v>
      </c>
      <c r="H8" s="231">
        <v>93584</v>
      </c>
    </row>
    <row r="9" spans="1:8" ht="36">
      <c r="A9" s="195" t="s">
        <v>111</v>
      </c>
      <c r="B9" s="195" t="s">
        <v>93</v>
      </c>
      <c r="C9" s="195" t="s">
        <v>174</v>
      </c>
      <c r="D9" s="207" t="s">
        <v>45</v>
      </c>
      <c r="E9" s="195" t="s">
        <v>46</v>
      </c>
      <c r="F9" s="539">
        <v>12</v>
      </c>
      <c r="H9" s="231" t="s">
        <v>93</v>
      </c>
    </row>
    <row r="10" spans="1:8" s="34" customFormat="1" ht="12.75">
      <c r="A10" s="195" t="s">
        <v>139</v>
      </c>
      <c r="B10" s="195">
        <v>5213417</v>
      </c>
      <c r="C10" s="195" t="s">
        <v>175</v>
      </c>
      <c r="D10" s="198" t="s">
        <v>169</v>
      </c>
      <c r="E10" s="195" t="s">
        <v>5</v>
      </c>
      <c r="F10" s="540">
        <v>20</v>
      </c>
      <c r="H10" s="231">
        <v>5213417</v>
      </c>
    </row>
    <row r="11" spans="1:8" s="34" customFormat="1" ht="12.75">
      <c r="A11" s="538"/>
      <c r="B11" s="195"/>
      <c r="C11" s="195"/>
      <c r="D11" s="195"/>
      <c r="E11" s="166"/>
      <c r="F11" s="541"/>
      <c r="H11" s="407"/>
    </row>
    <row r="12" spans="1:8" ht="12.75">
      <c r="A12" s="187" t="s">
        <v>33</v>
      </c>
      <c r="B12" s="195" t="s">
        <v>26</v>
      </c>
      <c r="C12" s="195"/>
      <c r="D12" s="199" t="s">
        <v>155</v>
      </c>
      <c r="E12" s="195"/>
      <c r="F12" s="542"/>
      <c r="H12" s="140"/>
    </row>
    <row r="13" spans="1:8" ht="12.75">
      <c r="A13" s="538" t="s">
        <v>40</v>
      </c>
      <c r="B13" s="195">
        <v>93565</v>
      </c>
      <c r="C13" s="195" t="s">
        <v>174</v>
      </c>
      <c r="D13" s="198" t="s">
        <v>158</v>
      </c>
      <c r="E13" s="195" t="s">
        <v>46</v>
      </c>
      <c r="F13" s="368">
        <v>3</v>
      </c>
      <c r="H13" s="140"/>
    </row>
    <row r="14" spans="1:9" ht="12.75">
      <c r="A14" s="538" t="s">
        <v>41</v>
      </c>
      <c r="B14" s="195">
        <v>94296</v>
      </c>
      <c r="C14" s="195" t="s">
        <v>174</v>
      </c>
      <c r="D14" s="198" t="s">
        <v>159</v>
      </c>
      <c r="E14" s="195" t="s">
        <v>46</v>
      </c>
      <c r="F14" s="368">
        <v>3.5</v>
      </c>
      <c r="H14" s="140"/>
      <c r="I14" s="365"/>
    </row>
    <row r="15" spans="1:9" ht="12.75">
      <c r="A15" s="538" t="s">
        <v>151</v>
      </c>
      <c r="B15" s="195">
        <v>88253</v>
      </c>
      <c r="C15" s="195" t="s">
        <v>174</v>
      </c>
      <c r="D15" s="198" t="s">
        <v>160</v>
      </c>
      <c r="E15" s="195" t="s">
        <v>46</v>
      </c>
      <c r="F15" s="368">
        <v>3.5</v>
      </c>
      <c r="H15" s="140"/>
      <c r="I15" s="365"/>
    </row>
    <row r="16" spans="1:9" ht="12.75">
      <c r="A16" s="538" t="s">
        <v>124</v>
      </c>
      <c r="B16" s="195">
        <v>94295</v>
      </c>
      <c r="C16" s="195" t="s">
        <v>174</v>
      </c>
      <c r="D16" s="198" t="s">
        <v>161</v>
      </c>
      <c r="E16" s="195" t="s">
        <v>46</v>
      </c>
      <c r="F16" s="368">
        <v>3.5</v>
      </c>
      <c r="H16" s="140"/>
      <c r="I16" s="365"/>
    </row>
    <row r="17" spans="1:9" ht="12.75">
      <c r="A17" s="538" t="s">
        <v>439</v>
      </c>
      <c r="B17" s="195">
        <v>93564</v>
      </c>
      <c r="C17" s="195" t="s">
        <v>174</v>
      </c>
      <c r="D17" s="198" t="s">
        <v>162</v>
      </c>
      <c r="E17" s="195" t="s">
        <v>46</v>
      </c>
      <c r="F17" s="543">
        <v>3.5</v>
      </c>
      <c r="H17" s="140"/>
      <c r="I17" s="365"/>
    </row>
    <row r="18" spans="1:8" ht="12.75">
      <c r="A18" s="195"/>
      <c r="B18" s="195"/>
      <c r="C18" s="195"/>
      <c r="D18" s="200"/>
      <c r="E18" s="201"/>
      <c r="F18" s="541"/>
      <c r="H18" s="140"/>
    </row>
    <row r="19" spans="1:8" ht="12.75">
      <c r="A19" s="192" t="s">
        <v>34</v>
      </c>
      <c r="B19" s="195" t="s">
        <v>27</v>
      </c>
      <c r="C19" s="195"/>
      <c r="D19" s="199" t="s">
        <v>145</v>
      </c>
      <c r="E19" s="193"/>
      <c r="F19" s="541"/>
      <c r="H19" s="140"/>
    </row>
    <row r="20" spans="1:8" ht="12.75">
      <c r="A20" s="195" t="s">
        <v>39</v>
      </c>
      <c r="B20" s="195" t="s">
        <v>146</v>
      </c>
      <c r="C20" s="195" t="s">
        <v>174</v>
      </c>
      <c r="D20" s="198" t="s">
        <v>147</v>
      </c>
      <c r="E20" s="195" t="s">
        <v>5</v>
      </c>
      <c r="F20" s="541">
        <f>'TERRAP E PAVIM'!P23</f>
        <v>22000.129999999997</v>
      </c>
      <c r="H20" s="140"/>
    </row>
    <row r="21" spans="1:8" ht="12.75">
      <c r="A21" s="195" t="s">
        <v>47</v>
      </c>
      <c r="B21" s="195" t="s">
        <v>148</v>
      </c>
      <c r="C21" s="195" t="s">
        <v>174</v>
      </c>
      <c r="D21" s="198" t="s">
        <v>262</v>
      </c>
      <c r="E21" s="195" t="s">
        <v>4</v>
      </c>
      <c r="F21" s="541">
        <f>'TERRAP E PAVIM'!Q23</f>
        <v>4400.01</v>
      </c>
      <c r="H21" s="140"/>
    </row>
    <row r="22" spans="1:8" ht="12.75">
      <c r="A22" s="195" t="s">
        <v>48</v>
      </c>
      <c r="B22" s="195" t="s">
        <v>148</v>
      </c>
      <c r="C22" s="195" t="s">
        <v>174</v>
      </c>
      <c r="D22" s="198" t="s">
        <v>263</v>
      </c>
      <c r="E22" s="195" t="s">
        <v>4</v>
      </c>
      <c r="F22" s="541">
        <f>'TERRAP E PAVIM'!R23</f>
        <v>4400.01</v>
      </c>
      <c r="H22" s="140"/>
    </row>
    <row r="23" spans="1:8" ht="12.75">
      <c r="A23" s="195" t="s">
        <v>440</v>
      </c>
      <c r="B23" s="195" t="s">
        <v>481</v>
      </c>
      <c r="C23" s="195" t="s">
        <v>174</v>
      </c>
      <c r="D23" s="198" t="s">
        <v>482</v>
      </c>
      <c r="E23" s="195" t="s">
        <v>483</v>
      </c>
      <c r="F23" s="541">
        <f>'TERRAP E PAVIM'!U23*2.4/10</f>
        <v>168.96086400000002</v>
      </c>
      <c r="H23" s="140"/>
    </row>
    <row r="24" spans="1:8" s="34" customFormat="1" ht="24">
      <c r="A24" s="195" t="s">
        <v>492</v>
      </c>
      <c r="B24" s="195" t="s">
        <v>264</v>
      </c>
      <c r="C24" s="195" t="s">
        <v>174</v>
      </c>
      <c r="D24" s="207" t="s">
        <v>348</v>
      </c>
      <c r="E24" s="195" t="s">
        <v>265</v>
      </c>
      <c r="F24" s="541">
        <f>('TERRAP E PAVIM'!V23+'TERRAP E PAVIM'!W23)/200</f>
        <v>23.75965</v>
      </c>
      <c r="H24" s="312"/>
    </row>
    <row r="25" spans="1:8" s="34" customFormat="1" ht="14.25">
      <c r="A25" s="186"/>
      <c r="B25" s="195"/>
      <c r="C25" s="195"/>
      <c r="D25" s="166"/>
      <c r="E25" s="166"/>
      <c r="F25" s="544"/>
      <c r="H25" s="312"/>
    </row>
    <row r="26" spans="1:8" s="34" customFormat="1" ht="14.25">
      <c r="A26" s="186" t="s">
        <v>36</v>
      </c>
      <c r="B26" s="195" t="s">
        <v>380</v>
      </c>
      <c r="C26" s="195"/>
      <c r="D26" s="203" t="s">
        <v>3</v>
      </c>
      <c r="E26" s="166"/>
      <c r="F26" s="544"/>
      <c r="H26" s="312"/>
    </row>
    <row r="27" spans="1:8" s="34" customFormat="1" ht="14.25">
      <c r="A27" s="166" t="s">
        <v>37</v>
      </c>
      <c r="B27" s="195" t="s">
        <v>122</v>
      </c>
      <c r="C27" s="195" t="s">
        <v>174</v>
      </c>
      <c r="D27" s="198" t="s">
        <v>121</v>
      </c>
      <c r="E27" s="166" t="s">
        <v>5</v>
      </c>
      <c r="F27" s="545">
        <f>'TERRAP E PAVIM'!M23</f>
        <v>8250.045</v>
      </c>
      <c r="H27" s="312"/>
    </row>
    <row r="28" spans="1:8" ht="24">
      <c r="A28" s="166" t="s">
        <v>242</v>
      </c>
      <c r="B28" s="195" t="s">
        <v>381</v>
      </c>
      <c r="C28" s="195" t="s">
        <v>174</v>
      </c>
      <c r="D28" s="207" t="s">
        <v>382</v>
      </c>
      <c r="E28" s="195" t="s">
        <v>4</v>
      </c>
      <c r="F28" s="546">
        <f>'TERRAP E PAVIM'!N23-'TERRAP E PAVIM'!O23*1.15</f>
        <v>11105.5241</v>
      </c>
      <c r="H28" s="140"/>
    </row>
    <row r="29" spans="1:9" ht="24">
      <c r="A29" s="166" t="s">
        <v>425</v>
      </c>
      <c r="B29" s="195">
        <v>72888</v>
      </c>
      <c r="C29" s="195" t="s">
        <v>174</v>
      </c>
      <c r="D29" s="207" t="s">
        <v>237</v>
      </c>
      <c r="E29" s="195" t="s">
        <v>4</v>
      </c>
      <c r="F29" s="547">
        <f>F28</f>
        <v>11105.5241</v>
      </c>
      <c r="G29" s="315"/>
      <c r="I29" s="315"/>
    </row>
    <row r="30" spans="1:9" ht="25.5">
      <c r="A30" s="166" t="s">
        <v>235</v>
      </c>
      <c r="B30" s="231">
        <v>93595</v>
      </c>
      <c r="C30" s="195" t="s">
        <v>174</v>
      </c>
      <c r="D30" s="379" t="s">
        <v>383</v>
      </c>
      <c r="E30" s="195" t="s">
        <v>49</v>
      </c>
      <c r="F30" s="548">
        <f>TRANSP!J8</f>
        <v>40868.328688</v>
      </c>
      <c r="H30" s="140"/>
      <c r="I30" s="366"/>
    </row>
    <row r="31" spans="1:9" ht="25.5">
      <c r="A31" s="166" t="s">
        <v>243</v>
      </c>
      <c r="B31" s="231">
        <v>95878</v>
      </c>
      <c r="C31" s="195" t="s">
        <v>174</v>
      </c>
      <c r="D31" s="379" t="s">
        <v>238</v>
      </c>
      <c r="E31" s="195" t="s">
        <v>49</v>
      </c>
      <c r="F31" s="546">
        <f>TRANSP!J13</f>
        <v>183907.479096</v>
      </c>
      <c r="H31" s="140"/>
      <c r="I31" s="366"/>
    </row>
    <row r="32" spans="1:9" ht="14.25">
      <c r="A32" s="166" t="s">
        <v>236</v>
      </c>
      <c r="B32" s="195">
        <v>83344</v>
      </c>
      <c r="C32" s="195" t="s">
        <v>174</v>
      </c>
      <c r="D32" s="198" t="s">
        <v>341</v>
      </c>
      <c r="E32" s="195" t="s">
        <v>4</v>
      </c>
      <c r="F32" s="546">
        <f>F28</f>
        <v>11105.5241</v>
      </c>
      <c r="H32" s="140"/>
      <c r="I32" s="366"/>
    </row>
    <row r="33" spans="1:8" ht="14.25">
      <c r="A33" s="549" t="s">
        <v>377</v>
      </c>
      <c r="B33" s="195"/>
      <c r="C33" s="195"/>
      <c r="D33" s="205"/>
      <c r="E33" s="166"/>
      <c r="F33" s="550"/>
      <c r="H33" s="140"/>
    </row>
    <row r="34" spans="1:8" ht="14.25">
      <c r="A34" s="186" t="s">
        <v>404</v>
      </c>
      <c r="B34" s="195" t="s">
        <v>443</v>
      </c>
      <c r="C34" s="195"/>
      <c r="D34" s="203" t="s">
        <v>266</v>
      </c>
      <c r="E34" s="166"/>
      <c r="F34" s="550"/>
      <c r="H34" s="140"/>
    </row>
    <row r="35" spans="1:8" ht="14.25">
      <c r="A35" s="166" t="s">
        <v>405</v>
      </c>
      <c r="B35" s="195">
        <v>72961</v>
      </c>
      <c r="C35" s="195" t="s">
        <v>174</v>
      </c>
      <c r="D35" s="198" t="s">
        <v>123</v>
      </c>
      <c r="E35" s="166" t="s">
        <v>5</v>
      </c>
      <c r="F35" s="550">
        <f>'TERRAP E PAVIM'!P23</f>
        <v>22000.129999999997</v>
      </c>
      <c r="H35" s="140"/>
    </row>
    <row r="36" spans="1:8" ht="14.25">
      <c r="A36" s="186" t="s">
        <v>406</v>
      </c>
      <c r="B36" s="195" t="s">
        <v>248</v>
      </c>
      <c r="C36" s="195" t="s">
        <v>176</v>
      </c>
      <c r="D36" s="207" t="s">
        <v>157</v>
      </c>
      <c r="E36" s="195" t="s">
        <v>4</v>
      </c>
      <c r="F36" s="544">
        <f>(F37+F38)*1.15</f>
        <v>10120.023</v>
      </c>
      <c r="H36" s="140"/>
    </row>
    <row r="37" spans="1:8" s="17" customFormat="1" ht="24">
      <c r="A37" s="186" t="s">
        <v>407</v>
      </c>
      <c r="B37" s="195" t="s">
        <v>125</v>
      </c>
      <c r="C37" s="195" t="s">
        <v>174</v>
      </c>
      <c r="D37" s="261" t="s">
        <v>379</v>
      </c>
      <c r="E37" s="195" t="s">
        <v>4</v>
      </c>
      <c r="F37" s="544">
        <f>'TERRAP E PAVIM'!Q23</f>
        <v>4400.01</v>
      </c>
      <c r="H37" s="313"/>
    </row>
    <row r="38" spans="1:8" s="17" customFormat="1" ht="24">
      <c r="A38" s="166" t="s">
        <v>408</v>
      </c>
      <c r="B38" s="195" t="s">
        <v>125</v>
      </c>
      <c r="C38" s="195" t="s">
        <v>174</v>
      </c>
      <c r="D38" s="261" t="s">
        <v>378</v>
      </c>
      <c r="E38" s="195" t="s">
        <v>4</v>
      </c>
      <c r="F38" s="544">
        <f>'TERRAP E PAVIM'!R23</f>
        <v>4400.01</v>
      </c>
      <c r="H38" s="313"/>
    </row>
    <row r="39" spans="1:8" s="17" customFormat="1" ht="14.25">
      <c r="A39" s="186" t="s">
        <v>409</v>
      </c>
      <c r="B39" s="195">
        <v>96401</v>
      </c>
      <c r="C39" s="195" t="s">
        <v>174</v>
      </c>
      <c r="D39" s="198" t="s">
        <v>267</v>
      </c>
      <c r="E39" s="166" t="s">
        <v>5</v>
      </c>
      <c r="F39" s="550">
        <f>'TERRAP E PAVIM'!S23</f>
        <v>17600.09</v>
      </c>
      <c r="H39" s="313"/>
    </row>
    <row r="40" spans="1:8" s="17" customFormat="1" ht="14.25">
      <c r="A40" s="166" t="s">
        <v>410</v>
      </c>
      <c r="B40" s="195">
        <v>72943</v>
      </c>
      <c r="C40" s="195" t="s">
        <v>174</v>
      </c>
      <c r="D40" s="198" t="s">
        <v>268</v>
      </c>
      <c r="E40" s="166" t="s">
        <v>5</v>
      </c>
      <c r="F40" s="550">
        <f>'TERRAP E PAVIM'!T23</f>
        <v>17600.09</v>
      </c>
      <c r="H40" s="313"/>
    </row>
    <row r="41" spans="1:8" s="17" customFormat="1" ht="24">
      <c r="A41" s="186" t="s">
        <v>411</v>
      </c>
      <c r="B41" s="195">
        <v>95993</v>
      </c>
      <c r="C41" s="195" t="s">
        <v>174</v>
      </c>
      <c r="D41" s="207" t="s">
        <v>269</v>
      </c>
      <c r="E41" s="166" t="s">
        <v>4</v>
      </c>
      <c r="F41" s="550">
        <f>'TERRAP E PAVIM'!U23</f>
        <v>704.0036000000001</v>
      </c>
      <c r="H41" s="313"/>
    </row>
    <row r="42" spans="1:8" s="17" customFormat="1" ht="24">
      <c r="A42" s="166" t="s">
        <v>412</v>
      </c>
      <c r="B42" s="195">
        <v>93595</v>
      </c>
      <c r="C42" s="195" t="s">
        <v>174</v>
      </c>
      <c r="D42" s="207" t="s">
        <v>215</v>
      </c>
      <c r="E42" s="166" t="s">
        <v>49</v>
      </c>
      <c r="F42" s="550">
        <f>TRANSP!J21</f>
        <v>32384.073600000003</v>
      </c>
      <c r="H42" s="313"/>
    </row>
    <row r="43" spans="1:8" s="17" customFormat="1" ht="24">
      <c r="A43" s="186" t="s">
        <v>413</v>
      </c>
      <c r="B43" s="195">
        <v>95878</v>
      </c>
      <c r="C43" s="195" t="s">
        <v>174</v>
      </c>
      <c r="D43" s="207" t="s">
        <v>214</v>
      </c>
      <c r="E43" s="166" t="s">
        <v>49</v>
      </c>
      <c r="F43" s="550">
        <f>TRANSP!J28</f>
        <v>145728.33120000002</v>
      </c>
      <c r="H43" s="313"/>
    </row>
    <row r="44" spans="1:8" s="17" customFormat="1" ht="14.25">
      <c r="A44" s="166" t="s">
        <v>414</v>
      </c>
      <c r="B44" s="195">
        <v>95303</v>
      </c>
      <c r="C44" s="195" t="s">
        <v>174</v>
      </c>
      <c r="D44" s="207" t="s">
        <v>270</v>
      </c>
      <c r="E44" s="166" t="s">
        <v>177</v>
      </c>
      <c r="F44" s="550">
        <f>TRANSP!J34</f>
        <v>24288.12</v>
      </c>
      <c r="H44" s="313"/>
    </row>
    <row r="45" spans="1:8" s="227" customFormat="1" ht="14.25">
      <c r="A45" s="186"/>
      <c r="B45" s="195"/>
      <c r="C45" s="195"/>
      <c r="D45" s="166"/>
      <c r="E45" s="166"/>
      <c r="F45" s="550"/>
      <c r="H45" s="314"/>
    </row>
    <row r="46" spans="1:8" s="17" customFormat="1" ht="14.25">
      <c r="A46" s="186" t="s">
        <v>126</v>
      </c>
      <c r="B46" s="195" t="s">
        <v>30</v>
      </c>
      <c r="C46" s="195"/>
      <c r="D46" s="230" t="s">
        <v>271</v>
      </c>
      <c r="E46" s="195"/>
      <c r="F46" s="544"/>
      <c r="H46" s="313"/>
    </row>
    <row r="47" spans="1:8" ht="14.25">
      <c r="A47" s="166" t="s">
        <v>127</v>
      </c>
      <c r="B47" s="195">
        <v>72947</v>
      </c>
      <c r="C47" s="195" t="s">
        <v>174</v>
      </c>
      <c r="D47" s="207" t="s">
        <v>272</v>
      </c>
      <c r="E47" s="195" t="s">
        <v>5</v>
      </c>
      <c r="F47" s="544">
        <f>'SN HOR'!C60</f>
        <v>930.0994999999999</v>
      </c>
      <c r="H47" s="140"/>
    </row>
    <row r="48" spans="1:8" s="17" customFormat="1" ht="14.25">
      <c r="A48" s="166" t="s">
        <v>128</v>
      </c>
      <c r="B48" s="195">
        <v>5213405</v>
      </c>
      <c r="C48" s="195" t="s">
        <v>175</v>
      </c>
      <c r="D48" s="198" t="s">
        <v>273</v>
      </c>
      <c r="E48" s="195" t="s">
        <v>5</v>
      </c>
      <c r="F48" s="544">
        <f>'SN HOR'!C62</f>
        <v>178.15</v>
      </c>
      <c r="H48" s="313"/>
    </row>
    <row r="49" spans="1:8" s="17" customFormat="1" ht="14.25">
      <c r="A49" s="166" t="s">
        <v>450</v>
      </c>
      <c r="B49" s="195">
        <v>5213417</v>
      </c>
      <c r="C49" s="195" t="s">
        <v>175</v>
      </c>
      <c r="D49" s="198" t="s">
        <v>169</v>
      </c>
      <c r="E49" s="195" t="s">
        <v>5</v>
      </c>
      <c r="F49" s="544">
        <f>'SN VERT'!E106</f>
        <v>8.49</v>
      </c>
      <c r="H49" s="313"/>
    </row>
    <row r="50" spans="1:8" ht="24">
      <c r="A50" s="166" t="s">
        <v>212</v>
      </c>
      <c r="B50" s="195">
        <v>5213855</v>
      </c>
      <c r="C50" s="195" t="s">
        <v>175</v>
      </c>
      <c r="D50" s="207" t="s">
        <v>274</v>
      </c>
      <c r="E50" s="166" t="s">
        <v>8</v>
      </c>
      <c r="F50" s="550">
        <v>66</v>
      </c>
      <c r="H50" s="140"/>
    </row>
    <row r="51" spans="1:8" ht="14.25">
      <c r="A51" s="166"/>
      <c r="B51" s="195"/>
      <c r="C51" s="195"/>
      <c r="D51" s="166"/>
      <c r="E51" s="166"/>
      <c r="F51" s="550"/>
      <c r="H51" s="140"/>
    </row>
    <row r="52" spans="1:8" ht="14.25">
      <c r="A52" s="186" t="s">
        <v>152</v>
      </c>
      <c r="B52" s="195" t="s">
        <v>129</v>
      </c>
      <c r="C52" s="195"/>
      <c r="D52" s="230" t="s">
        <v>275</v>
      </c>
      <c r="E52" s="195"/>
      <c r="F52" s="544"/>
      <c r="H52" s="140"/>
    </row>
    <row r="53" spans="1:8" ht="25.5">
      <c r="A53" s="195" t="s">
        <v>153</v>
      </c>
      <c r="B53" s="231">
        <v>94267</v>
      </c>
      <c r="C53" s="231" t="s">
        <v>174</v>
      </c>
      <c r="D53" s="405" t="s">
        <v>431</v>
      </c>
      <c r="E53" s="195" t="s">
        <v>7</v>
      </c>
      <c r="F53" s="544">
        <f>'TERRAP E PAVIM'!V23</f>
        <v>4203.83</v>
      </c>
      <c r="H53" s="140"/>
    </row>
    <row r="54" spans="1:8" ht="25.5">
      <c r="A54" s="195" t="s">
        <v>258</v>
      </c>
      <c r="B54" s="231">
        <v>94268</v>
      </c>
      <c r="C54" s="231" t="s">
        <v>174</v>
      </c>
      <c r="D54" s="405" t="s">
        <v>432</v>
      </c>
      <c r="E54" s="195" t="s">
        <v>7</v>
      </c>
      <c r="F54" s="544">
        <f>'TERRAP E PAVIM'!W23</f>
        <v>548.1</v>
      </c>
      <c r="H54" s="140"/>
    </row>
    <row r="55" spans="1:8" ht="14.25">
      <c r="A55" s="195" t="s">
        <v>312</v>
      </c>
      <c r="B55" s="231" t="s">
        <v>433</v>
      </c>
      <c r="C55" s="231" t="s">
        <v>174</v>
      </c>
      <c r="D55" s="406" t="s">
        <v>434</v>
      </c>
      <c r="E55" s="166" t="s">
        <v>8</v>
      </c>
      <c r="F55" s="544">
        <f>'SN VERT'!E107</f>
        <v>66</v>
      </c>
      <c r="H55" s="140"/>
    </row>
    <row r="56" spans="1:8" ht="14.25">
      <c r="A56" s="195"/>
      <c r="B56" s="195"/>
      <c r="C56" s="195"/>
      <c r="D56" s="198"/>
      <c r="E56" s="195"/>
      <c r="F56" s="544"/>
      <c r="H56" s="140"/>
    </row>
    <row r="57" spans="1:8" ht="14.25">
      <c r="A57" s="192" t="s">
        <v>154</v>
      </c>
      <c r="B57" s="195" t="s">
        <v>247</v>
      </c>
      <c r="C57" s="195"/>
      <c r="D57" s="601" t="s">
        <v>6</v>
      </c>
      <c r="E57" s="601"/>
      <c r="F57" s="544"/>
      <c r="H57" s="140"/>
    </row>
    <row r="58" spans="1:8" ht="14.25">
      <c r="A58" s="195" t="s">
        <v>347</v>
      </c>
      <c r="B58" s="195">
        <v>5213417</v>
      </c>
      <c r="C58" s="195" t="s">
        <v>179</v>
      </c>
      <c r="D58" s="198" t="s">
        <v>169</v>
      </c>
      <c r="E58" s="195" t="s">
        <v>5</v>
      </c>
      <c r="F58" s="550">
        <v>20</v>
      </c>
      <c r="H58" s="140"/>
    </row>
    <row r="59" spans="1:8" ht="14.25">
      <c r="A59" s="195" t="s">
        <v>344</v>
      </c>
      <c r="B59" s="195">
        <v>85424</v>
      </c>
      <c r="C59" s="195" t="s">
        <v>174</v>
      </c>
      <c r="D59" s="207" t="s">
        <v>120</v>
      </c>
      <c r="E59" s="195" t="s">
        <v>5</v>
      </c>
      <c r="F59" s="550">
        <v>10</v>
      </c>
      <c r="H59" s="140"/>
    </row>
    <row r="60" spans="1:8" ht="14.25">
      <c r="A60" s="192" t="s">
        <v>349</v>
      </c>
      <c r="B60" s="195" t="s">
        <v>180</v>
      </c>
      <c r="C60" s="195" t="s">
        <v>174</v>
      </c>
      <c r="D60" s="198" t="s">
        <v>181</v>
      </c>
      <c r="E60" s="195" t="s">
        <v>5</v>
      </c>
      <c r="F60" s="544">
        <v>10</v>
      </c>
      <c r="H60" s="140"/>
    </row>
    <row r="61" spans="1:8" ht="14.25">
      <c r="A61" s="195" t="s">
        <v>345</v>
      </c>
      <c r="B61" s="195">
        <v>90091</v>
      </c>
      <c r="C61" s="195" t="s">
        <v>174</v>
      </c>
      <c r="D61" s="198" t="s">
        <v>182</v>
      </c>
      <c r="E61" s="195" t="s">
        <v>4</v>
      </c>
      <c r="F61" s="551">
        <f>('MEMORIAL DE CALCULO'!D74)*0.75</f>
        <v>2538.5641499999997</v>
      </c>
      <c r="H61" s="140"/>
    </row>
    <row r="62" spans="1:8" ht="24">
      <c r="A62" s="195" t="s">
        <v>415</v>
      </c>
      <c r="B62" s="195">
        <v>72917</v>
      </c>
      <c r="C62" s="195" t="s">
        <v>174</v>
      </c>
      <c r="D62" s="207" t="s">
        <v>306</v>
      </c>
      <c r="E62" s="195" t="s">
        <v>4</v>
      </c>
      <c r="F62" s="550">
        <f>'MEMORIAL DE CALCULO'!D74*0.25</f>
        <v>846.1880499999999</v>
      </c>
      <c r="H62" s="140"/>
    </row>
    <row r="63" spans="1:8" ht="14.25">
      <c r="A63" s="192" t="s">
        <v>416</v>
      </c>
      <c r="B63" s="195">
        <v>94097</v>
      </c>
      <c r="C63" s="195" t="s">
        <v>174</v>
      </c>
      <c r="D63" s="198" t="s">
        <v>308</v>
      </c>
      <c r="E63" s="195" t="s">
        <v>5</v>
      </c>
      <c r="F63" s="550">
        <f>'MEMORIAL DE CALCULO'!D77</f>
        <v>1582.8000000000002</v>
      </c>
      <c r="H63" s="140"/>
    </row>
    <row r="64" spans="1:8" ht="14.25">
      <c r="A64" s="195" t="s">
        <v>417</v>
      </c>
      <c r="B64" s="195">
        <v>94103</v>
      </c>
      <c r="C64" s="195" t="s">
        <v>174</v>
      </c>
      <c r="D64" s="198" t="s">
        <v>309</v>
      </c>
      <c r="E64" s="195" t="s">
        <v>4</v>
      </c>
      <c r="F64" s="550">
        <f>'MEMORIAL DE CALCULO'!D78</f>
        <v>445.4262</v>
      </c>
      <c r="H64" s="140"/>
    </row>
    <row r="65" spans="1:8" ht="36">
      <c r="A65" s="192" t="s">
        <v>418</v>
      </c>
      <c r="B65" s="195">
        <v>93381</v>
      </c>
      <c r="C65" s="195" t="s">
        <v>174</v>
      </c>
      <c r="D65" s="207" t="s">
        <v>249</v>
      </c>
      <c r="E65" s="195" t="s">
        <v>4</v>
      </c>
      <c r="F65" s="550">
        <f>'MEMORIAL DE CALCULO'!D76</f>
        <v>2692.6633406399997</v>
      </c>
      <c r="H65" s="140"/>
    </row>
    <row r="66" spans="1:8" ht="24">
      <c r="A66" s="195" t="s">
        <v>419</v>
      </c>
      <c r="B66" s="195" t="s">
        <v>183</v>
      </c>
      <c r="C66" s="195" t="s">
        <v>174</v>
      </c>
      <c r="D66" s="207" t="s">
        <v>184</v>
      </c>
      <c r="E66" s="195" t="s">
        <v>4</v>
      </c>
      <c r="F66" s="550">
        <f>'MEMORIAL DE CALCULO'!D75</f>
        <v>2353.138464</v>
      </c>
      <c r="H66" s="140"/>
    </row>
    <row r="67" spans="1:8" ht="25.5">
      <c r="A67" s="195" t="s">
        <v>420</v>
      </c>
      <c r="B67" s="231">
        <v>93595</v>
      </c>
      <c r="C67" s="231" t="s">
        <v>174</v>
      </c>
      <c r="D67" s="405" t="s">
        <v>215</v>
      </c>
      <c r="E67" s="14" t="s">
        <v>49</v>
      </c>
      <c r="F67" s="550">
        <f>TRANSP!J41</f>
        <v>8659.54954752</v>
      </c>
      <c r="H67" s="140"/>
    </row>
    <row r="68" spans="1:8" ht="24">
      <c r="A68" s="195" t="s">
        <v>421</v>
      </c>
      <c r="B68" s="195">
        <v>95878</v>
      </c>
      <c r="C68" s="195" t="s">
        <v>174</v>
      </c>
      <c r="D68" s="207" t="s">
        <v>214</v>
      </c>
      <c r="E68" s="166" t="s">
        <v>49</v>
      </c>
      <c r="F68" s="551">
        <f>TRANSP!J47</f>
        <v>72864.16560000001</v>
      </c>
      <c r="H68" s="140"/>
    </row>
    <row r="69" spans="1:8" ht="14.25">
      <c r="A69" s="192" t="s">
        <v>422</v>
      </c>
      <c r="B69" s="195">
        <v>83344</v>
      </c>
      <c r="C69" s="195" t="s">
        <v>174</v>
      </c>
      <c r="D69" s="198" t="s">
        <v>185</v>
      </c>
      <c r="E69" s="195" t="s">
        <v>4</v>
      </c>
      <c r="F69" s="550">
        <f>F66</f>
        <v>2353.138464</v>
      </c>
      <c r="H69" s="140"/>
    </row>
    <row r="70" spans="1:8" ht="24">
      <c r="A70" s="195" t="s">
        <v>423</v>
      </c>
      <c r="B70" s="195">
        <v>94038</v>
      </c>
      <c r="C70" s="195" t="s">
        <v>174</v>
      </c>
      <c r="D70" s="207" t="s">
        <v>307</v>
      </c>
      <c r="E70" s="195" t="s">
        <v>5</v>
      </c>
      <c r="F70" s="550">
        <f>(F79+F80)*0.1*2</f>
        <v>244</v>
      </c>
      <c r="H70" s="140"/>
    </row>
    <row r="71" spans="1:8" ht="38.25">
      <c r="A71" s="192" t="s">
        <v>442</v>
      </c>
      <c r="B71" s="195">
        <v>91785</v>
      </c>
      <c r="C71" s="195" t="s">
        <v>174</v>
      </c>
      <c r="D71" s="251" t="s">
        <v>313</v>
      </c>
      <c r="E71" s="234" t="s">
        <v>7</v>
      </c>
      <c r="F71" s="550">
        <v>24</v>
      </c>
      <c r="H71" s="140"/>
    </row>
    <row r="72" spans="1:8" ht="14.25">
      <c r="A72" s="195"/>
      <c r="B72" s="195"/>
      <c r="C72" s="195"/>
      <c r="D72" s="207"/>
      <c r="E72" s="195"/>
      <c r="F72" s="550"/>
      <c r="H72" s="140"/>
    </row>
    <row r="73" spans="1:8" ht="14.25">
      <c r="A73" s="192" t="s">
        <v>250</v>
      </c>
      <c r="B73" s="195" t="s">
        <v>251</v>
      </c>
      <c r="C73" s="195"/>
      <c r="D73" s="206" t="s">
        <v>351</v>
      </c>
      <c r="E73" s="195"/>
      <c r="F73" s="550"/>
      <c r="H73" s="140"/>
    </row>
    <row r="74" spans="1:8" ht="14.25">
      <c r="A74" s="195" t="s">
        <v>252</v>
      </c>
      <c r="B74" s="195">
        <v>7725</v>
      </c>
      <c r="C74" s="195" t="s">
        <v>174</v>
      </c>
      <c r="D74" s="198" t="s">
        <v>297</v>
      </c>
      <c r="E74" s="195" t="s">
        <v>7</v>
      </c>
      <c r="F74" s="550">
        <f>'MEMORIAL DE CALCULO'!C64</f>
        <v>691</v>
      </c>
      <c r="H74" s="140"/>
    </row>
    <row r="75" spans="1:8" ht="14.25">
      <c r="A75" s="192" t="s">
        <v>253</v>
      </c>
      <c r="B75" s="195">
        <v>7750</v>
      </c>
      <c r="C75" s="195" t="s">
        <v>174</v>
      </c>
      <c r="D75" s="198" t="s">
        <v>304</v>
      </c>
      <c r="E75" s="195" t="s">
        <v>7</v>
      </c>
      <c r="F75" s="550">
        <f>'MEMORIAL DE CALCULO'!C65</f>
        <v>529</v>
      </c>
      <c r="H75" s="140"/>
    </row>
    <row r="76" spans="1:8" ht="14.25">
      <c r="A76" s="7" t="s">
        <v>545</v>
      </c>
      <c r="B76" s="195">
        <v>7753</v>
      </c>
      <c r="C76" s="195" t="s">
        <v>174</v>
      </c>
      <c r="D76" s="553" t="s">
        <v>557</v>
      </c>
      <c r="E76" s="195" t="s">
        <v>7</v>
      </c>
      <c r="F76" s="550">
        <f>'MEMORIAL DE CALCULO'!C66</f>
        <v>22</v>
      </c>
      <c r="H76" s="140"/>
    </row>
    <row r="77" spans="1:8" ht="14.25">
      <c r="A77" s="195"/>
      <c r="B77" s="195"/>
      <c r="C77" s="195"/>
      <c r="D77" s="238"/>
      <c r="E77" s="195"/>
      <c r="F77" s="550"/>
      <c r="H77" s="140"/>
    </row>
    <row r="78" spans="1:8" ht="14.25">
      <c r="A78" s="229" t="s">
        <v>298</v>
      </c>
      <c r="B78" s="195" t="s">
        <v>299</v>
      </c>
      <c r="C78" s="195"/>
      <c r="D78" s="206" t="s">
        <v>350</v>
      </c>
      <c r="E78" s="195"/>
      <c r="F78" s="550"/>
      <c r="H78" s="140"/>
    </row>
    <row r="79" spans="1:8" ht="25.5">
      <c r="A79" s="195" t="s">
        <v>300</v>
      </c>
      <c r="B79" s="195">
        <v>92824</v>
      </c>
      <c r="C79" s="195" t="s">
        <v>174</v>
      </c>
      <c r="D79" s="443" t="s">
        <v>301</v>
      </c>
      <c r="E79" s="195" t="s">
        <v>7</v>
      </c>
      <c r="F79" s="550">
        <f>F74</f>
        <v>691</v>
      </c>
      <c r="H79" s="140"/>
    </row>
    <row r="80" spans="1:8" ht="25.5">
      <c r="A80" s="7" t="s">
        <v>302</v>
      </c>
      <c r="B80" s="195">
        <v>92826</v>
      </c>
      <c r="C80" s="195" t="s">
        <v>174</v>
      </c>
      <c r="D80" s="443" t="s">
        <v>305</v>
      </c>
      <c r="E80" s="195" t="s">
        <v>7</v>
      </c>
      <c r="F80" s="550">
        <f>F75</f>
        <v>529</v>
      </c>
      <c r="H80" s="140"/>
    </row>
    <row r="81" spans="1:8" ht="25.5">
      <c r="A81" s="7" t="s">
        <v>545</v>
      </c>
      <c r="B81" s="195">
        <v>92828</v>
      </c>
      <c r="C81" s="195" t="s">
        <v>174</v>
      </c>
      <c r="D81" s="443" t="s">
        <v>544</v>
      </c>
      <c r="E81" s="195" t="s">
        <v>7</v>
      </c>
      <c r="F81" s="550">
        <f>F76</f>
        <v>22</v>
      </c>
      <c r="H81" s="140"/>
    </row>
    <row r="82" spans="1:8" ht="14.25">
      <c r="A82" s="195"/>
      <c r="B82" s="195"/>
      <c r="C82" s="195"/>
      <c r="D82" s="443"/>
      <c r="E82" s="195"/>
      <c r="F82" s="550"/>
      <c r="H82" s="140"/>
    </row>
    <row r="83" spans="1:8" ht="14.25">
      <c r="A83" s="229" t="s">
        <v>331</v>
      </c>
      <c r="B83" s="195" t="s">
        <v>314</v>
      </c>
      <c r="C83" s="195"/>
      <c r="D83" s="206" t="s">
        <v>186</v>
      </c>
      <c r="E83" s="195"/>
      <c r="F83" s="550"/>
      <c r="H83" s="140"/>
    </row>
    <row r="84" spans="1:8" ht="14.25">
      <c r="A84" s="7" t="s">
        <v>451</v>
      </c>
      <c r="B84" s="232">
        <v>2003456</v>
      </c>
      <c r="C84" s="231" t="s">
        <v>179</v>
      </c>
      <c r="D84" s="216" t="s">
        <v>485</v>
      </c>
      <c r="E84" s="535" t="s">
        <v>8</v>
      </c>
      <c r="F84" s="550">
        <v>4</v>
      </c>
      <c r="H84" s="140"/>
    </row>
    <row r="85" spans="1:8" ht="14.25">
      <c r="A85" s="7" t="s">
        <v>490</v>
      </c>
      <c r="B85" s="232">
        <v>2003578</v>
      </c>
      <c r="C85" s="232" t="s">
        <v>179</v>
      </c>
      <c r="D85" s="495" t="s">
        <v>330</v>
      </c>
      <c r="E85" s="237" t="s">
        <v>7</v>
      </c>
      <c r="F85" s="550">
        <f>'DREN PROF'!H23</f>
        <v>1295</v>
      </c>
      <c r="H85" s="140"/>
    </row>
    <row r="86" spans="1:8" ht="15">
      <c r="A86" s="7" t="s">
        <v>556</v>
      </c>
      <c r="B86" s="232">
        <v>2003336</v>
      </c>
      <c r="C86" s="231" t="s">
        <v>179</v>
      </c>
      <c r="D86" s="494" t="s">
        <v>488</v>
      </c>
      <c r="E86" s="535" t="s">
        <v>8</v>
      </c>
      <c r="F86" s="552">
        <v>4</v>
      </c>
      <c r="H86" s="140"/>
    </row>
    <row r="87" spans="1:8" ht="14.25">
      <c r="A87" s="7" t="s">
        <v>452</v>
      </c>
      <c r="B87" s="232">
        <v>2003391</v>
      </c>
      <c r="C87" s="231" t="s">
        <v>179</v>
      </c>
      <c r="D87" s="494" t="s">
        <v>489</v>
      </c>
      <c r="E87" s="535" t="s">
        <v>7</v>
      </c>
      <c r="F87" s="550">
        <v>10</v>
      </c>
      <c r="H87" s="140"/>
    </row>
    <row r="88" spans="1:8" ht="14.25">
      <c r="A88" s="7" t="s">
        <v>487</v>
      </c>
      <c r="B88" s="232">
        <v>2003642</v>
      </c>
      <c r="C88" s="232" t="s">
        <v>179</v>
      </c>
      <c r="D88" s="216" t="s">
        <v>486</v>
      </c>
      <c r="E88" s="535" t="s">
        <v>8</v>
      </c>
      <c r="F88" s="550">
        <f>'MEMORIAL DE CALCULO'!C60</f>
        <v>4</v>
      </c>
      <c r="H88" s="140"/>
    </row>
    <row r="89" spans="1:8" ht="14.25">
      <c r="A89" s="7" t="s">
        <v>435</v>
      </c>
      <c r="B89" s="232">
        <v>2003728</v>
      </c>
      <c r="C89" s="231" t="s">
        <v>179</v>
      </c>
      <c r="D89" s="216" t="s">
        <v>479</v>
      </c>
      <c r="E89" s="16" t="s">
        <v>8</v>
      </c>
      <c r="F89" s="550">
        <v>1</v>
      </c>
      <c r="H89" s="140"/>
    </row>
    <row r="90" spans="1:8" ht="14.25">
      <c r="A90" s="7" t="s">
        <v>554</v>
      </c>
      <c r="B90" s="232">
        <v>2003684</v>
      </c>
      <c r="C90" s="232" t="s">
        <v>179</v>
      </c>
      <c r="D90" s="496" t="s">
        <v>343</v>
      </c>
      <c r="E90" s="237" t="s">
        <v>8</v>
      </c>
      <c r="F90" s="550">
        <f>'MEMORIAL DE CALCULO'!C62</f>
        <v>16</v>
      </c>
      <c r="H90" s="140"/>
    </row>
    <row r="91" spans="1:8" ht="14.25">
      <c r="A91" s="7" t="s">
        <v>555</v>
      </c>
      <c r="B91" s="232">
        <v>2003714</v>
      </c>
      <c r="C91" s="232" t="s">
        <v>179</v>
      </c>
      <c r="D91" s="6" t="s">
        <v>346</v>
      </c>
      <c r="E91" s="237" t="s">
        <v>8</v>
      </c>
      <c r="F91" s="550">
        <f>F90</f>
        <v>16</v>
      </c>
      <c r="H91" s="140"/>
    </row>
    <row r="92" spans="1:8" ht="14.25">
      <c r="A92" s="7" t="s">
        <v>453</v>
      </c>
      <c r="B92" s="232" t="s">
        <v>295</v>
      </c>
      <c r="C92" s="232" t="s">
        <v>179</v>
      </c>
      <c r="D92" s="216" t="s">
        <v>342</v>
      </c>
      <c r="E92" s="237" t="s">
        <v>8</v>
      </c>
      <c r="F92" s="550">
        <f>'MEMORIAL DE CALCULO'!C69</f>
        <v>32</v>
      </c>
      <c r="H92" s="140"/>
    </row>
    <row r="93" spans="1:8" ht="14.25">
      <c r="A93" s="7" t="s">
        <v>436</v>
      </c>
      <c r="B93" s="232" t="s">
        <v>295</v>
      </c>
      <c r="C93" s="232" t="s">
        <v>179</v>
      </c>
      <c r="D93" s="216" t="s">
        <v>296</v>
      </c>
      <c r="E93" s="237" t="s">
        <v>8</v>
      </c>
      <c r="F93" s="550">
        <f>'MEMORIAL DE CALCULO'!C70</f>
        <v>6</v>
      </c>
      <c r="H93" s="140"/>
    </row>
    <row r="94" spans="1:8" ht="15">
      <c r="A94" s="7" t="s">
        <v>491</v>
      </c>
      <c r="B94" s="195" t="s">
        <v>295</v>
      </c>
      <c r="C94" s="195" t="s">
        <v>179</v>
      </c>
      <c r="D94" s="216" t="s">
        <v>558</v>
      </c>
      <c r="E94" s="237" t="s">
        <v>8</v>
      </c>
      <c r="F94" s="557">
        <f>'MEMORIAL DE CALCULO'!C71</f>
        <v>14</v>
      </c>
      <c r="H94" s="140"/>
    </row>
    <row r="95" spans="1:8" ht="14.25">
      <c r="A95" s="7" t="s">
        <v>437</v>
      </c>
      <c r="B95" s="232">
        <v>804437</v>
      </c>
      <c r="C95" s="232" t="s">
        <v>179</v>
      </c>
      <c r="D95" s="216" t="s">
        <v>547</v>
      </c>
      <c r="E95" s="237" t="s">
        <v>8</v>
      </c>
      <c r="F95" s="550">
        <v>1</v>
      </c>
      <c r="H95" s="140"/>
    </row>
    <row r="96" spans="1:8" ht="14.25">
      <c r="A96" s="7" t="s">
        <v>438</v>
      </c>
      <c r="B96" s="232">
        <v>804207</v>
      </c>
      <c r="C96" s="232" t="s">
        <v>179</v>
      </c>
      <c r="D96" s="216" t="s">
        <v>546</v>
      </c>
      <c r="E96" s="237" t="s">
        <v>8</v>
      </c>
      <c r="F96" s="550">
        <f>'[4]BUEIROS DISTRITO DE AGUAÇÚ'!$I$5</f>
        <v>17</v>
      </c>
      <c r="H96" s="140"/>
    </row>
    <row r="97" spans="1:8" ht="14.25">
      <c r="A97" s="7" t="s">
        <v>551</v>
      </c>
      <c r="B97" s="232">
        <v>804385</v>
      </c>
      <c r="C97" s="232" t="s">
        <v>179</v>
      </c>
      <c r="D97" s="216" t="s">
        <v>548</v>
      </c>
      <c r="E97" s="237" t="s">
        <v>8</v>
      </c>
      <c r="F97" s="550">
        <v>3</v>
      </c>
      <c r="H97" s="140"/>
    </row>
    <row r="98" spans="1:8" ht="14.25">
      <c r="A98" s="7" t="s">
        <v>552</v>
      </c>
      <c r="B98" s="232">
        <v>804121</v>
      </c>
      <c r="C98" s="232" t="s">
        <v>550</v>
      </c>
      <c r="D98" s="216" t="s">
        <v>549</v>
      </c>
      <c r="E98" s="237" t="s">
        <v>8</v>
      </c>
      <c r="F98" s="550">
        <v>1</v>
      </c>
      <c r="H98" s="140"/>
    </row>
    <row r="99" spans="1:6" ht="12.75">
      <c r="A99" s="7" t="s">
        <v>553</v>
      </c>
      <c r="B99" s="231" t="s">
        <v>476</v>
      </c>
      <c r="C99" s="231" t="s">
        <v>175</v>
      </c>
      <c r="D99" s="447" t="s">
        <v>477</v>
      </c>
      <c r="E99" s="231" t="s">
        <v>4</v>
      </c>
      <c r="F99" s="448">
        <f>'MEMORIAL DE CALCULO'!D72</f>
        <v>24.726</v>
      </c>
    </row>
    <row r="103" ht="12.75">
      <c r="B103" s="492"/>
    </row>
  </sheetData>
  <sheetProtection/>
  <mergeCells count="6">
    <mergeCell ref="D57:E57"/>
    <mergeCell ref="F1:F2"/>
    <mergeCell ref="A1:E1"/>
    <mergeCell ref="A2:E2"/>
    <mergeCell ref="A3:E3"/>
    <mergeCell ref="A4:E4"/>
  </mergeCells>
  <hyperlinks>
    <hyperlink ref="B74" r:id="rId1" display="https://www.orcafascio.com/banco/sinapi/insumos/5b05f7f614fef9480be9ed4e"/>
  </hyperlinks>
  <printOptions horizontalCentered="1"/>
  <pageMargins left="0.31496062992125984" right="0.31496062992125984" top="0.5511811023622047" bottom="0.3937007874015748" header="0.31496062992125984" footer="0.31496062992125984"/>
  <pageSetup fitToHeight="2" fitToWidth="2" horizontalDpi="300" verticalDpi="300" orientation="portrait" paperSize="8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K105"/>
  <sheetViews>
    <sheetView zoomScalePageLayoutView="0" workbookViewId="0" topLeftCell="A1">
      <selection activeCell="D3" sqref="D3:I3"/>
    </sheetView>
  </sheetViews>
  <sheetFormatPr defaultColWidth="9.140625" defaultRowHeight="15" customHeight="1"/>
  <cols>
    <col min="1" max="1" width="7.140625" style="114" customWidth="1"/>
    <col min="2" max="2" width="10.00390625" style="2" customWidth="1"/>
    <col min="3" max="3" width="9.28125" style="2" bestFit="1" customWidth="1"/>
    <col min="4" max="4" width="67.00390625" style="1" customWidth="1"/>
    <col min="5" max="5" width="6.28125" style="2" customWidth="1"/>
    <col min="6" max="6" width="12.28125" style="164" customWidth="1"/>
    <col min="7" max="7" width="12.421875" style="423" customWidth="1"/>
    <col min="8" max="8" width="13.28125" style="4" bestFit="1" customWidth="1"/>
    <col min="9" max="9" width="12.28125" style="4" customWidth="1"/>
    <col min="10" max="10" width="21.00390625" style="4" customWidth="1"/>
    <col min="11" max="11" width="13.421875" style="4" customWidth="1"/>
    <col min="12" max="16" width="21.57421875" style="4" customWidth="1"/>
    <col min="17" max="17" width="9.57421875" style="1" bestFit="1" customWidth="1"/>
    <col min="18" max="18" width="16.7109375" style="2" customWidth="1"/>
    <col min="19" max="19" width="15.421875" style="1" customWidth="1"/>
    <col min="20" max="16384" width="9.140625" style="1" customWidth="1"/>
  </cols>
  <sheetData>
    <row r="1" spans="1:219" s="5" customFormat="1" ht="21" customHeight="1">
      <c r="A1" s="615" t="str">
        <f>'[2]QUANT'!A1</f>
        <v>PREFEITURA MUNICIPAL DE VÁRZEA GRANDE</v>
      </c>
      <c r="B1" s="616"/>
      <c r="C1" s="616"/>
      <c r="D1" s="620" t="s">
        <v>244</v>
      </c>
      <c r="E1" s="620"/>
      <c r="F1" s="620"/>
      <c r="G1" s="620"/>
      <c r="H1" s="620"/>
      <c r="I1" s="620"/>
      <c r="J1" s="499" t="s">
        <v>98</v>
      </c>
      <c r="K1" s="513"/>
      <c r="L1" s="291"/>
      <c r="M1" s="521"/>
      <c r="N1" s="297"/>
      <c r="O1" s="291"/>
      <c r="P1" s="291"/>
      <c r="R1" s="289"/>
      <c r="HK1" s="5" t="s">
        <v>9</v>
      </c>
    </row>
    <row r="2" spans="1:16" ht="17.25" customHeight="1">
      <c r="A2" s="617"/>
      <c r="B2" s="603"/>
      <c r="C2" s="603"/>
      <c r="D2" s="621" t="str">
        <f>QUANT!A2</f>
        <v>BAIRRO:JARDIM GLÓRIA</v>
      </c>
      <c r="E2" s="621"/>
      <c r="F2" s="621"/>
      <c r="G2" s="621"/>
      <c r="H2" s="621"/>
      <c r="I2" s="621"/>
      <c r="J2" s="500" t="str">
        <f>RESUMO!C5</f>
        <v>05/2019 SINAPI</v>
      </c>
      <c r="K2" s="512"/>
      <c r="L2" s="292"/>
      <c r="M2" s="521"/>
      <c r="N2" s="297"/>
      <c r="O2" s="292"/>
      <c r="P2" s="292"/>
    </row>
    <row r="3" spans="1:16" ht="27.75" customHeight="1">
      <c r="A3" s="617"/>
      <c r="B3" s="603"/>
      <c r="C3" s="603"/>
      <c r="D3" s="611" t="str">
        <f>QUANT!A3</f>
        <v>RUAS: Louro, Loro, Rosário Oeste, Cáceres, Aroeira, Santos, Rondonópolis, Pinheiros e Jacarandá</v>
      </c>
      <c r="E3" s="611"/>
      <c r="F3" s="611"/>
      <c r="G3" s="611"/>
      <c r="H3" s="611"/>
      <c r="I3" s="611"/>
      <c r="J3" s="500" t="str">
        <f>RESUMO!C6</f>
        <v>10/2018 SICRO 3</v>
      </c>
      <c r="K3" s="512"/>
      <c r="L3" s="292"/>
      <c r="M3" s="521"/>
      <c r="N3" s="297"/>
      <c r="O3" s="292"/>
      <c r="P3" s="292"/>
    </row>
    <row r="4" spans="1:16" ht="21" customHeight="1">
      <c r="A4" s="617" t="s">
        <v>119</v>
      </c>
      <c r="B4" s="603"/>
      <c r="C4" s="603"/>
      <c r="D4" s="256">
        <f>BDI!E25</f>
        <v>0.207</v>
      </c>
      <c r="E4" s="610" t="s">
        <v>97</v>
      </c>
      <c r="F4" s="610"/>
      <c r="G4" s="419">
        <f>'TERRAP E PAVIM'!S23</f>
        <v>17600.09</v>
      </c>
      <c r="H4" s="257" t="s">
        <v>221</v>
      </c>
      <c r="I4" s="258">
        <f>'TERRAP E PAVIM'!H23</f>
        <v>2750.015</v>
      </c>
      <c r="J4" s="501" t="s">
        <v>322</v>
      </c>
      <c r="K4" s="513"/>
      <c r="L4" s="293"/>
      <c r="M4" s="521"/>
      <c r="N4" s="297"/>
      <c r="O4" s="293"/>
      <c r="P4" s="293"/>
    </row>
    <row r="5" spans="1:20" ht="18.75" customHeight="1">
      <c r="A5" s="618" t="s">
        <v>178</v>
      </c>
      <c r="B5" s="619"/>
      <c r="C5" s="619"/>
      <c r="D5" s="191">
        <f>'BDI DIFERENCIADO'!E25</f>
        <v>0.1527</v>
      </c>
      <c r="E5" s="7"/>
      <c r="F5" s="259"/>
      <c r="G5" s="259"/>
      <c r="H5" s="259"/>
      <c r="I5" s="259"/>
      <c r="J5" s="501" t="s">
        <v>245</v>
      </c>
      <c r="K5" s="513"/>
      <c r="L5" s="293"/>
      <c r="M5" s="521"/>
      <c r="N5" s="297"/>
      <c r="O5" s="293"/>
      <c r="P5" s="293"/>
      <c r="Q5" s="3"/>
      <c r="R5" s="299"/>
      <c r="S5" s="3"/>
      <c r="T5" s="3"/>
    </row>
    <row r="6" spans="1:18" s="104" customFormat="1" ht="12.75">
      <c r="A6" s="208" t="str">
        <f>'[2]QUANT'!A5</f>
        <v>ITEM</v>
      </c>
      <c r="B6" s="192" t="str">
        <f>'[2]QUANT'!B5</f>
        <v>CODIGO</v>
      </c>
      <c r="C6" s="192" t="str">
        <f>'[2]QUANT'!C5</f>
        <v>BANCO</v>
      </c>
      <c r="D6" s="193" t="str">
        <f>'[2]QUANT'!D5</f>
        <v>DISCRIMINAÇÃO</v>
      </c>
      <c r="E6" s="186" t="s">
        <v>10</v>
      </c>
      <c r="F6" s="194" t="s">
        <v>11</v>
      </c>
      <c r="G6" s="420" t="s">
        <v>12</v>
      </c>
      <c r="H6" s="187" t="s">
        <v>225</v>
      </c>
      <c r="I6" s="186" t="s">
        <v>13</v>
      </c>
      <c r="J6" s="502" t="s">
        <v>14</v>
      </c>
      <c r="K6" s="514"/>
      <c r="L6" s="294"/>
      <c r="M6" s="521"/>
      <c r="N6" s="297"/>
      <c r="O6" s="294"/>
      <c r="P6" s="294"/>
      <c r="Q6" s="190"/>
      <c r="R6" s="290"/>
    </row>
    <row r="7" spans="1:20" s="104" customFormat="1" ht="12.75">
      <c r="A7" s="202" t="str">
        <f>QUANT!A6</f>
        <v>1.0</v>
      </c>
      <c r="B7" s="186" t="str">
        <f>QUANT!B6</f>
        <v>I</v>
      </c>
      <c r="C7" s="186"/>
      <c r="D7" s="186" t="str">
        <f>QUANT!D6</f>
        <v>SERVIÇOS PRELIMINARES</v>
      </c>
      <c r="E7" s="166"/>
      <c r="F7" s="196"/>
      <c r="G7" s="421"/>
      <c r="H7" s="197"/>
      <c r="I7" s="197"/>
      <c r="J7" s="503"/>
      <c r="K7" s="556"/>
      <c r="L7" s="295"/>
      <c r="M7" s="295"/>
      <c r="N7" s="297"/>
      <c r="O7" s="295"/>
      <c r="P7" s="295"/>
      <c r="Q7" s="190"/>
      <c r="R7" s="299"/>
      <c r="S7" s="3"/>
      <c r="T7" s="3"/>
    </row>
    <row r="8" spans="1:20" ht="15" customHeight="1">
      <c r="A8" s="204" t="str">
        <f>QUANT!A7</f>
        <v>1.1</v>
      </c>
      <c r="B8" s="166" t="str">
        <f>QUANT!B7</f>
        <v>74209/001</v>
      </c>
      <c r="C8" s="166" t="str">
        <f>QUANT!C7</f>
        <v>SINAPI</v>
      </c>
      <c r="D8" s="260" t="str">
        <f>QUANT!D7</f>
        <v>Placa de obra em chapa de aço galvanizado</v>
      </c>
      <c r="E8" s="166" t="str">
        <f>QUANT!E7</f>
        <v>m²</v>
      </c>
      <c r="F8" s="196">
        <f>QUANT!F7</f>
        <v>12</v>
      </c>
      <c r="G8" s="411">
        <v>529.52</v>
      </c>
      <c r="H8" s="196">
        <f>TRUNC((G8*(1+($D$4))),2)</f>
        <v>639.13</v>
      </c>
      <c r="I8" s="196">
        <f>TRUNC(F8*H8,2)</f>
        <v>7669.56</v>
      </c>
      <c r="J8" s="504"/>
      <c r="K8" s="513"/>
      <c r="L8" s="296"/>
      <c r="M8" s="296"/>
      <c r="N8" s="297"/>
      <c r="O8" s="296"/>
      <c r="P8" s="296"/>
      <c r="Q8" s="190"/>
      <c r="R8" s="300"/>
      <c r="S8" s="301"/>
      <c r="T8" s="3"/>
    </row>
    <row r="9" spans="1:20" ht="15" customHeight="1">
      <c r="A9" s="204" t="str">
        <f>QUANT!A8</f>
        <v>1.2</v>
      </c>
      <c r="B9" s="166">
        <f>QUANT!B8</f>
        <v>93584</v>
      </c>
      <c r="C9" s="166" t="str">
        <f>QUANT!C8</f>
        <v>SINAPI</v>
      </c>
      <c r="D9" s="261" t="str">
        <f>QUANT!D8</f>
        <v>Execução de depósito em canteiro de obra</v>
      </c>
      <c r="E9" s="166" t="str">
        <f>QUANT!E8</f>
        <v>m²</v>
      </c>
      <c r="F9" s="196">
        <f>QUANT!F8</f>
        <v>30</v>
      </c>
      <c r="G9" s="411">
        <v>483.07</v>
      </c>
      <c r="H9" s="196">
        <f>TRUNC((G9*(1+($D$4))),2)</f>
        <v>583.06</v>
      </c>
      <c r="I9" s="196">
        <f>TRUNC(F9*H9,2)</f>
        <v>17491.8</v>
      </c>
      <c r="J9" s="504"/>
      <c r="K9" s="512"/>
      <c r="L9" s="296"/>
      <c r="M9" s="296"/>
      <c r="N9" s="297"/>
      <c r="O9" s="296"/>
      <c r="P9" s="296"/>
      <c r="Q9" s="190"/>
      <c r="R9" s="302"/>
      <c r="S9" s="301"/>
      <c r="T9" s="3"/>
    </row>
    <row r="10" spans="1:20" s="412" customFormat="1" ht="36">
      <c r="A10" s="408" t="str">
        <f>QUANT!A9</f>
        <v>1.3</v>
      </c>
      <c r="B10" s="409" t="str">
        <f>QUANT!B9</f>
        <v>73847/001</v>
      </c>
      <c r="C10" s="409" t="str">
        <f>QUANT!C9</f>
        <v>SINAPI</v>
      </c>
      <c r="D10" s="410" t="str">
        <f>QUANT!D9</f>
        <v>Aluguel container/sanit c/2 vasos/1 lavat/1 mic/4 chuv larg2,20m compr=6,20m alt=2,50m chapa aco c/nerv trapez forro c/isolam termo/acustico chassis reforc piso compens naval inclinst eletr/hidr excl transp/carga/descarga</v>
      </c>
      <c r="E10" s="409" t="str">
        <f>QUANT!E9</f>
        <v>mês</v>
      </c>
      <c r="F10" s="411">
        <f>QUANT!F9</f>
        <v>12</v>
      </c>
      <c r="G10" s="411">
        <v>394.53</v>
      </c>
      <c r="H10" s="411">
        <f>TRUNC((G10*(1+($D$4))),2)</f>
        <v>476.19</v>
      </c>
      <c r="I10" s="411">
        <f>TRUNC(F10*H10,2)</f>
        <v>5714.28</v>
      </c>
      <c r="J10" s="505"/>
      <c r="K10" s="512"/>
      <c r="L10" s="432" t="s">
        <v>245</v>
      </c>
      <c r="Q10" s="413"/>
      <c r="R10" s="413"/>
      <c r="S10" s="414"/>
      <c r="T10" s="413"/>
    </row>
    <row r="11" spans="1:19" ht="15" customHeight="1">
      <c r="A11" s="204" t="str">
        <f>QUANT!A10</f>
        <v>1.4</v>
      </c>
      <c r="B11" s="166">
        <f>QUANT!B10</f>
        <v>5213417</v>
      </c>
      <c r="C11" s="166" t="str">
        <f>QUANT!C10</f>
        <v>SICRO 3</v>
      </c>
      <c r="D11" s="261" t="str">
        <f>QUANT!D10</f>
        <v>Confecção de placa em aço nº 16 galvanizado, com película retrorrefletiva tipo I + III</v>
      </c>
      <c r="E11" s="166" t="str">
        <f>QUANT!E10</f>
        <v>m²</v>
      </c>
      <c r="F11" s="196">
        <f>QUANT!F10</f>
        <v>20</v>
      </c>
      <c r="G11" s="411">
        <v>245.74</v>
      </c>
      <c r="H11" s="196">
        <f>TRUNC((G11*(1+($D$4))),2)</f>
        <v>296.6</v>
      </c>
      <c r="I11" s="196">
        <f>TRUNC(F11*H11,2)</f>
        <v>5932</v>
      </c>
      <c r="J11" s="506">
        <f>SUM(I8:I11)</f>
        <v>36807.64</v>
      </c>
      <c r="K11" s="513"/>
      <c r="L11" s="1"/>
      <c r="M11" s="1"/>
      <c r="N11" s="1"/>
      <c r="O11" s="1"/>
      <c r="P11" s="1"/>
      <c r="R11" s="1"/>
      <c r="S11" s="164"/>
    </row>
    <row r="12" spans="1:19" ht="15" customHeight="1">
      <c r="A12" s="204"/>
      <c r="B12" s="195"/>
      <c r="C12" s="195"/>
      <c r="D12" s="207"/>
      <c r="E12" s="166"/>
      <c r="F12" s="196"/>
      <c r="G12" s="411"/>
      <c r="H12" s="196"/>
      <c r="I12" s="196"/>
      <c r="J12" s="506"/>
      <c r="K12" s="513"/>
      <c r="L12" s="1"/>
      <c r="M12" s="1"/>
      <c r="N12" s="1"/>
      <c r="O12" s="1"/>
      <c r="P12" s="1"/>
      <c r="R12" s="1"/>
      <c r="S12" s="164"/>
    </row>
    <row r="13" spans="1:19" ht="15" customHeight="1" thickBot="1">
      <c r="A13" s="202" t="str">
        <f>QUANT!A12</f>
        <v>2.0</v>
      </c>
      <c r="B13" s="186" t="str">
        <f>QUANT!B12</f>
        <v>II</v>
      </c>
      <c r="C13" s="186"/>
      <c r="D13" s="203" t="str">
        <f>QUANT!D12</f>
        <v>ADMINISTRAÇÃO LOCAL</v>
      </c>
      <c r="E13" s="166"/>
      <c r="F13" s="196"/>
      <c r="G13" s="411"/>
      <c r="H13" s="196"/>
      <c r="I13" s="196"/>
      <c r="J13" s="506"/>
      <c r="K13" s="514"/>
      <c r="L13" s="1"/>
      <c r="M13" s="1"/>
      <c r="N13" s="1"/>
      <c r="O13" s="1"/>
      <c r="P13" s="1"/>
      <c r="R13" s="1"/>
      <c r="S13" s="164"/>
    </row>
    <row r="14" spans="1:19" ht="19.5" customHeight="1">
      <c r="A14" s="204" t="str">
        <f>QUANT!A13</f>
        <v>2.1</v>
      </c>
      <c r="B14" s="166">
        <f>QUANT!B13</f>
        <v>93565</v>
      </c>
      <c r="C14" s="166" t="str">
        <f>QUANT!C13</f>
        <v>SINAPI</v>
      </c>
      <c r="D14" s="261" t="str">
        <f>QUANT!D13</f>
        <v>Engenheiro civil de obra júnior com encargos complementares</v>
      </c>
      <c r="E14" s="166" t="str">
        <f>QUANT!E13</f>
        <v>mês</v>
      </c>
      <c r="F14" s="196">
        <f>QUANT!F13</f>
        <v>3</v>
      </c>
      <c r="G14" s="411">
        <v>16276.97</v>
      </c>
      <c r="H14" s="196">
        <f>TRUNC((G14*(1+($D$4))),2)</f>
        <v>19646.3</v>
      </c>
      <c r="I14" s="196">
        <f>TRUNC(F14*H14,2)</f>
        <v>58938.9</v>
      </c>
      <c r="J14" s="506"/>
      <c r="K14" s="556"/>
      <c r="L14" s="517" t="s">
        <v>163</v>
      </c>
      <c r="M14" s="110" t="s">
        <v>164</v>
      </c>
      <c r="N14" s="110" t="s">
        <v>165</v>
      </c>
      <c r="O14" s="110" t="s">
        <v>166</v>
      </c>
      <c r="P14" s="110" t="s">
        <v>103</v>
      </c>
      <c r="Q14" s="110" t="s">
        <v>167</v>
      </c>
      <c r="R14" s="111" t="s">
        <v>168</v>
      </c>
      <c r="S14" s="164"/>
    </row>
    <row r="15" spans="1:19" ht="15" customHeight="1">
      <c r="A15" s="204" t="str">
        <f>QUANT!A14</f>
        <v>2.2</v>
      </c>
      <c r="B15" s="166">
        <f>QUANT!B14</f>
        <v>94296</v>
      </c>
      <c r="C15" s="166" t="str">
        <f>QUANT!C14</f>
        <v>SINAPI</v>
      </c>
      <c r="D15" s="261" t="str">
        <f>QUANT!D14</f>
        <v>Topografo com encargos complementares</v>
      </c>
      <c r="E15" s="166" t="str">
        <f>QUANT!E14</f>
        <v>mês</v>
      </c>
      <c r="F15" s="196">
        <f>QUANT!F14</f>
        <v>3.5</v>
      </c>
      <c r="G15" s="411">
        <v>3385.2</v>
      </c>
      <c r="H15" s="196">
        <f>TRUNC((G15*(1+($D$4))),2)</f>
        <v>4085.93</v>
      </c>
      <c r="I15" s="196">
        <f>TRUNC(F15*H15,2)</f>
        <v>14300.75</v>
      </c>
      <c r="J15" s="506"/>
      <c r="K15" s="554"/>
      <c r="L15" s="518"/>
      <c r="M15" s="112"/>
      <c r="N15" s="112"/>
      <c r="O15" s="112"/>
      <c r="P15" s="112"/>
      <c r="Q15" s="112"/>
      <c r="R15" s="113"/>
      <c r="S15" s="164"/>
    </row>
    <row r="16" spans="1:19" ht="15" customHeight="1">
      <c r="A16" s="408" t="str">
        <f>QUANT!A15</f>
        <v>2.3</v>
      </c>
      <c r="B16" s="409">
        <f>QUANT!B15</f>
        <v>88253</v>
      </c>
      <c r="C16" s="409" t="str">
        <f>QUANT!C15</f>
        <v>SINAPI</v>
      </c>
      <c r="D16" s="410" t="str">
        <f>QUANT!D15</f>
        <v>Auxiliar de topógrafo com encargos complementares</v>
      </c>
      <c r="E16" s="409" t="str">
        <f>QUANT!E15</f>
        <v>mês</v>
      </c>
      <c r="F16" s="411">
        <f>QUANT!F15</f>
        <v>3.5</v>
      </c>
      <c r="G16" s="411">
        <f>R17</f>
        <v>1649.172748911466</v>
      </c>
      <c r="H16" s="411">
        <f>TRUNC((G16*(1+($D$4))),2)</f>
        <v>1990.55</v>
      </c>
      <c r="I16" s="411">
        <f>TRUNC(F16*H16,2)</f>
        <v>6966.92</v>
      </c>
      <c r="J16" s="507"/>
      <c r="K16" s="554"/>
      <c r="L16" s="518"/>
      <c r="M16" s="112"/>
      <c r="N16" s="112"/>
      <c r="O16" s="112"/>
      <c r="P16" s="112"/>
      <c r="Q16" s="112"/>
      <c r="R16" s="113"/>
      <c r="S16" s="164"/>
    </row>
    <row r="17" spans="1:19" s="412" customFormat="1" ht="15" customHeight="1">
      <c r="A17" s="204" t="str">
        <f>QUANT!A16</f>
        <v>2.4</v>
      </c>
      <c r="B17" s="166">
        <f>QUANT!B16</f>
        <v>94295</v>
      </c>
      <c r="C17" s="166" t="str">
        <f>QUANT!C16</f>
        <v>SINAPI</v>
      </c>
      <c r="D17" s="261" t="str">
        <f>QUANT!D16</f>
        <v>Mestre de obras com encargos complementares</v>
      </c>
      <c r="E17" s="166" t="str">
        <f>QUANT!E16</f>
        <v>mês</v>
      </c>
      <c r="F17" s="196">
        <f>QUANT!F16</f>
        <v>3.5</v>
      </c>
      <c r="G17" s="411">
        <v>5545.28</v>
      </c>
      <c r="H17" s="196">
        <f>TRUNC((G17*(1+($D$4))),2)</f>
        <v>6693.15</v>
      </c>
      <c r="I17" s="196">
        <f>TRUNC(F17*H17,2)</f>
        <v>23426.02</v>
      </c>
      <c r="J17" s="506"/>
      <c r="K17" s="555"/>
      <c r="L17" s="519">
        <v>10.89</v>
      </c>
      <c r="M17" s="465">
        <f>L17/1.7225</f>
        <v>6.322206095791002</v>
      </c>
      <c r="N17" s="465">
        <f>M17*1.1857</f>
        <v>7.496239767779391</v>
      </c>
      <c r="O17" s="466">
        <f>N17*220</f>
        <v>1649.172748911466</v>
      </c>
      <c r="P17" s="467">
        <f>1+C4</f>
        <v>1</v>
      </c>
      <c r="Q17" s="465">
        <v>1</v>
      </c>
      <c r="R17" s="468">
        <f>220*N17*P17*Q17</f>
        <v>1649.172748911466</v>
      </c>
      <c r="S17" s="416"/>
    </row>
    <row r="18" spans="1:19" ht="15" customHeight="1" thickBot="1">
      <c r="A18" s="204" t="str">
        <f>QUANT!A17</f>
        <v>2.5</v>
      </c>
      <c r="B18" s="166">
        <f>QUANT!B17</f>
        <v>93564</v>
      </c>
      <c r="C18" s="166" t="str">
        <f>QUANT!C17</f>
        <v>SINAPI</v>
      </c>
      <c r="D18" s="261" t="str">
        <f>QUANT!D17</f>
        <v>Apontador ou apropriador com encargos complementares</v>
      </c>
      <c r="E18" s="166" t="str">
        <f>QUANT!E17</f>
        <v>mês</v>
      </c>
      <c r="F18" s="196">
        <f>QUANT!F17</f>
        <v>3.5</v>
      </c>
      <c r="G18" s="411">
        <v>3268.19</v>
      </c>
      <c r="H18" s="196">
        <f>TRUNC((G18*(1+($D$4))),2)</f>
        <v>3944.7</v>
      </c>
      <c r="I18" s="196">
        <f>TRUNC(F18*H18,2)</f>
        <v>13806.45</v>
      </c>
      <c r="J18" s="506">
        <f>SUM(I14:I18)</f>
        <v>117439.04</v>
      </c>
      <c r="K18" s="554"/>
      <c r="L18" s="520"/>
      <c r="M18" s="307"/>
      <c r="N18" s="307"/>
      <c r="O18" s="307"/>
      <c r="P18" s="307"/>
      <c r="Q18" s="308"/>
      <c r="R18" s="309"/>
      <c r="S18" s="164"/>
    </row>
    <row r="19" spans="1:19" ht="15" customHeight="1">
      <c r="A19" s="204"/>
      <c r="B19" s="195"/>
      <c r="C19" s="195"/>
      <c r="D19" s="207"/>
      <c r="E19" s="166"/>
      <c r="F19" s="196"/>
      <c r="G19" s="411"/>
      <c r="H19" s="196"/>
      <c r="I19" s="196"/>
      <c r="J19" s="506"/>
      <c r="K19" s="554"/>
      <c r="L19" s="612"/>
      <c r="M19" s="112"/>
      <c r="N19" s="112"/>
      <c r="O19" s="112"/>
      <c r="P19" s="112"/>
      <c r="Q19" s="112"/>
      <c r="R19" s="112"/>
      <c r="S19" s="164"/>
    </row>
    <row r="20" spans="1:19" ht="12.75">
      <c r="A20" s="202" t="str">
        <f>QUANT!A19</f>
        <v>3.0</v>
      </c>
      <c r="B20" s="186" t="str">
        <f>QUANT!B19</f>
        <v>III</v>
      </c>
      <c r="C20" s="186"/>
      <c r="D20" s="203" t="str">
        <f>QUANT!D19</f>
        <v>ENSAIOS TECNOLÓGICOS DE SOLO E ASFALTO</v>
      </c>
      <c r="E20" s="166"/>
      <c r="F20" s="196"/>
      <c r="G20" s="411"/>
      <c r="H20" s="196"/>
      <c r="I20" s="196"/>
      <c r="J20" s="506"/>
      <c r="K20" s="554"/>
      <c r="L20" s="612"/>
      <c r="M20" s="112"/>
      <c r="N20" s="112"/>
      <c r="O20" s="112"/>
      <c r="P20" s="112"/>
      <c r="Q20" s="112"/>
      <c r="R20" s="112"/>
      <c r="S20" s="164"/>
    </row>
    <row r="21" spans="1:19" ht="15">
      <c r="A21" s="204" t="str">
        <f>QUANT!A20</f>
        <v>3.1</v>
      </c>
      <c r="B21" s="166" t="str">
        <f>QUANT!B20</f>
        <v>74021/003</v>
      </c>
      <c r="C21" s="166" t="str">
        <f>QUANT!C20</f>
        <v>SINAPI</v>
      </c>
      <c r="D21" s="261" t="str">
        <f>QUANT!D20</f>
        <v>Ensaio de regularição de sub-leito</v>
      </c>
      <c r="E21" s="166" t="str">
        <f>QUANT!E20</f>
        <v>m²</v>
      </c>
      <c r="F21" s="196">
        <f>QUANT!F20</f>
        <v>22000.129999999997</v>
      </c>
      <c r="G21" s="411">
        <v>0.85</v>
      </c>
      <c r="H21" s="196">
        <f>TRUNC((G21*(1+($D$4))),2)</f>
        <v>1.02</v>
      </c>
      <c r="I21" s="196">
        <f>TRUNC(F21*H21,2)</f>
        <v>22440.13</v>
      </c>
      <c r="J21" s="506"/>
      <c r="K21" s="554"/>
      <c r="L21" s="453">
        <f>J18/J101</f>
        <v>0.03759905626621825</v>
      </c>
      <c r="M21" s="132"/>
      <c r="N21" s="522"/>
      <c r="O21" s="509"/>
      <c r="P21" s="188"/>
      <c r="Q21" s="132"/>
      <c r="R21" s="189"/>
      <c r="S21" s="164"/>
    </row>
    <row r="22" spans="1:20" ht="15" customHeight="1">
      <c r="A22" s="204" t="str">
        <f>QUANT!A21</f>
        <v>3.3</v>
      </c>
      <c r="B22" s="166" t="str">
        <f>QUANT!B21</f>
        <v>74021/006</v>
      </c>
      <c r="C22" s="166" t="str">
        <f>QUANT!C21</f>
        <v>SINAPI</v>
      </c>
      <c r="D22" s="261" t="str">
        <f>QUANT!D21</f>
        <v>Ensaio de Sub-base estabilizada granulometricamente)</v>
      </c>
      <c r="E22" s="166" t="str">
        <f>QUANT!E21</f>
        <v>m³</v>
      </c>
      <c r="F22" s="196">
        <f>QUANT!F21</f>
        <v>4400.01</v>
      </c>
      <c r="G22" s="411">
        <v>1.65</v>
      </c>
      <c r="H22" s="196">
        <f>TRUNC((G22*(1+($D$4))),2)</f>
        <v>1.99</v>
      </c>
      <c r="I22" s="196">
        <f>TRUNC(F22*H22,2)</f>
        <v>8756.01</v>
      </c>
      <c r="J22" s="506"/>
      <c r="K22" s="555"/>
      <c r="L22" s="297"/>
      <c r="M22" s="297"/>
      <c r="N22" s="522"/>
      <c r="O22" s="509"/>
      <c r="P22" s="297"/>
      <c r="Q22" s="190"/>
      <c r="R22" s="300"/>
      <c r="S22" s="301"/>
      <c r="T22" s="3"/>
    </row>
    <row r="23" spans="1:20" ht="15" customHeight="1">
      <c r="A23" s="204" t="str">
        <f>QUANT!A22</f>
        <v>3.4</v>
      </c>
      <c r="B23" s="166" t="str">
        <f>QUANT!B22</f>
        <v>74021/006</v>
      </c>
      <c r="C23" s="166" t="str">
        <f>QUANT!C22</f>
        <v>SINAPI</v>
      </c>
      <c r="D23" s="261" t="str">
        <f>QUANT!D22</f>
        <v>Ensaio de base estabilizada granulometricamente</v>
      </c>
      <c r="E23" s="166" t="str">
        <f>QUANT!E22</f>
        <v>m³</v>
      </c>
      <c r="F23" s="196">
        <f>QUANT!F22</f>
        <v>4400.01</v>
      </c>
      <c r="G23" s="411">
        <v>1.65</v>
      </c>
      <c r="H23" s="196">
        <f>TRUNC((G23*(1+($D$4))),2)</f>
        <v>1.99</v>
      </c>
      <c r="I23" s="196">
        <f>TRUNC(F23*H23,2)</f>
        <v>8756.01</v>
      </c>
      <c r="J23" s="506"/>
      <c r="K23" s="554"/>
      <c r="L23" s="297"/>
      <c r="M23" s="297"/>
      <c r="N23" s="522"/>
      <c r="O23" s="509"/>
      <c r="P23" s="297"/>
      <c r="Q23" s="190"/>
      <c r="R23" s="300"/>
      <c r="S23" s="301"/>
      <c r="T23" s="3"/>
    </row>
    <row r="24" spans="1:20" ht="15" customHeight="1">
      <c r="A24" s="204" t="str">
        <f>QUANT!A23</f>
        <v>3.5</v>
      </c>
      <c r="B24" s="166" t="str">
        <f>QUANT!B23</f>
        <v>73900/012</v>
      </c>
      <c r="C24" s="166" t="str">
        <f>QUANT!C23</f>
        <v>SINAPI</v>
      </c>
      <c r="D24" s="261" t="str">
        <f>QUANT!D23</f>
        <v>Ensaio de concreto asfáltico para cada 10 ton </v>
      </c>
      <c r="E24" s="166" t="str">
        <f>QUANT!E23</f>
        <v>ton</v>
      </c>
      <c r="F24" s="196">
        <f>QUANT!F23</f>
        <v>168.96086400000002</v>
      </c>
      <c r="G24" s="411">
        <v>47.31</v>
      </c>
      <c r="H24" s="196">
        <f>TRUNC((G24*(1+($D$4))),2)</f>
        <v>57.1</v>
      </c>
      <c r="I24" s="196">
        <f>TRUNC(F24*H24,2)</f>
        <v>9647.66</v>
      </c>
      <c r="J24" s="506"/>
      <c r="K24" s="554"/>
      <c r="L24" s="297"/>
      <c r="M24" s="297"/>
      <c r="N24" s="522"/>
      <c r="O24" s="509"/>
      <c r="P24" s="297"/>
      <c r="Q24" s="190"/>
      <c r="R24" s="300"/>
      <c r="S24" s="301"/>
      <c r="T24" s="3"/>
    </row>
    <row r="25" spans="1:20" ht="24">
      <c r="A25" s="204" t="str">
        <f>QUANT!A24</f>
        <v>3.6</v>
      </c>
      <c r="B25" s="166" t="str">
        <f>QUANT!B24</f>
        <v>74022/030</v>
      </c>
      <c r="C25" s="166" t="str">
        <f>QUANT!C24</f>
        <v>SINAPI</v>
      </c>
      <c r="D25" s="261" t="str">
        <f>QUANT!D24</f>
        <v>Ensaio de resistência a compressão simples do concreto - meio-fio, sarjetas e calçadas (considerado 1,0 amostra a cada 200 m)</v>
      </c>
      <c r="E25" s="166" t="str">
        <f>QUANT!E24</f>
        <v>un</v>
      </c>
      <c r="F25" s="196">
        <f>QUANT!F24</f>
        <v>23.75965</v>
      </c>
      <c r="G25" s="411">
        <v>140.24</v>
      </c>
      <c r="H25" s="196">
        <f>TRUNC((G25*(1+($D$4))),2)</f>
        <v>169.26</v>
      </c>
      <c r="I25" s="196">
        <f>TRUNC(F25*H25,2)</f>
        <v>4021.55</v>
      </c>
      <c r="J25" s="506">
        <f>SUM(I21:I25)</f>
        <v>53621.36</v>
      </c>
      <c r="K25" s="554"/>
      <c r="L25" s="297"/>
      <c r="M25" s="297"/>
      <c r="N25" s="522"/>
      <c r="O25" s="510"/>
      <c r="P25" s="297"/>
      <c r="Q25" s="190"/>
      <c r="R25" s="300"/>
      <c r="S25" s="301"/>
      <c r="T25" s="3"/>
    </row>
    <row r="26" spans="1:20" ht="12.75">
      <c r="A26" s="204"/>
      <c r="B26" s="195"/>
      <c r="C26" s="357"/>
      <c r="D26" s="217"/>
      <c r="E26" s="166"/>
      <c r="F26" s="196"/>
      <c r="G26" s="411"/>
      <c r="H26" s="196"/>
      <c r="I26" s="196"/>
      <c r="J26" s="508"/>
      <c r="K26" s="554"/>
      <c r="L26" s="297"/>
      <c r="M26" s="297"/>
      <c r="N26" s="297"/>
      <c r="O26" s="297"/>
      <c r="P26" s="297"/>
      <c r="Q26" s="190"/>
      <c r="R26" s="300"/>
      <c r="S26" s="301"/>
      <c r="T26" s="3"/>
    </row>
    <row r="27" spans="1:20" ht="12.75">
      <c r="A27" s="202" t="str">
        <f>QUANT!A26</f>
        <v>4.0</v>
      </c>
      <c r="B27" s="186" t="str">
        <f>QUANT!B26</f>
        <v>1V</v>
      </c>
      <c r="C27" s="186"/>
      <c r="D27" s="203" t="str">
        <f>QUANT!D26</f>
        <v>TERRAPLENAGEM</v>
      </c>
      <c r="E27" s="166"/>
      <c r="F27" s="196"/>
      <c r="G27" s="411"/>
      <c r="H27" s="196"/>
      <c r="I27" s="196"/>
      <c r="J27" s="508"/>
      <c r="K27" s="554"/>
      <c r="L27" s="298"/>
      <c r="M27" s="297"/>
      <c r="N27" s="298"/>
      <c r="O27" s="298"/>
      <c r="P27" s="298"/>
      <c r="Q27" s="190"/>
      <c r="R27" s="302"/>
      <c r="S27" s="301"/>
      <c r="T27" s="3"/>
    </row>
    <row r="28" spans="1:20" ht="24">
      <c r="A28" s="204" t="str">
        <f>QUANT!A27</f>
        <v>4.1</v>
      </c>
      <c r="B28" s="166" t="str">
        <f>QUANT!B27</f>
        <v>73822/002</v>
      </c>
      <c r="C28" s="166" t="str">
        <f>QUANT!C27</f>
        <v>SINAPI</v>
      </c>
      <c r="D28" s="261" t="str">
        <f>QUANT!D27</f>
        <v>Limpeza mecanizada de área com remoção de camada vegetal, utilizando motoniveladora</v>
      </c>
      <c r="E28" s="166" t="str">
        <f>QUANT!E27</f>
        <v>m²</v>
      </c>
      <c r="F28" s="196">
        <f>QUANT!F27</f>
        <v>8250.045</v>
      </c>
      <c r="G28" s="411">
        <v>0.5</v>
      </c>
      <c r="H28" s="196">
        <f>TRUNC((G28*(1+($D$4))),2)</f>
        <v>0.6</v>
      </c>
      <c r="I28" s="196">
        <f aca="true" t="shared" si="0" ref="I28:I33">TRUNC(F28*H28,2)</f>
        <v>4950.02</v>
      </c>
      <c r="J28" s="508"/>
      <c r="K28" s="554"/>
      <c r="L28" s="298"/>
      <c r="M28" s="297"/>
      <c r="N28" s="298"/>
      <c r="O28" s="298"/>
      <c r="P28" s="298"/>
      <c r="Q28" s="190"/>
      <c r="R28" s="302"/>
      <c r="S28" s="301"/>
      <c r="T28" s="3"/>
    </row>
    <row r="29" spans="1:20" ht="24">
      <c r="A29" s="204" t="str">
        <f>QUANT!A28</f>
        <v>4.2</v>
      </c>
      <c r="B29" s="166" t="str">
        <f>QUANT!B28</f>
        <v>74205/001</v>
      </c>
      <c r="C29" s="166" t="str">
        <f>QUANT!C28</f>
        <v>SINAPI</v>
      </c>
      <c r="D29" s="261" t="str">
        <f>QUANT!D28</f>
        <v>Escavacao mecanica de material 1a. categoria, proveniente de corte de subleito (c/trator esteiras 160hp)</v>
      </c>
      <c r="E29" s="166" t="str">
        <f>QUANT!E28</f>
        <v>m³</v>
      </c>
      <c r="F29" s="196">
        <f>QUANT!F28</f>
        <v>11105.5241</v>
      </c>
      <c r="G29" s="411">
        <v>1.51</v>
      </c>
      <c r="H29" s="196">
        <f>TRUNC((G29*(1+($D$4))),2)</f>
        <v>1.82</v>
      </c>
      <c r="I29" s="196">
        <f t="shared" si="0"/>
        <v>20212.05</v>
      </c>
      <c r="J29" s="508"/>
      <c r="K29" s="554"/>
      <c r="L29" s="298"/>
      <c r="M29" s="297"/>
      <c r="N29" s="298"/>
      <c r="O29" s="298"/>
      <c r="P29" s="298"/>
      <c r="Q29" s="190"/>
      <c r="R29" s="302"/>
      <c r="S29" s="301"/>
      <c r="T29" s="3"/>
    </row>
    <row r="30" spans="1:20" ht="24">
      <c r="A30" s="204" t="str">
        <f>QUANT!A29</f>
        <v>4.3</v>
      </c>
      <c r="B30" s="166">
        <f>QUANT!B29</f>
        <v>72888</v>
      </c>
      <c r="C30" s="166" t="str">
        <f>QUANT!C29</f>
        <v>SINAPI</v>
      </c>
      <c r="D30" s="261" t="str">
        <f>QUANT!D29</f>
        <v>Carga, manobras e descarga de areia, brita, pedra de mao e solos com caminhao basculante 6 m3 (descarga livre)</v>
      </c>
      <c r="E30" s="166" t="str">
        <f>QUANT!E29</f>
        <v>m³</v>
      </c>
      <c r="F30" s="196">
        <f>QUANT!F29</f>
        <v>11105.5241</v>
      </c>
      <c r="G30" s="411">
        <v>1.22</v>
      </c>
      <c r="H30" s="196">
        <f>TRUNC((G30*(1+($D$4))),2)</f>
        <v>1.47</v>
      </c>
      <c r="I30" s="196">
        <f t="shared" si="0"/>
        <v>16325.12</v>
      </c>
      <c r="J30" s="508"/>
      <c r="K30" s="554"/>
      <c r="L30" s="298"/>
      <c r="M30" s="297"/>
      <c r="N30" s="298"/>
      <c r="O30" s="298"/>
      <c r="P30" s="298"/>
      <c r="Q30" s="190"/>
      <c r="R30" s="300"/>
      <c r="S30" s="301"/>
      <c r="T30" s="3"/>
    </row>
    <row r="31" spans="1:20" ht="24">
      <c r="A31" s="204" t="str">
        <f>QUANT!A30</f>
        <v>4.4</v>
      </c>
      <c r="B31" s="166">
        <f>QUANT!B30</f>
        <v>93595</v>
      </c>
      <c r="C31" s="166" t="str">
        <f>QUANT!C30</f>
        <v>SINAPI</v>
      </c>
      <c r="D31" s="261" t="str">
        <f>QUANT!D30</f>
        <v>Transporte com caminhão basculante de 10 m3, em via urbana em revestimento primário (unidade: txkm). af_04/2016</v>
      </c>
      <c r="E31" s="166" t="str">
        <f>QUANT!E30</f>
        <v>txkm</v>
      </c>
      <c r="F31" s="196">
        <f>QUANT!F30</f>
        <v>40868.328688</v>
      </c>
      <c r="G31" s="411">
        <v>0.83</v>
      </c>
      <c r="H31" s="196">
        <f>TRUNC((G31*(1+($D$4))),2)</f>
        <v>1</v>
      </c>
      <c r="I31" s="196">
        <f>TRUNC(F31*H31,2)</f>
        <v>40868.32</v>
      </c>
      <c r="J31" s="508"/>
      <c r="K31" s="554"/>
      <c r="L31" s="298"/>
      <c r="M31" s="297"/>
      <c r="N31" s="298"/>
      <c r="O31" s="298"/>
      <c r="P31" s="298"/>
      <c r="Q31" s="190"/>
      <c r="R31" s="302"/>
      <c r="S31" s="301"/>
      <c r="T31" s="3"/>
    </row>
    <row r="32" spans="1:20" ht="24">
      <c r="A32" s="204" t="str">
        <f>QUANT!A31</f>
        <v>4.5</v>
      </c>
      <c r="B32" s="166">
        <f>QUANT!B31</f>
        <v>95878</v>
      </c>
      <c r="C32" s="166" t="str">
        <f>QUANT!C31</f>
        <v>SINAPI</v>
      </c>
      <c r="D32" s="261" t="str">
        <f>QUANT!D31</f>
        <v>Transporte com caminhão basculante de 10 m3, em via urbana pavimentada, dmt até 30 km (unidade: txkm). af_12/2016</v>
      </c>
      <c r="E32" s="166" t="str">
        <f>QUANT!E31</f>
        <v>txkm</v>
      </c>
      <c r="F32" s="196">
        <f>QUANT!F31</f>
        <v>183907.479096</v>
      </c>
      <c r="G32" s="411">
        <v>0.78</v>
      </c>
      <c r="H32" s="196">
        <f>TRUNC((G32*(1+($D$5))),2)</f>
        <v>0.89</v>
      </c>
      <c r="I32" s="196">
        <f t="shared" si="0"/>
        <v>163677.65</v>
      </c>
      <c r="J32" s="508"/>
      <c r="K32" s="554"/>
      <c r="L32" s="298"/>
      <c r="M32" s="415"/>
      <c r="N32" s="298"/>
      <c r="O32" s="298"/>
      <c r="P32" s="298"/>
      <c r="Q32" s="190"/>
      <c r="R32" s="302"/>
      <c r="S32" s="301"/>
      <c r="T32" s="3"/>
    </row>
    <row r="33" spans="1:20" ht="24">
      <c r="A33" s="204" t="str">
        <f>QUANT!A32</f>
        <v>4.6</v>
      </c>
      <c r="B33" s="166">
        <f>QUANT!B32</f>
        <v>83344</v>
      </c>
      <c r="C33" s="166" t="str">
        <f>QUANT!C32</f>
        <v>SINAPI</v>
      </c>
      <c r="D33" s="261" t="str">
        <f>QUANT!D32</f>
        <v>Espalhamento de material em bota fora, com utilização de trator de esteiras de 165 hp</v>
      </c>
      <c r="E33" s="166" t="str">
        <f>QUANT!E32</f>
        <v>m³</v>
      </c>
      <c r="F33" s="196">
        <f>QUANT!F32</f>
        <v>11105.5241</v>
      </c>
      <c r="G33" s="411">
        <v>0.93</v>
      </c>
      <c r="H33" s="196">
        <f>TRUNC((G33*(1+($D$4))),2)</f>
        <v>1.12</v>
      </c>
      <c r="I33" s="196">
        <f t="shared" si="0"/>
        <v>12438.18</v>
      </c>
      <c r="J33" s="506">
        <f>SUM(I28:I33)</f>
        <v>258471.34</v>
      </c>
      <c r="K33" s="556"/>
      <c r="L33" s="298"/>
      <c r="M33" s="297"/>
      <c r="N33" s="298"/>
      <c r="O33" s="298"/>
      <c r="P33" s="298"/>
      <c r="Q33" s="190"/>
      <c r="R33" s="302"/>
      <c r="S33" s="301"/>
      <c r="T33" s="3"/>
    </row>
    <row r="34" spans="1:20" ht="15" customHeight="1">
      <c r="A34" s="204"/>
      <c r="B34" s="195"/>
      <c r="C34" s="195"/>
      <c r="D34" s="207"/>
      <c r="E34" s="166"/>
      <c r="F34" s="196"/>
      <c r="G34" s="411"/>
      <c r="H34" s="196"/>
      <c r="I34" s="196"/>
      <c r="J34" s="506"/>
      <c r="K34" s="556"/>
      <c r="L34" s="298"/>
      <c r="M34" s="297"/>
      <c r="N34" s="298"/>
      <c r="O34" s="298"/>
      <c r="P34" s="298"/>
      <c r="Q34" s="190"/>
      <c r="R34" s="300"/>
      <c r="S34" s="301"/>
      <c r="T34" s="3"/>
    </row>
    <row r="35" spans="1:19" s="3" customFormat="1" ht="12.75">
      <c r="A35" s="202" t="str">
        <f>QUANT!A34</f>
        <v>5.0</v>
      </c>
      <c r="B35" s="186" t="str">
        <f>QUANT!B34</f>
        <v>V</v>
      </c>
      <c r="C35" s="186"/>
      <c r="D35" s="203" t="str">
        <f>QUANT!D34</f>
        <v>PAVIMENTAÇÃO</v>
      </c>
      <c r="E35" s="166"/>
      <c r="F35" s="196"/>
      <c r="G35" s="411"/>
      <c r="H35" s="196"/>
      <c r="I35" s="196"/>
      <c r="J35" s="506"/>
      <c r="K35" s="556"/>
      <c r="L35" s="297"/>
      <c r="M35" s="297"/>
      <c r="N35" s="297"/>
      <c r="O35" s="297"/>
      <c r="P35" s="297"/>
      <c r="Q35" s="190"/>
      <c r="R35" s="300"/>
      <c r="S35" s="301"/>
    </row>
    <row r="36" spans="1:19" s="3" customFormat="1" ht="12.75">
      <c r="A36" s="204" t="str">
        <f>QUANT!A35</f>
        <v>5.1</v>
      </c>
      <c r="B36" s="166">
        <f>QUANT!B35</f>
        <v>72961</v>
      </c>
      <c r="C36" s="166" t="str">
        <f>QUANT!C35</f>
        <v>SINAPI</v>
      </c>
      <c r="D36" s="261" t="str">
        <f>QUANT!D35</f>
        <v>Regularização e compactação de subleito até 20 cm de espessura</v>
      </c>
      <c r="E36" s="166" t="str">
        <f>QUANT!E35</f>
        <v>m²</v>
      </c>
      <c r="F36" s="196">
        <f>QUANT!F35</f>
        <v>22000.129999999997</v>
      </c>
      <c r="G36" s="411">
        <v>1.3</v>
      </c>
      <c r="H36" s="196">
        <f>TRUNC((G36*(1+($D$4))),2)</f>
        <v>1.56</v>
      </c>
      <c r="I36" s="196">
        <f aca="true" t="shared" si="1" ref="I36:I45">TRUNC(F36*H36,2)</f>
        <v>34320.2</v>
      </c>
      <c r="J36" s="506"/>
      <c r="K36" s="556"/>
      <c r="L36" s="297"/>
      <c r="M36" s="297"/>
      <c r="N36" s="297"/>
      <c r="O36" s="297"/>
      <c r="P36" s="297"/>
      <c r="Q36" s="190"/>
      <c r="R36" s="300"/>
      <c r="S36" s="301"/>
    </row>
    <row r="37" spans="1:19" s="3" customFormat="1" ht="24">
      <c r="A37" s="408" t="str">
        <f>QUANT!A36</f>
        <v>5.2</v>
      </c>
      <c r="B37" s="409" t="str">
        <f>QUANT!B36</f>
        <v>(M980) (S/C)</v>
      </c>
      <c r="C37" s="409" t="str">
        <f>QUANT!C36</f>
        <v>COTAÇÃO</v>
      </c>
      <c r="D37" s="410" t="str">
        <f>QUANT!D36</f>
        <v>Indenização de jazida não condiz com o preço praticado na região (Preço praticado na jazida)</v>
      </c>
      <c r="E37" s="409" t="str">
        <f>QUANT!E36</f>
        <v>m³</v>
      </c>
      <c r="F37" s="411">
        <f>QUANT!F36</f>
        <v>10120.023</v>
      </c>
      <c r="G37" s="411">
        <v>12.5</v>
      </c>
      <c r="H37" s="411">
        <f>TRUNC((G37*(1+($D$5))),2)</f>
        <v>14.4</v>
      </c>
      <c r="I37" s="411">
        <f t="shared" si="1"/>
        <v>145728.33</v>
      </c>
      <c r="J37" s="507"/>
      <c r="K37" s="556"/>
      <c r="L37" s="297"/>
      <c r="M37" s="297"/>
      <c r="N37" s="297"/>
      <c r="O37" s="297"/>
      <c r="P37" s="297"/>
      <c r="Q37" s="190"/>
      <c r="R37" s="300"/>
      <c r="S37" s="301"/>
    </row>
    <row r="38" spans="1:20" ht="36">
      <c r="A38" s="204" t="str">
        <f>QUANT!A37</f>
        <v>5.4</v>
      </c>
      <c r="B38" s="166" t="str">
        <f>QUANT!B37</f>
        <v>96387</v>
      </c>
      <c r="C38" s="166" t="str">
        <f>QUANT!C37</f>
        <v>SINAPI</v>
      </c>
      <c r="D38" s="261" t="str">
        <f>QUANT!D37</f>
        <v>Execução e compactação de sub-base com solo estabilizado granulometricamente - exclusive escavação, carga e transporte e solo. af_09/2017</v>
      </c>
      <c r="E38" s="166" t="str">
        <f>QUANT!E37</f>
        <v>m³</v>
      </c>
      <c r="F38" s="196">
        <f>QUANT!F37</f>
        <v>4400.01</v>
      </c>
      <c r="G38" s="411">
        <v>6.56</v>
      </c>
      <c r="H38" s="196">
        <f aca="true" t="shared" si="2" ref="H38:H45">TRUNC((G38*(1+($D$4))),2)</f>
        <v>7.91</v>
      </c>
      <c r="I38" s="196">
        <f t="shared" si="1"/>
        <v>34804.07</v>
      </c>
      <c r="J38" s="506"/>
      <c r="K38" s="556"/>
      <c r="L38" s="297"/>
      <c r="M38" s="297"/>
      <c r="N38" s="297"/>
      <c r="O38" s="297"/>
      <c r="P38" s="297"/>
      <c r="Q38" s="190"/>
      <c r="R38" s="302"/>
      <c r="S38" s="301"/>
      <c r="T38" s="3"/>
    </row>
    <row r="39" spans="1:20" ht="24">
      <c r="A39" s="204" t="str">
        <f>QUANT!A38</f>
        <v>5.5</v>
      </c>
      <c r="B39" s="166" t="str">
        <f>QUANT!B38</f>
        <v>96387</v>
      </c>
      <c r="C39" s="166" t="str">
        <f>QUANT!C38</f>
        <v>SINAPI</v>
      </c>
      <c r="D39" s="261" t="str">
        <f>QUANT!D38</f>
        <v>Execução e compactação de base com solo estabilizado granulometricamente - exclusive escavação, carga e transporte e solo. af_09/2017</v>
      </c>
      <c r="E39" s="166" t="str">
        <f>QUANT!E38</f>
        <v>m³</v>
      </c>
      <c r="F39" s="196">
        <f>QUANT!F38</f>
        <v>4400.01</v>
      </c>
      <c r="G39" s="411">
        <v>6.56</v>
      </c>
      <c r="H39" s="196">
        <f t="shared" si="2"/>
        <v>7.91</v>
      </c>
      <c r="I39" s="196">
        <f t="shared" si="1"/>
        <v>34804.07</v>
      </c>
      <c r="J39" s="506"/>
      <c r="K39" s="554"/>
      <c r="L39" s="297"/>
      <c r="M39" s="297"/>
      <c r="N39" s="297"/>
      <c r="O39" s="297"/>
      <c r="P39" s="297"/>
      <c r="Q39" s="190"/>
      <c r="R39" s="302"/>
      <c r="S39" s="301"/>
      <c r="T39" s="3"/>
    </row>
    <row r="40" spans="1:20" ht="12.75">
      <c r="A40" s="204" t="str">
        <f>QUANT!A39</f>
        <v>5.6</v>
      </c>
      <c r="B40" s="166">
        <f>QUANT!B39</f>
        <v>96401</v>
      </c>
      <c r="C40" s="166" t="str">
        <f>QUANT!C39</f>
        <v>SINAPI</v>
      </c>
      <c r="D40" s="261" t="str">
        <f>QUANT!D39</f>
        <v>Execução de imprimação com asfalto diluído CM-30. af_09/2017</v>
      </c>
      <c r="E40" s="166" t="str">
        <f>QUANT!E39</f>
        <v>m²</v>
      </c>
      <c r="F40" s="196">
        <f>QUANT!F39</f>
        <v>17600.09</v>
      </c>
      <c r="G40" s="411">
        <v>7.16</v>
      </c>
      <c r="H40" s="196">
        <f t="shared" si="2"/>
        <v>8.64</v>
      </c>
      <c r="I40" s="196">
        <f t="shared" si="1"/>
        <v>152064.77</v>
      </c>
      <c r="J40" s="506"/>
      <c r="K40" s="554"/>
      <c r="L40" s="297"/>
      <c r="M40" s="297"/>
      <c r="N40" s="297"/>
      <c r="O40" s="297"/>
      <c r="P40" s="297"/>
      <c r="Q40" s="190"/>
      <c r="R40" s="302"/>
      <c r="S40" s="301"/>
      <c r="T40" s="3"/>
    </row>
    <row r="41" spans="1:20" ht="12.75">
      <c r="A41" s="204" t="str">
        <f>QUANT!A40</f>
        <v>5.7</v>
      </c>
      <c r="B41" s="166">
        <f>QUANT!B40</f>
        <v>72943</v>
      </c>
      <c r="C41" s="166" t="str">
        <f>QUANT!C40</f>
        <v>SINAPI</v>
      </c>
      <c r="D41" s="261" t="str">
        <f>QUANT!D40</f>
        <v>Pintura de ligação com emulsão RR-2C</v>
      </c>
      <c r="E41" s="166" t="str">
        <f>QUANT!E40</f>
        <v>m²</v>
      </c>
      <c r="F41" s="196">
        <f>QUANT!F40</f>
        <v>17600.09</v>
      </c>
      <c r="G41" s="411">
        <v>2.25</v>
      </c>
      <c r="H41" s="196">
        <f t="shared" si="2"/>
        <v>2.71</v>
      </c>
      <c r="I41" s="196">
        <f t="shared" si="1"/>
        <v>47696.24</v>
      </c>
      <c r="J41" s="506"/>
      <c r="K41" s="554"/>
      <c r="L41" s="297"/>
      <c r="M41" s="297"/>
      <c r="N41" s="297"/>
      <c r="O41" s="297"/>
      <c r="P41" s="297"/>
      <c r="Q41" s="190"/>
      <c r="R41" s="300"/>
      <c r="S41" s="301"/>
      <c r="T41" s="3"/>
    </row>
    <row r="42" spans="1:20" ht="36">
      <c r="A42" s="204" t="str">
        <f>QUANT!A41</f>
        <v>5.8</v>
      </c>
      <c r="B42" s="166">
        <f>QUANT!B41</f>
        <v>95993</v>
      </c>
      <c r="C42" s="166" t="str">
        <f>QUANT!C41</f>
        <v>SINAPI</v>
      </c>
      <c r="D42" s="261" t="str">
        <f>QUANT!D41</f>
        <v>Construção de pavimento com aplicação de concreto betuminoso usinado a quente (cbuq), camada de rolamento, com espessura de 4,0 cm  exclusive transporte. af_03/2017</v>
      </c>
      <c r="E42" s="166" t="str">
        <f>QUANT!E41</f>
        <v>m³</v>
      </c>
      <c r="F42" s="196">
        <f>QUANT!F41</f>
        <v>704.0036000000001</v>
      </c>
      <c r="G42" s="411">
        <v>883.58</v>
      </c>
      <c r="H42" s="196">
        <f t="shared" si="2"/>
        <v>1066.48</v>
      </c>
      <c r="I42" s="196">
        <f t="shared" si="1"/>
        <v>750805.75</v>
      </c>
      <c r="J42" s="506"/>
      <c r="K42" s="554"/>
      <c r="L42" s="297"/>
      <c r="M42" s="298"/>
      <c r="N42" s="297"/>
      <c r="O42" s="297"/>
      <c r="P42" s="297"/>
      <c r="Q42" s="190"/>
      <c r="R42" s="300"/>
      <c r="S42" s="301"/>
      <c r="T42" s="3"/>
    </row>
    <row r="43" spans="1:20" ht="24">
      <c r="A43" s="204" t="str">
        <f>QUANT!A42</f>
        <v>5.9</v>
      </c>
      <c r="B43" s="166">
        <f>QUANT!B42</f>
        <v>93595</v>
      </c>
      <c r="C43" s="166" t="str">
        <f>QUANT!C42</f>
        <v>SINAPI</v>
      </c>
      <c r="D43" s="261" t="str">
        <f>QUANT!D42</f>
        <v>Transporte com caminhão basculante de 10 m3, em via urbana em revestimento primário (unidade: tonxkm). af_04/2016</v>
      </c>
      <c r="E43" s="166" t="str">
        <f>QUANT!E42</f>
        <v>txkm</v>
      </c>
      <c r="F43" s="196">
        <f>QUANT!F42</f>
        <v>32384.073600000003</v>
      </c>
      <c r="G43" s="411">
        <v>0.83</v>
      </c>
      <c r="H43" s="196">
        <f t="shared" si="2"/>
        <v>1</v>
      </c>
      <c r="I43" s="196">
        <f t="shared" si="1"/>
        <v>32384.07</v>
      </c>
      <c r="J43" s="506"/>
      <c r="K43" s="555"/>
      <c r="L43" s="297"/>
      <c r="M43" s="298"/>
      <c r="N43" s="297"/>
      <c r="O43" s="297"/>
      <c r="P43" s="297"/>
      <c r="Q43" s="190"/>
      <c r="R43" s="300"/>
      <c r="S43" s="301"/>
      <c r="T43" s="3"/>
    </row>
    <row r="44" spans="1:19" s="3" customFormat="1" ht="24">
      <c r="A44" s="204" t="str">
        <f>QUANT!A43</f>
        <v>5.10</v>
      </c>
      <c r="B44" s="166">
        <f>QUANT!B43</f>
        <v>95878</v>
      </c>
      <c r="C44" s="166" t="str">
        <f>QUANT!C43</f>
        <v>SINAPI</v>
      </c>
      <c r="D44" s="261" t="str">
        <f>QUANT!D43</f>
        <v>Transporte com caminhão basculante de 10 m3, em via urbana pavimentada, dmt até 30 km (unidade: tonxkm). af_12/2016</v>
      </c>
      <c r="E44" s="166" t="str">
        <f>QUANT!E43</f>
        <v>txkm</v>
      </c>
      <c r="F44" s="196">
        <f>QUANT!F43</f>
        <v>145728.33120000002</v>
      </c>
      <c r="G44" s="411">
        <v>0.78</v>
      </c>
      <c r="H44" s="196">
        <f t="shared" si="2"/>
        <v>0.94</v>
      </c>
      <c r="I44" s="196">
        <f t="shared" si="1"/>
        <v>136984.63</v>
      </c>
      <c r="J44" s="506"/>
      <c r="K44" s="554"/>
      <c r="L44" s="297"/>
      <c r="M44" s="298"/>
      <c r="N44" s="297"/>
      <c r="O44" s="297"/>
      <c r="P44" s="297"/>
      <c r="Q44" s="190"/>
      <c r="R44" s="300"/>
      <c r="S44" s="301"/>
    </row>
    <row r="45" spans="1:19" s="3" customFormat="1" ht="24">
      <c r="A45" s="204" t="str">
        <f>QUANT!A44</f>
        <v>5.11</v>
      </c>
      <c r="B45" s="166">
        <f>QUANT!B44</f>
        <v>95303</v>
      </c>
      <c r="C45" s="166" t="str">
        <f>QUANT!C44</f>
        <v>SINAPI</v>
      </c>
      <c r="D45" s="261" t="str">
        <f>QUANT!D44</f>
        <v>Transporte com caminhão basculante 10 m3 de massa asfáltica para pavimentação urbana</v>
      </c>
      <c r="E45" s="166" t="str">
        <f>QUANT!E44</f>
        <v>m³xkm</v>
      </c>
      <c r="F45" s="196">
        <f>QUANT!F44</f>
        <v>24288.12</v>
      </c>
      <c r="G45" s="411">
        <v>1.06</v>
      </c>
      <c r="H45" s="196">
        <f t="shared" si="2"/>
        <v>1.27</v>
      </c>
      <c r="I45" s="196">
        <f t="shared" si="1"/>
        <v>30845.91</v>
      </c>
      <c r="J45" s="506">
        <f>SUM(I36:I45)</f>
        <v>1400438.0399999998</v>
      </c>
      <c r="K45" s="554"/>
      <c r="L45" s="297"/>
      <c r="M45" s="298"/>
      <c r="N45" s="297"/>
      <c r="O45" s="297"/>
      <c r="P45" s="297"/>
      <c r="Q45" s="190"/>
      <c r="R45" s="300"/>
      <c r="S45" s="301"/>
    </row>
    <row r="46" spans="1:19" s="3" customFormat="1" ht="12.75">
      <c r="A46" s="204"/>
      <c r="B46" s="195"/>
      <c r="C46" s="195"/>
      <c r="D46" s="207"/>
      <c r="E46" s="166"/>
      <c r="F46" s="196"/>
      <c r="G46" s="411"/>
      <c r="H46" s="196"/>
      <c r="I46" s="196"/>
      <c r="J46" s="508"/>
      <c r="K46" s="554"/>
      <c r="L46" s="297"/>
      <c r="M46" s="298"/>
      <c r="N46" s="297"/>
      <c r="O46" s="297"/>
      <c r="P46" s="297"/>
      <c r="Q46" s="190"/>
      <c r="R46" s="300"/>
      <c r="S46" s="301"/>
    </row>
    <row r="47" spans="1:19" s="3" customFormat="1" ht="12.75">
      <c r="A47" s="202" t="str">
        <f>QUANT!A46</f>
        <v>6.0</v>
      </c>
      <c r="B47" s="186" t="str">
        <f>QUANT!B46</f>
        <v>VI</v>
      </c>
      <c r="C47" s="186"/>
      <c r="D47" s="203" t="str">
        <f>QUANT!D46</f>
        <v>SINALIZAÇÃO HORIZONTAL/VERTICAL</v>
      </c>
      <c r="E47" s="166"/>
      <c r="F47" s="196"/>
      <c r="G47" s="411"/>
      <c r="H47" s="196"/>
      <c r="I47" s="196"/>
      <c r="J47" s="508"/>
      <c r="K47" s="554"/>
      <c r="L47" s="298"/>
      <c r="M47" s="298"/>
      <c r="N47" s="298"/>
      <c r="O47" s="298"/>
      <c r="P47" s="298"/>
      <c r="Q47" s="190"/>
      <c r="R47" s="300"/>
      <c r="S47" s="301"/>
    </row>
    <row r="48" spans="1:19" s="3" customFormat="1" ht="24">
      <c r="A48" s="204" t="str">
        <f>QUANT!A47</f>
        <v>6.1</v>
      </c>
      <c r="B48" s="166">
        <f>QUANT!B47</f>
        <v>72947</v>
      </c>
      <c r="C48" s="166" t="str">
        <f>QUANT!C47</f>
        <v>SINAPI</v>
      </c>
      <c r="D48" s="261" t="str">
        <f>QUANT!D47</f>
        <v>Sinalizacao horizontal com tinta retrorrefletiva a base de resina acrilica  c/ micro esfera de vidro</v>
      </c>
      <c r="E48" s="166" t="str">
        <f>QUANT!E47</f>
        <v>m²</v>
      </c>
      <c r="F48" s="196">
        <f>QUANT!F47</f>
        <v>930.0994999999999</v>
      </c>
      <c r="G48" s="411">
        <v>11.15</v>
      </c>
      <c r="H48" s="196">
        <f>TRUNC((G48*(1+($D$4))),2)</f>
        <v>13.45</v>
      </c>
      <c r="I48" s="196">
        <f>TRUNC(F48*H48,2)</f>
        <v>12509.83</v>
      </c>
      <c r="J48" s="508"/>
      <c r="K48" s="554"/>
      <c r="L48" s="298"/>
      <c r="M48" s="297"/>
      <c r="N48" s="298"/>
      <c r="O48" s="298"/>
      <c r="P48" s="298"/>
      <c r="Q48" s="190"/>
      <c r="R48" s="302"/>
      <c r="S48" s="301"/>
    </row>
    <row r="49" spans="1:20" ht="12.75">
      <c r="A49" s="204" t="str">
        <f>QUANT!A48</f>
        <v>6.2</v>
      </c>
      <c r="B49" s="166">
        <f>QUANT!B48</f>
        <v>5213405</v>
      </c>
      <c r="C49" s="166" t="str">
        <f>QUANT!C48</f>
        <v>SICRO 3</v>
      </c>
      <c r="D49" s="261" t="str">
        <f>QUANT!D48</f>
        <v>Pintura de setas e zebrados - tinta base acrílica - espessura de 0,6 mm</v>
      </c>
      <c r="E49" s="166" t="str">
        <f>QUANT!E48</f>
        <v>m²</v>
      </c>
      <c r="F49" s="196">
        <f>QUANT!F48</f>
        <v>178.15</v>
      </c>
      <c r="G49" s="411">
        <v>34.02</v>
      </c>
      <c r="H49" s="196">
        <f>TRUNC((G49*(1+($D$4))),2)</f>
        <v>41.06</v>
      </c>
      <c r="I49" s="196">
        <f>TRUNC(F49*H49,2)</f>
        <v>7314.83</v>
      </c>
      <c r="J49" s="508"/>
      <c r="K49" s="554"/>
      <c r="L49" s="298"/>
      <c r="M49" s="298"/>
      <c r="N49" s="298"/>
      <c r="O49" s="298"/>
      <c r="P49" s="298"/>
      <c r="Q49" s="190"/>
      <c r="R49" s="302"/>
      <c r="S49" s="301"/>
      <c r="T49" s="3"/>
    </row>
    <row r="50" spans="1:20" ht="24">
      <c r="A50" s="204" t="str">
        <f>QUANT!A49</f>
        <v>6.3</v>
      </c>
      <c r="B50" s="166">
        <f>QUANT!B49</f>
        <v>5213417</v>
      </c>
      <c r="C50" s="166" t="str">
        <f>QUANT!C49</f>
        <v>SICRO 3</v>
      </c>
      <c r="D50" s="261" t="str">
        <f>QUANT!D49</f>
        <v>Confecção de placa em aço nº 16 galvanizado, com película retrorrefletiva tipo I + III</v>
      </c>
      <c r="E50" s="166" t="str">
        <f>QUANT!E49</f>
        <v>m²</v>
      </c>
      <c r="F50" s="196">
        <f>QUANT!F49</f>
        <v>8.49</v>
      </c>
      <c r="G50" s="411">
        <v>245.74</v>
      </c>
      <c r="H50" s="196">
        <f>TRUNC((G50*(1+($D$4))),2)</f>
        <v>296.6</v>
      </c>
      <c r="I50" s="196">
        <f>TRUNC(F50*H50,2)</f>
        <v>2518.13</v>
      </c>
      <c r="J50" s="506"/>
      <c r="K50" s="554"/>
      <c r="L50" s="298"/>
      <c r="M50" s="298"/>
      <c r="N50" s="298"/>
      <c r="O50" s="298"/>
      <c r="P50" s="298"/>
      <c r="Q50" s="190"/>
      <c r="R50" s="302"/>
      <c r="S50" s="301"/>
      <c r="T50" s="3"/>
    </row>
    <row r="51" spans="1:20" ht="24">
      <c r="A51" s="204" t="str">
        <f>QUANT!A50</f>
        <v>6.4</v>
      </c>
      <c r="B51" s="166">
        <f>QUANT!B50</f>
        <v>5213855</v>
      </c>
      <c r="C51" s="166" t="str">
        <f>QUANT!C50</f>
        <v>SICRO 3</v>
      </c>
      <c r="D51" s="261" t="str">
        <f>QUANT!D50</f>
        <v>Fornecimento e implantação de suporte metálico galvanizado para placa de regulamentação - R1 - lado de 0,248 m</v>
      </c>
      <c r="E51" s="166" t="str">
        <f>QUANT!E50</f>
        <v>unid</v>
      </c>
      <c r="F51" s="196">
        <f>QUANT!F50</f>
        <v>66</v>
      </c>
      <c r="G51" s="411">
        <v>219.2</v>
      </c>
      <c r="H51" s="196">
        <f>TRUNC((G51*(1+($D$4))),2)</f>
        <v>264.57</v>
      </c>
      <c r="I51" s="196">
        <f>TRUNC(F51*H51,2)</f>
        <v>17461.62</v>
      </c>
      <c r="J51" s="506">
        <f>SUM(I48:I51)</f>
        <v>39804.41</v>
      </c>
      <c r="K51" s="554"/>
      <c r="L51" s="297"/>
      <c r="M51" s="297"/>
      <c r="N51" s="297"/>
      <c r="O51" s="297"/>
      <c r="P51" s="297"/>
      <c r="Q51" s="190"/>
      <c r="R51" s="302"/>
      <c r="S51" s="301"/>
      <c r="T51" s="3"/>
    </row>
    <row r="52" spans="1:20" ht="12.75">
      <c r="A52" s="204"/>
      <c r="B52" s="195"/>
      <c r="C52" s="195"/>
      <c r="D52" s="207"/>
      <c r="E52" s="166"/>
      <c r="F52" s="196"/>
      <c r="G52" s="411"/>
      <c r="H52" s="196"/>
      <c r="I52" s="196"/>
      <c r="J52" s="508"/>
      <c r="K52" s="554"/>
      <c r="L52" s="297"/>
      <c r="M52" s="297"/>
      <c r="N52" s="297"/>
      <c r="O52" s="297"/>
      <c r="P52" s="297"/>
      <c r="Q52" s="190"/>
      <c r="R52" s="300"/>
      <c r="S52" s="301"/>
      <c r="T52" s="3"/>
    </row>
    <row r="53" spans="1:20" ht="15.75">
      <c r="A53" s="202" t="str">
        <f>QUANT!A52</f>
        <v>7.0</v>
      </c>
      <c r="B53" s="186" t="str">
        <f>QUANT!B52</f>
        <v>VII</v>
      </c>
      <c r="C53" s="186"/>
      <c r="D53" s="203" t="str">
        <f>QUANT!D52</f>
        <v>OBRAS COMPLEMENTARES</v>
      </c>
      <c r="E53" s="166"/>
      <c r="F53" s="196"/>
      <c r="G53" s="411"/>
      <c r="H53" s="196"/>
      <c r="I53" s="196"/>
      <c r="J53" s="508"/>
      <c r="K53" s="556"/>
      <c r="L53" s="298"/>
      <c r="M53" s="298"/>
      <c r="N53" s="298"/>
      <c r="O53" s="298"/>
      <c r="P53" s="298"/>
      <c r="Q53" s="190"/>
      <c r="R53" s="300"/>
      <c r="S53" s="301"/>
      <c r="T53" s="131"/>
    </row>
    <row r="54" spans="1:20" ht="24">
      <c r="A54" s="204" t="str">
        <f>QUANT!A53</f>
        <v>7.1</v>
      </c>
      <c r="B54" s="166">
        <f>QUANT!B53</f>
        <v>94267</v>
      </c>
      <c r="C54" s="166" t="str">
        <f>QUANT!C53</f>
        <v>SINAPI</v>
      </c>
      <c r="D54" s="261" t="str">
        <f>QUANT!D53</f>
        <v>Guia (meio-fio) e sarjeta conjugados de concreto, moldada i n loco em trecho
reto com extrusora, guia 13 cm base x 22 cm altura. af_06/2016</v>
      </c>
      <c r="E54" s="166" t="str">
        <f>QUANT!E53</f>
        <v>m</v>
      </c>
      <c r="F54" s="196">
        <f>QUANT!F53</f>
        <v>4203.83</v>
      </c>
      <c r="G54" s="411">
        <v>37.45</v>
      </c>
      <c r="H54" s="196">
        <f>TRUNC((G54*(1+($D$4))),2)</f>
        <v>45.2</v>
      </c>
      <c r="I54" s="196">
        <f>TRUNC(F54*H54,2)</f>
        <v>190013.11</v>
      </c>
      <c r="J54" s="508"/>
      <c r="K54" s="556"/>
      <c r="L54" s="298"/>
      <c r="M54" s="298"/>
      <c r="N54" s="298"/>
      <c r="O54" s="298"/>
      <c r="P54" s="298"/>
      <c r="Q54" s="190"/>
      <c r="R54" s="302"/>
      <c r="S54" s="301"/>
      <c r="T54" s="112"/>
    </row>
    <row r="55" spans="1:20" ht="24">
      <c r="A55" s="204" t="str">
        <f>QUANT!A54</f>
        <v>7.2</v>
      </c>
      <c r="B55" s="166">
        <f>QUANT!B54</f>
        <v>94268</v>
      </c>
      <c r="C55" s="166" t="str">
        <f>QUANT!C54</f>
        <v>SINAPI</v>
      </c>
      <c r="D55" s="261" t="str">
        <f>QUANT!D54</f>
        <v>Guia (meio-fio) e sarjeta conjugados de concreto, moldada i n loco em trecho
curvo com extrusora, guia 13 cm base x 22 cm altura. af_06/2016</v>
      </c>
      <c r="E55" s="166" t="str">
        <f>QUANT!E54</f>
        <v>m</v>
      </c>
      <c r="F55" s="196">
        <f>QUANT!F54</f>
        <v>548.1</v>
      </c>
      <c r="G55" s="411">
        <v>41.22</v>
      </c>
      <c r="H55" s="196">
        <f>TRUNC((G55*(1+($D$4))),2)</f>
        <v>49.75</v>
      </c>
      <c r="I55" s="196">
        <f>TRUNC(F55*H55,2)</f>
        <v>27267.97</v>
      </c>
      <c r="J55" s="506"/>
      <c r="K55" s="556"/>
      <c r="L55" s="298"/>
      <c r="M55" s="298"/>
      <c r="N55" s="298"/>
      <c r="O55" s="298"/>
      <c r="P55" s="298"/>
      <c r="Q55" s="190"/>
      <c r="R55" s="302"/>
      <c r="S55" s="301"/>
      <c r="T55" s="112"/>
    </row>
    <row r="56" spans="1:20" ht="12.75">
      <c r="A56" s="204" t="str">
        <f>QUANT!A55</f>
        <v>7.3</v>
      </c>
      <c r="B56" s="166" t="str">
        <f>QUANT!B55</f>
        <v>73916/002</v>
      </c>
      <c r="C56" s="166" t="str">
        <f>QUANT!C55</f>
        <v>SINAPI</v>
      </c>
      <c r="D56" s="261" t="str">
        <f>QUANT!D55</f>
        <v>Placa esmaltada para identificação NR de Rua, dimensões 45X25cm</v>
      </c>
      <c r="E56" s="166" t="str">
        <f>QUANT!E55</f>
        <v>unid</v>
      </c>
      <c r="F56" s="196">
        <f>QUANT!F55</f>
        <v>66</v>
      </c>
      <c r="G56" s="411">
        <v>155.41</v>
      </c>
      <c r="H56" s="196">
        <f>TRUNC((G56*(1+($D$4))),2)</f>
        <v>187.57</v>
      </c>
      <c r="I56" s="196">
        <f>TRUNC(F56*H56,2)</f>
        <v>12379.62</v>
      </c>
      <c r="J56" s="506">
        <f>SUM(I54:I56)</f>
        <v>229660.69999999998</v>
      </c>
      <c r="K56" s="556"/>
      <c r="L56" s="297"/>
      <c r="M56" s="297"/>
      <c r="N56" s="297"/>
      <c r="O56" s="297"/>
      <c r="P56" s="297"/>
      <c r="Q56" s="190"/>
      <c r="R56" s="302"/>
      <c r="S56" s="301"/>
      <c r="T56" s="299"/>
    </row>
    <row r="57" spans="1:20" ht="12.75">
      <c r="A57" s="204"/>
      <c r="B57" s="195"/>
      <c r="C57" s="195"/>
      <c r="D57" s="207"/>
      <c r="E57" s="166"/>
      <c r="F57" s="196"/>
      <c r="G57" s="411"/>
      <c r="H57" s="196"/>
      <c r="I57" s="196"/>
      <c r="J57" s="508"/>
      <c r="K57" s="554"/>
      <c r="L57" s="297"/>
      <c r="M57" s="297"/>
      <c r="N57" s="297"/>
      <c r="O57" s="297"/>
      <c r="P57" s="297"/>
      <c r="Q57" s="190"/>
      <c r="R57" s="302"/>
      <c r="S57" s="301"/>
      <c r="T57" s="299"/>
    </row>
    <row r="58" spans="1:20" ht="12.75">
      <c r="A58" s="202" t="str">
        <f>QUANT!A57</f>
        <v>8.0</v>
      </c>
      <c r="B58" s="186" t="str">
        <f>QUANT!B57</f>
        <v>VIII</v>
      </c>
      <c r="C58" s="186"/>
      <c r="D58" s="203" t="str">
        <f>QUANT!D57</f>
        <v>DRENAGEM</v>
      </c>
      <c r="E58" s="166"/>
      <c r="F58" s="196"/>
      <c r="G58" s="411"/>
      <c r="H58" s="196"/>
      <c r="I58" s="196"/>
      <c r="J58" s="506"/>
      <c r="K58" s="554"/>
      <c r="L58" s="298"/>
      <c r="M58" s="298"/>
      <c r="N58" s="298"/>
      <c r="O58" s="298"/>
      <c r="P58" s="298"/>
      <c r="Q58" s="190"/>
      <c r="R58" s="302"/>
      <c r="S58" s="301"/>
      <c r="T58" s="3"/>
    </row>
    <row r="59" spans="1:20" ht="24">
      <c r="A59" s="204" t="str">
        <f>QUANT!A58</f>
        <v>8.1</v>
      </c>
      <c r="B59" s="166">
        <f>QUANT!B58</f>
        <v>5213417</v>
      </c>
      <c r="C59" s="166" t="str">
        <f>QUANT!C58</f>
        <v>SICRO 03</v>
      </c>
      <c r="D59" s="261" t="str">
        <f>QUANT!D58</f>
        <v>Confecção de placa em aço nº 16 galvanizado, com película retrorrefletiva tipo I + III</v>
      </c>
      <c r="E59" s="166" t="str">
        <f>QUANT!E58</f>
        <v>m²</v>
      </c>
      <c r="F59" s="196">
        <f>QUANT!F58</f>
        <v>20</v>
      </c>
      <c r="G59" s="411">
        <v>245.74</v>
      </c>
      <c r="H59" s="196">
        <f aca="true" t="shared" si="3" ref="H59:H72">TRUNC((G59*(1+($D$4))),2)</f>
        <v>296.6</v>
      </c>
      <c r="I59" s="196">
        <f aca="true" t="shared" si="4" ref="I59:I72">TRUNC(F59*H59,2)</f>
        <v>5932</v>
      </c>
      <c r="J59" s="506"/>
      <c r="K59" s="556"/>
      <c r="L59" s="297"/>
      <c r="M59" s="297"/>
      <c r="N59" s="297"/>
      <c r="O59" s="297"/>
      <c r="P59" s="297"/>
      <c r="Q59" s="190"/>
      <c r="R59" s="302"/>
      <c r="S59" s="301"/>
      <c r="T59" s="3"/>
    </row>
    <row r="60" spans="1:20" ht="24">
      <c r="A60" s="204" t="str">
        <f>QUANT!A59</f>
        <v>8.2</v>
      </c>
      <c r="B60" s="166">
        <f>QUANT!B59</f>
        <v>85424</v>
      </c>
      <c r="C60" s="166" t="str">
        <f>QUANT!C59</f>
        <v>SINAPI</v>
      </c>
      <c r="D60" s="261" t="str">
        <f>QUANT!D59</f>
        <v>Isolamento de obra com tela plástica com malha de 5mm e estrutura de madeira pontaleteada</v>
      </c>
      <c r="E60" s="166" t="str">
        <f>QUANT!E59</f>
        <v>m²</v>
      </c>
      <c r="F60" s="196">
        <f>QUANT!F59</f>
        <v>10</v>
      </c>
      <c r="G60" s="411">
        <v>21.04</v>
      </c>
      <c r="H60" s="196">
        <f t="shared" si="3"/>
        <v>25.39</v>
      </c>
      <c r="I60" s="196">
        <f t="shared" si="4"/>
        <v>253.9</v>
      </c>
      <c r="J60" s="506"/>
      <c r="K60" s="556"/>
      <c r="L60" s="297"/>
      <c r="M60" s="297"/>
      <c r="N60" s="297"/>
      <c r="O60" s="297"/>
      <c r="P60" s="297"/>
      <c r="Q60" s="190"/>
      <c r="R60" s="300"/>
      <c r="S60" s="301"/>
      <c r="T60" s="3"/>
    </row>
    <row r="61" spans="1:20" s="133" customFormat="1" ht="12.75">
      <c r="A61" s="204" t="str">
        <f>QUANT!A60</f>
        <v>8.3</v>
      </c>
      <c r="B61" s="166" t="str">
        <f>QUANT!B60</f>
        <v>74219/001</v>
      </c>
      <c r="C61" s="166" t="str">
        <f>QUANT!C60</f>
        <v>SINAPI</v>
      </c>
      <c r="D61" s="261" t="str">
        <f>QUANT!D60</f>
        <v>Passadicos de madeira para pedestres</v>
      </c>
      <c r="E61" s="166" t="str">
        <f>QUANT!E60</f>
        <v>m²</v>
      </c>
      <c r="F61" s="196">
        <f>QUANT!F60</f>
        <v>10</v>
      </c>
      <c r="G61" s="411">
        <v>50.46</v>
      </c>
      <c r="H61" s="196">
        <f t="shared" si="3"/>
        <v>60.9</v>
      </c>
      <c r="I61" s="196">
        <f t="shared" si="4"/>
        <v>609</v>
      </c>
      <c r="J61" s="506"/>
      <c r="K61" s="556"/>
      <c r="L61" s="297"/>
      <c r="M61" s="297"/>
      <c r="N61" s="297"/>
      <c r="O61" s="297"/>
      <c r="P61" s="297"/>
      <c r="Q61" s="190"/>
      <c r="R61" s="300"/>
      <c r="S61" s="301"/>
      <c r="T61" s="3"/>
    </row>
    <row r="62" spans="1:20" ht="48">
      <c r="A62" s="204" t="str">
        <f>QUANT!A61</f>
        <v>8.4</v>
      </c>
      <c r="B62" s="166">
        <f>QUANT!B61</f>
        <v>90091</v>
      </c>
      <c r="C62" s="166" t="str">
        <f>QUANT!C61</f>
        <v>SINAPI</v>
      </c>
      <c r="D62" s="261" t="str">
        <f>QUANT!D61</f>
        <v>Escavação mecanizada de vala com prof. até 1,5 m (média entre montante e jusante/uma composição por trecho), com retroescavadeira (0,26 m3/88 hp), larg. de 1,5 m a 2,5 m, em solo de 1a categoria, em locais com baixo nível de interferência. af_01/2015</v>
      </c>
      <c r="E62" s="166" t="str">
        <f>QUANT!E61</f>
        <v>m³</v>
      </c>
      <c r="F62" s="196">
        <f>QUANT!F61</f>
        <v>2538.5641499999997</v>
      </c>
      <c r="G62" s="411">
        <v>4.71</v>
      </c>
      <c r="H62" s="196">
        <f t="shared" si="3"/>
        <v>5.68</v>
      </c>
      <c r="I62" s="196">
        <f t="shared" si="4"/>
        <v>14419.04</v>
      </c>
      <c r="J62" s="506"/>
      <c r="K62" s="554"/>
      <c r="L62" s="297"/>
      <c r="M62" s="297"/>
      <c r="N62" s="297"/>
      <c r="O62" s="297"/>
      <c r="P62" s="297"/>
      <c r="Q62" s="190"/>
      <c r="R62" s="302"/>
      <c r="S62" s="301"/>
      <c r="T62" s="3"/>
    </row>
    <row r="63" spans="1:20" ht="24">
      <c r="A63" s="204" t="str">
        <f>QUANT!A62</f>
        <v>8.5</v>
      </c>
      <c r="B63" s="166">
        <f>QUANT!B62</f>
        <v>72917</v>
      </c>
      <c r="C63" s="166" t="str">
        <f>QUANT!C62</f>
        <v>SINAPI</v>
      </c>
      <c r="D63" s="261" t="str">
        <f>QUANT!D62</f>
        <v>Escavação mecânica de vala em material de 2A. cat de 2,01 até 4,00 M de profundidade com utilização de escavadeira hidráulica</v>
      </c>
      <c r="E63" s="166" t="str">
        <f>QUANT!E62</f>
        <v>m³</v>
      </c>
      <c r="F63" s="196">
        <f>QUANT!F62</f>
        <v>846.1880499999999</v>
      </c>
      <c r="G63" s="411">
        <v>11.68</v>
      </c>
      <c r="H63" s="196">
        <f t="shared" si="3"/>
        <v>14.09</v>
      </c>
      <c r="I63" s="196">
        <f t="shared" si="4"/>
        <v>11922.78</v>
      </c>
      <c r="J63" s="506"/>
      <c r="K63" s="554"/>
      <c r="L63" s="297"/>
      <c r="M63" s="297"/>
      <c r="N63" s="297"/>
      <c r="O63" s="297"/>
      <c r="P63" s="297"/>
      <c r="Q63" s="190"/>
      <c r="R63" s="303"/>
      <c r="S63" s="301"/>
      <c r="T63" s="3"/>
    </row>
    <row r="64" spans="1:20" ht="12.75">
      <c r="A64" s="204" t="str">
        <f>QUANT!A63</f>
        <v>8.6</v>
      </c>
      <c r="B64" s="166">
        <f>QUANT!B63</f>
        <v>94097</v>
      </c>
      <c r="C64" s="166" t="str">
        <f>QUANT!C63</f>
        <v>SINAPI</v>
      </c>
      <c r="D64" s="261" t="str">
        <f>QUANT!D63</f>
        <v>Regularizacao e compactacao manual de terreno (fundo de valas)</v>
      </c>
      <c r="E64" s="166" t="str">
        <f>QUANT!E63</f>
        <v>m²</v>
      </c>
      <c r="F64" s="196">
        <f>QUANT!F63</f>
        <v>1582.8000000000002</v>
      </c>
      <c r="G64" s="411">
        <v>4.72</v>
      </c>
      <c r="H64" s="196">
        <f t="shared" si="3"/>
        <v>5.69</v>
      </c>
      <c r="I64" s="196">
        <f t="shared" si="4"/>
        <v>9006.13</v>
      </c>
      <c r="J64" s="506"/>
      <c r="K64" s="556"/>
      <c r="L64" s="297"/>
      <c r="M64" s="297"/>
      <c r="N64" s="297"/>
      <c r="O64" s="297"/>
      <c r="P64" s="297"/>
      <c r="Q64" s="190"/>
      <c r="R64" s="300"/>
      <c r="S64" s="301"/>
      <c r="T64" s="3"/>
    </row>
    <row r="65" spans="1:20" ht="12.75">
      <c r="A65" s="204" t="str">
        <f>QUANT!A64</f>
        <v>8.7</v>
      </c>
      <c r="B65" s="166">
        <f>QUANT!B64</f>
        <v>94103</v>
      </c>
      <c r="C65" s="166" t="str">
        <f>QUANT!C64</f>
        <v>SINAPI</v>
      </c>
      <c r="D65" s="261" t="str">
        <f>QUANT!D64</f>
        <v>Fornecimento e aplicação de Lastro de Brita  (com preparo de fundo de valas)</v>
      </c>
      <c r="E65" s="166" t="str">
        <f>QUANT!E64</f>
        <v>m³</v>
      </c>
      <c r="F65" s="196">
        <f>QUANT!F64</f>
        <v>445.4262</v>
      </c>
      <c r="G65" s="411">
        <v>212.64</v>
      </c>
      <c r="H65" s="196">
        <f t="shared" si="3"/>
        <v>256.65</v>
      </c>
      <c r="I65" s="196">
        <f t="shared" si="4"/>
        <v>114318.63</v>
      </c>
      <c r="J65" s="506"/>
      <c r="K65" s="554"/>
      <c r="L65" s="297"/>
      <c r="M65" s="297"/>
      <c r="N65" s="297"/>
      <c r="O65" s="297"/>
      <c r="P65" s="297"/>
      <c r="Q65" s="190"/>
      <c r="R65" s="300"/>
      <c r="S65" s="301"/>
      <c r="T65" s="3"/>
    </row>
    <row r="66" spans="1:20" ht="48">
      <c r="A66" s="204" t="str">
        <f>QUANT!A65</f>
        <v>8.8</v>
      </c>
      <c r="B66" s="166">
        <f>QUANT!B65</f>
        <v>93381</v>
      </c>
      <c r="C66" s="166" t="str">
        <f>QUANT!C65</f>
        <v>SINAPI</v>
      </c>
      <c r="D66" s="261" t="str">
        <f>QUANT!D65</f>
        <v>Reaterro mecanizado de vala com retroescavadeira (capacidade da caçamb a da retro: 0,26 m³ / potência: 88 hp), largura de 0,8 a 1,5 m, profun didade de 1,5 a 3,0 m, com solo (sem substituição) de 1ª categoria em locais com baixo nível de interferência. af_04/2016</v>
      </c>
      <c r="E66" s="166" t="str">
        <f>QUANT!E65</f>
        <v>m³</v>
      </c>
      <c r="F66" s="196">
        <f>QUANT!F65</f>
        <v>2692.6633406399997</v>
      </c>
      <c r="G66" s="411">
        <v>6.48</v>
      </c>
      <c r="H66" s="196">
        <f t="shared" si="3"/>
        <v>7.82</v>
      </c>
      <c r="I66" s="196">
        <f t="shared" si="4"/>
        <v>21056.62</v>
      </c>
      <c r="J66" s="506"/>
      <c r="K66" s="554"/>
      <c r="L66" s="297"/>
      <c r="M66" s="297"/>
      <c r="N66" s="297"/>
      <c r="O66" s="297"/>
      <c r="P66" s="297"/>
      <c r="Q66" s="190"/>
      <c r="R66" s="300"/>
      <c r="S66" s="301"/>
      <c r="T66" s="3"/>
    </row>
    <row r="67" spans="1:20" ht="24">
      <c r="A67" s="204" t="str">
        <f>QUANT!A66</f>
        <v>8.9</v>
      </c>
      <c r="B67" s="166" t="str">
        <f>QUANT!B66</f>
        <v>74010/001</v>
      </c>
      <c r="C67" s="166" t="str">
        <f>QUANT!C66</f>
        <v>SINAPI</v>
      </c>
      <c r="D67" s="261" t="str">
        <f>QUANT!D66</f>
        <v>Carga e descarga mecânica de solo utilizando caminhão basculante 5m³ /11t e pa carregadeira sobre pneus * 105 hp * cap. 1,72m3</v>
      </c>
      <c r="E67" s="166" t="str">
        <f>QUANT!E66</f>
        <v>m³</v>
      </c>
      <c r="F67" s="196">
        <f>QUANT!F66</f>
        <v>2353.138464</v>
      </c>
      <c r="G67" s="411">
        <v>1.78</v>
      </c>
      <c r="H67" s="196">
        <f>TRUNC((G67*(1+($D$4))),2)</f>
        <v>2.14</v>
      </c>
      <c r="I67" s="196">
        <f>TRUNC(F67*H67,2)</f>
        <v>5035.71</v>
      </c>
      <c r="J67" s="506"/>
      <c r="K67" s="554"/>
      <c r="L67" s="297"/>
      <c r="M67" s="297"/>
      <c r="N67" s="297"/>
      <c r="O67" s="297"/>
      <c r="P67" s="297"/>
      <c r="Q67" s="190"/>
      <c r="R67" s="300"/>
      <c r="S67" s="301"/>
      <c r="T67" s="3"/>
    </row>
    <row r="68" spans="1:20" ht="24">
      <c r="A68" s="204" t="str">
        <f>QUANT!A67</f>
        <v>8.10</v>
      </c>
      <c r="B68" s="166">
        <f>QUANT!B67</f>
        <v>93595</v>
      </c>
      <c r="C68" s="166" t="str">
        <f>QUANT!C67</f>
        <v>SINAPI</v>
      </c>
      <c r="D68" s="261" t="str">
        <f>QUANT!D67</f>
        <v>Transporte com caminhão basculante de 10 m3, em via urbana em revestimento primário (unidade: tonxkm). af_04/2016</v>
      </c>
      <c r="E68" s="166" t="str">
        <f>QUANT!E67</f>
        <v>txkm</v>
      </c>
      <c r="F68" s="196">
        <f>QUANT!F67</f>
        <v>8659.54954752</v>
      </c>
      <c r="G68" s="411">
        <v>0.83</v>
      </c>
      <c r="H68" s="196">
        <f>TRUNC((G68*(1+($D$4))),2)</f>
        <v>1</v>
      </c>
      <c r="I68" s="196">
        <f>TRUNC(F68*H68,2)</f>
        <v>8659.54</v>
      </c>
      <c r="J68" s="506"/>
      <c r="K68" s="554"/>
      <c r="L68" s="297"/>
      <c r="M68" s="297"/>
      <c r="N68" s="297"/>
      <c r="O68" s="297"/>
      <c r="P68" s="297"/>
      <c r="Q68" s="190"/>
      <c r="R68" s="300"/>
      <c r="S68" s="301"/>
      <c r="T68" s="3"/>
    </row>
    <row r="69" spans="1:20" ht="24">
      <c r="A69" s="204" t="str">
        <f>QUANT!A68</f>
        <v>8.11</v>
      </c>
      <c r="B69" s="166">
        <f>QUANT!B68</f>
        <v>95878</v>
      </c>
      <c r="C69" s="166" t="str">
        <f>QUANT!C68</f>
        <v>SINAPI</v>
      </c>
      <c r="D69" s="261" t="str">
        <f>QUANT!D68</f>
        <v>Transporte com caminhão basculante de 10 m3, em via urbana pavimentada, dmt até 30 km (unidade: tonxkm). af_12/2016</v>
      </c>
      <c r="E69" s="166" t="str">
        <f>QUANT!E68</f>
        <v>txkm</v>
      </c>
      <c r="F69" s="196">
        <f>QUANT!F68</f>
        <v>72864.16560000001</v>
      </c>
      <c r="G69" s="411">
        <v>0.78</v>
      </c>
      <c r="H69" s="196">
        <f t="shared" si="3"/>
        <v>0.94</v>
      </c>
      <c r="I69" s="196">
        <f t="shared" si="4"/>
        <v>68492.31</v>
      </c>
      <c r="J69" s="506"/>
      <c r="K69" s="554"/>
      <c r="L69" s="297"/>
      <c r="M69" s="297"/>
      <c r="N69" s="297"/>
      <c r="O69" s="297"/>
      <c r="P69" s="297"/>
      <c r="Q69" s="190"/>
      <c r="R69" s="300"/>
      <c r="S69" s="301"/>
      <c r="T69" s="3"/>
    </row>
    <row r="70" spans="1:20" ht="24">
      <c r="A70" s="204" t="str">
        <f>QUANT!A69</f>
        <v>8.12</v>
      </c>
      <c r="B70" s="166">
        <f>QUANT!B69</f>
        <v>83344</v>
      </c>
      <c r="C70" s="166" t="str">
        <f>QUANT!C69</f>
        <v>SINAPI</v>
      </c>
      <c r="D70" s="261" t="str">
        <f>QUANT!D69</f>
        <v>Espalhamento de material em bota fora, com utilizacao de trator de esteiras de 165 HP</v>
      </c>
      <c r="E70" s="166" t="str">
        <f>QUANT!E69</f>
        <v>m³</v>
      </c>
      <c r="F70" s="196">
        <f>QUANT!F69</f>
        <v>2353.138464</v>
      </c>
      <c r="G70" s="411">
        <v>0.93</v>
      </c>
      <c r="H70" s="196">
        <v>0.93</v>
      </c>
      <c r="I70" s="196">
        <f t="shared" si="4"/>
        <v>2188.41</v>
      </c>
      <c r="J70" s="506"/>
      <c r="K70" s="554"/>
      <c r="L70" s="297"/>
      <c r="M70" s="297"/>
      <c r="N70" s="297"/>
      <c r="O70" s="297"/>
      <c r="P70" s="297"/>
      <c r="Q70" s="190"/>
      <c r="R70" s="303"/>
      <c r="S70" s="301"/>
      <c r="T70" s="3"/>
    </row>
    <row r="71" spans="1:20" ht="36">
      <c r="A71" s="204" t="str">
        <f>QUANT!A70</f>
        <v>8.13</v>
      </c>
      <c r="B71" s="166">
        <f>QUANT!B70</f>
        <v>94038</v>
      </c>
      <c r="C71" s="166" t="str">
        <f>QUANT!C70</f>
        <v>SINAPI</v>
      </c>
      <c r="D71" s="261" t="str">
        <f>QUANT!D70</f>
        <v>Escoramento de vala, tipo pontaleteamento, com profundidade de 0 a 1,5 m, largura maior ou igual a 1,5 m e menor que 2,5 m, em local com nível alto de interferência. af_06/2016</v>
      </c>
      <c r="E71" s="166" t="str">
        <f>QUANT!E70</f>
        <v>m²</v>
      </c>
      <c r="F71" s="196">
        <f>QUANT!F70</f>
        <v>244</v>
      </c>
      <c r="G71" s="411">
        <v>21.91</v>
      </c>
      <c r="H71" s="196">
        <f t="shared" si="3"/>
        <v>26.44</v>
      </c>
      <c r="I71" s="196">
        <f t="shared" si="4"/>
        <v>6451.36</v>
      </c>
      <c r="J71" s="506"/>
      <c r="K71" s="554"/>
      <c r="L71" s="297"/>
      <c r="M71" s="297"/>
      <c r="N71" s="297"/>
      <c r="O71" s="297"/>
      <c r="P71" s="297"/>
      <c r="Q71" s="190"/>
      <c r="R71" s="300"/>
      <c r="S71" s="301"/>
      <c r="T71" s="3"/>
    </row>
    <row r="72" spans="1:20" ht="36">
      <c r="A72" s="204" t="str">
        <f>QUANT!A71</f>
        <v>8.14</v>
      </c>
      <c r="B72" s="166">
        <f>QUANT!B71</f>
        <v>91785</v>
      </c>
      <c r="C72" s="166" t="str">
        <f>QUANT!C71</f>
        <v>SINAPI</v>
      </c>
      <c r="D72" s="261" t="str">
        <f>QUANT!D71</f>
        <v>(Composição representativa) do serviço de instalação de tubos de PVC, soldável, água fria, DN 25 mm (instalado em ramal, sub-ramal, ramal de distribuição ou prumada), inclusive conexões, cortes e fixações, para prédios. af_10/2015</v>
      </c>
      <c r="E72" s="166" t="str">
        <f>QUANT!E71</f>
        <v>m</v>
      </c>
      <c r="F72" s="196">
        <f>QUANT!F71</f>
        <v>24</v>
      </c>
      <c r="G72" s="411">
        <v>32.76</v>
      </c>
      <c r="H72" s="196">
        <f t="shared" si="3"/>
        <v>39.54</v>
      </c>
      <c r="I72" s="196">
        <f t="shared" si="4"/>
        <v>948.96</v>
      </c>
      <c r="J72" s="506">
        <f>SUM(I59:I72)</f>
        <v>269294.39</v>
      </c>
      <c r="K72" s="554"/>
      <c r="L72" s="297"/>
      <c r="M72" s="297"/>
      <c r="N72" s="297"/>
      <c r="O72" s="297"/>
      <c r="P72" s="297"/>
      <c r="Q72" s="190"/>
      <c r="R72" s="300"/>
      <c r="S72" s="301"/>
      <c r="T72" s="3"/>
    </row>
    <row r="73" spans="1:20" ht="12.75">
      <c r="A73" s="204"/>
      <c r="B73" s="166"/>
      <c r="C73" s="166"/>
      <c r="D73" s="261"/>
      <c r="E73" s="166"/>
      <c r="F73" s="196"/>
      <c r="G73" s="411"/>
      <c r="H73" s="196"/>
      <c r="I73" s="196"/>
      <c r="J73" s="506"/>
      <c r="K73" s="554"/>
      <c r="L73" s="297"/>
      <c r="M73" s="297"/>
      <c r="N73" s="297"/>
      <c r="O73" s="297"/>
      <c r="P73" s="297"/>
      <c r="Q73" s="190"/>
      <c r="R73" s="300"/>
      <c r="S73" s="301"/>
      <c r="T73" s="3"/>
    </row>
    <row r="74" spans="1:20" ht="12.75">
      <c r="A74" s="202" t="str">
        <f>QUANT!A73</f>
        <v>9.0</v>
      </c>
      <c r="B74" s="186" t="str">
        <f>QUANT!B73</f>
        <v>IX</v>
      </c>
      <c r="C74" s="186"/>
      <c r="D74" s="262" t="str">
        <f>QUANT!D73</f>
        <v>FORNECIMENTO DE TUBOS TIPO PA-1</v>
      </c>
      <c r="E74" s="166"/>
      <c r="F74" s="196"/>
      <c r="G74" s="411"/>
      <c r="H74" s="196"/>
      <c r="I74" s="196"/>
      <c r="J74" s="506"/>
      <c r="K74" s="554"/>
      <c r="L74" s="297"/>
      <c r="M74" s="297"/>
      <c r="N74" s="297"/>
      <c r="O74" s="297"/>
      <c r="P74" s="297"/>
      <c r="Q74" s="190"/>
      <c r="R74" s="300"/>
      <c r="S74" s="301"/>
      <c r="T74" s="3"/>
    </row>
    <row r="75" spans="1:20" ht="15" customHeight="1">
      <c r="A75" s="204" t="str">
        <f>QUANT!A74</f>
        <v>9.1</v>
      </c>
      <c r="B75" s="166">
        <f>QUANT!B74</f>
        <v>7725</v>
      </c>
      <c r="C75" s="166" t="str">
        <f>QUANT!C74</f>
        <v>SINAPI</v>
      </c>
      <c r="D75" s="261" t="str">
        <f>QUANT!D74</f>
        <v>Tubo concreto armado, classe PA-1, pb, dn 600 mm, para aguas pluviais (nbr 8890)</v>
      </c>
      <c r="E75" s="166" t="str">
        <f>QUANT!E74</f>
        <v>m</v>
      </c>
      <c r="F75" s="196">
        <f>QUANT!F74</f>
        <v>691</v>
      </c>
      <c r="G75" s="411">
        <v>120</v>
      </c>
      <c r="H75" s="196">
        <f>TRUNC((G75*(1+($D$5))),2)</f>
        <v>138.32</v>
      </c>
      <c r="I75" s="196">
        <f>TRUNC(F75*H75,2)</f>
        <v>95579.12</v>
      </c>
      <c r="J75" s="506"/>
      <c r="K75" s="554"/>
      <c r="L75" s="297"/>
      <c r="M75" s="297"/>
      <c r="N75" s="297"/>
      <c r="O75" s="297"/>
      <c r="P75" s="297"/>
      <c r="Q75" s="190"/>
      <c r="R75" s="300"/>
      <c r="S75" s="301"/>
      <c r="T75" s="304"/>
    </row>
    <row r="76" spans="1:20" ht="15" customHeight="1">
      <c r="A76" s="204" t="str">
        <f>QUANT!A75</f>
        <v>9.2</v>
      </c>
      <c r="B76" s="166">
        <f>QUANT!B75</f>
        <v>7750</v>
      </c>
      <c r="C76" s="166" t="str">
        <f>QUANT!C75</f>
        <v>SINAPI</v>
      </c>
      <c r="D76" s="261" t="str">
        <f>QUANT!D75</f>
        <v>Tubo concreto armado, classe PA-1, pb, dn 800 mm, para aguas pluviais (nbr 8890)</v>
      </c>
      <c r="E76" s="166" t="str">
        <f>QUANT!E75</f>
        <v>m</v>
      </c>
      <c r="F76" s="196">
        <f>QUANT!F75</f>
        <v>529</v>
      </c>
      <c r="G76" s="411">
        <v>191</v>
      </c>
      <c r="H76" s="196">
        <f>TRUNC((G76*(1+($D$5))),2)</f>
        <v>220.16</v>
      </c>
      <c r="I76" s="196">
        <f>TRUNC(F76*H76,2)</f>
        <v>116464.64</v>
      </c>
      <c r="J76" s="506"/>
      <c r="K76" s="554"/>
      <c r="L76" s="297"/>
      <c r="M76" s="297"/>
      <c r="N76" s="297"/>
      <c r="O76" s="297"/>
      <c r="P76" s="297"/>
      <c r="Q76" s="190"/>
      <c r="R76" s="300"/>
      <c r="S76" s="301"/>
      <c r="T76" s="3"/>
    </row>
    <row r="77" spans="1:20" ht="24">
      <c r="A77" s="204" t="str">
        <f>QUANT!A76</f>
        <v>10.3</v>
      </c>
      <c r="B77" s="166">
        <f>QUANT!B76</f>
        <v>7753</v>
      </c>
      <c r="C77" s="166" t="str">
        <f>QUANT!C76</f>
        <v>SINAPI</v>
      </c>
      <c r="D77" s="261" t="str">
        <f>QUANT!D76</f>
        <v>Tubo concreto armado, classe pa-1, pb, dn 1000 mm, para aguas pluviais (nbr 8890)</v>
      </c>
      <c r="E77" s="166" t="str">
        <f>QUANT!E76</f>
        <v>m</v>
      </c>
      <c r="F77" s="196">
        <f>QUANT!F76</f>
        <v>22</v>
      </c>
      <c r="G77" s="411">
        <v>262.18</v>
      </c>
      <c r="H77" s="196">
        <f>TRUNC((G77*(1+($D$5))),2)</f>
        <v>302.21</v>
      </c>
      <c r="I77" s="196">
        <f>TRUNC(F77*H77,2)</f>
        <v>6648.62</v>
      </c>
      <c r="J77" s="506">
        <f>SUM(I75:I77)</f>
        <v>218692.38</v>
      </c>
      <c r="K77" s="554"/>
      <c r="L77" s="297"/>
      <c r="M77" s="297"/>
      <c r="N77" s="297"/>
      <c r="O77" s="297"/>
      <c r="P77" s="297"/>
      <c r="Q77" s="190"/>
      <c r="R77" s="300"/>
      <c r="S77" s="301"/>
      <c r="T77" s="3"/>
    </row>
    <row r="78" spans="1:20" ht="27" customHeight="1">
      <c r="A78" s="204"/>
      <c r="B78" s="195"/>
      <c r="C78" s="195"/>
      <c r="D78" s="207"/>
      <c r="E78" s="166"/>
      <c r="F78" s="196"/>
      <c r="G78" s="411"/>
      <c r="H78" s="196"/>
      <c r="I78" s="196"/>
      <c r="J78" s="506"/>
      <c r="K78" s="554"/>
      <c r="L78" s="297"/>
      <c r="M78" s="297"/>
      <c r="N78" s="297"/>
      <c r="O78" s="297"/>
      <c r="P78" s="297"/>
      <c r="Q78" s="190"/>
      <c r="R78" s="300"/>
      <c r="S78" s="301"/>
      <c r="T78" s="3"/>
    </row>
    <row r="79" spans="1:20" ht="15" customHeight="1">
      <c r="A79" s="202" t="str">
        <f>QUANT!A78</f>
        <v>10.0</v>
      </c>
      <c r="B79" s="186" t="str">
        <f>QUANT!B78</f>
        <v>X</v>
      </c>
      <c r="C79" s="186"/>
      <c r="D79" s="262" t="str">
        <f>QUANT!D78</f>
        <v>ASSENTAMENTO DE TUBO DE CONCRETO </v>
      </c>
      <c r="E79" s="186"/>
      <c r="F79" s="196"/>
      <c r="G79" s="411"/>
      <c r="H79" s="196"/>
      <c r="I79" s="196"/>
      <c r="J79" s="506"/>
      <c r="K79" s="554"/>
      <c r="L79" s="297"/>
      <c r="M79" s="297"/>
      <c r="N79" s="297"/>
      <c r="O79" s="297"/>
      <c r="P79" s="297"/>
      <c r="Q79" s="190"/>
      <c r="R79" s="300"/>
      <c r="S79" s="301"/>
      <c r="T79" s="3"/>
    </row>
    <row r="80" spans="1:20" ht="25.5">
      <c r="A80" s="204" t="str">
        <f>QUANT!A79</f>
        <v>10.1</v>
      </c>
      <c r="B80" s="166">
        <f>QUANT!B79</f>
        <v>92824</v>
      </c>
      <c r="C80" s="166" t="str">
        <f>QUANT!C79</f>
        <v>SINAPI</v>
      </c>
      <c r="D80" s="228" t="str">
        <f>QUANT!D79</f>
        <v>Assentamento de tubo de concreto para redes coletoras de águas pluviais, diâmetro de 600 mm, junta rígida, instalado em local com alto nível</v>
      </c>
      <c r="E80" s="166" t="str">
        <f>QUANT!E79</f>
        <v>m</v>
      </c>
      <c r="F80" s="196">
        <f>QUANT!F79</f>
        <v>691</v>
      </c>
      <c r="G80" s="411">
        <v>61.61</v>
      </c>
      <c r="H80" s="196">
        <f>TRUNC((G80*(1+($D$4))),2)</f>
        <v>74.36</v>
      </c>
      <c r="I80" s="196">
        <f>TRUNC(F80*H80,2)</f>
        <v>51382.76</v>
      </c>
      <c r="J80" s="506"/>
      <c r="K80" s="554"/>
      <c r="L80" s="297"/>
      <c r="M80" s="297"/>
      <c r="N80" s="297"/>
      <c r="O80" s="297"/>
      <c r="P80" s="297"/>
      <c r="Q80" s="190"/>
      <c r="R80" s="300"/>
      <c r="S80" s="301"/>
      <c r="T80" s="304"/>
    </row>
    <row r="81" spans="1:20" ht="25.5">
      <c r="A81" s="204" t="str">
        <f>QUANT!A80</f>
        <v>10.2</v>
      </c>
      <c r="B81" s="166">
        <f>QUANT!B80</f>
        <v>92826</v>
      </c>
      <c r="C81" s="166" t="str">
        <f>QUANT!C80</f>
        <v>SINAPI</v>
      </c>
      <c r="D81" s="228" t="str">
        <f>QUANT!D80</f>
        <v>Assentamento de tubo de concreto para redes coletoras de águas pluviais, diâmetro de 800 mm, junta rígida, instalado em local com alto nível</v>
      </c>
      <c r="E81" s="166" t="str">
        <f>QUANT!E80</f>
        <v>m</v>
      </c>
      <c r="F81" s="196">
        <f>QUANT!F80</f>
        <v>529</v>
      </c>
      <c r="G81" s="411">
        <v>82.29</v>
      </c>
      <c r="H81" s="196">
        <f>TRUNC((G81*(1+($D$4))),2)</f>
        <v>99.32</v>
      </c>
      <c r="I81" s="196">
        <f>TRUNC(F81*H81,2)</f>
        <v>52540.28</v>
      </c>
      <c r="J81" s="506"/>
      <c r="K81" s="554"/>
      <c r="L81" s="297"/>
      <c r="M81" s="297"/>
      <c r="N81" s="297"/>
      <c r="O81" s="297"/>
      <c r="P81" s="297"/>
      <c r="Q81" s="190"/>
      <c r="R81" s="300"/>
      <c r="S81" s="301"/>
      <c r="T81" s="3"/>
    </row>
    <row r="82" spans="1:20" ht="38.25">
      <c r="A82" s="204" t="str">
        <f>QUANT!A81</f>
        <v>10.3</v>
      </c>
      <c r="B82" s="166">
        <f>QUANT!B81</f>
        <v>92828</v>
      </c>
      <c r="C82" s="166" t="str">
        <f>QUANT!C81</f>
        <v>SINAPI</v>
      </c>
      <c r="D82" s="228" t="str">
        <f>QUANT!D81</f>
        <v>Assentamento de tubo de concreto para redes coletoras de águas pluviais, diâmetro de 1000 mm, junta rígida, instalado em local com alto nível de interferências (não inclui fornecimento). Af_12/2015</v>
      </c>
      <c r="E82" s="166" t="str">
        <f>QUANT!E81</f>
        <v>m</v>
      </c>
      <c r="F82" s="196">
        <f>QUANT!F81</f>
        <v>22</v>
      </c>
      <c r="G82" s="411">
        <v>106.87</v>
      </c>
      <c r="H82" s="196">
        <f>TRUNC((G82*(1+($D$4))),2)</f>
        <v>128.99</v>
      </c>
      <c r="I82" s="196">
        <f>TRUNC(F82*H82,2)</f>
        <v>2837.78</v>
      </c>
      <c r="J82" s="506">
        <f>SUM(I80:I82)</f>
        <v>106760.82</v>
      </c>
      <c r="K82" s="554"/>
      <c r="L82" s="297"/>
      <c r="M82" s="297"/>
      <c r="N82" s="297"/>
      <c r="O82" s="297"/>
      <c r="P82" s="297"/>
      <c r="Q82" s="190"/>
      <c r="R82" s="300"/>
      <c r="S82" s="301"/>
      <c r="T82" s="3"/>
    </row>
    <row r="83" spans="1:20" ht="12.75">
      <c r="A83" s="204"/>
      <c r="B83" s="195"/>
      <c r="C83" s="195"/>
      <c r="D83" s="207"/>
      <c r="E83" s="166"/>
      <c r="F83" s="196"/>
      <c r="G83" s="411"/>
      <c r="H83" s="196"/>
      <c r="I83" s="196"/>
      <c r="J83" s="508"/>
      <c r="K83" s="554"/>
      <c r="L83" s="297"/>
      <c r="M83" s="297"/>
      <c r="N83" s="297"/>
      <c r="O83" s="297"/>
      <c r="P83" s="297"/>
      <c r="Q83" s="190"/>
      <c r="R83" s="300"/>
      <c r="S83" s="301"/>
      <c r="T83" s="3"/>
    </row>
    <row r="84" spans="1:20" ht="15" customHeight="1">
      <c r="A84" s="202" t="str">
        <f>QUANT!A83</f>
        <v>11.0</v>
      </c>
      <c r="B84" s="186" t="str">
        <f>QUANT!B83</f>
        <v>XI</v>
      </c>
      <c r="C84" s="186"/>
      <c r="D84" s="262" t="str">
        <f>QUANT!D83</f>
        <v>ÓRGÃOS ACESSÓRIOS</v>
      </c>
      <c r="E84" s="186"/>
      <c r="F84" s="196"/>
      <c r="G84" s="411"/>
      <c r="H84" s="196"/>
      <c r="I84" s="196"/>
      <c r="J84" s="506"/>
      <c r="K84" s="554"/>
      <c r="L84" s="298"/>
      <c r="M84" s="298"/>
      <c r="N84" s="298"/>
      <c r="O84" s="298"/>
      <c r="P84" s="298"/>
      <c r="Q84" s="190"/>
      <c r="R84" s="300"/>
      <c r="S84" s="301"/>
      <c r="T84" s="3"/>
    </row>
    <row r="85" spans="1:20" ht="15" customHeight="1">
      <c r="A85" s="204" t="str">
        <f>QUANT!A84</f>
        <v>11.1</v>
      </c>
      <c r="B85" s="166">
        <f>QUANT!B84</f>
        <v>2003456</v>
      </c>
      <c r="C85" s="166" t="str">
        <f>QUANT!C84</f>
        <v>SICRO 03</v>
      </c>
      <c r="D85" s="261" t="str">
        <f>QUANT!D84</f>
        <v>Dissipador de energia - DEB 06 - areia e pedra de mão comerciais</v>
      </c>
      <c r="E85" s="166" t="str">
        <f>QUANT!E84</f>
        <v>unid</v>
      </c>
      <c r="F85" s="196">
        <f>QUANT!F84</f>
        <v>4</v>
      </c>
      <c r="G85" s="411">
        <v>1816.25</v>
      </c>
      <c r="H85" s="196">
        <v>1545.71</v>
      </c>
      <c r="I85" s="196">
        <f aca="true" t="shared" si="5" ref="I85:I100">TRUNC(F85*H85,2)</f>
        <v>6182.84</v>
      </c>
      <c r="J85" s="508"/>
      <c r="K85" s="554"/>
      <c r="L85" s="297"/>
      <c r="M85" s="297"/>
      <c r="N85" s="297"/>
      <c r="O85" s="297"/>
      <c r="P85" s="297"/>
      <c r="Q85" s="190"/>
      <c r="R85" s="300"/>
      <c r="S85" s="301"/>
      <c r="T85" s="304"/>
    </row>
    <row r="86" spans="1:20" ht="24">
      <c r="A86" s="204" t="str">
        <f>QUANT!A85</f>
        <v>11.2</v>
      </c>
      <c r="B86" s="166">
        <f>QUANT!B85</f>
        <v>2003578</v>
      </c>
      <c r="C86" s="166" t="str">
        <f>QUANT!C85</f>
        <v>SICRO 03</v>
      </c>
      <c r="D86" s="261" t="str">
        <f>QUANT!D85</f>
        <v>Dreno longitudinal profundo para corte em solo - DPS 13 - tubo PEAD e brita comercial</v>
      </c>
      <c r="E86" s="166" t="str">
        <f>QUANT!E85</f>
        <v>m</v>
      </c>
      <c r="F86" s="196">
        <f>QUANT!F85</f>
        <v>1295</v>
      </c>
      <c r="G86" s="411">
        <v>100.32</v>
      </c>
      <c r="H86" s="196">
        <f aca="true" t="shared" si="6" ref="H86:H91">TRUNC((G86*(1+($D$4))),2)</f>
        <v>121.08</v>
      </c>
      <c r="I86" s="196">
        <f t="shared" si="5"/>
        <v>156798.6</v>
      </c>
      <c r="J86" s="506"/>
      <c r="K86" s="554"/>
      <c r="L86" s="298"/>
      <c r="M86" s="298"/>
      <c r="N86" s="298"/>
      <c r="O86" s="298"/>
      <c r="P86" s="298"/>
      <c r="Q86" s="190"/>
      <c r="R86" s="300"/>
      <c r="S86" s="301"/>
      <c r="T86" s="3"/>
    </row>
    <row r="87" spans="1:20" ht="12.75">
      <c r="A87" s="204" t="str">
        <f>QUANT!A86</f>
        <v>11.3</v>
      </c>
      <c r="B87" s="166">
        <f>QUANT!B86</f>
        <v>2003336</v>
      </c>
      <c r="C87" s="166" t="str">
        <f>QUANT!C86</f>
        <v>SICRO 03</v>
      </c>
      <c r="D87" s="261" t="str">
        <f>QUANT!D86</f>
        <v>Entrada para descida d'água - EDA 04 - areia e brita comerciais</v>
      </c>
      <c r="E87" s="166" t="str">
        <f>QUANT!E86</f>
        <v>unid</v>
      </c>
      <c r="F87" s="196">
        <f>QUANT!F86</f>
        <v>4</v>
      </c>
      <c r="G87" s="411">
        <v>1167.87</v>
      </c>
      <c r="H87" s="196">
        <f t="shared" si="6"/>
        <v>1409.61</v>
      </c>
      <c r="I87" s="196">
        <f t="shared" si="5"/>
        <v>5638.44</v>
      </c>
      <c r="J87" s="506"/>
      <c r="K87" s="554"/>
      <c r="L87" s="297"/>
      <c r="M87" s="297"/>
      <c r="N87" s="297"/>
      <c r="O87" s="297"/>
      <c r="P87" s="297"/>
      <c r="Q87" s="190"/>
      <c r="R87" s="305"/>
      <c r="S87" s="301"/>
      <c r="T87" s="3"/>
    </row>
    <row r="88" spans="1:20" ht="15" customHeight="1">
      <c r="A88" s="204" t="str">
        <f>QUANT!A87</f>
        <v>11.4</v>
      </c>
      <c r="B88" s="166">
        <f>QUANT!B87</f>
        <v>2003391</v>
      </c>
      <c r="C88" s="166" t="str">
        <f>QUANT!C87</f>
        <v>SICRO 03</v>
      </c>
      <c r="D88" s="261" t="str">
        <f>QUANT!D87</f>
        <v>Descida d'água de aterros tipo rápido - DAR 02  - areia e pedra de mão comerciais</v>
      </c>
      <c r="E88" s="166" t="str">
        <f>QUANT!E87</f>
        <v>m</v>
      </c>
      <c r="F88" s="196">
        <f>QUANT!F87</f>
        <v>10</v>
      </c>
      <c r="G88" s="411">
        <v>133.57</v>
      </c>
      <c r="H88" s="196">
        <f t="shared" si="6"/>
        <v>161.21</v>
      </c>
      <c r="I88" s="196">
        <f t="shared" si="5"/>
        <v>1612.1</v>
      </c>
      <c r="J88" s="506"/>
      <c r="K88" s="554"/>
      <c r="L88" s="297"/>
      <c r="M88" s="297"/>
      <c r="N88" s="297"/>
      <c r="O88" s="297"/>
      <c r="P88" s="297"/>
      <c r="Q88" s="190"/>
      <c r="R88" s="305"/>
      <c r="S88" s="301"/>
      <c r="T88" s="3"/>
    </row>
    <row r="89" spans="1:20" ht="15" customHeight="1">
      <c r="A89" s="204" t="str">
        <f>QUANT!A88</f>
        <v>11.5</v>
      </c>
      <c r="B89" s="166">
        <f>QUANT!B88</f>
        <v>2003642</v>
      </c>
      <c r="C89" s="166" t="str">
        <f>QUANT!C88</f>
        <v>SICRO 03</v>
      </c>
      <c r="D89" s="261" t="str">
        <f>QUANT!D88</f>
        <v>Caixa de ligação e passagem - CLP 01 - areia e brita comerciais</v>
      </c>
      <c r="E89" s="166" t="str">
        <f>QUANT!E88</f>
        <v>unid</v>
      </c>
      <c r="F89" s="196">
        <f>QUANT!F88</f>
        <v>4</v>
      </c>
      <c r="G89" s="411">
        <v>1160.83</v>
      </c>
      <c r="H89" s="196">
        <f t="shared" si="6"/>
        <v>1401.12</v>
      </c>
      <c r="I89" s="196">
        <f t="shared" si="5"/>
        <v>5604.48</v>
      </c>
      <c r="J89" s="506"/>
      <c r="K89" s="554"/>
      <c r="L89" s="297"/>
      <c r="M89" s="297"/>
      <c r="N89" s="297"/>
      <c r="O89" s="297"/>
      <c r="P89" s="297"/>
      <c r="Q89" s="190"/>
      <c r="R89" s="305"/>
      <c r="S89" s="301"/>
      <c r="T89" s="3"/>
    </row>
    <row r="90" spans="1:20" ht="15" customHeight="1">
      <c r="A90" s="204" t="str">
        <f>QUANT!A89</f>
        <v>11.6</v>
      </c>
      <c r="B90" s="166">
        <f>QUANT!B89</f>
        <v>2003728</v>
      </c>
      <c r="C90" s="166" t="str">
        <f>QUANT!C89</f>
        <v>SICRO 03</v>
      </c>
      <c r="D90" s="261" t="str">
        <f>QUANT!D89</f>
        <v>Caixa coletora de talvegue - CCT 17 - areia e brita comerciais</v>
      </c>
      <c r="E90" s="166" t="str">
        <f>QUANT!E89</f>
        <v>unid</v>
      </c>
      <c r="F90" s="196">
        <f>QUANT!F89</f>
        <v>1</v>
      </c>
      <c r="G90" s="411">
        <v>2597.41</v>
      </c>
      <c r="H90" s="196">
        <f t="shared" si="6"/>
        <v>3135.07</v>
      </c>
      <c r="I90" s="196">
        <f t="shared" si="5"/>
        <v>3135.07</v>
      </c>
      <c r="J90" s="506"/>
      <c r="K90" s="556"/>
      <c r="L90" s="297"/>
      <c r="M90" s="297"/>
      <c r="N90" s="297"/>
      <c r="O90" s="297"/>
      <c r="P90" s="297"/>
      <c r="Q90" s="190"/>
      <c r="R90" s="305"/>
      <c r="S90" s="301"/>
      <c r="T90" s="3"/>
    </row>
    <row r="91" spans="1:20" ht="15" customHeight="1">
      <c r="A91" s="204" t="str">
        <f>QUANT!A90</f>
        <v>11.7</v>
      </c>
      <c r="B91" s="166">
        <f>QUANT!B90</f>
        <v>2003684</v>
      </c>
      <c r="C91" s="166" t="str">
        <f>QUANT!C90</f>
        <v>SICRO 03</v>
      </c>
      <c r="D91" s="261" t="str">
        <f>QUANT!D90</f>
        <v>Poço de visita - PVI 04 - areia e brita comerciais</v>
      </c>
      <c r="E91" s="166" t="str">
        <f>QUANT!E90</f>
        <v>unid</v>
      </c>
      <c r="F91" s="196">
        <f>QUANT!F90</f>
        <v>16</v>
      </c>
      <c r="G91" s="411">
        <v>2103.65</v>
      </c>
      <c r="H91" s="196">
        <f t="shared" si="6"/>
        <v>2539.1</v>
      </c>
      <c r="I91" s="196">
        <f t="shared" si="5"/>
        <v>40625.6</v>
      </c>
      <c r="J91" s="506"/>
      <c r="K91" s="554"/>
      <c r="L91" s="297"/>
      <c r="M91" s="297"/>
      <c r="N91" s="297"/>
      <c r="O91" s="297"/>
      <c r="P91" s="297"/>
      <c r="Q91" s="190"/>
      <c r="R91" s="305"/>
      <c r="S91" s="301"/>
      <c r="T91" s="3"/>
    </row>
    <row r="92" spans="1:20" ht="15" customHeight="1">
      <c r="A92" s="204" t="str">
        <f>QUANT!A91</f>
        <v>11.8</v>
      </c>
      <c r="B92" s="166">
        <f>QUANT!B91</f>
        <v>2003714</v>
      </c>
      <c r="C92" s="166" t="str">
        <f>QUANT!C91</f>
        <v>SICRO 03</v>
      </c>
      <c r="D92" s="261" t="str">
        <f>QUANT!D91</f>
        <v>Chaminé dos poços de visita - CPV 01 - areia e brita comerciais</v>
      </c>
      <c r="E92" s="166" t="str">
        <f>QUANT!E91</f>
        <v>unid</v>
      </c>
      <c r="F92" s="196">
        <f>QUANT!F91</f>
        <v>16</v>
      </c>
      <c r="G92" s="411">
        <v>1032.49</v>
      </c>
      <c r="H92" s="196">
        <f aca="true" t="shared" si="7" ref="H92:H100">TRUNC((G92*(1+($D$4))),2)</f>
        <v>1246.21</v>
      </c>
      <c r="I92" s="196">
        <f t="shared" si="5"/>
        <v>19939.36</v>
      </c>
      <c r="J92" s="506"/>
      <c r="K92" s="556"/>
      <c r="L92" s="297"/>
      <c r="M92" s="297"/>
      <c r="N92" s="297"/>
      <c r="O92" s="297"/>
      <c r="P92" s="297"/>
      <c r="Q92" s="190"/>
      <c r="R92" s="305"/>
      <c r="S92" s="301"/>
      <c r="T92" s="3"/>
    </row>
    <row r="93" spans="1:20" ht="15" customHeight="1">
      <c r="A93" s="408" t="str">
        <f>QUANT!A92</f>
        <v>11.9</v>
      </c>
      <c r="B93" s="409" t="str">
        <f>QUANT!B92</f>
        <v>COMP.</v>
      </c>
      <c r="C93" s="409" t="str">
        <f>QUANT!C92</f>
        <v>SICRO 03</v>
      </c>
      <c r="D93" s="410" t="str">
        <f>QUANT!D92</f>
        <v>BLS - Boca de lobo simples, c/abertura pela guia 1,00m - conforme protjeto tipo</v>
      </c>
      <c r="E93" s="409" t="str">
        <f>QUANT!E92</f>
        <v>unid</v>
      </c>
      <c r="F93" s="411">
        <f>QUANT!F92</f>
        <v>32</v>
      </c>
      <c r="G93" s="411">
        <f>BLS!U38</f>
        <v>881.2949</v>
      </c>
      <c r="H93" s="411">
        <f t="shared" si="7"/>
        <v>1063.72</v>
      </c>
      <c r="I93" s="411">
        <f t="shared" si="5"/>
        <v>34039.04</v>
      </c>
      <c r="J93" s="507"/>
      <c r="K93" s="554"/>
      <c r="L93" s="297"/>
      <c r="M93" s="297"/>
      <c r="N93" s="297"/>
      <c r="O93" s="297"/>
      <c r="P93" s="297"/>
      <c r="Q93" s="190"/>
      <c r="R93" s="305"/>
      <c r="S93" s="301"/>
      <c r="T93" s="3"/>
    </row>
    <row r="94" spans="1:20" s="412" customFormat="1" ht="15" customHeight="1">
      <c r="A94" s="408" t="str">
        <f>QUANT!A93</f>
        <v>11.10</v>
      </c>
      <c r="B94" s="409" t="str">
        <f>QUANT!B93</f>
        <v>COMP.</v>
      </c>
      <c r="C94" s="409" t="str">
        <f>QUANT!C93</f>
        <v>SICRO 03</v>
      </c>
      <c r="D94" s="410" t="str">
        <f>QUANT!D93</f>
        <v>BLD - Boca de lobo dupla, c/abertura pela guia 1,00m - conforme protjeto tipo</v>
      </c>
      <c r="E94" s="409" t="str">
        <f>QUANT!E93</f>
        <v>unid</v>
      </c>
      <c r="F94" s="411">
        <f>QUANT!F93</f>
        <v>6</v>
      </c>
      <c r="G94" s="411">
        <f>BLD!U39</f>
        <v>1613.175928</v>
      </c>
      <c r="H94" s="411">
        <f t="shared" si="7"/>
        <v>1947.1</v>
      </c>
      <c r="I94" s="411">
        <f t="shared" si="5"/>
        <v>11682.6</v>
      </c>
      <c r="J94" s="507"/>
      <c r="K94" s="554"/>
      <c r="L94" s="415"/>
      <c r="M94" s="415"/>
      <c r="N94" s="415"/>
      <c r="O94" s="415"/>
      <c r="P94" s="415"/>
      <c r="Q94" s="417"/>
      <c r="R94" s="418"/>
      <c r="S94" s="414"/>
      <c r="T94" s="413"/>
    </row>
    <row r="95" spans="1:20" s="412" customFormat="1" ht="15" customHeight="1">
      <c r="A95" s="408" t="str">
        <f>QUANT!A94</f>
        <v>11.11</v>
      </c>
      <c r="B95" s="409" t="str">
        <f>QUANT!B94</f>
        <v>COMP.</v>
      </c>
      <c r="C95" s="409" t="str">
        <f>QUANT!C94</f>
        <v>SICRO 03</v>
      </c>
      <c r="D95" s="410" t="str">
        <f>QUANT!D94</f>
        <v>BLT - Boca de lobo tripla, c/abertura pela guia 1,00m - conforme protjeto tipo</v>
      </c>
      <c r="E95" s="409" t="str">
        <f>QUANT!E94</f>
        <v>unid</v>
      </c>
      <c r="F95" s="411">
        <f>QUANT!F94</f>
        <v>14</v>
      </c>
      <c r="G95" s="411">
        <f>BLT!U39</f>
        <v>2548.235728</v>
      </c>
      <c r="H95" s="411">
        <f t="shared" si="7"/>
        <v>3075.72</v>
      </c>
      <c r="I95" s="411">
        <f>TRUNC(F95*H95,2)</f>
        <v>43060.08</v>
      </c>
      <c r="J95" s="507"/>
      <c r="K95" s="554"/>
      <c r="L95" s="415"/>
      <c r="M95" s="415"/>
      <c r="N95" s="415"/>
      <c r="O95" s="415"/>
      <c r="P95" s="415"/>
      <c r="Q95" s="417"/>
      <c r="R95" s="418"/>
      <c r="S95" s="414"/>
      <c r="T95" s="413"/>
    </row>
    <row r="96" spans="1:20" s="412" customFormat="1" ht="15" customHeight="1">
      <c r="A96" s="408" t="str">
        <f>QUANT!A95</f>
        <v>11.12</v>
      </c>
      <c r="B96" s="409">
        <f>QUANT!B95</f>
        <v>804437</v>
      </c>
      <c r="C96" s="409" t="str">
        <f>QUANT!C95</f>
        <v>SICRO 03</v>
      </c>
      <c r="D96" s="410" t="str">
        <f>QUANT!D95</f>
        <v>Boca BDTC D = 1,50 m - esconsidade 30° - areia e brita comerciais - alas esconsas</v>
      </c>
      <c r="E96" s="409" t="str">
        <f>QUANT!E95</f>
        <v>unid</v>
      </c>
      <c r="F96" s="411">
        <f>QUANT!F95</f>
        <v>1</v>
      </c>
      <c r="G96" s="411">
        <v>9490.11</v>
      </c>
      <c r="H96" s="411">
        <f t="shared" si="7"/>
        <v>11454.56</v>
      </c>
      <c r="I96" s="411">
        <f>TRUNC(F96*H96,2)</f>
        <v>11454.56</v>
      </c>
      <c r="J96" s="507"/>
      <c r="K96" s="554"/>
      <c r="L96" s="415"/>
      <c r="M96" s="415"/>
      <c r="N96" s="415"/>
      <c r="O96" s="415"/>
      <c r="P96" s="415"/>
      <c r="Q96" s="417"/>
      <c r="R96" s="418"/>
      <c r="S96" s="414"/>
      <c r="T96" s="413"/>
    </row>
    <row r="97" spans="1:20" s="412" customFormat="1" ht="15" customHeight="1">
      <c r="A97" s="408" t="str">
        <f>QUANT!A96</f>
        <v>11.13</v>
      </c>
      <c r="B97" s="409">
        <f>QUANT!B96</f>
        <v>804207</v>
      </c>
      <c r="C97" s="409" t="str">
        <f>QUANT!C96</f>
        <v>SICRO 03</v>
      </c>
      <c r="D97" s="410" t="str">
        <f>QUANT!D96</f>
        <v>Corpo de BDTC D = 1,50 m CA2 - areia, brita e pedra de mão comerciais</v>
      </c>
      <c r="E97" s="409" t="str">
        <f>QUANT!E96</f>
        <v>unid</v>
      </c>
      <c r="F97" s="411">
        <f>QUANT!F96</f>
        <v>17</v>
      </c>
      <c r="G97" s="411">
        <f>BLD!U41</f>
        <v>1613.175928</v>
      </c>
      <c r="H97" s="411">
        <f t="shared" si="7"/>
        <v>1947.1</v>
      </c>
      <c r="I97" s="411">
        <f>TRUNC(F97*H97,2)</f>
        <v>33100.7</v>
      </c>
      <c r="J97" s="507"/>
      <c r="K97" s="554"/>
      <c r="L97" s="415"/>
      <c r="M97" s="415"/>
      <c r="N97" s="415"/>
      <c r="O97" s="415"/>
      <c r="P97" s="415"/>
      <c r="Q97" s="417"/>
      <c r="R97" s="418"/>
      <c r="S97" s="414"/>
      <c r="T97" s="413"/>
    </row>
    <row r="98" spans="1:20" s="412" customFormat="1" ht="15" customHeight="1">
      <c r="A98" s="408" t="str">
        <f>QUANT!A97</f>
        <v>11.14</v>
      </c>
      <c r="B98" s="409">
        <f>QUANT!B97</f>
        <v>804385</v>
      </c>
      <c r="C98" s="409" t="str">
        <f>QUANT!C97</f>
        <v>SICRO 03</v>
      </c>
      <c r="D98" s="410" t="str">
        <f>QUANT!D97</f>
        <v>Boca BSTC D = 0,80 m - esconsidade 0° - areia e brita comerciais - alas esconsas</v>
      </c>
      <c r="E98" s="409" t="str">
        <f>QUANT!E97</f>
        <v>unid</v>
      </c>
      <c r="F98" s="411">
        <f>QUANT!F97</f>
        <v>3</v>
      </c>
      <c r="G98" s="411">
        <v>1501.42</v>
      </c>
      <c r="H98" s="411">
        <f t="shared" si="7"/>
        <v>1812.21</v>
      </c>
      <c r="I98" s="411">
        <f>TRUNC(F98*H98,2)</f>
        <v>5436.63</v>
      </c>
      <c r="J98" s="507"/>
      <c r="K98" s="554"/>
      <c r="L98" s="415"/>
      <c r="M98" s="415"/>
      <c r="N98" s="415"/>
      <c r="O98" s="415"/>
      <c r="P98" s="415"/>
      <c r="Q98" s="417"/>
      <c r="R98" s="418"/>
      <c r="S98" s="414"/>
      <c r="T98" s="413"/>
    </row>
    <row r="99" spans="1:20" s="412" customFormat="1" ht="15" customHeight="1">
      <c r="A99" s="408" t="str">
        <f>QUANT!A98</f>
        <v>11.15</v>
      </c>
      <c r="B99" s="409">
        <f>QUANT!B98</f>
        <v>804121</v>
      </c>
      <c r="C99" s="409" t="str">
        <f>QUANT!C98</f>
        <v>SICRO 04</v>
      </c>
      <c r="D99" s="410" t="str">
        <f>QUANT!D98</f>
        <v>Boca BSTC D = 1,00 m - esconsidade 0° - areia e brita comerciais - alas esconsas</v>
      </c>
      <c r="E99" s="409" t="str">
        <f>QUANT!E98</f>
        <v>unid</v>
      </c>
      <c r="F99" s="411">
        <f>QUANT!F98</f>
        <v>1</v>
      </c>
      <c r="G99" s="411">
        <v>1526.41</v>
      </c>
      <c r="H99" s="411">
        <f t="shared" si="7"/>
        <v>1842.37</v>
      </c>
      <c r="I99" s="411">
        <f>TRUNC(F99*H99,2)</f>
        <v>1842.37</v>
      </c>
      <c r="J99" s="507"/>
      <c r="K99" s="554"/>
      <c r="L99" s="415"/>
      <c r="M99" s="415"/>
      <c r="N99" s="415"/>
      <c r="O99" s="415"/>
      <c r="P99" s="415"/>
      <c r="Q99" s="417"/>
      <c r="R99" s="418"/>
      <c r="S99" s="414"/>
      <c r="T99" s="413"/>
    </row>
    <row r="100" spans="1:20" ht="15" customHeight="1">
      <c r="A100" s="204" t="str">
        <f>QUANT!A99</f>
        <v>11.16</v>
      </c>
      <c r="B100" s="100" t="str">
        <f>QUANT!B99</f>
        <v>comp.</v>
      </c>
      <c r="C100" s="166" t="str">
        <f>QUANT!C99</f>
        <v>SICRO 3</v>
      </c>
      <c r="D100" s="261" t="str">
        <f>QUANT!D99</f>
        <v>Lastro com pedra de mão</v>
      </c>
      <c r="E100" s="166" t="s">
        <v>7</v>
      </c>
      <c r="F100" s="196">
        <f>QUANT!F99</f>
        <v>24.726</v>
      </c>
      <c r="G100" s="411">
        <f>LASTRO!U43</f>
        <v>412.63</v>
      </c>
      <c r="H100" s="196">
        <f t="shared" si="7"/>
        <v>498.04</v>
      </c>
      <c r="I100" s="196">
        <f t="shared" si="5"/>
        <v>12314.53</v>
      </c>
      <c r="J100" s="506">
        <f>SUM(I85:I100)</f>
        <v>392467.00000000006</v>
      </c>
      <c r="K100" s="515"/>
      <c r="L100" s="297"/>
      <c r="M100" s="297"/>
      <c r="N100" s="297"/>
      <c r="O100" s="297"/>
      <c r="P100" s="297"/>
      <c r="Q100" s="190"/>
      <c r="R100" s="306"/>
      <c r="S100" s="301"/>
      <c r="T100" s="3"/>
    </row>
    <row r="101" spans="1:20" ht="15" customHeight="1" thickBot="1">
      <c r="A101" s="613" t="s">
        <v>14</v>
      </c>
      <c r="B101" s="614"/>
      <c r="C101" s="360"/>
      <c r="D101" s="361"/>
      <c r="E101" s="360"/>
      <c r="F101" s="362"/>
      <c r="G101" s="422"/>
      <c r="H101" s="363"/>
      <c r="I101" s="363"/>
      <c r="J101" s="511">
        <f>SUM(J11:J100)</f>
        <v>3123457.1199999996</v>
      </c>
      <c r="K101" s="516"/>
      <c r="L101" s="297"/>
      <c r="M101" s="297"/>
      <c r="N101" s="297"/>
      <c r="O101" s="297"/>
      <c r="P101" s="297"/>
      <c r="Q101" s="190"/>
      <c r="R101" s="306"/>
      <c r="S101" s="301"/>
      <c r="T101" s="3"/>
    </row>
    <row r="103" ht="15" customHeight="1">
      <c r="I103" s="164"/>
    </row>
    <row r="105" ht="15" customHeight="1">
      <c r="J105" s="4">
        <f>'[5]ORÇA '!$J$103-J101</f>
        <v>474062.0100000007</v>
      </c>
    </row>
  </sheetData>
  <sheetProtection/>
  <mergeCells count="9">
    <mergeCell ref="E4:F4"/>
    <mergeCell ref="D3:I3"/>
    <mergeCell ref="L19:L20"/>
    <mergeCell ref="A101:B101"/>
    <mergeCell ref="A1:C3"/>
    <mergeCell ref="A4:C4"/>
    <mergeCell ref="A5:C5"/>
    <mergeCell ref="D1:I1"/>
    <mergeCell ref="D2:I2"/>
  </mergeCells>
  <printOptions horizontalCentered="1"/>
  <pageMargins left="0.3937007874015748" right="0.1968503937007874" top="0.5905511811023623" bottom="0.3937007874015748" header="0.5118110236220472" footer="0.5118110236220472"/>
  <pageSetup fitToHeight="0" fitToWidth="4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4">
      <selection activeCell="J47" sqref="A1:J47"/>
    </sheetView>
  </sheetViews>
  <sheetFormatPr defaultColWidth="9.140625" defaultRowHeight="14.25" customHeight="1"/>
  <cols>
    <col min="1" max="1" width="13.7109375" style="0" customWidth="1"/>
    <col min="2" max="2" width="59.00390625" style="0" customWidth="1"/>
    <col min="3" max="3" width="12.7109375" style="0" customWidth="1"/>
    <col min="4" max="4" width="12.140625" style="0" customWidth="1"/>
    <col min="5" max="5" width="8.00390625" style="0" customWidth="1"/>
    <col min="6" max="6" width="13.421875" style="0" bestFit="1" customWidth="1"/>
    <col min="8" max="8" width="20.28125" style="0" customWidth="1"/>
    <col min="9" max="9" width="9.28125" style="0" bestFit="1" customWidth="1"/>
    <col min="10" max="10" width="21.57421875" style="0" customWidth="1"/>
  </cols>
  <sheetData>
    <row r="1" spans="1:10" ht="14.25" customHeight="1">
      <c r="A1" s="239" t="str">
        <f>QUANT!A2</f>
        <v>BAIRRO:JARDIM GLÓRIA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54.75" customHeight="1">
      <c r="A2" s="624" t="str">
        <f>QUANT!A3</f>
        <v>RUAS: Louro, Loro, Rosário Oeste, Cáceres, Aroeira, Santos, Rondonópolis, Pinheiros e Jacarandá</v>
      </c>
      <c r="B2" s="625"/>
      <c r="C2" s="625"/>
      <c r="D2" s="625"/>
      <c r="E2" s="625"/>
      <c r="F2" s="625"/>
      <c r="G2" s="625"/>
      <c r="H2" s="625"/>
      <c r="I2" s="625"/>
      <c r="J2" s="626"/>
    </row>
    <row r="3" spans="1:10" ht="23.25" customHeight="1">
      <c r="A3" s="242" t="str">
        <f>QUANT!A26</f>
        <v>4.0</v>
      </c>
      <c r="B3" s="240" t="str">
        <f>QUANT!D26</f>
        <v>TERRAPLENAGEM</v>
      </c>
      <c r="C3" s="240"/>
      <c r="D3" s="240"/>
      <c r="E3" s="240"/>
      <c r="F3" s="240"/>
      <c r="G3" s="240"/>
      <c r="H3" s="240"/>
      <c r="I3" s="240"/>
      <c r="J3" s="240"/>
    </row>
    <row r="4" spans="1:10" ht="12.75" customHeight="1">
      <c r="A4" s="380" t="s">
        <v>426</v>
      </c>
      <c r="B4" s="381"/>
      <c r="C4" s="381"/>
      <c r="D4" s="381"/>
      <c r="E4" s="381"/>
      <c r="F4" s="381"/>
      <c r="G4" s="381"/>
      <c r="H4" s="382"/>
      <c r="I4" s="383"/>
      <c r="J4" s="384"/>
    </row>
    <row r="5" spans="1:10" ht="14.25" customHeight="1">
      <c r="A5" s="385" t="s">
        <v>15</v>
      </c>
      <c r="B5" s="385" t="s">
        <v>16</v>
      </c>
      <c r="C5" s="385" t="s">
        <v>17</v>
      </c>
      <c r="D5" s="385" t="s">
        <v>11</v>
      </c>
      <c r="E5" s="385" t="s">
        <v>18</v>
      </c>
      <c r="F5" s="386" t="s">
        <v>19</v>
      </c>
      <c r="G5" s="386"/>
      <c r="H5" s="629" t="s">
        <v>20</v>
      </c>
      <c r="I5" s="627" t="s">
        <v>21</v>
      </c>
      <c r="J5" s="627" t="s">
        <v>22</v>
      </c>
    </row>
    <row r="6" spans="1:10" ht="14.25" customHeight="1">
      <c r="A6" s="385"/>
      <c r="B6" s="385"/>
      <c r="C6" s="385"/>
      <c r="D6" s="385"/>
      <c r="E6" s="385"/>
      <c r="F6" s="386" t="s">
        <v>23</v>
      </c>
      <c r="G6" s="386" t="s">
        <v>10</v>
      </c>
      <c r="H6" s="630"/>
      <c r="I6" s="628"/>
      <c r="J6" s="628"/>
    </row>
    <row r="7" spans="1:10" ht="23.25" customHeight="1">
      <c r="A7" s="385" t="str">
        <f>QUANT!B28</f>
        <v>74205/001</v>
      </c>
      <c r="B7" s="393" t="str">
        <f>QUANT!D28</f>
        <v>Escavacao mecanica de material 1a. categoria, proveniente de corte de subleito (c/trator esteiras 160hp)</v>
      </c>
      <c r="C7" s="385" t="s">
        <v>427</v>
      </c>
      <c r="D7" s="394">
        <f>QUANT!F28</f>
        <v>11105.5241</v>
      </c>
      <c r="E7" s="395" t="s">
        <v>4</v>
      </c>
      <c r="F7" s="386">
        <v>1.84</v>
      </c>
      <c r="G7" s="386" t="s">
        <v>428</v>
      </c>
      <c r="H7" s="387">
        <f>D7*F7</f>
        <v>20434.164344</v>
      </c>
      <c r="I7" s="395">
        <v>2</v>
      </c>
      <c r="J7" s="396">
        <f>H7*I7</f>
        <v>40868.328688</v>
      </c>
    </row>
    <row r="8" spans="1:10" ht="15.75" customHeight="1">
      <c r="A8" s="390"/>
      <c r="B8" s="397"/>
      <c r="C8" s="391"/>
      <c r="D8" s="398"/>
      <c r="E8" s="399"/>
      <c r="F8" s="392"/>
      <c r="G8" s="392"/>
      <c r="H8" s="400"/>
      <c r="I8" s="395"/>
      <c r="J8" s="401">
        <f>SUM(J7)</f>
        <v>40868.328688</v>
      </c>
    </row>
    <row r="9" spans="1:10" ht="12.75" customHeight="1">
      <c r="A9" s="380" t="s">
        <v>484</v>
      </c>
      <c r="B9" s="381"/>
      <c r="C9" s="381"/>
      <c r="D9" s="381"/>
      <c r="E9" s="381"/>
      <c r="F9" s="381"/>
      <c r="G9" s="381"/>
      <c r="H9" s="382"/>
      <c r="I9" s="383"/>
      <c r="J9" s="389"/>
    </row>
    <row r="10" spans="1:10" ht="23.25" customHeight="1">
      <c r="A10" s="385" t="s">
        <v>15</v>
      </c>
      <c r="B10" s="385" t="s">
        <v>16</v>
      </c>
      <c r="C10" s="385" t="s">
        <v>17</v>
      </c>
      <c r="D10" s="385" t="s">
        <v>11</v>
      </c>
      <c r="E10" s="385" t="s">
        <v>18</v>
      </c>
      <c r="F10" s="386" t="s">
        <v>19</v>
      </c>
      <c r="G10" s="386"/>
      <c r="H10" s="629" t="s">
        <v>20</v>
      </c>
      <c r="I10" s="627" t="s">
        <v>21</v>
      </c>
      <c r="J10" s="627" t="s">
        <v>22</v>
      </c>
    </row>
    <row r="11" spans="1:10" ht="14.25" customHeight="1">
      <c r="A11" s="385"/>
      <c r="B11" s="385"/>
      <c r="C11" s="385"/>
      <c r="D11" s="385"/>
      <c r="E11" s="385"/>
      <c r="F11" s="386" t="s">
        <v>23</v>
      </c>
      <c r="G11" s="386" t="s">
        <v>10</v>
      </c>
      <c r="H11" s="630"/>
      <c r="I11" s="628"/>
      <c r="J11" s="628"/>
    </row>
    <row r="12" spans="1:10" ht="23.25" customHeight="1">
      <c r="A12" s="385" t="str">
        <f>QUANT!B28</f>
        <v>74205/001</v>
      </c>
      <c r="B12" s="393" t="str">
        <f>QUANT!D28</f>
        <v>Escavacao mecanica de material 1a. categoria, proveniente de corte de subleito (c/trator esteiras 160hp)</v>
      </c>
      <c r="C12" s="386" t="s">
        <v>24</v>
      </c>
      <c r="D12" s="394">
        <f>QUANT!F28</f>
        <v>11105.5241</v>
      </c>
      <c r="E12" s="386" t="s">
        <v>4</v>
      </c>
      <c r="F12" s="386">
        <v>1.84</v>
      </c>
      <c r="G12" s="386" t="s">
        <v>424</v>
      </c>
      <c r="H12" s="388">
        <f>D12*F12</f>
        <v>20434.164344</v>
      </c>
      <c r="I12" s="386">
        <v>9</v>
      </c>
      <c r="J12" s="384">
        <f>H12*I12</f>
        <v>183907.479096</v>
      </c>
    </row>
    <row r="13" spans="1:10" ht="14.25" customHeight="1">
      <c r="A13" s="386" t="s">
        <v>14</v>
      </c>
      <c r="B13" s="383"/>
      <c r="C13" s="383"/>
      <c r="D13" s="383"/>
      <c r="E13" s="383"/>
      <c r="F13" s="383"/>
      <c r="G13" s="383"/>
      <c r="H13" s="383"/>
      <c r="I13" s="383"/>
      <c r="J13" s="389">
        <f>SUM(J12:J12)</f>
        <v>183907.479096</v>
      </c>
    </row>
    <row r="14" spans="1:10" ht="12" customHeight="1">
      <c r="A14" s="243"/>
      <c r="B14" s="243"/>
      <c r="C14" s="243"/>
      <c r="D14" s="243"/>
      <c r="E14" s="243"/>
      <c r="F14" s="243"/>
      <c r="G14" s="243"/>
      <c r="H14" s="243"/>
      <c r="I14" s="243"/>
      <c r="J14" s="243"/>
    </row>
    <row r="15" spans="1:10" ht="17.25" customHeight="1">
      <c r="A15" s="241" t="str">
        <f>QUANT!A34</f>
        <v>5.0</v>
      </c>
      <c r="B15" s="244" t="str">
        <f>QUANT!D34</f>
        <v>PAVIMENTAÇÃO</v>
      </c>
      <c r="C15" s="243"/>
      <c r="D15" s="243"/>
      <c r="E15" s="243"/>
      <c r="F15" s="243"/>
      <c r="G15" s="243"/>
      <c r="H15" s="243"/>
      <c r="I15" s="243"/>
      <c r="J15" s="243"/>
    </row>
    <row r="16" spans="1:10" ht="14.25" customHeight="1">
      <c r="A16" s="380" t="s">
        <v>426</v>
      </c>
      <c r="B16" s="142"/>
      <c r="C16" s="142"/>
      <c r="D16" s="142"/>
      <c r="E16" s="142"/>
      <c r="F16" s="142"/>
      <c r="G16" s="142"/>
      <c r="H16" s="142"/>
      <c r="I16" s="142"/>
      <c r="J16" s="142"/>
    </row>
    <row r="17" spans="1:10" ht="14.25" customHeight="1">
      <c r="A17" s="135" t="s">
        <v>15</v>
      </c>
      <c r="B17" s="135" t="s">
        <v>16</v>
      </c>
      <c r="C17" s="135" t="s">
        <v>17</v>
      </c>
      <c r="D17" s="135" t="s">
        <v>11</v>
      </c>
      <c r="E17" s="135" t="s">
        <v>18</v>
      </c>
      <c r="F17" s="7" t="s">
        <v>19</v>
      </c>
      <c r="G17" s="7"/>
      <c r="H17" s="622" t="s">
        <v>20</v>
      </c>
      <c r="I17" s="622" t="s">
        <v>21</v>
      </c>
      <c r="J17" s="622" t="s">
        <v>22</v>
      </c>
    </row>
    <row r="18" spans="1:10" ht="14.25" customHeight="1">
      <c r="A18" s="135"/>
      <c r="B18" s="135"/>
      <c r="C18" s="135"/>
      <c r="D18" s="135"/>
      <c r="E18" s="135"/>
      <c r="F18" s="7" t="s">
        <v>23</v>
      </c>
      <c r="G18" s="7" t="s">
        <v>10</v>
      </c>
      <c r="H18" s="623"/>
      <c r="I18" s="623"/>
      <c r="J18" s="623"/>
    </row>
    <row r="19" spans="1:10" ht="38.25" customHeight="1">
      <c r="A19" s="7" t="str">
        <f>QUANT!B37</f>
        <v>96387</v>
      </c>
      <c r="B19" s="136" t="str">
        <f>QUANT!D37</f>
        <v>Execução e compactação de sub-base com solo estabilizado granulometricamente - exclusive escavação, carga e transporte e solo. af_09/2017</v>
      </c>
      <c r="C19" s="100" t="s">
        <v>24</v>
      </c>
      <c r="D19" s="9">
        <f>QUANT!F37</f>
        <v>4400.01</v>
      </c>
      <c r="E19" s="7" t="s">
        <v>4</v>
      </c>
      <c r="F19" s="7">
        <v>1.84</v>
      </c>
      <c r="G19" s="7" t="s">
        <v>25</v>
      </c>
      <c r="H19" s="10">
        <f>D19*F19</f>
        <v>8096.018400000001</v>
      </c>
      <c r="I19" s="395">
        <v>2</v>
      </c>
      <c r="J19" s="11">
        <f>H19*I19</f>
        <v>16192.036800000002</v>
      </c>
    </row>
    <row r="20" spans="1:10" ht="38.25" customHeight="1">
      <c r="A20" s="7" t="str">
        <f>QUANT!B38</f>
        <v>96387</v>
      </c>
      <c r="B20" s="136" t="str">
        <f>QUANT!D38</f>
        <v>Execução e compactação de base com solo estabilizado granulometricamente - exclusive escavação, carga e transporte e solo. af_09/2017</v>
      </c>
      <c r="C20" s="100" t="s">
        <v>24</v>
      </c>
      <c r="D20" s="9">
        <f>QUANT!F38</f>
        <v>4400.01</v>
      </c>
      <c r="E20" s="7" t="s">
        <v>4</v>
      </c>
      <c r="F20" s="7">
        <v>1.84</v>
      </c>
      <c r="G20" s="7" t="s">
        <v>25</v>
      </c>
      <c r="H20" s="10">
        <f>D20*F20</f>
        <v>8096.018400000001</v>
      </c>
      <c r="I20" s="395">
        <v>2</v>
      </c>
      <c r="J20" s="11">
        <f>H20*I20</f>
        <v>16192.036800000002</v>
      </c>
    </row>
    <row r="21" spans="1:10" ht="14.25" customHeight="1">
      <c r="A21" s="229" t="s">
        <v>14</v>
      </c>
      <c r="B21" s="6"/>
      <c r="C21" s="6"/>
      <c r="D21" s="6"/>
      <c r="E21" s="6"/>
      <c r="F21" s="6"/>
      <c r="G21" s="6"/>
      <c r="H21" s="6"/>
      <c r="I21" s="6"/>
      <c r="J21" s="12">
        <f>SUM(J19:J20)</f>
        <v>32384.073600000003</v>
      </c>
    </row>
    <row r="22" spans="1:10" ht="14.25" customHeight="1">
      <c r="A22" s="7"/>
      <c r="B22" s="6"/>
      <c r="C22" s="6"/>
      <c r="D22" s="6"/>
      <c r="E22" s="6"/>
      <c r="F22" s="6"/>
      <c r="G22" s="6"/>
      <c r="H22" s="6"/>
      <c r="I22" s="6"/>
      <c r="J22" s="11"/>
    </row>
    <row r="23" spans="1:10" ht="12.75">
      <c r="A23" s="380" t="s">
        <v>214</v>
      </c>
      <c r="B23" s="245"/>
      <c r="C23" s="245"/>
      <c r="D23" s="245"/>
      <c r="E23" s="245"/>
      <c r="F23" s="245"/>
      <c r="G23" s="245"/>
      <c r="H23" s="245"/>
      <c r="I23" s="6"/>
      <c r="J23" s="11"/>
    </row>
    <row r="24" spans="1:10" ht="14.25" customHeight="1">
      <c r="A24" s="135" t="s">
        <v>15</v>
      </c>
      <c r="B24" s="135" t="s">
        <v>16</v>
      </c>
      <c r="C24" s="135" t="s">
        <v>17</v>
      </c>
      <c r="D24" s="135" t="s">
        <v>11</v>
      </c>
      <c r="E24" s="135" t="s">
        <v>18</v>
      </c>
      <c r="F24" s="7" t="s">
        <v>19</v>
      </c>
      <c r="G24" s="7"/>
      <c r="H24" s="622" t="s">
        <v>20</v>
      </c>
      <c r="I24" s="622" t="s">
        <v>21</v>
      </c>
      <c r="J24" s="622" t="s">
        <v>22</v>
      </c>
    </row>
    <row r="25" spans="1:10" ht="14.25" customHeight="1">
      <c r="A25" s="135"/>
      <c r="B25" s="135"/>
      <c r="C25" s="135"/>
      <c r="D25" s="135"/>
      <c r="E25" s="135"/>
      <c r="F25" s="7" t="s">
        <v>23</v>
      </c>
      <c r="G25" s="7" t="s">
        <v>10</v>
      </c>
      <c r="H25" s="623"/>
      <c r="I25" s="623"/>
      <c r="J25" s="623"/>
    </row>
    <row r="26" spans="1:10" ht="38.25">
      <c r="A26" s="7" t="str">
        <f>QUANT!B37</f>
        <v>96387</v>
      </c>
      <c r="B26" s="136" t="str">
        <f>QUANT!D37</f>
        <v>Execução e compactação de sub-base com solo estabilizado granulometricamente - exclusive escavação, carga e transporte e solo. af_09/2017</v>
      </c>
      <c r="C26" s="7" t="s">
        <v>24</v>
      </c>
      <c r="D26" s="9">
        <f>QUANT!F37</f>
        <v>4400.01</v>
      </c>
      <c r="E26" s="7" t="s">
        <v>4</v>
      </c>
      <c r="F26" s="7">
        <v>1.84</v>
      </c>
      <c r="G26" s="7" t="s">
        <v>25</v>
      </c>
      <c r="H26" s="10">
        <f>D26*F26</f>
        <v>8096.018400000001</v>
      </c>
      <c r="I26" s="7">
        <v>9</v>
      </c>
      <c r="J26" s="11">
        <f>H26*I26</f>
        <v>72864.16560000001</v>
      </c>
    </row>
    <row r="27" spans="1:10" ht="38.25">
      <c r="A27" s="7" t="str">
        <f>QUANT!B38</f>
        <v>96387</v>
      </c>
      <c r="B27" s="136" t="str">
        <f>QUANT!D38</f>
        <v>Execução e compactação de base com solo estabilizado granulometricamente - exclusive escavação, carga e transporte e solo. af_09/2017</v>
      </c>
      <c r="C27" s="7" t="s">
        <v>24</v>
      </c>
      <c r="D27" s="9">
        <f>QUANT!F38</f>
        <v>4400.01</v>
      </c>
      <c r="E27" s="7" t="s">
        <v>4</v>
      </c>
      <c r="F27" s="7">
        <v>1.84</v>
      </c>
      <c r="G27" s="7" t="s">
        <v>25</v>
      </c>
      <c r="H27" s="10">
        <f>D27*F27</f>
        <v>8096.018400000001</v>
      </c>
      <c r="I27" s="7">
        <v>9</v>
      </c>
      <c r="J27" s="11">
        <f>H27*I27</f>
        <v>72864.16560000001</v>
      </c>
    </row>
    <row r="28" spans="1:10" ht="14.25" customHeight="1">
      <c r="A28" s="229" t="s">
        <v>14</v>
      </c>
      <c r="B28" s="6"/>
      <c r="C28" s="6"/>
      <c r="D28" s="6"/>
      <c r="E28" s="6"/>
      <c r="F28" s="6"/>
      <c r="G28" s="6"/>
      <c r="H28" s="6"/>
      <c r="I28" s="6"/>
      <c r="J28" s="12">
        <f>SUM(J26:J27)</f>
        <v>145728.33120000002</v>
      </c>
    </row>
    <row r="29" spans="1:10" ht="14.25" customHeight="1">
      <c r="A29" s="7"/>
      <c r="B29" s="6"/>
      <c r="C29" s="6"/>
      <c r="D29" s="6"/>
      <c r="E29" s="6"/>
      <c r="F29" s="6"/>
      <c r="G29" s="6"/>
      <c r="H29" s="6"/>
      <c r="I29" s="6"/>
      <c r="J29" s="11"/>
    </row>
    <row r="30" spans="1:10" ht="14.25" customHeight="1">
      <c r="A30" s="142" t="s">
        <v>292</v>
      </c>
      <c r="B30" s="142"/>
      <c r="C30" s="142"/>
      <c r="D30" s="142"/>
      <c r="E30" s="142"/>
      <c r="F30" s="142"/>
      <c r="G30" s="142"/>
      <c r="H30" s="142"/>
      <c r="I30" s="142"/>
      <c r="J30" s="142"/>
    </row>
    <row r="31" spans="1:10" ht="14.25" customHeight="1">
      <c r="A31" s="135" t="s">
        <v>15</v>
      </c>
      <c r="B31" s="135" t="s">
        <v>16</v>
      </c>
      <c r="C31" s="135" t="s">
        <v>17</v>
      </c>
      <c r="D31" s="135" t="s">
        <v>11</v>
      </c>
      <c r="E31" s="135" t="s">
        <v>18</v>
      </c>
      <c r="F31" s="100" t="s">
        <v>19</v>
      </c>
      <c r="G31" s="7"/>
      <c r="H31" s="622" t="s">
        <v>20</v>
      </c>
      <c r="I31" s="622" t="s">
        <v>21</v>
      </c>
      <c r="J31" s="622" t="s">
        <v>22</v>
      </c>
    </row>
    <row r="32" spans="1:10" ht="14.25" customHeight="1">
      <c r="A32" s="135"/>
      <c r="B32" s="135"/>
      <c r="C32" s="135"/>
      <c r="D32" s="135"/>
      <c r="E32" s="135"/>
      <c r="F32" s="7" t="s">
        <v>23</v>
      </c>
      <c r="G32" s="7" t="s">
        <v>10</v>
      </c>
      <c r="H32" s="623"/>
      <c r="I32" s="623"/>
      <c r="J32" s="623"/>
    </row>
    <row r="33" spans="1:10" ht="38.25">
      <c r="A33" s="234">
        <f>QUANT!B41</f>
        <v>95993</v>
      </c>
      <c r="B33" s="105" t="str">
        <f>QUANT!D41</f>
        <v>Construção de pavimento com aplicação de concreto betuminoso usinado a quente (cbuq), camada de rolamento, com espessura de 4,0 cm  exclusive transporte. af_03/2017</v>
      </c>
      <c r="C33" s="7" t="s">
        <v>293</v>
      </c>
      <c r="D33" s="9">
        <f>QUANT!F41</f>
        <v>704.0036000000001</v>
      </c>
      <c r="E33" s="7" t="s">
        <v>4</v>
      </c>
      <c r="F33" s="235">
        <v>1</v>
      </c>
      <c r="G33" s="7" t="s">
        <v>294</v>
      </c>
      <c r="H33" s="10">
        <f>D33*F33</f>
        <v>704.0036000000001</v>
      </c>
      <c r="I33" s="7">
        <v>34.5</v>
      </c>
      <c r="J33" s="11">
        <f>INT(H33*I33*100)/100</f>
        <v>24288.12</v>
      </c>
    </row>
    <row r="34" spans="1:10" ht="14.25" customHeight="1">
      <c r="A34" s="229" t="s">
        <v>14</v>
      </c>
      <c r="B34" s="6"/>
      <c r="C34" s="6"/>
      <c r="D34" s="6"/>
      <c r="E34" s="6"/>
      <c r="F34" s="6"/>
      <c r="G34" s="6"/>
      <c r="H34" s="6"/>
      <c r="I34" s="6"/>
      <c r="J34" s="12">
        <f>SUM(J33:J33)</f>
        <v>24288.12</v>
      </c>
    </row>
    <row r="35" spans="1:10" ht="14.25" customHeight="1">
      <c r="A35" s="135"/>
      <c r="B35" s="228"/>
      <c r="C35" s="6"/>
      <c r="D35" s="6"/>
      <c r="E35" s="6"/>
      <c r="F35" s="6"/>
      <c r="G35" s="6"/>
      <c r="H35" s="6"/>
      <c r="I35" s="6"/>
      <c r="J35" s="12"/>
    </row>
    <row r="36" spans="1:10" ht="14.25" customHeight="1">
      <c r="A36" s="229" t="str">
        <f>QUANT!A57</f>
        <v>8.0</v>
      </c>
      <c r="B36" s="239" t="str">
        <f>QUANT!D57</f>
        <v>DRENAGEM</v>
      </c>
      <c r="C36" s="134"/>
      <c r="D36" s="134"/>
      <c r="E36" s="134"/>
      <c r="F36" s="134"/>
      <c r="G36" s="134"/>
      <c r="H36" s="134"/>
      <c r="I36" s="134"/>
      <c r="J36" s="134"/>
    </row>
    <row r="37" spans="1:10" ht="14.25" customHeight="1">
      <c r="A37" s="380" t="s">
        <v>426</v>
      </c>
      <c r="B37" s="142"/>
      <c r="C37" s="142"/>
      <c r="D37" s="142"/>
      <c r="E37" s="142"/>
      <c r="F37" s="142"/>
      <c r="G37" s="142"/>
      <c r="H37" s="142"/>
      <c r="I37" s="142"/>
      <c r="J37" s="142"/>
    </row>
    <row r="38" spans="1:10" ht="14.25" customHeight="1">
      <c r="A38" s="135" t="s">
        <v>15</v>
      </c>
      <c r="B38" s="135" t="s">
        <v>16</v>
      </c>
      <c r="C38" s="135" t="s">
        <v>17</v>
      </c>
      <c r="D38" s="135" t="s">
        <v>11</v>
      </c>
      <c r="E38" s="135" t="s">
        <v>18</v>
      </c>
      <c r="F38" s="7" t="s">
        <v>19</v>
      </c>
      <c r="G38" s="7"/>
      <c r="H38" s="622" t="s">
        <v>20</v>
      </c>
      <c r="I38" s="622" t="s">
        <v>21</v>
      </c>
      <c r="J38" s="622" t="s">
        <v>22</v>
      </c>
    </row>
    <row r="39" spans="1:10" ht="14.25" customHeight="1">
      <c r="A39" s="135"/>
      <c r="B39" s="135"/>
      <c r="C39" s="135"/>
      <c r="D39" s="135"/>
      <c r="E39" s="135"/>
      <c r="F39" s="7" t="s">
        <v>23</v>
      </c>
      <c r="G39" s="7" t="s">
        <v>10</v>
      </c>
      <c r="H39" s="623"/>
      <c r="I39" s="623"/>
      <c r="J39" s="623"/>
    </row>
    <row r="40" spans="1:10" ht="38.25" customHeight="1">
      <c r="A40" s="7" t="str">
        <f>QUANT!B66</f>
        <v>74010/001</v>
      </c>
      <c r="B40" s="136" t="str">
        <f>QUANT!D66</f>
        <v>Carga e descarga mecânica de solo utilizando caminhão basculante 5m³ /11t e pa carregadeira sobre pneus * 105 hp * cap. 1,72m3</v>
      </c>
      <c r="C40" s="100" t="s">
        <v>24</v>
      </c>
      <c r="D40" s="9">
        <f>QUANT!F66</f>
        <v>2353.138464</v>
      </c>
      <c r="E40" s="7" t="s">
        <v>4</v>
      </c>
      <c r="F40" s="7">
        <v>1.84</v>
      </c>
      <c r="G40" s="7" t="s">
        <v>25</v>
      </c>
      <c r="H40" s="10">
        <f>D40*F40</f>
        <v>4329.77477376</v>
      </c>
      <c r="I40" s="7">
        <v>2</v>
      </c>
      <c r="J40" s="11">
        <f>H40*I40</f>
        <v>8659.54954752</v>
      </c>
    </row>
    <row r="41" spans="1:10" ht="14.25" customHeight="1">
      <c r="A41" s="229"/>
      <c r="B41" s="239"/>
      <c r="C41" s="134"/>
      <c r="D41" s="134"/>
      <c r="E41" s="134"/>
      <c r="F41" s="134"/>
      <c r="G41" s="134"/>
      <c r="H41" s="134"/>
      <c r="I41" s="134"/>
      <c r="J41" s="141">
        <f>SUM(J40)</f>
        <v>8659.54954752</v>
      </c>
    </row>
    <row r="42" spans="1:10" ht="14.25" customHeight="1">
      <c r="A42" s="229"/>
      <c r="B42" s="239"/>
      <c r="C42" s="134"/>
      <c r="D42" s="134"/>
      <c r="E42" s="134"/>
      <c r="F42" s="134"/>
      <c r="G42" s="134"/>
      <c r="H42" s="134"/>
      <c r="I42" s="134"/>
      <c r="J42" s="134"/>
    </row>
    <row r="43" spans="1:10" ht="14.25" customHeight="1">
      <c r="A43" s="380" t="s">
        <v>214</v>
      </c>
      <c r="B43" s="245"/>
      <c r="C43" s="245"/>
      <c r="D43" s="245"/>
      <c r="E43" s="245"/>
      <c r="F43" s="245"/>
      <c r="G43" s="245"/>
      <c r="H43" s="245"/>
      <c r="I43" s="6"/>
      <c r="J43" s="11"/>
    </row>
    <row r="44" spans="1:10" ht="14.25" customHeight="1">
      <c r="A44" s="135" t="s">
        <v>15</v>
      </c>
      <c r="B44" s="135" t="s">
        <v>16</v>
      </c>
      <c r="C44" s="135" t="s">
        <v>17</v>
      </c>
      <c r="D44" s="135" t="s">
        <v>11</v>
      </c>
      <c r="E44" s="135" t="s">
        <v>18</v>
      </c>
      <c r="F44" s="100" t="s">
        <v>19</v>
      </c>
      <c r="G44" s="7"/>
      <c r="H44" s="622" t="s">
        <v>20</v>
      </c>
      <c r="I44" s="622" t="s">
        <v>21</v>
      </c>
      <c r="J44" s="622" t="s">
        <v>22</v>
      </c>
    </row>
    <row r="45" spans="1:10" ht="14.25" customHeight="1">
      <c r="A45" s="135"/>
      <c r="B45" s="135"/>
      <c r="C45" s="135"/>
      <c r="D45" s="135"/>
      <c r="E45" s="135"/>
      <c r="F45" s="7" t="s">
        <v>23</v>
      </c>
      <c r="G45" s="7" t="s">
        <v>10</v>
      </c>
      <c r="H45" s="623"/>
      <c r="I45" s="623"/>
      <c r="J45" s="623"/>
    </row>
    <row r="46" spans="1:10" s="185" customFormat="1" ht="36" customHeight="1">
      <c r="A46" s="135" t="str">
        <f>QUANT!B66</f>
        <v>74010/001</v>
      </c>
      <c r="B46" s="228" t="str">
        <f>QUANT!D66</f>
        <v>Carga e descarga mecânica de solo utilizando caminhão basculante 5m³ /11t e pa carregadeira sobre pneus * 105 hp * cap. 1,72m3</v>
      </c>
      <c r="C46" s="100" t="s">
        <v>24</v>
      </c>
      <c r="D46" s="182">
        <f>QUANT!F66</f>
        <v>2353.138464</v>
      </c>
      <c r="E46" s="100" t="s">
        <v>4</v>
      </c>
      <c r="F46" s="100">
        <v>1.84</v>
      </c>
      <c r="G46" s="100" t="s">
        <v>25</v>
      </c>
      <c r="H46" s="183">
        <f>D46*F46</f>
        <v>4329.77477376</v>
      </c>
      <c r="I46" s="100">
        <v>9</v>
      </c>
      <c r="J46" s="184">
        <f>H46*I46</f>
        <v>38967.97296384</v>
      </c>
    </row>
    <row r="47" spans="1:10" s="185" customFormat="1" ht="12.75">
      <c r="A47" s="229" t="s">
        <v>14</v>
      </c>
      <c r="B47" s="134"/>
      <c r="C47" s="134"/>
      <c r="D47" s="134"/>
      <c r="E47" s="134"/>
      <c r="F47" s="134"/>
      <c r="G47" s="134"/>
      <c r="H47" s="134"/>
      <c r="I47" s="134"/>
      <c r="J47" s="141">
        <f>J26</f>
        <v>72864.16560000001</v>
      </c>
    </row>
    <row r="48" spans="1:10" s="185" customFormat="1" ht="12.75">
      <c r="A48" s="135"/>
      <c r="B48" s="228"/>
      <c r="C48" s="100"/>
      <c r="D48" s="182"/>
      <c r="E48" s="100"/>
      <c r="F48" s="100"/>
      <c r="G48" s="100"/>
      <c r="H48" s="183"/>
      <c r="I48" s="100"/>
      <c r="J48" s="184"/>
    </row>
  </sheetData>
  <sheetProtection/>
  <mergeCells count="22">
    <mergeCell ref="A2:J2"/>
    <mergeCell ref="J5:J6"/>
    <mergeCell ref="H5:H6"/>
    <mergeCell ref="J10:J11"/>
    <mergeCell ref="H10:H11"/>
    <mergeCell ref="H17:H18"/>
    <mergeCell ref="J17:J18"/>
    <mergeCell ref="I5:I6"/>
    <mergeCell ref="I10:I11"/>
    <mergeCell ref="I17:I18"/>
    <mergeCell ref="H24:H25"/>
    <mergeCell ref="I24:I25"/>
    <mergeCell ref="J24:J25"/>
    <mergeCell ref="H31:H32"/>
    <mergeCell ref="I31:I32"/>
    <mergeCell ref="J31:J32"/>
    <mergeCell ref="H38:H39"/>
    <mergeCell ref="I38:I39"/>
    <mergeCell ref="J38:J39"/>
    <mergeCell ref="H44:H45"/>
    <mergeCell ref="I44:I45"/>
    <mergeCell ref="J44:J45"/>
  </mergeCells>
  <printOptions horizontalCentered="1"/>
  <pageMargins left="0.7874015748031497" right="0.7874015748031497" top="0.984251968503937" bottom="0.5905511811023623" header="0.5118110236220472" footer="0.5118110236220472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7"/>
  <sheetViews>
    <sheetView tabSelected="1" zoomScalePageLayoutView="0" workbookViewId="0" topLeftCell="A13">
      <selection activeCell="F1" sqref="A1:AO43"/>
    </sheetView>
  </sheetViews>
  <sheetFormatPr defaultColWidth="9.140625" defaultRowHeight="12.75"/>
  <cols>
    <col min="1" max="1" width="5.8515625" style="0" customWidth="1"/>
    <col min="2" max="2" width="6.140625" style="0" customWidth="1"/>
    <col min="3" max="3" width="20.140625" style="0" customWidth="1"/>
    <col min="4" max="4" width="9.28125" style="0" customWidth="1"/>
    <col min="5" max="5" width="13.8515625" style="0" customWidth="1"/>
    <col min="6" max="41" width="4.7109375" style="0" customWidth="1"/>
    <col min="42" max="42" width="19.140625" style="0" customWidth="1"/>
    <col min="43" max="43" width="18.7109375" style="0" customWidth="1"/>
  </cols>
  <sheetData>
    <row r="1" spans="1:41" ht="12.75" customHeight="1">
      <c r="A1" s="669" t="s">
        <v>223</v>
      </c>
      <c r="B1" s="670"/>
      <c r="C1" s="670"/>
      <c r="D1" s="670"/>
      <c r="E1" s="671"/>
      <c r="F1" s="683" t="s">
        <v>261</v>
      </c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684"/>
      <c r="AG1" s="684"/>
      <c r="AH1" s="684"/>
      <c r="AI1" s="684"/>
      <c r="AJ1" s="684"/>
      <c r="AK1" s="684"/>
      <c r="AL1" s="684"/>
      <c r="AM1" s="684"/>
      <c r="AN1" s="684"/>
      <c r="AO1" s="685"/>
    </row>
    <row r="2" spans="1:41" ht="12.75" customHeight="1">
      <c r="A2" s="672"/>
      <c r="B2" s="673"/>
      <c r="C2" s="673"/>
      <c r="D2" s="673"/>
      <c r="E2" s="674"/>
      <c r="F2" s="686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7"/>
      <c r="Z2" s="687"/>
      <c r="AA2" s="687"/>
      <c r="AB2" s="687"/>
      <c r="AC2" s="687"/>
      <c r="AD2" s="687"/>
      <c r="AE2" s="687"/>
      <c r="AF2" s="687"/>
      <c r="AG2" s="687"/>
      <c r="AH2" s="687"/>
      <c r="AI2" s="687"/>
      <c r="AJ2" s="687"/>
      <c r="AK2" s="687"/>
      <c r="AL2" s="687"/>
      <c r="AM2" s="687"/>
      <c r="AN2" s="687"/>
      <c r="AO2" s="688"/>
    </row>
    <row r="3" spans="1:41" ht="12.75" customHeight="1">
      <c r="A3" s="675"/>
      <c r="B3" s="676"/>
      <c r="C3" s="676"/>
      <c r="D3" s="676"/>
      <c r="E3" s="677"/>
      <c r="F3" s="689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1"/>
    </row>
    <row r="4" spans="1:41" ht="18">
      <c r="A4" s="692" t="str">
        <f>QUANT!A2</f>
        <v>BAIRRO:JARDIM GLÓRIA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3"/>
      <c r="U4" s="693"/>
      <c r="V4" s="693"/>
      <c r="W4" s="693"/>
      <c r="X4" s="693"/>
      <c r="Y4" s="693"/>
      <c r="Z4" s="693"/>
      <c r="AA4" s="693"/>
      <c r="AB4" s="693"/>
      <c r="AC4" s="693"/>
      <c r="AD4" s="693"/>
      <c r="AE4" s="693"/>
      <c r="AF4" s="693"/>
      <c r="AG4" s="693"/>
      <c r="AH4" s="693"/>
      <c r="AI4" s="693"/>
      <c r="AJ4" s="693"/>
      <c r="AK4" s="693"/>
      <c r="AL4" s="693"/>
      <c r="AM4" s="693"/>
      <c r="AN4" s="693"/>
      <c r="AO4" s="694"/>
    </row>
    <row r="5" spans="1:41" ht="15.75">
      <c r="A5" s="678"/>
      <c r="B5" s="679"/>
      <c r="C5" s="679"/>
      <c r="D5" s="679"/>
      <c r="E5" s="680"/>
      <c r="F5" s="695" t="s">
        <v>130</v>
      </c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  <c r="T5" s="695"/>
      <c r="U5" s="695"/>
      <c r="V5" s="695"/>
      <c r="W5" s="695"/>
      <c r="X5" s="695"/>
      <c r="Y5" s="695"/>
      <c r="Z5" s="695"/>
      <c r="AA5" s="695"/>
      <c r="AB5" s="695"/>
      <c r="AC5" s="695"/>
      <c r="AD5" s="695"/>
      <c r="AE5" s="695"/>
      <c r="AF5" s="695"/>
      <c r="AG5" s="695"/>
      <c r="AH5" s="695"/>
      <c r="AI5" s="695"/>
      <c r="AJ5" s="695"/>
      <c r="AK5" s="695"/>
      <c r="AL5" s="695"/>
      <c r="AM5" s="695"/>
      <c r="AN5" s="695"/>
      <c r="AO5" s="696"/>
    </row>
    <row r="6" spans="1:41" ht="12.75">
      <c r="A6" s="76" t="s">
        <v>131</v>
      </c>
      <c r="B6" s="681" t="s">
        <v>132</v>
      </c>
      <c r="C6" s="682"/>
      <c r="D6" s="76" t="s">
        <v>133</v>
      </c>
      <c r="E6" s="76" t="s">
        <v>134</v>
      </c>
      <c r="F6" s="659">
        <v>30</v>
      </c>
      <c r="G6" s="659"/>
      <c r="H6" s="659"/>
      <c r="I6" s="659">
        <v>60</v>
      </c>
      <c r="J6" s="659"/>
      <c r="K6" s="659"/>
      <c r="L6" s="659">
        <v>90</v>
      </c>
      <c r="M6" s="659"/>
      <c r="N6" s="659"/>
      <c r="O6" s="658">
        <v>120</v>
      </c>
      <c r="P6" s="659"/>
      <c r="Q6" s="659"/>
      <c r="R6" s="658">
        <v>150</v>
      </c>
      <c r="S6" s="659"/>
      <c r="T6" s="659"/>
      <c r="U6" s="658">
        <v>180</v>
      </c>
      <c r="V6" s="659"/>
      <c r="W6" s="659"/>
      <c r="X6" s="658">
        <v>210</v>
      </c>
      <c r="Y6" s="659"/>
      <c r="Z6" s="659"/>
      <c r="AA6" s="658">
        <v>240</v>
      </c>
      <c r="AB6" s="659"/>
      <c r="AC6" s="659"/>
      <c r="AD6" s="658">
        <v>270</v>
      </c>
      <c r="AE6" s="659"/>
      <c r="AF6" s="659"/>
      <c r="AG6" s="659">
        <v>300</v>
      </c>
      <c r="AH6" s="659"/>
      <c r="AI6" s="659"/>
      <c r="AJ6" s="659">
        <v>330</v>
      </c>
      <c r="AK6" s="659"/>
      <c r="AL6" s="659"/>
      <c r="AM6" s="659">
        <v>360</v>
      </c>
      <c r="AN6" s="659"/>
      <c r="AO6" s="659"/>
    </row>
    <row r="7" spans="1:43" ht="12.75">
      <c r="A7" s="660" t="str">
        <f>RESUMO!A10</f>
        <v>I</v>
      </c>
      <c r="B7" s="665" t="str">
        <f>'[1]RESUMO'!B9</f>
        <v>SERVIÇOS PRELIMINARES</v>
      </c>
      <c r="C7" s="666"/>
      <c r="D7" s="662">
        <f>E7/$E$41*100</f>
        <v>1.1784262945156105</v>
      </c>
      <c r="E7" s="652">
        <f>RESUMO!C10</f>
        <v>36807.64</v>
      </c>
      <c r="F7" s="649">
        <f>$E$7*F9</f>
        <v>16563.438000000002</v>
      </c>
      <c r="G7" s="650"/>
      <c r="H7" s="651"/>
      <c r="I7" s="649">
        <f>$E$7*I9</f>
        <v>11042.292</v>
      </c>
      <c r="J7" s="650"/>
      <c r="K7" s="651"/>
      <c r="L7" s="649">
        <f>$E$7*L9</f>
        <v>3680.764</v>
      </c>
      <c r="M7" s="650"/>
      <c r="N7" s="651"/>
      <c r="O7" s="649">
        <f>$E$7*O9</f>
        <v>736.1528</v>
      </c>
      <c r="P7" s="650"/>
      <c r="Q7" s="651"/>
      <c r="R7" s="649">
        <f>$E$7*R9</f>
        <v>736.1528</v>
      </c>
      <c r="S7" s="650"/>
      <c r="T7" s="651"/>
      <c r="U7" s="649">
        <f>$E$7*U9</f>
        <v>736.1528</v>
      </c>
      <c r="V7" s="650"/>
      <c r="W7" s="651"/>
      <c r="X7" s="649">
        <f>$E$7*X9</f>
        <v>368.0764</v>
      </c>
      <c r="Y7" s="650"/>
      <c r="Z7" s="651"/>
      <c r="AA7" s="649">
        <f>$E$7*AA9</f>
        <v>368.0764</v>
      </c>
      <c r="AB7" s="650"/>
      <c r="AC7" s="651"/>
      <c r="AD7" s="649">
        <f>$E$7*AD9</f>
        <v>368.0764</v>
      </c>
      <c r="AE7" s="650"/>
      <c r="AF7" s="651"/>
      <c r="AG7" s="649">
        <f>$E$7*AG9</f>
        <v>368.0764</v>
      </c>
      <c r="AH7" s="650"/>
      <c r="AI7" s="651"/>
      <c r="AJ7" s="649">
        <f>$E$7*AJ9</f>
        <v>368.0764</v>
      </c>
      <c r="AK7" s="650"/>
      <c r="AL7" s="651"/>
      <c r="AM7" s="649">
        <f>$E$7*AM9</f>
        <v>1472.3056</v>
      </c>
      <c r="AN7" s="650"/>
      <c r="AO7" s="651"/>
      <c r="AP7" s="13">
        <f>SUM(F7:AO7)</f>
        <v>36807.63999999999</v>
      </c>
      <c r="AQ7" s="13">
        <f>AP7-E7</f>
        <v>0</v>
      </c>
    </row>
    <row r="8" spans="1:41" ht="12.75" customHeight="1">
      <c r="A8" s="661"/>
      <c r="B8" s="667"/>
      <c r="C8" s="668"/>
      <c r="D8" s="663"/>
      <c r="E8" s="653"/>
      <c r="F8" s="655"/>
      <c r="G8" s="656"/>
      <c r="H8" s="657"/>
      <c r="I8" s="78"/>
      <c r="J8" s="78"/>
      <c r="K8" s="79"/>
      <c r="L8" s="77"/>
      <c r="M8" s="78"/>
      <c r="N8" s="79"/>
      <c r="O8" s="78"/>
      <c r="P8" s="78"/>
      <c r="Q8" s="79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655"/>
      <c r="AN8" s="656"/>
      <c r="AO8" s="657"/>
    </row>
    <row r="9" spans="1:42" ht="12.75" customHeight="1">
      <c r="A9" s="661"/>
      <c r="B9" s="667"/>
      <c r="C9" s="668"/>
      <c r="D9" s="663"/>
      <c r="E9" s="654"/>
      <c r="F9" s="646">
        <v>0.45</v>
      </c>
      <c r="G9" s="647"/>
      <c r="H9" s="648"/>
      <c r="I9" s="646">
        <v>0.3</v>
      </c>
      <c r="J9" s="647"/>
      <c r="K9" s="648"/>
      <c r="L9" s="646">
        <v>0.1</v>
      </c>
      <c r="M9" s="647"/>
      <c r="N9" s="648"/>
      <c r="O9" s="646">
        <v>0.02</v>
      </c>
      <c r="P9" s="647"/>
      <c r="Q9" s="648"/>
      <c r="R9" s="646">
        <v>0.02</v>
      </c>
      <c r="S9" s="647"/>
      <c r="T9" s="648"/>
      <c r="U9" s="646">
        <v>0.02</v>
      </c>
      <c r="V9" s="647"/>
      <c r="W9" s="648"/>
      <c r="X9" s="646">
        <v>0.01</v>
      </c>
      <c r="Y9" s="647"/>
      <c r="Z9" s="648"/>
      <c r="AA9" s="646">
        <v>0.01</v>
      </c>
      <c r="AB9" s="647"/>
      <c r="AC9" s="648"/>
      <c r="AD9" s="646">
        <v>0.01</v>
      </c>
      <c r="AE9" s="647"/>
      <c r="AF9" s="648"/>
      <c r="AG9" s="646">
        <v>0.01</v>
      </c>
      <c r="AH9" s="647"/>
      <c r="AI9" s="648"/>
      <c r="AJ9" s="646">
        <v>0.01</v>
      </c>
      <c r="AK9" s="647"/>
      <c r="AL9" s="648"/>
      <c r="AM9" s="646">
        <v>0.04</v>
      </c>
      <c r="AN9" s="647"/>
      <c r="AO9" s="648"/>
      <c r="AP9" s="106">
        <f>SUM(F9:AO9)</f>
        <v>1</v>
      </c>
    </row>
    <row r="10" spans="1:43" ht="12.75" customHeight="1">
      <c r="A10" s="660" t="str">
        <f>RESUMO!A13</f>
        <v>II</v>
      </c>
      <c r="B10" s="665" t="str">
        <f>'[1]RESUMO'!B12</f>
        <v>ADMINISTRAÇÃO LOCAL</v>
      </c>
      <c r="C10" s="666"/>
      <c r="D10" s="662">
        <f>E10/$E$41*100</f>
        <v>3.759905626621825</v>
      </c>
      <c r="E10" s="652">
        <f>'ORÇA '!J18</f>
        <v>117439.04</v>
      </c>
      <c r="F10" s="649">
        <f>$E$10*F12</f>
        <v>14092.684799999999</v>
      </c>
      <c r="G10" s="650"/>
      <c r="H10" s="651"/>
      <c r="I10" s="649">
        <f>$E$10*I12</f>
        <v>14092.684799999999</v>
      </c>
      <c r="J10" s="650"/>
      <c r="K10" s="651"/>
      <c r="L10" s="649">
        <f>$E$10*L12</f>
        <v>14092.684799999999</v>
      </c>
      <c r="M10" s="650"/>
      <c r="N10" s="651"/>
      <c r="O10" s="649">
        <f>$E$10*O12</f>
        <v>11743.904</v>
      </c>
      <c r="P10" s="650"/>
      <c r="Q10" s="651"/>
      <c r="R10" s="649">
        <f>$E$10*R12</f>
        <v>9395.1232</v>
      </c>
      <c r="S10" s="650"/>
      <c r="T10" s="651"/>
      <c r="U10" s="649">
        <f>$E$10*U12</f>
        <v>9395.1232</v>
      </c>
      <c r="V10" s="650"/>
      <c r="W10" s="651"/>
      <c r="X10" s="649">
        <f>$E$10*X12</f>
        <v>9395.1232</v>
      </c>
      <c r="Y10" s="650"/>
      <c r="Z10" s="651"/>
      <c r="AA10" s="649">
        <f>$E$10*AA12</f>
        <v>9395.1232</v>
      </c>
      <c r="AB10" s="650"/>
      <c r="AC10" s="651"/>
      <c r="AD10" s="649">
        <f>$E$10*AD12</f>
        <v>7046.3423999999995</v>
      </c>
      <c r="AE10" s="650"/>
      <c r="AF10" s="651"/>
      <c r="AG10" s="649">
        <f>$E$10*AG12</f>
        <v>7046.3423999999995</v>
      </c>
      <c r="AH10" s="650"/>
      <c r="AI10" s="651"/>
      <c r="AJ10" s="649">
        <f>$E$10*AJ12</f>
        <v>7046.3423999999995</v>
      </c>
      <c r="AK10" s="650"/>
      <c r="AL10" s="651"/>
      <c r="AM10" s="649">
        <f>$E$10*AM12</f>
        <v>4697.5616</v>
      </c>
      <c r="AN10" s="650"/>
      <c r="AO10" s="651"/>
      <c r="AP10" s="13">
        <f>SUM(F10:AO10)</f>
        <v>117439.03999999998</v>
      </c>
      <c r="AQ10" s="13">
        <f>AP10-E10</f>
        <v>0</v>
      </c>
    </row>
    <row r="11" spans="1:41" ht="12.75" customHeight="1">
      <c r="A11" s="661"/>
      <c r="B11" s="667"/>
      <c r="C11" s="668"/>
      <c r="D11" s="663"/>
      <c r="E11" s="653"/>
      <c r="F11" s="655"/>
      <c r="G11" s="656"/>
      <c r="H11" s="657"/>
      <c r="I11" s="78"/>
      <c r="J11" s="78"/>
      <c r="K11" s="79"/>
      <c r="L11" s="77"/>
      <c r="M11" s="78"/>
      <c r="N11" s="79"/>
      <c r="O11" s="78"/>
      <c r="P11" s="78"/>
      <c r="Q11" s="79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655"/>
      <c r="AN11" s="656"/>
      <c r="AO11" s="657"/>
    </row>
    <row r="12" spans="1:42" ht="12.75" customHeight="1">
      <c r="A12" s="661"/>
      <c r="B12" s="667"/>
      <c r="C12" s="668"/>
      <c r="D12" s="664"/>
      <c r="E12" s="654"/>
      <c r="F12" s="646">
        <v>0.12</v>
      </c>
      <c r="G12" s="647"/>
      <c r="H12" s="648"/>
      <c r="I12" s="646">
        <v>0.12</v>
      </c>
      <c r="J12" s="647"/>
      <c r="K12" s="648"/>
      <c r="L12" s="646">
        <v>0.12</v>
      </c>
      <c r="M12" s="647"/>
      <c r="N12" s="648"/>
      <c r="O12" s="646">
        <v>0.1</v>
      </c>
      <c r="P12" s="647"/>
      <c r="Q12" s="648"/>
      <c r="R12" s="646">
        <v>0.08</v>
      </c>
      <c r="S12" s="647"/>
      <c r="T12" s="648"/>
      <c r="U12" s="646">
        <v>0.08</v>
      </c>
      <c r="V12" s="647"/>
      <c r="W12" s="648"/>
      <c r="X12" s="646">
        <v>0.08</v>
      </c>
      <c r="Y12" s="647"/>
      <c r="Z12" s="648"/>
      <c r="AA12" s="646">
        <v>0.08</v>
      </c>
      <c r="AB12" s="647"/>
      <c r="AC12" s="648"/>
      <c r="AD12" s="646">
        <v>0.06</v>
      </c>
      <c r="AE12" s="647"/>
      <c r="AF12" s="648"/>
      <c r="AG12" s="646">
        <v>0.06</v>
      </c>
      <c r="AH12" s="647"/>
      <c r="AI12" s="648"/>
      <c r="AJ12" s="646">
        <v>0.06</v>
      </c>
      <c r="AK12" s="647"/>
      <c r="AL12" s="648"/>
      <c r="AM12" s="646">
        <v>0.04</v>
      </c>
      <c r="AN12" s="647"/>
      <c r="AO12" s="648"/>
      <c r="AP12" s="106">
        <f>SUM(F12:AO12)</f>
        <v>1</v>
      </c>
    </row>
    <row r="13" spans="1:43" ht="12.75" customHeight="1">
      <c r="A13" s="660" t="str">
        <f>RESUMO!A16</f>
        <v>III</v>
      </c>
      <c r="B13" s="703" t="str">
        <f>'[1]RESUMO'!B15</f>
        <v>ENSAIOS TECNOLÓGICOS DE SOLO E ASFALTO</v>
      </c>
      <c r="C13" s="704"/>
      <c r="D13" s="662">
        <f>E13/$E$41*100</f>
        <v>1.716731107229031</v>
      </c>
      <c r="E13" s="652">
        <f>'ORÇA '!J25</f>
        <v>53621.36</v>
      </c>
      <c r="F13" s="649">
        <f>$E$13*F15</f>
        <v>5362.136</v>
      </c>
      <c r="G13" s="650"/>
      <c r="H13" s="651"/>
      <c r="I13" s="649">
        <f>$E$13*I15</f>
        <v>5362.136</v>
      </c>
      <c r="J13" s="650"/>
      <c r="K13" s="651"/>
      <c r="L13" s="649">
        <f>$E$13*L15</f>
        <v>4289.7088</v>
      </c>
      <c r="M13" s="650"/>
      <c r="N13" s="651"/>
      <c r="O13" s="649">
        <f>$E$13*O15</f>
        <v>4289.7088</v>
      </c>
      <c r="P13" s="650"/>
      <c r="Q13" s="651"/>
      <c r="R13" s="649">
        <f>$E$13*R15</f>
        <v>4289.7088</v>
      </c>
      <c r="S13" s="650"/>
      <c r="T13" s="651"/>
      <c r="U13" s="649">
        <f>$E$13*U15</f>
        <v>4289.7088</v>
      </c>
      <c r="V13" s="650"/>
      <c r="W13" s="651"/>
      <c r="X13" s="649">
        <f>$E$13*X15</f>
        <v>4289.7088</v>
      </c>
      <c r="Y13" s="650"/>
      <c r="Z13" s="651"/>
      <c r="AA13" s="649">
        <f>$E$13*AA15</f>
        <v>4289.7088</v>
      </c>
      <c r="AB13" s="650"/>
      <c r="AC13" s="651"/>
      <c r="AD13" s="649">
        <f>$E$13*AD15</f>
        <v>4289.7088</v>
      </c>
      <c r="AE13" s="650"/>
      <c r="AF13" s="651"/>
      <c r="AG13" s="649">
        <f>$E$13*AG15</f>
        <v>4289.7088</v>
      </c>
      <c r="AH13" s="650"/>
      <c r="AI13" s="651"/>
      <c r="AJ13" s="649">
        <f>$E$13*AJ15</f>
        <v>4289.7088</v>
      </c>
      <c r="AK13" s="650"/>
      <c r="AL13" s="651"/>
      <c r="AM13" s="649">
        <f>$E$13*AM15</f>
        <v>4289.7088</v>
      </c>
      <c r="AN13" s="650"/>
      <c r="AO13" s="651"/>
      <c r="AP13" s="13">
        <f>SUM(F13:AO13)</f>
        <v>53621.36</v>
      </c>
      <c r="AQ13" s="13">
        <f>AP13-E13</f>
        <v>0</v>
      </c>
    </row>
    <row r="14" spans="1:41" ht="12.75" customHeight="1">
      <c r="A14" s="661"/>
      <c r="B14" s="705"/>
      <c r="C14" s="706"/>
      <c r="D14" s="663"/>
      <c r="E14" s="653"/>
      <c r="F14" s="655"/>
      <c r="G14" s="656"/>
      <c r="H14" s="657"/>
      <c r="I14" s="78"/>
      <c r="J14" s="78"/>
      <c r="K14" s="79"/>
      <c r="L14" s="77"/>
      <c r="M14" s="78"/>
      <c r="N14" s="79"/>
      <c r="O14" s="78"/>
      <c r="P14" s="78"/>
      <c r="Q14" s="79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655"/>
      <c r="AN14" s="656"/>
      <c r="AO14" s="657"/>
    </row>
    <row r="15" spans="1:42" ht="12.75" customHeight="1">
      <c r="A15" s="661"/>
      <c r="B15" s="707"/>
      <c r="C15" s="708"/>
      <c r="D15" s="664"/>
      <c r="E15" s="654"/>
      <c r="F15" s="646">
        <v>0.1</v>
      </c>
      <c r="G15" s="647"/>
      <c r="H15" s="648"/>
      <c r="I15" s="646">
        <v>0.1</v>
      </c>
      <c r="J15" s="647"/>
      <c r="K15" s="648"/>
      <c r="L15" s="646">
        <v>0.08</v>
      </c>
      <c r="M15" s="647"/>
      <c r="N15" s="648"/>
      <c r="O15" s="646">
        <v>0.08</v>
      </c>
      <c r="P15" s="647"/>
      <c r="Q15" s="648"/>
      <c r="R15" s="646">
        <v>0.08</v>
      </c>
      <c r="S15" s="647"/>
      <c r="T15" s="648"/>
      <c r="U15" s="646">
        <v>0.08</v>
      </c>
      <c r="V15" s="647"/>
      <c r="W15" s="648"/>
      <c r="X15" s="646">
        <v>0.08</v>
      </c>
      <c r="Y15" s="647"/>
      <c r="Z15" s="648"/>
      <c r="AA15" s="646">
        <v>0.08</v>
      </c>
      <c r="AB15" s="647"/>
      <c r="AC15" s="648"/>
      <c r="AD15" s="646">
        <v>0.08</v>
      </c>
      <c r="AE15" s="647"/>
      <c r="AF15" s="648"/>
      <c r="AG15" s="646">
        <v>0.08</v>
      </c>
      <c r="AH15" s="647"/>
      <c r="AI15" s="648"/>
      <c r="AJ15" s="646">
        <v>0.08</v>
      </c>
      <c r="AK15" s="647"/>
      <c r="AL15" s="648"/>
      <c r="AM15" s="646">
        <v>0.08</v>
      </c>
      <c r="AN15" s="647"/>
      <c r="AO15" s="648"/>
      <c r="AP15" s="106">
        <f>SUM(F15:AO15)</f>
        <v>0.9999999999999998</v>
      </c>
    </row>
    <row r="16" spans="1:42" ht="12.75" customHeight="1">
      <c r="A16" s="660" t="str">
        <f>'ORÇA '!B27</f>
        <v>1V</v>
      </c>
      <c r="B16" s="665" t="str">
        <f>'[1]RESUMO'!B18</f>
        <v>TERRAPLENAGEM</v>
      </c>
      <c r="C16" s="666"/>
      <c r="D16" s="662">
        <f>E16/$E$41*100</f>
        <v>8.27516850943675</v>
      </c>
      <c r="E16" s="652">
        <f>'ORÇA '!J33</f>
        <v>258471.34</v>
      </c>
      <c r="F16" s="700">
        <f>$E$16*F18</f>
        <v>25847.134000000002</v>
      </c>
      <c r="G16" s="701"/>
      <c r="H16" s="702"/>
      <c r="I16" s="643">
        <f>$E$16*I18</f>
        <v>51694.268000000004</v>
      </c>
      <c r="J16" s="644"/>
      <c r="K16" s="645"/>
      <c r="L16" s="643">
        <f>$E$16*L18</f>
        <v>51694.268000000004</v>
      </c>
      <c r="M16" s="644"/>
      <c r="N16" s="645"/>
      <c r="O16" s="643">
        <f>$E$16*O18</f>
        <v>51694.268000000004</v>
      </c>
      <c r="P16" s="644"/>
      <c r="Q16" s="645"/>
      <c r="R16" s="643">
        <f>$E$16*R18</f>
        <v>25847.134000000002</v>
      </c>
      <c r="S16" s="644"/>
      <c r="T16" s="645"/>
      <c r="U16" s="643">
        <f>$E$16*U18</f>
        <v>20677.7072</v>
      </c>
      <c r="V16" s="644"/>
      <c r="W16" s="645"/>
      <c r="X16" s="643">
        <f>$E$16*X18</f>
        <v>10338.8536</v>
      </c>
      <c r="Y16" s="644"/>
      <c r="Z16" s="645"/>
      <c r="AA16" s="643">
        <f>$E$16*AA18</f>
        <v>10338.8536</v>
      </c>
      <c r="AB16" s="644"/>
      <c r="AC16" s="645"/>
      <c r="AD16" s="643">
        <f>$E$16*AD18</f>
        <v>10338.8536</v>
      </c>
      <c r="AE16" s="644"/>
      <c r="AF16" s="645"/>
      <c r="AG16" s="333"/>
      <c r="AH16" s="333"/>
      <c r="AI16" s="319"/>
      <c r="AJ16" s="318"/>
      <c r="AK16" s="319"/>
      <c r="AL16" s="320"/>
      <c r="AM16" s="650"/>
      <c r="AN16" s="650"/>
      <c r="AO16" s="651"/>
      <c r="AP16" s="106">
        <f>SUM(F16:AO16)</f>
        <v>258471.34000000003</v>
      </c>
    </row>
    <row r="17" spans="1:41" ht="12.75" customHeight="1">
      <c r="A17" s="661"/>
      <c r="B17" s="667"/>
      <c r="C17" s="668"/>
      <c r="D17" s="663"/>
      <c r="E17" s="653"/>
      <c r="F17" s="655"/>
      <c r="G17" s="656"/>
      <c r="H17" s="657"/>
      <c r="I17" s="78"/>
      <c r="J17" s="78"/>
      <c r="K17" s="79"/>
      <c r="L17" s="77"/>
      <c r="M17" s="78"/>
      <c r="N17" s="79"/>
      <c r="O17" s="78"/>
      <c r="P17" s="78"/>
      <c r="Q17" s="79"/>
      <c r="R17" s="78"/>
      <c r="S17" s="78"/>
      <c r="T17" s="79"/>
      <c r="U17" s="78"/>
      <c r="V17" s="78"/>
      <c r="W17" s="79"/>
      <c r="X17" s="78"/>
      <c r="Y17" s="78"/>
      <c r="Z17" s="79"/>
      <c r="AA17" s="78"/>
      <c r="AB17" s="78"/>
      <c r="AC17" s="79"/>
      <c r="AD17" s="78"/>
      <c r="AE17" s="78"/>
      <c r="AF17" s="79"/>
      <c r="AG17" s="327"/>
      <c r="AH17" s="327"/>
      <c r="AI17" s="327"/>
      <c r="AJ17" s="326"/>
      <c r="AK17" s="327"/>
      <c r="AL17" s="328"/>
      <c r="AM17" s="715"/>
      <c r="AN17" s="715"/>
      <c r="AO17" s="716"/>
    </row>
    <row r="18" spans="1:42" ht="12.75" customHeight="1">
      <c r="A18" s="661"/>
      <c r="B18" s="667"/>
      <c r="C18" s="668"/>
      <c r="D18" s="664"/>
      <c r="E18" s="654"/>
      <c r="F18" s="697">
        <v>0.1</v>
      </c>
      <c r="G18" s="698"/>
      <c r="H18" s="699"/>
      <c r="I18" s="646">
        <v>0.2</v>
      </c>
      <c r="J18" s="647"/>
      <c r="K18" s="648"/>
      <c r="L18" s="646">
        <v>0.2</v>
      </c>
      <c r="M18" s="647"/>
      <c r="N18" s="648"/>
      <c r="O18" s="646">
        <v>0.2</v>
      </c>
      <c r="P18" s="647"/>
      <c r="Q18" s="648"/>
      <c r="R18" s="646">
        <v>0.1</v>
      </c>
      <c r="S18" s="647"/>
      <c r="T18" s="648"/>
      <c r="U18" s="646">
        <v>0.08</v>
      </c>
      <c r="V18" s="647"/>
      <c r="W18" s="648"/>
      <c r="X18" s="646">
        <v>0.04</v>
      </c>
      <c r="Y18" s="647"/>
      <c r="Z18" s="648"/>
      <c r="AA18" s="646">
        <v>0.04</v>
      </c>
      <c r="AB18" s="647"/>
      <c r="AC18" s="648"/>
      <c r="AD18" s="646">
        <v>0.04</v>
      </c>
      <c r="AE18" s="647"/>
      <c r="AF18" s="648"/>
      <c r="AG18" s="322"/>
      <c r="AH18" s="322"/>
      <c r="AI18" s="322"/>
      <c r="AJ18" s="321"/>
      <c r="AK18" s="322"/>
      <c r="AL18" s="323"/>
      <c r="AM18" s="647"/>
      <c r="AN18" s="647"/>
      <c r="AO18" s="648"/>
      <c r="AP18" s="106">
        <f>SUM(F18:AO18)</f>
        <v>1</v>
      </c>
    </row>
    <row r="19" spans="1:43" ht="12.75" customHeight="1">
      <c r="A19" s="660" t="str">
        <f>RESUMO!A22</f>
        <v>V</v>
      </c>
      <c r="B19" s="665" t="str">
        <f>'[1]RESUMO'!B21</f>
        <v>PAVIMENTAÇÃO</v>
      </c>
      <c r="C19" s="666"/>
      <c r="D19" s="662">
        <f>E19/$E$41*100</f>
        <v>44.83615385762043</v>
      </c>
      <c r="E19" s="652">
        <f>'ORÇA '!J45</f>
        <v>1400438.0399999998</v>
      </c>
      <c r="F19" s="649">
        <f>$E$19*F21</f>
        <v>70021.90199999999</v>
      </c>
      <c r="G19" s="650"/>
      <c r="H19" s="651"/>
      <c r="I19" s="649">
        <f>$E$19*I21</f>
        <v>70021.90199999999</v>
      </c>
      <c r="J19" s="650"/>
      <c r="K19" s="651"/>
      <c r="L19" s="649">
        <f>$E$19*L21</f>
        <v>280087.60799999995</v>
      </c>
      <c r="M19" s="650"/>
      <c r="N19" s="651"/>
      <c r="O19" s="649">
        <f>$E$19*O21</f>
        <v>280087.60799999995</v>
      </c>
      <c r="P19" s="650"/>
      <c r="Q19" s="651"/>
      <c r="R19" s="649">
        <f>$E$19*R21</f>
        <v>280087.60799999995</v>
      </c>
      <c r="S19" s="650"/>
      <c r="T19" s="651"/>
      <c r="U19" s="649">
        <f>$E$19*U21</f>
        <v>112035.04319999999</v>
      </c>
      <c r="V19" s="650"/>
      <c r="W19" s="651"/>
      <c r="X19" s="649">
        <f>$E$19*X21</f>
        <v>112035.04319999999</v>
      </c>
      <c r="Y19" s="650"/>
      <c r="Z19" s="651"/>
      <c r="AA19" s="649">
        <f>$E$19*AA21</f>
        <v>112035.04319999999</v>
      </c>
      <c r="AB19" s="650"/>
      <c r="AC19" s="651"/>
      <c r="AD19" s="649">
        <f>$E$19*AD21</f>
        <v>84026.28239999998</v>
      </c>
      <c r="AE19" s="650"/>
      <c r="AF19" s="651"/>
      <c r="AG19" s="319"/>
      <c r="AH19" s="319"/>
      <c r="AI19" s="319"/>
      <c r="AJ19" s="318"/>
      <c r="AK19" s="319"/>
      <c r="AL19" s="320"/>
      <c r="AM19" s="650"/>
      <c r="AN19" s="650"/>
      <c r="AO19" s="651"/>
      <c r="AP19" s="13">
        <f>SUM(F19:AO19)</f>
        <v>1400438.0399999996</v>
      </c>
      <c r="AQ19" s="13">
        <f>AP19-E19</f>
        <v>0</v>
      </c>
    </row>
    <row r="20" spans="1:41" ht="12.75" customHeight="1">
      <c r="A20" s="661"/>
      <c r="B20" s="667"/>
      <c r="C20" s="668"/>
      <c r="D20" s="663"/>
      <c r="E20" s="653"/>
      <c r="F20" s="655"/>
      <c r="G20" s="656"/>
      <c r="H20" s="657"/>
      <c r="I20" s="78"/>
      <c r="J20" s="78"/>
      <c r="K20" s="79"/>
      <c r="L20" s="77"/>
      <c r="M20" s="78"/>
      <c r="N20" s="79"/>
      <c r="O20" s="78"/>
      <c r="P20" s="78"/>
      <c r="Q20" s="79"/>
      <c r="R20" s="78"/>
      <c r="S20" s="78"/>
      <c r="T20" s="79"/>
      <c r="U20" s="78"/>
      <c r="V20" s="78"/>
      <c r="W20" s="79"/>
      <c r="X20" s="78"/>
      <c r="Y20" s="78"/>
      <c r="Z20" s="79"/>
      <c r="AA20" s="78"/>
      <c r="AB20" s="78"/>
      <c r="AC20" s="79"/>
      <c r="AD20" s="78"/>
      <c r="AE20" s="78"/>
      <c r="AF20" s="79"/>
      <c r="AG20" s="327"/>
      <c r="AH20" s="327"/>
      <c r="AI20" s="327"/>
      <c r="AJ20" s="326"/>
      <c r="AK20" s="327"/>
      <c r="AL20" s="328"/>
      <c r="AM20" s="327"/>
      <c r="AN20" s="219"/>
      <c r="AO20" s="220"/>
    </row>
    <row r="21" spans="1:42" ht="12.75" customHeight="1">
      <c r="A21" s="661"/>
      <c r="B21" s="667"/>
      <c r="C21" s="668"/>
      <c r="D21" s="664"/>
      <c r="E21" s="654"/>
      <c r="F21" s="646">
        <v>0.05</v>
      </c>
      <c r="G21" s="647"/>
      <c r="H21" s="648"/>
      <c r="I21" s="646">
        <v>0.05</v>
      </c>
      <c r="J21" s="647"/>
      <c r="K21" s="648"/>
      <c r="L21" s="646">
        <v>0.2</v>
      </c>
      <c r="M21" s="647"/>
      <c r="N21" s="648"/>
      <c r="O21" s="646">
        <v>0.2</v>
      </c>
      <c r="P21" s="647"/>
      <c r="Q21" s="648"/>
      <c r="R21" s="646">
        <v>0.2</v>
      </c>
      <c r="S21" s="647"/>
      <c r="T21" s="648"/>
      <c r="U21" s="646">
        <v>0.08</v>
      </c>
      <c r="V21" s="647"/>
      <c r="W21" s="648"/>
      <c r="X21" s="646">
        <v>0.08</v>
      </c>
      <c r="Y21" s="647"/>
      <c r="Z21" s="648"/>
      <c r="AA21" s="646">
        <v>0.08</v>
      </c>
      <c r="AB21" s="647"/>
      <c r="AC21" s="648"/>
      <c r="AD21" s="646">
        <v>0.06</v>
      </c>
      <c r="AE21" s="647"/>
      <c r="AF21" s="648"/>
      <c r="AG21" s="330"/>
      <c r="AH21" s="330"/>
      <c r="AI21" s="330"/>
      <c r="AJ21" s="329"/>
      <c r="AK21" s="330"/>
      <c r="AL21" s="331"/>
      <c r="AM21" s="717"/>
      <c r="AN21" s="717"/>
      <c r="AO21" s="718"/>
      <c r="AP21" s="106">
        <f>SUM(F21:AO21)</f>
        <v>0.9999999999999998</v>
      </c>
    </row>
    <row r="22" spans="1:43" ht="12.75" customHeight="1">
      <c r="A22" s="660" t="str">
        <f>RESUMO!A25</f>
        <v>VI</v>
      </c>
      <c r="B22" s="703" t="str">
        <f>'[1]RESUMO'!B24</f>
        <v>SINALIZAÇÃO HORIZONTAL/VERTICAL</v>
      </c>
      <c r="C22" s="704"/>
      <c r="D22" s="264"/>
      <c r="E22" s="652">
        <f>'ORÇA '!J51</f>
        <v>39804.41</v>
      </c>
      <c r="F22" s="712"/>
      <c r="G22" s="713"/>
      <c r="H22" s="714"/>
      <c r="I22" s="641"/>
      <c r="J22" s="641"/>
      <c r="K22" s="642"/>
      <c r="L22" s="640"/>
      <c r="M22" s="641"/>
      <c r="N22" s="642"/>
      <c r="O22" s="640"/>
      <c r="P22" s="641"/>
      <c r="Q22" s="642"/>
      <c r="R22" s="641"/>
      <c r="S22" s="641"/>
      <c r="T22" s="642"/>
      <c r="U22" s="316"/>
      <c r="V22" s="316"/>
      <c r="W22" s="317"/>
      <c r="X22" s="316"/>
      <c r="Y22" s="316"/>
      <c r="Z22" s="317"/>
      <c r="AA22" s="316"/>
      <c r="AB22" s="316"/>
      <c r="AC22" s="317"/>
      <c r="AD22" s="641">
        <f>$E$22*AD24</f>
        <v>3980.4410000000007</v>
      </c>
      <c r="AE22" s="641"/>
      <c r="AF22" s="642"/>
      <c r="AG22" s="640">
        <f>$E$22*AG24</f>
        <v>7960.882000000001</v>
      </c>
      <c r="AH22" s="641"/>
      <c r="AI22" s="642"/>
      <c r="AJ22" s="640">
        <f>$E$22*AJ24</f>
        <v>7960.882000000001</v>
      </c>
      <c r="AK22" s="641"/>
      <c r="AL22" s="642"/>
      <c r="AM22" s="640">
        <f>$E$22*AM24</f>
        <v>19902.205</v>
      </c>
      <c r="AN22" s="641"/>
      <c r="AO22" s="642"/>
      <c r="AP22" s="13">
        <f>SUM(F22:AO22)</f>
        <v>39804.41</v>
      </c>
      <c r="AQ22" s="13">
        <f>AP22-E22</f>
        <v>0</v>
      </c>
    </row>
    <row r="23" spans="1:41" ht="12.75" customHeight="1">
      <c r="A23" s="661"/>
      <c r="B23" s="705"/>
      <c r="C23" s="706"/>
      <c r="D23" s="250">
        <f>E22/$E$41*100</f>
        <v>1.2743703041455554</v>
      </c>
      <c r="E23" s="653"/>
      <c r="F23" s="107"/>
      <c r="G23" s="108"/>
      <c r="H23" s="266"/>
      <c r="I23" s="219"/>
      <c r="J23" s="219"/>
      <c r="K23" s="220"/>
      <c r="L23" s="218"/>
      <c r="M23" s="219"/>
      <c r="N23" s="220"/>
      <c r="O23" s="326"/>
      <c r="P23" s="327"/>
      <c r="Q23" s="328"/>
      <c r="R23" s="327"/>
      <c r="S23" s="327"/>
      <c r="T23" s="328"/>
      <c r="U23" s="327"/>
      <c r="V23" s="327"/>
      <c r="W23" s="328"/>
      <c r="X23" s="327"/>
      <c r="Y23" s="327"/>
      <c r="Z23" s="328"/>
      <c r="AA23" s="327"/>
      <c r="AB23" s="327"/>
      <c r="AC23" s="328"/>
      <c r="AD23" s="78"/>
      <c r="AE23" s="78"/>
      <c r="AF23" s="78"/>
      <c r="AG23" s="78"/>
      <c r="AH23" s="78"/>
      <c r="AI23" s="78"/>
      <c r="AJ23" s="78"/>
      <c r="AK23" s="78"/>
      <c r="AL23" s="78"/>
      <c r="AM23" s="77"/>
      <c r="AN23" s="78"/>
      <c r="AO23" s="79"/>
    </row>
    <row r="24" spans="1:42" ht="12.75" customHeight="1">
      <c r="A24" s="661"/>
      <c r="B24" s="707"/>
      <c r="C24" s="708"/>
      <c r="D24" s="265"/>
      <c r="E24" s="654"/>
      <c r="F24" s="709"/>
      <c r="G24" s="710"/>
      <c r="H24" s="711"/>
      <c r="I24" s="638"/>
      <c r="J24" s="638"/>
      <c r="K24" s="639"/>
      <c r="L24" s="637"/>
      <c r="M24" s="638"/>
      <c r="N24" s="639"/>
      <c r="O24" s="637"/>
      <c r="P24" s="638"/>
      <c r="Q24" s="639"/>
      <c r="R24" s="638"/>
      <c r="S24" s="638"/>
      <c r="T24" s="639"/>
      <c r="U24" s="330"/>
      <c r="V24" s="330"/>
      <c r="W24" s="331"/>
      <c r="X24" s="330"/>
      <c r="Y24" s="324"/>
      <c r="Z24" s="325"/>
      <c r="AA24" s="330"/>
      <c r="AB24" s="324"/>
      <c r="AC24" s="330"/>
      <c r="AD24" s="637">
        <v>0.1</v>
      </c>
      <c r="AE24" s="638"/>
      <c r="AF24" s="639"/>
      <c r="AG24" s="637">
        <v>0.2</v>
      </c>
      <c r="AH24" s="638"/>
      <c r="AI24" s="639"/>
      <c r="AJ24" s="637">
        <v>0.2</v>
      </c>
      <c r="AK24" s="638"/>
      <c r="AL24" s="639"/>
      <c r="AM24" s="719">
        <v>0.5</v>
      </c>
      <c r="AN24" s="717"/>
      <c r="AO24" s="718"/>
      <c r="AP24" s="106">
        <f>SUM(F24:AO24)</f>
        <v>1</v>
      </c>
    </row>
    <row r="25" spans="1:43" ht="12.75" customHeight="1">
      <c r="A25" s="660" t="str">
        <f>RESUMO!A28</f>
        <v>VII</v>
      </c>
      <c r="B25" s="665" t="str">
        <f>'[3]RESUMO'!B28</f>
        <v>OBRAS COMPLEMENTARES</v>
      </c>
      <c r="C25" s="666"/>
      <c r="D25" s="662">
        <f>E25/$E$41*100</f>
        <v>7.352772622663697</v>
      </c>
      <c r="E25" s="652">
        <f>RESUMO!C28</f>
        <v>229660.69999999998</v>
      </c>
      <c r="F25" s="640">
        <f>$E$25*F27</f>
        <v>11483.035</v>
      </c>
      <c r="G25" s="641"/>
      <c r="H25" s="642"/>
      <c r="I25" s="640">
        <f>$E$25*I27</f>
        <v>22966.07</v>
      </c>
      <c r="J25" s="641"/>
      <c r="K25" s="642"/>
      <c r="L25" s="640">
        <f>$E$25*L27</f>
        <v>22966.07</v>
      </c>
      <c r="M25" s="641"/>
      <c r="N25" s="642"/>
      <c r="O25" s="640">
        <f>$E$25*O27</f>
        <v>22966.07</v>
      </c>
      <c r="P25" s="641"/>
      <c r="Q25" s="642"/>
      <c r="R25" s="640">
        <f>$E$25*R27</f>
        <v>22966.07</v>
      </c>
      <c r="S25" s="641"/>
      <c r="T25" s="642"/>
      <c r="U25" s="640">
        <f>$E$25*U27</f>
        <v>22966.07</v>
      </c>
      <c r="V25" s="641"/>
      <c r="W25" s="642"/>
      <c r="X25" s="640">
        <f>$E$25*X27</f>
        <v>22966.07</v>
      </c>
      <c r="Y25" s="641"/>
      <c r="Z25" s="642"/>
      <c r="AA25" s="640">
        <f>$E$25*AA27</f>
        <v>11483.035</v>
      </c>
      <c r="AB25" s="641"/>
      <c r="AC25" s="642"/>
      <c r="AD25" s="640">
        <f>$E$25*AD27</f>
        <v>11483.035</v>
      </c>
      <c r="AE25" s="641"/>
      <c r="AF25" s="642"/>
      <c r="AG25" s="640">
        <f>$E$25*AG27</f>
        <v>11483.035</v>
      </c>
      <c r="AH25" s="641"/>
      <c r="AI25" s="642"/>
      <c r="AJ25" s="640">
        <f>$E$25*AJ27</f>
        <v>22966.07</v>
      </c>
      <c r="AK25" s="641"/>
      <c r="AL25" s="642"/>
      <c r="AM25" s="640">
        <f>$E$25*AM27</f>
        <v>22966.07</v>
      </c>
      <c r="AN25" s="641"/>
      <c r="AO25" s="642"/>
      <c r="AP25" s="13">
        <f>SUM(F25:AO25)</f>
        <v>229660.70000000004</v>
      </c>
      <c r="AQ25" s="13">
        <f>AP25-E25</f>
        <v>0</v>
      </c>
    </row>
    <row r="26" spans="1:41" ht="12.75" customHeight="1">
      <c r="A26" s="661"/>
      <c r="B26" s="667"/>
      <c r="C26" s="668"/>
      <c r="D26" s="663"/>
      <c r="E26" s="653"/>
      <c r="F26" s="78"/>
      <c r="G26" s="78"/>
      <c r="H26" s="79"/>
      <c r="I26" s="78"/>
      <c r="J26" s="78"/>
      <c r="K26" s="79"/>
      <c r="L26" s="78"/>
      <c r="M26" s="78"/>
      <c r="N26" s="79"/>
      <c r="O26" s="78"/>
      <c r="P26" s="78"/>
      <c r="Q26" s="79"/>
      <c r="R26" s="78"/>
      <c r="S26" s="78"/>
      <c r="T26" s="78"/>
      <c r="U26" s="78"/>
      <c r="V26" s="78"/>
      <c r="W26" s="79"/>
      <c r="X26" s="78"/>
      <c r="Y26" s="78"/>
      <c r="Z26" s="79"/>
      <c r="AA26" s="78"/>
      <c r="AB26" s="78"/>
      <c r="AC26" s="79"/>
      <c r="AD26" s="78"/>
      <c r="AE26" s="78"/>
      <c r="AF26" s="79"/>
      <c r="AG26" s="78"/>
      <c r="AH26" s="78"/>
      <c r="AI26" s="79"/>
      <c r="AJ26" s="78"/>
      <c r="AK26" s="78"/>
      <c r="AL26" s="79"/>
      <c r="AM26" s="77"/>
      <c r="AN26" s="78"/>
      <c r="AO26" s="79"/>
    </row>
    <row r="27" spans="1:42" ht="12.75" customHeight="1">
      <c r="A27" s="661"/>
      <c r="B27" s="667"/>
      <c r="C27" s="668"/>
      <c r="D27" s="664"/>
      <c r="E27" s="654"/>
      <c r="F27" s="637">
        <v>0.05</v>
      </c>
      <c r="G27" s="638"/>
      <c r="H27" s="639"/>
      <c r="I27" s="637">
        <v>0.1</v>
      </c>
      <c r="J27" s="638"/>
      <c r="K27" s="639"/>
      <c r="L27" s="637">
        <v>0.1</v>
      </c>
      <c r="M27" s="638"/>
      <c r="N27" s="639"/>
      <c r="O27" s="637">
        <v>0.1</v>
      </c>
      <c r="P27" s="638"/>
      <c r="Q27" s="639"/>
      <c r="R27" s="637">
        <v>0.1</v>
      </c>
      <c r="S27" s="638"/>
      <c r="T27" s="639"/>
      <c r="U27" s="637">
        <v>0.1</v>
      </c>
      <c r="V27" s="638"/>
      <c r="W27" s="639"/>
      <c r="X27" s="637">
        <v>0.1</v>
      </c>
      <c r="Y27" s="638"/>
      <c r="Z27" s="639"/>
      <c r="AA27" s="637">
        <v>0.05</v>
      </c>
      <c r="AB27" s="638"/>
      <c r="AC27" s="639"/>
      <c r="AD27" s="637">
        <v>0.05</v>
      </c>
      <c r="AE27" s="638"/>
      <c r="AF27" s="639"/>
      <c r="AG27" s="637">
        <v>0.05</v>
      </c>
      <c r="AH27" s="638"/>
      <c r="AI27" s="639"/>
      <c r="AJ27" s="637">
        <v>0.1</v>
      </c>
      <c r="AK27" s="638"/>
      <c r="AL27" s="639"/>
      <c r="AM27" s="719">
        <v>0.1</v>
      </c>
      <c r="AN27" s="717"/>
      <c r="AO27" s="718"/>
      <c r="AP27" s="106">
        <f>SUM(F27:AM27)</f>
        <v>1</v>
      </c>
    </row>
    <row r="28" spans="1:43" ht="12.75" customHeight="1">
      <c r="A28" s="660" t="str">
        <f>RESUMO!A31</f>
        <v>VIII</v>
      </c>
      <c r="B28" s="665" t="str">
        <f>'[1]RESUMO'!B30</f>
        <v>DRENAGEM</v>
      </c>
      <c r="C28" s="666"/>
      <c r="D28" s="662">
        <f>E28/$E$41*100</f>
        <v>8.62167718825607</v>
      </c>
      <c r="E28" s="652">
        <f>'ORÇA '!J72</f>
        <v>269294.39</v>
      </c>
      <c r="F28" s="640">
        <f>$E$28*F30</f>
        <v>13464.719500000001</v>
      </c>
      <c r="G28" s="641"/>
      <c r="H28" s="642"/>
      <c r="I28" s="640">
        <f>$E$28*I30</f>
        <v>26929.439000000002</v>
      </c>
      <c r="J28" s="641"/>
      <c r="K28" s="642"/>
      <c r="L28" s="640">
        <f>$E$28*L30</f>
        <v>26929.439000000002</v>
      </c>
      <c r="M28" s="641"/>
      <c r="N28" s="642"/>
      <c r="O28" s="640">
        <f>$E$28*O30</f>
        <v>26929.439000000002</v>
      </c>
      <c r="P28" s="641"/>
      <c r="Q28" s="642"/>
      <c r="R28" s="640">
        <f>$E$28*R30</f>
        <v>26929.439000000002</v>
      </c>
      <c r="S28" s="641"/>
      <c r="T28" s="642"/>
      <c r="U28" s="640">
        <f>$E$28*U30</f>
        <v>26929.439000000002</v>
      </c>
      <c r="V28" s="641"/>
      <c r="W28" s="642"/>
      <c r="X28" s="640">
        <f>$E$28*X30</f>
        <v>26929.439000000002</v>
      </c>
      <c r="Y28" s="641"/>
      <c r="Z28" s="642"/>
      <c r="AA28" s="640">
        <f>$E$28*AA30</f>
        <v>13464.719500000001</v>
      </c>
      <c r="AB28" s="641"/>
      <c r="AC28" s="642"/>
      <c r="AD28" s="640">
        <f>$E$28*AD30</f>
        <v>13464.719500000001</v>
      </c>
      <c r="AE28" s="641"/>
      <c r="AF28" s="642"/>
      <c r="AG28" s="640">
        <f>$E$28*AG30</f>
        <v>13464.719500000001</v>
      </c>
      <c r="AH28" s="641"/>
      <c r="AI28" s="642"/>
      <c r="AJ28" s="640">
        <f>$E$28*AJ30</f>
        <v>26929.439000000002</v>
      </c>
      <c r="AK28" s="641"/>
      <c r="AL28" s="642"/>
      <c r="AM28" s="640">
        <f>$E$28*AM30</f>
        <v>26929.439000000002</v>
      </c>
      <c r="AN28" s="641"/>
      <c r="AO28" s="642"/>
      <c r="AP28" s="13">
        <f>SUM(F28:AO28)</f>
        <v>269294.3900000001</v>
      </c>
      <c r="AQ28" s="13">
        <f>AP28-E28</f>
        <v>0</v>
      </c>
    </row>
    <row r="29" spans="1:41" ht="12.75" customHeight="1">
      <c r="A29" s="661"/>
      <c r="B29" s="667"/>
      <c r="C29" s="668"/>
      <c r="D29" s="663"/>
      <c r="E29" s="653"/>
      <c r="F29" s="78"/>
      <c r="G29" s="78"/>
      <c r="H29" s="79"/>
      <c r="I29" s="78"/>
      <c r="J29" s="78"/>
      <c r="K29" s="79"/>
      <c r="L29" s="78"/>
      <c r="M29" s="78"/>
      <c r="N29" s="79"/>
      <c r="O29" s="78"/>
      <c r="P29" s="78"/>
      <c r="Q29" s="79"/>
      <c r="R29" s="78"/>
      <c r="S29" s="78"/>
      <c r="T29" s="78"/>
      <c r="U29" s="78"/>
      <c r="V29" s="78"/>
      <c r="W29" s="79"/>
      <c r="X29" s="78"/>
      <c r="Y29" s="78"/>
      <c r="Z29" s="79"/>
      <c r="AA29" s="78"/>
      <c r="AB29" s="78"/>
      <c r="AC29" s="79"/>
      <c r="AD29" s="78"/>
      <c r="AE29" s="78"/>
      <c r="AF29" s="79"/>
      <c r="AG29" s="78"/>
      <c r="AH29" s="78"/>
      <c r="AI29" s="79"/>
      <c r="AJ29" s="78"/>
      <c r="AK29" s="78"/>
      <c r="AL29" s="79"/>
      <c r="AM29" s="77"/>
      <c r="AN29" s="78"/>
      <c r="AO29" s="79"/>
    </row>
    <row r="30" spans="1:42" ht="12.75" customHeight="1">
      <c r="A30" s="661"/>
      <c r="B30" s="667"/>
      <c r="C30" s="668"/>
      <c r="D30" s="664"/>
      <c r="E30" s="654"/>
      <c r="F30" s="637">
        <v>0.05</v>
      </c>
      <c r="G30" s="638"/>
      <c r="H30" s="639"/>
      <c r="I30" s="637">
        <v>0.1</v>
      </c>
      <c r="J30" s="638"/>
      <c r="K30" s="639"/>
      <c r="L30" s="637">
        <v>0.1</v>
      </c>
      <c r="M30" s="638"/>
      <c r="N30" s="639"/>
      <c r="O30" s="637">
        <v>0.1</v>
      </c>
      <c r="P30" s="638"/>
      <c r="Q30" s="639"/>
      <c r="R30" s="637">
        <v>0.1</v>
      </c>
      <c r="S30" s="638"/>
      <c r="T30" s="639"/>
      <c r="U30" s="637">
        <v>0.1</v>
      </c>
      <c r="V30" s="638"/>
      <c r="W30" s="639"/>
      <c r="X30" s="637">
        <v>0.1</v>
      </c>
      <c r="Y30" s="638"/>
      <c r="Z30" s="639"/>
      <c r="AA30" s="637">
        <v>0.05</v>
      </c>
      <c r="AB30" s="638"/>
      <c r="AC30" s="639"/>
      <c r="AD30" s="637">
        <v>0.05</v>
      </c>
      <c r="AE30" s="638"/>
      <c r="AF30" s="639"/>
      <c r="AG30" s="637">
        <v>0.05</v>
      </c>
      <c r="AH30" s="638"/>
      <c r="AI30" s="639"/>
      <c r="AJ30" s="637">
        <v>0.1</v>
      </c>
      <c r="AK30" s="638"/>
      <c r="AL30" s="639"/>
      <c r="AM30" s="719">
        <v>0.1</v>
      </c>
      <c r="AN30" s="717"/>
      <c r="AO30" s="718"/>
      <c r="AP30" s="106">
        <f>SUM(F30:AO30)</f>
        <v>1</v>
      </c>
    </row>
    <row r="31" spans="1:43" ht="12.75" customHeight="1">
      <c r="A31" s="660" t="str">
        <f>RESUMO!A34</f>
        <v>IX</v>
      </c>
      <c r="B31" s="703" t="str">
        <f>'[1]RESUMO'!B33</f>
        <v>FORNECIMENTO/ASSENTAMENTO DE TUBOS TIPO PA-1 e PA-2</v>
      </c>
      <c r="C31" s="704"/>
      <c r="D31" s="662">
        <f>E31/$E$41*100</f>
        <v>7.001613007576682</v>
      </c>
      <c r="E31" s="652">
        <f>RESUMO!C34</f>
        <v>218692.38</v>
      </c>
      <c r="F31" s="640">
        <f>$E$31*F33</f>
        <v>10934.619</v>
      </c>
      <c r="G31" s="641"/>
      <c r="H31" s="642"/>
      <c r="I31" s="640">
        <f>$E$31*I33</f>
        <v>21869.238</v>
      </c>
      <c r="J31" s="641"/>
      <c r="K31" s="642"/>
      <c r="L31" s="640">
        <f>$E$31*L33</f>
        <v>21869.238</v>
      </c>
      <c r="M31" s="641"/>
      <c r="N31" s="642"/>
      <c r="O31" s="640">
        <f>$E$31*O33</f>
        <v>21869.238</v>
      </c>
      <c r="P31" s="641"/>
      <c r="Q31" s="642"/>
      <c r="R31" s="640">
        <f>$E$31*R33</f>
        <v>21869.238</v>
      </c>
      <c r="S31" s="641"/>
      <c r="T31" s="642"/>
      <c r="U31" s="640">
        <f>$E$31*U33</f>
        <v>21869.238</v>
      </c>
      <c r="V31" s="641"/>
      <c r="W31" s="642"/>
      <c r="X31" s="640">
        <f>$E$31*X33</f>
        <v>21869.238</v>
      </c>
      <c r="Y31" s="641"/>
      <c r="Z31" s="642"/>
      <c r="AA31" s="640">
        <f>$E$31*AA33</f>
        <v>10934.619</v>
      </c>
      <c r="AB31" s="641"/>
      <c r="AC31" s="642"/>
      <c r="AD31" s="640">
        <f>$E$31*AD33</f>
        <v>10934.619</v>
      </c>
      <c r="AE31" s="641"/>
      <c r="AF31" s="642"/>
      <c r="AG31" s="640">
        <f>$E$31*AG33</f>
        <v>10934.619</v>
      </c>
      <c r="AH31" s="641"/>
      <c r="AI31" s="642"/>
      <c r="AJ31" s="640">
        <f>$E$31*AJ33</f>
        <v>21869.238</v>
      </c>
      <c r="AK31" s="641"/>
      <c r="AL31" s="642"/>
      <c r="AM31" s="640">
        <f>$E$31*AM33</f>
        <v>21869.238</v>
      </c>
      <c r="AN31" s="641"/>
      <c r="AO31" s="642"/>
      <c r="AP31" s="13">
        <f>SUM(F31:AO31)</f>
        <v>218692.38000000003</v>
      </c>
      <c r="AQ31" s="13">
        <f>AP31-E31</f>
        <v>0</v>
      </c>
    </row>
    <row r="32" spans="1:41" ht="12.75" customHeight="1">
      <c r="A32" s="661"/>
      <c r="B32" s="705"/>
      <c r="C32" s="706"/>
      <c r="D32" s="663"/>
      <c r="E32" s="653"/>
      <c r="F32" s="78"/>
      <c r="G32" s="78"/>
      <c r="H32" s="79"/>
      <c r="I32" s="78"/>
      <c r="J32" s="78"/>
      <c r="K32" s="79"/>
      <c r="L32" s="78"/>
      <c r="M32" s="78"/>
      <c r="N32" s="79"/>
      <c r="O32" s="78"/>
      <c r="P32" s="78"/>
      <c r="Q32" s="79"/>
      <c r="R32" s="78"/>
      <c r="S32" s="78"/>
      <c r="T32" s="78"/>
      <c r="U32" s="78"/>
      <c r="V32" s="78"/>
      <c r="W32" s="79"/>
      <c r="X32" s="78"/>
      <c r="Y32" s="78"/>
      <c r="Z32" s="79"/>
      <c r="AA32" s="78"/>
      <c r="AB32" s="78"/>
      <c r="AC32" s="79"/>
      <c r="AD32" s="78"/>
      <c r="AE32" s="78"/>
      <c r="AF32" s="79"/>
      <c r="AG32" s="78"/>
      <c r="AH32" s="78"/>
      <c r="AI32" s="79"/>
      <c r="AJ32" s="78"/>
      <c r="AK32" s="78"/>
      <c r="AL32" s="79"/>
      <c r="AM32" s="77"/>
      <c r="AN32" s="78"/>
      <c r="AO32" s="79"/>
    </row>
    <row r="33" spans="1:42" ht="12.75" customHeight="1">
      <c r="A33" s="661"/>
      <c r="B33" s="707"/>
      <c r="C33" s="708"/>
      <c r="D33" s="664"/>
      <c r="E33" s="654"/>
      <c r="F33" s="637">
        <v>0.05</v>
      </c>
      <c r="G33" s="638"/>
      <c r="H33" s="639"/>
      <c r="I33" s="637">
        <v>0.1</v>
      </c>
      <c r="J33" s="638"/>
      <c r="K33" s="639"/>
      <c r="L33" s="637">
        <v>0.1</v>
      </c>
      <c r="M33" s="638"/>
      <c r="N33" s="639"/>
      <c r="O33" s="637">
        <v>0.1</v>
      </c>
      <c r="P33" s="638"/>
      <c r="Q33" s="639"/>
      <c r="R33" s="637">
        <v>0.1</v>
      </c>
      <c r="S33" s="638"/>
      <c r="T33" s="639"/>
      <c r="U33" s="637">
        <v>0.1</v>
      </c>
      <c r="V33" s="638"/>
      <c r="W33" s="639"/>
      <c r="X33" s="637">
        <v>0.1</v>
      </c>
      <c r="Y33" s="638"/>
      <c r="Z33" s="639"/>
      <c r="AA33" s="637">
        <v>0.05</v>
      </c>
      <c r="AB33" s="638"/>
      <c r="AC33" s="639"/>
      <c r="AD33" s="637">
        <v>0.05</v>
      </c>
      <c r="AE33" s="638"/>
      <c r="AF33" s="639"/>
      <c r="AG33" s="637">
        <v>0.05</v>
      </c>
      <c r="AH33" s="638"/>
      <c r="AI33" s="639"/>
      <c r="AJ33" s="637">
        <v>0.1</v>
      </c>
      <c r="AK33" s="638"/>
      <c r="AL33" s="639"/>
      <c r="AM33" s="719">
        <v>0.1</v>
      </c>
      <c r="AN33" s="717"/>
      <c r="AO33" s="718"/>
      <c r="AP33" s="106">
        <f>SUM(F33:AO33)</f>
        <v>1</v>
      </c>
    </row>
    <row r="34" spans="1:43" ht="12.75" customHeight="1">
      <c r="A34" s="660" t="str">
        <f>RESUMO!A37</f>
        <v>X</v>
      </c>
      <c r="B34" s="703" t="str">
        <f>'[1]RESUMO'!B36</f>
        <v>ASSENTAMENTO E REJUNTAMENTO DE TUBO DE CONCRETO </v>
      </c>
      <c r="C34" s="704"/>
      <c r="D34" s="662">
        <f>E34/$E$41*100</f>
        <v>3.418033797115166</v>
      </c>
      <c r="E34" s="652">
        <f>RESUMO!C37</f>
        <v>106760.82</v>
      </c>
      <c r="F34" s="640">
        <f>$E$34*F36</f>
        <v>5338.041000000001</v>
      </c>
      <c r="G34" s="641"/>
      <c r="H34" s="642"/>
      <c r="I34" s="640">
        <f>$E$34*I36</f>
        <v>10676.082000000002</v>
      </c>
      <c r="J34" s="641"/>
      <c r="K34" s="642"/>
      <c r="L34" s="640">
        <f>$E$34*L36</f>
        <v>10676.082000000002</v>
      </c>
      <c r="M34" s="641"/>
      <c r="N34" s="642"/>
      <c r="O34" s="640">
        <f>$E$34*O36</f>
        <v>10676.082000000002</v>
      </c>
      <c r="P34" s="641"/>
      <c r="Q34" s="642"/>
      <c r="R34" s="640">
        <f>$E$34*R36</f>
        <v>10676.082000000002</v>
      </c>
      <c r="S34" s="641"/>
      <c r="T34" s="642"/>
      <c r="U34" s="640">
        <f>$E$34*U36</f>
        <v>10676.082000000002</v>
      </c>
      <c r="V34" s="641"/>
      <c r="W34" s="642"/>
      <c r="X34" s="640">
        <f>$E$34*X36</f>
        <v>10676.082000000002</v>
      </c>
      <c r="Y34" s="641"/>
      <c r="Z34" s="642"/>
      <c r="AA34" s="640">
        <f>$E$34*AA36</f>
        <v>5338.041000000001</v>
      </c>
      <c r="AB34" s="641"/>
      <c r="AC34" s="642"/>
      <c r="AD34" s="640">
        <f>$E$34*AD36</f>
        <v>5338.041000000001</v>
      </c>
      <c r="AE34" s="641"/>
      <c r="AF34" s="642"/>
      <c r="AG34" s="640">
        <f>$E$34*AG36</f>
        <v>5338.041000000001</v>
      </c>
      <c r="AH34" s="641"/>
      <c r="AI34" s="642"/>
      <c r="AJ34" s="640">
        <f>$E$34*AJ36</f>
        <v>10676.082000000002</v>
      </c>
      <c r="AK34" s="641"/>
      <c r="AL34" s="642"/>
      <c r="AM34" s="640">
        <f>$E$34*AM36</f>
        <v>10676.082000000002</v>
      </c>
      <c r="AN34" s="641"/>
      <c r="AO34" s="642"/>
      <c r="AP34" s="13">
        <f>SUM(F34:AO34)</f>
        <v>106760.82</v>
      </c>
      <c r="AQ34" s="13">
        <f>AP34-E34</f>
        <v>0</v>
      </c>
    </row>
    <row r="35" spans="1:41" ht="12.75" customHeight="1">
      <c r="A35" s="661"/>
      <c r="B35" s="705"/>
      <c r="C35" s="706"/>
      <c r="D35" s="663"/>
      <c r="E35" s="653"/>
      <c r="F35" s="78"/>
      <c r="G35" s="78"/>
      <c r="H35" s="79"/>
      <c r="I35" s="78"/>
      <c r="J35" s="78"/>
      <c r="K35" s="79"/>
      <c r="L35" s="78"/>
      <c r="M35" s="78"/>
      <c r="N35" s="79"/>
      <c r="O35" s="78"/>
      <c r="P35" s="78"/>
      <c r="Q35" s="79"/>
      <c r="R35" s="78"/>
      <c r="S35" s="78"/>
      <c r="T35" s="78"/>
      <c r="U35" s="78"/>
      <c r="V35" s="78"/>
      <c r="W35" s="79"/>
      <c r="X35" s="78"/>
      <c r="Y35" s="78"/>
      <c r="Z35" s="79"/>
      <c r="AA35" s="78"/>
      <c r="AB35" s="78"/>
      <c r="AC35" s="79"/>
      <c r="AD35" s="78"/>
      <c r="AE35" s="78"/>
      <c r="AF35" s="79"/>
      <c r="AG35" s="78"/>
      <c r="AH35" s="78"/>
      <c r="AI35" s="79"/>
      <c r="AJ35" s="78"/>
      <c r="AK35" s="78"/>
      <c r="AL35" s="79"/>
      <c r="AM35" s="77"/>
      <c r="AN35" s="78"/>
      <c r="AO35" s="79"/>
    </row>
    <row r="36" spans="1:42" ht="12.75" customHeight="1">
      <c r="A36" s="661"/>
      <c r="B36" s="707"/>
      <c r="C36" s="708"/>
      <c r="D36" s="664"/>
      <c r="E36" s="654"/>
      <c r="F36" s="637">
        <v>0.05</v>
      </c>
      <c r="G36" s="638"/>
      <c r="H36" s="639"/>
      <c r="I36" s="637">
        <v>0.1</v>
      </c>
      <c r="J36" s="638"/>
      <c r="K36" s="639"/>
      <c r="L36" s="637">
        <v>0.1</v>
      </c>
      <c r="M36" s="638"/>
      <c r="N36" s="639"/>
      <c r="O36" s="637">
        <v>0.1</v>
      </c>
      <c r="P36" s="638"/>
      <c r="Q36" s="639"/>
      <c r="R36" s="637">
        <v>0.1</v>
      </c>
      <c r="S36" s="638"/>
      <c r="T36" s="639"/>
      <c r="U36" s="637">
        <v>0.1</v>
      </c>
      <c r="V36" s="638"/>
      <c r="W36" s="639"/>
      <c r="X36" s="637">
        <v>0.1</v>
      </c>
      <c r="Y36" s="638"/>
      <c r="Z36" s="639"/>
      <c r="AA36" s="637">
        <v>0.05</v>
      </c>
      <c r="AB36" s="638"/>
      <c r="AC36" s="639"/>
      <c r="AD36" s="637">
        <v>0.05</v>
      </c>
      <c r="AE36" s="638"/>
      <c r="AF36" s="639"/>
      <c r="AG36" s="637">
        <v>0.05</v>
      </c>
      <c r="AH36" s="638"/>
      <c r="AI36" s="639"/>
      <c r="AJ36" s="637">
        <v>0.1</v>
      </c>
      <c r="AK36" s="638"/>
      <c r="AL36" s="639"/>
      <c r="AM36" s="719">
        <v>0.1</v>
      </c>
      <c r="AN36" s="717"/>
      <c r="AO36" s="718"/>
      <c r="AP36" s="106">
        <f>SUM(F36:AO36)</f>
        <v>1</v>
      </c>
    </row>
    <row r="37" spans="1:42" ht="12.75" customHeight="1">
      <c r="A37" s="660" t="str">
        <f>RESUMO!A40</f>
        <v>XI</v>
      </c>
      <c r="B37" s="665" t="str">
        <f>RESUMO!B40</f>
        <v>ÓRGÃOS ACESSÓRIOS</v>
      </c>
      <c r="C37" s="666"/>
      <c r="D37" s="662">
        <f>E37/$E$41*100</f>
        <v>12.56514768481919</v>
      </c>
      <c r="E37" s="652">
        <f>RESUMO!C40</f>
        <v>392467.00000000006</v>
      </c>
      <c r="F37" s="640">
        <f>$E$37*F39</f>
        <v>19623.350000000002</v>
      </c>
      <c r="G37" s="641"/>
      <c r="H37" s="642"/>
      <c r="I37" s="640">
        <f>$E$37*I39</f>
        <v>39246.700000000004</v>
      </c>
      <c r="J37" s="641"/>
      <c r="K37" s="642"/>
      <c r="L37" s="640">
        <f>$E$37*L39</f>
        <v>39246.700000000004</v>
      </c>
      <c r="M37" s="641"/>
      <c r="N37" s="642"/>
      <c r="O37" s="640">
        <f>$E$37*O39</f>
        <v>39246.700000000004</v>
      </c>
      <c r="P37" s="641"/>
      <c r="Q37" s="642"/>
      <c r="R37" s="640">
        <f>$E$37*R39</f>
        <v>39246.700000000004</v>
      </c>
      <c r="S37" s="641"/>
      <c r="T37" s="642"/>
      <c r="U37" s="640">
        <f>$E$37*U39</f>
        <v>39246.700000000004</v>
      </c>
      <c r="V37" s="641"/>
      <c r="W37" s="642"/>
      <c r="X37" s="640">
        <f>$E$37*X39</f>
        <v>39246.700000000004</v>
      </c>
      <c r="Y37" s="641"/>
      <c r="Z37" s="642"/>
      <c r="AA37" s="640">
        <f>$E$37*AA39</f>
        <v>19623.350000000002</v>
      </c>
      <c r="AB37" s="641"/>
      <c r="AC37" s="642"/>
      <c r="AD37" s="640">
        <f>$E$37*AD39</f>
        <v>19623.350000000002</v>
      </c>
      <c r="AE37" s="641"/>
      <c r="AF37" s="642"/>
      <c r="AG37" s="640">
        <f>$E$37*AG39</f>
        <v>19623.350000000002</v>
      </c>
      <c r="AH37" s="641"/>
      <c r="AI37" s="642"/>
      <c r="AJ37" s="640">
        <f>$E$37*AJ39</f>
        <v>39246.700000000004</v>
      </c>
      <c r="AK37" s="641"/>
      <c r="AL37" s="642"/>
      <c r="AM37" s="640">
        <f>$E$37*AM39</f>
        <v>39246.700000000004</v>
      </c>
      <c r="AN37" s="641"/>
      <c r="AO37" s="642"/>
      <c r="AP37" s="106"/>
    </row>
    <row r="38" spans="1:42" ht="12.75" customHeight="1">
      <c r="A38" s="661"/>
      <c r="B38" s="667"/>
      <c r="C38" s="668"/>
      <c r="D38" s="663"/>
      <c r="E38" s="653"/>
      <c r="F38" s="78"/>
      <c r="G38" s="78"/>
      <c r="H38" s="79"/>
      <c r="I38" s="78"/>
      <c r="J38" s="78"/>
      <c r="K38" s="79"/>
      <c r="L38" s="78"/>
      <c r="M38" s="78"/>
      <c r="N38" s="79"/>
      <c r="O38" s="78"/>
      <c r="P38" s="78"/>
      <c r="Q38" s="79"/>
      <c r="R38" s="78"/>
      <c r="S38" s="78"/>
      <c r="T38" s="78"/>
      <c r="U38" s="78"/>
      <c r="V38" s="78"/>
      <c r="W38" s="79"/>
      <c r="X38" s="78"/>
      <c r="Y38" s="78"/>
      <c r="Z38" s="79"/>
      <c r="AA38" s="78"/>
      <c r="AB38" s="78"/>
      <c r="AC38" s="79"/>
      <c r="AD38" s="78"/>
      <c r="AE38" s="78"/>
      <c r="AF38" s="79"/>
      <c r="AG38" s="78"/>
      <c r="AH38" s="78"/>
      <c r="AI38" s="79"/>
      <c r="AJ38" s="78"/>
      <c r="AK38" s="78"/>
      <c r="AL38" s="79"/>
      <c r="AM38" s="77"/>
      <c r="AN38" s="78"/>
      <c r="AO38" s="79"/>
      <c r="AP38" s="106"/>
    </row>
    <row r="39" spans="1:42" ht="12.75" customHeight="1">
      <c r="A39" s="661"/>
      <c r="B39" s="667"/>
      <c r="C39" s="668"/>
      <c r="D39" s="664"/>
      <c r="E39" s="654"/>
      <c r="F39" s="637">
        <v>0.05</v>
      </c>
      <c r="G39" s="638"/>
      <c r="H39" s="639"/>
      <c r="I39" s="637">
        <v>0.1</v>
      </c>
      <c r="J39" s="638"/>
      <c r="K39" s="639"/>
      <c r="L39" s="637">
        <v>0.1</v>
      </c>
      <c r="M39" s="638"/>
      <c r="N39" s="639"/>
      <c r="O39" s="637">
        <v>0.1</v>
      </c>
      <c r="P39" s="638"/>
      <c r="Q39" s="639"/>
      <c r="R39" s="637">
        <v>0.1</v>
      </c>
      <c r="S39" s="638"/>
      <c r="T39" s="639"/>
      <c r="U39" s="637">
        <v>0.1</v>
      </c>
      <c r="V39" s="638"/>
      <c r="W39" s="639"/>
      <c r="X39" s="637">
        <v>0.1</v>
      </c>
      <c r="Y39" s="638"/>
      <c r="Z39" s="639"/>
      <c r="AA39" s="637">
        <v>0.05</v>
      </c>
      <c r="AB39" s="638"/>
      <c r="AC39" s="639"/>
      <c r="AD39" s="637">
        <v>0.05</v>
      </c>
      <c r="AE39" s="638"/>
      <c r="AF39" s="639"/>
      <c r="AG39" s="637">
        <v>0.05</v>
      </c>
      <c r="AH39" s="638"/>
      <c r="AI39" s="639"/>
      <c r="AJ39" s="637">
        <v>0.1</v>
      </c>
      <c r="AK39" s="638"/>
      <c r="AL39" s="639"/>
      <c r="AM39" s="719">
        <v>0.1</v>
      </c>
      <c r="AN39" s="717"/>
      <c r="AO39" s="718"/>
      <c r="AP39" s="106"/>
    </row>
    <row r="40" spans="1:42" ht="12.75" customHeight="1">
      <c r="A40" s="425"/>
      <c r="B40" s="667"/>
      <c r="C40" s="668"/>
      <c r="D40" s="426"/>
      <c r="E40" s="424"/>
      <c r="F40" s="637">
        <v>0.05</v>
      </c>
      <c r="G40" s="638"/>
      <c r="H40" s="639"/>
      <c r="I40" s="637">
        <v>0.1</v>
      </c>
      <c r="J40" s="638"/>
      <c r="K40" s="639"/>
      <c r="L40" s="637">
        <v>0.1</v>
      </c>
      <c r="M40" s="638"/>
      <c r="N40" s="639"/>
      <c r="O40" s="637">
        <v>0.1</v>
      </c>
      <c r="P40" s="638"/>
      <c r="Q40" s="639"/>
      <c r="R40" s="637">
        <v>0.1</v>
      </c>
      <c r="S40" s="638"/>
      <c r="T40" s="639"/>
      <c r="U40" s="637">
        <v>0.1</v>
      </c>
      <c r="V40" s="638"/>
      <c r="W40" s="639"/>
      <c r="X40" s="637">
        <v>0.1</v>
      </c>
      <c r="Y40" s="638"/>
      <c r="Z40" s="639"/>
      <c r="AA40" s="637">
        <v>0.05</v>
      </c>
      <c r="AB40" s="638"/>
      <c r="AC40" s="639"/>
      <c r="AD40" s="637">
        <v>0.05</v>
      </c>
      <c r="AE40" s="638"/>
      <c r="AF40" s="639"/>
      <c r="AG40" s="637">
        <v>0.05</v>
      </c>
      <c r="AH40" s="638"/>
      <c r="AI40" s="639"/>
      <c r="AJ40" s="637">
        <v>0.1</v>
      </c>
      <c r="AK40" s="638"/>
      <c r="AL40" s="639"/>
      <c r="AM40" s="719">
        <v>0.1</v>
      </c>
      <c r="AN40" s="717"/>
      <c r="AO40" s="718"/>
      <c r="AP40" s="106">
        <f>SUM(F40:AO40)</f>
        <v>1</v>
      </c>
    </row>
    <row r="41" spans="1:43" ht="12.75" customHeight="1">
      <c r="A41" s="724" t="s">
        <v>135</v>
      </c>
      <c r="B41" s="725"/>
      <c r="C41" s="726"/>
      <c r="D41" s="80">
        <f>SUM(D7:D40)</f>
        <v>100.00000000000001</v>
      </c>
      <c r="E41" s="81">
        <f>E7+E10+E13+E16+E19+E22+E25+E28+E31+E34+E37</f>
        <v>3123457.1199999996</v>
      </c>
      <c r="F41" s="634">
        <f>F42/$E$41</f>
        <v>0.061704403772957835</v>
      </c>
      <c r="G41" s="635"/>
      <c r="H41" s="636"/>
      <c r="I41" s="634">
        <f>I42/$E$41</f>
        <v>0.08769155499083658</v>
      </c>
      <c r="J41" s="635"/>
      <c r="K41" s="636"/>
      <c r="L41" s="634">
        <f>L42/$E$41</f>
        <v>0.1522455869667902</v>
      </c>
      <c r="M41" s="635"/>
      <c r="N41" s="636"/>
      <c r="O41" s="634">
        <f>O42/$E$41</f>
        <v>0.15055086480585336</v>
      </c>
      <c r="P41" s="635"/>
      <c r="Q41" s="636"/>
      <c r="R41" s="634">
        <f>R42/$E$41</f>
        <v>0.14152371517109222</v>
      </c>
      <c r="S41" s="635"/>
      <c r="T41" s="636"/>
      <c r="U41" s="634">
        <f>U42/$E$41</f>
        <v>0.08606529684006037</v>
      </c>
      <c r="V41" s="635"/>
      <c r="W41" s="636"/>
      <c r="X41" s="634">
        <f>X42/$E$41</f>
        <v>0.0826373868068341</v>
      </c>
      <c r="Y41" s="635"/>
      <c r="Z41" s="636"/>
      <c r="AA41" s="634">
        <f>AA42/$E$41</f>
        <v>0.06315776465661871</v>
      </c>
      <c r="AB41" s="635"/>
      <c r="AC41" s="636"/>
      <c r="AD41" s="634">
        <f>AD42/$E$41</f>
        <v>0.05471292306391579</v>
      </c>
      <c r="AE41" s="635"/>
      <c r="AF41" s="636"/>
      <c r="AG41" s="634">
        <f>AG42/$E$41</f>
        <v>0.025775533649714397</v>
      </c>
      <c r="AH41" s="635"/>
      <c r="AI41" s="636"/>
      <c r="AJ41" s="634">
        <f>AJ42/$E$41</f>
        <v>0.045255155799929794</v>
      </c>
      <c r="AK41" s="635"/>
      <c r="AL41" s="636"/>
      <c r="AM41" s="634">
        <f>AM42/$E$41</f>
        <v>0.04867981347539679</v>
      </c>
      <c r="AN41" s="635"/>
      <c r="AO41" s="636"/>
      <c r="AP41" s="106">
        <f>SUM(F41:AO41)</f>
        <v>1.0000000000000002</v>
      </c>
      <c r="AQ41" s="13" t="e">
        <f>SUM(#REF!+AP34+AP31+AP28+AP25+AP22+AP19+AP13+AP10+AP7)</f>
        <v>#REF!</v>
      </c>
    </row>
    <row r="42" spans="1:42" ht="12.75">
      <c r="A42" s="724" t="s">
        <v>136</v>
      </c>
      <c r="B42" s="725"/>
      <c r="C42" s="726"/>
      <c r="D42" s="722" t="s">
        <v>137</v>
      </c>
      <c r="E42" s="723"/>
      <c r="F42" s="631">
        <f>F7+F10+F13+F16+F19+F22+F25+F28+F31+F34+F37</f>
        <v>192731.0593</v>
      </c>
      <c r="G42" s="632"/>
      <c r="H42" s="633"/>
      <c r="I42" s="631">
        <f>I7+I10+I13+I16+I19+I22+I25+I28+I31+I34+I37</f>
        <v>273900.8118</v>
      </c>
      <c r="J42" s="632"/>
      <c r="K42" s="633"/>
      <c r="L42" s="631">
        <f>L7+L10+L13+L16+L19+L22+L25+L28+L31+L34+L37</f>
        <v>475532.5626</v>
      </c>
      <c r="M42" s="632"/>
      <c r="N42" s="633"/>
      <c r="O42" s="631">
        <f>O7+O10+O13+O16+O19+O22+O25+O28+O31+O34+O37</f>
        <v>470239.1706</v>
      </c>
      <c r="P42" s="632"/>
      <c r="Q42" s="633"/>
      <c r="R42" s="631">
        <f>R7+R10+R13+R16+R19+R22+R25+R28+R31+R34+R37</f>
        <v>442043.2558</v>
      </c>
      <c r="S42" s="632"/>
      <c r="T42" s="633"/>
      <c r="U42" s="631">
        <f>U7+U10+U13+U16+U19+U22+U25+U28+U31+U34+U37</f>
        <v>268821.26420000003</v>
      </c>
      <c r="V42" s="632"/>
      <c r="W42" s="633"/>
      <c r="X42" s="631">
        <f>X7+X10+X13+X16+X19+X22+X25+X28+X31+X34+X37</f>
        <v>258114.33420000004</v>
      </c>
      <c r="Y42" s="632"/>
      <c r="Z42" s="633"/>
      <c r="AA42" s="631">
        <f>AA7+AA10+AA13+AA16+AA19+AA22+AA25+AA28+AA31+AA34+AA37</f>
        <v>197270.56970000002</v>
      </c>
      <c r="AB42" s="632"/>
      <c r="AC42" s="633"/>
      <c r="AD42" s="631">
        <f>AD7+AD10+AD13+AD16+AD19+AD22+AD25+AD28+AD31+AD34+AD37</f>
        <v>170893.4691</v>
      </c>
      <c r="AE42" s="632"/>
      <c r="AF42" s="633"/>
      <c r="AG42" s="631">
        <f>AG7+AG10+AG13+AG16+AG19+AG22+AG25+AG28+AG31+AG34+AG37</f>
        <v>80508.77410000001</v>
      </c>
      <c r="AH42" s="632"/>
      <c r="AI42" s="633"/>
      <c r="AJ42" s="631">
        <f>AJ7+AJ10+AJ13+AJ16+AJ19+AJ22+AJ25+AJ28+AJ31+AJ34+AJ37</f>
        <v>141352.5386</v>
      </c>
      <c r="AK42" s="632"/>
      <c r="AL42" s="633"/>
      <c r="AM42" s="631">
        <f>AM7+AM10+AM13+AM16+AM19+AM22+AM25+AM28+AM31+AM34+AM37</f>
        <v>152049.31000000003</v>
      </c>
      <c r="AN42" s="632"/>
      <c r="AO42" s="633"/>
      <c r="AP42" s="13">
        <f>SUM(F42:AM42)</f>
        <v>3123457.1199999996</v>
      </c>
    </row>
    <row r="43" spans="1:43" ht="12.75">
      <c r="A43" s="727"/>
      <c r="B43" s="728"/>
      <c r="C43" s="729"/>
      <c r="D43" s="720" t="s">
        <v>138</v>
      </c>
      <c r="E43" s="721"/>
      <c r="F43" s="631">
        <f>F42</f>
        <v>192731.0593</v>
      </c>
      <c r="G43" s="632"/>
      <c r="H43" s="633"/>
      <c r="I43" s="631">
        <f>F43+I42</f>
        <v>466631.8711</v>
      </c>
      <c r="J43" s="632"/>
      <c r="K43" s="633"/>
      <c r="L43" s="631">
        <f>I43+L42</f>
        <v>942164.4336999999</v>
      </c>
      <c r="M43" s="632"/>
      <c r="N43" s="633"/>
      <c r="O43" s="631">
        <f>L43+O42</f>
        <v>1412403.6043</v>
      </c>
      <c r="P43" s="632"/>
      <c r="Q43" s="633"/>
      <c r="R43" s="631">
        <f>O43+R42</f>
        <v>1854446.8601</v>
      </c>
      <c r="S43" s="632"/>
      <c r="T43" s="633"/>
      <c r="U43" s="631">
        <f>R43+U42</f>
        <v>2123268.1243</v>
      </c>
      <c r="V43" s="632"/>
      <c r="W43" s="633"/>
      <c r="X43" s="631">
        <f>U43+X42</f>
        <v>2381382.4584999997</v>
      </c>
      <c r="Y43" s="632"/>
      <c r="Z43" s="633"/>
      <c r="AA43" s="631">
        <f>X43+AA42</f>
        <v>2578653.0281999996</v>
      </c>
      <c r="AB43" s="632"/>
      <c r="AC43" s="633"/>
      <c r="AD43" s="631">
        <f>AA43+AD42</f>
        <v>2749546.4972999995</v>
      </c>
      <c r="AE43" s="632"/>
      <c r="AF43" s="633"/>
      <c r="AG43" s="631">
        <f>AD43+AG42</f>
        <v>2830055.2713999995</v>
      </c>
      <c r="AH43" s="632"/>
      <c r="AI43" s="633"/>
      <c r="AJ43" s="631">
        <f>AG43+AJ42</f>
        <v>2971407.8099999996</v>
      </c>
      <c r="AK43" s="632"/>
      <c r="AL43" s="633"/>
      <c r="AM43" s="631">
        <f>AJ43+AM42</f>
        <v>3123457.1199999996</v>
      </c>
      <c r="AN43" s="632"/>
      <c r="AO43" s="633"/>
      <c r="AQ43" s="13">
        <f>'[1]RESUMO'!C44-'[1]CFF'!U42</f>
        <v>0</v>
      </c>
    </row>
    <row r="45" spans="5:43" ht="12.75">
      <c r="E45" s="109">
        <f>SUM(E7:E40)</f>
        <v>3123457.1199999996</v>
      </c>
      <c r="L45" t="s">
        <v>222</v>
      </c>
      <c r="AN45" s="75"/>
      <c r="AQ45" s="75"/>
    </row>
    <row r="47" ht="12.75">
      <c r="E47" s="332">
        <f>E45-E41</f>
        <v>0</v>
      </c>
    </row>
  </sheetData>
  <sheetProtection/>
  <mergeCells count="373">
    <mergeCell ref="AJ39:AL39"/>
    <mergeCell ref="AM39:AO39"/>
    <mergeCell ref="AG37:AI37"/>
    <mergeCell ref="AJ37:AL37"/>
    <mergeCell ref="AM37:AO37"/>
    <mergeCell ref="AA37:AC37"/>
    <mergeCell ref="AD37:AF37"/>
    <mergeCell ref="U37:W37"/>
    <mergeCell ref="F39:H39"/>
    <mergeCell ref="I39:K39"/>
    <mergeCell ref="L39:N39"/>
    <mergeCell ref="O39:Q39"/>
    <mergeCell ref="R39:T39"/>
    <mergeCell ref="U39:W39"/>
    <mergeCell ref="R42:T42"/>
    <mergeCell ref="L40:N40"/>
    <mergeCell ref="A42:C43"/>
    <mergeCell ref="F37:H37"/>
    <mergeCell ref="I37:K37"/>
    <mergeCell ref="L37:N37"/>
    <mergeCell ref="O37:Q37"/>
    <mergeCell ref="R37:T37"/>
    <mergeCell ref="I42:K42"/>
    <mergeCell ref="L42:N42"/>
    <mergeCell ref="F42:H42"/>
    <mergeCell ref="A37:A39"/>
    <mergeCell ref="B37:C39"/>
    <mergeCell ref="D37:D39"/>
    <mergeCell ref="E37:E39"/>
    <mergeCell ref="O42:Q42"/>
    <mergeCell ref="B40:C40"/>
    <mergeCell ref="A41:C41"/>
    <mergeCell ref="O41:Q41"/>
    <mergeCell ref="F40:H40"/>
    <mergeCell ref="AM42:AO42"/>
    <mergeCell ref="D43:E43"/>
    <mergeCell ref="F43:H43"/>
    <mergeCell ref="I43:K43"/>
    <mergeCell ref="L43:N43"/>
    <mergeCell ref="O43:Q43"/>
    <mergeCell ref="R43:T43"/>
    <mergeCell ref="AA43:AC43"/>
    <mergeCell ref="AM43:AO43"/>
    <mergeCell ref="D42:E42"/>
    <mergeCell ref="R41:T41"/>
    <mergeCell ref="AM41:AO41"/>
    <mergeCell ref="O40:Q40"/>
    <mergeCell ref="R40:T40"/>
    <mergeCell ref="AM40:AO40"/>
    <mergeCell ref="U40:W40"/>
    <mergeCell ref="X40:Z40"/>
    <mergeCell ref="AA40:AC40"/>
    <mergeCell ref="AD40:AF40"/>
    <mergeCell ref="AG40:AI40"/>
    <mergeCell ref="I40:K40"/>
    <mergeCell ref="O34:Q34"/>
    <mergeCell ref="R34:T34"/>
    <mergeCell ref="AM34:AO34"/>
    <mergeCell ref="O36:Q36"/>
    <mergeCell ref="R36:T36"/>
    <mergeCell ref="AM36:AO36"/>
    <mergeCell ref="U36:W36"/>
    <mergeCell ref="X36:Z36"/>
    <mergeCell ref="AA36:AC36"/>
    <mergeCell ref="AD36:AF36"/>
    <mergeCell ref="O31:Q31"/>
    <mergeCell ref="R31:T31"/>
    <mergeCell ref="AM31:AO31"/>
    <mergeCell ref="O33:Q33"/>
    <mergeCell ref="R33:T33"/>
    <mergeCell ref="AM33:AO33"/>
    <mergeCell ref="U33:W33"/>
    <mergeCell ref="X33:Z33"/>
    <mergeCell ref="AA33:AC33"/>
    <mergeCell ref="AD33:AF33"/>
    <mergeCell ref="O28:Q28"/>
    <mergeCell ref="R28:T28"/>
    <mergeCell ref="AM28:AO28"/>
    <mergeCell ref="O30:Q30"/>
    <mergeCell ref="R30:T30"/>
    <mergeCell ref="AM30:AO30"/>
    <mergeCell ref="AJ28:AL28"/>
    <mergeCell ref="U30:W30"/>
    <mergeCell ref="AG28:AI28"/>
    <mergeCell ref="R25:T25"/>
    <mergeCell ref="AM25:AO25"/>
    <mergeCell ref="O27:Q27"/>
    <mergeCell ref="R27:T27"/>
    <mergeCell ref="AM27:AO27"/>
    <mergeCell ref="U25:W25"/>
    <mergeCell ref="U27:W27"/>
    <mergeCell ref="AJ25:AL25"/>
    <mergeCell ref="O25:Q25"/>
    <mergeCell ref="AA25:AC25"/>
    <mergeCell ref="O22:Q22"/>
    <mergeCell ref="R22:T22"/>
    <mergeCell ref="AM22:AO22"/>
    <mergeCell ref="O24:Q24"/>
    <mergeCell ref="R24:T24"/>
    <mergeCell ref="AM24:AO24"/>
    <mergeCell ref="AJ22:AL22"/>
    <mergeCell ref="AJ24:AL24"/>
    <mergeCell ref="O19:Q19"/>
    <mergeCell ref="R19:T19"/>
    <mergeCell ref="AM19:AO19"/>
    <mergeCell ref="O21:Q21"/>
    <mergeCell ref="R21:T21"/>
    <mergeCell ref="AM21:AO21"/>
    <mergeCell ref="U19:W19"/>
    <mergeCell ref="U21:W21"/>
    <mergeCell ref="AM18:AO18"/>
    <mergeCell ref="AA18:AC18"/>
    <mergeCell ref="AD16:AF16"/>
    <mergeCell ref="U18:W18"/>
    <mergeCell ref="AG22:AI22"/>
    <mergeCell ref="AG24:AI24"/>
    <mergeCell ref="AD18:AF18"/>
    <mergeCell ref="AM17:AO17"/>
    <mergeCell ref="AM14:AO14"/>
    <mergeCell ref="O15:Q15"/>
    <mergeCell ref="R15:T15"/>
    <mergeCell ref="AM15:AO15"/>
    <mergeCell ref="AG15:AI15"/>
    <mergeCell ref="AM16:AO16"/>
    <mergeCell ref="AA15:AC15"/>
    <mergeCell ref="O18:Q18"/>
    <mergeCell ref="R18:T18"/>
    <mergeCell ref="O7:Q7"/>
    <mergeCell ref="R7:T7"/>
    <mergeCell ref="AM7:AO7"/>
    <mergeCell ref="A34:A36"/>
    <mergeCell ref="B34:C36"/>
    <mergeCell ref="AM8:AO8"/>
    <mergeCell ref="O9:Q9"/>
    <mergeCell ref="R9:T9"/>
    <mergeCell ref="AM9:AO9"/>
    <mergeCell ref="O10:Q10"/>
    <mergeCell ref="R10:T10"/>
    <mergeCell ref="AM10:AO10"/>
    <mergeCell ref="D34:D36"/>
    <mergeCell ref="E34:E36"/>
    <mergeCell ref="F34:H34"/>
    <mergeCell ref="I34:K34"/>
    <mergeCell ref="L34:N34"/>
    <mergeCell ref="F36:H36"/>
    <mergeCell ref="I36:K36"/>
    <mergeCell ref="L36:N36"/>
    <mergeCell ref="AM11:AO11"/>
    <mergeCell ref="O12:Q12"/>
    <mergeCell ref="R12:T12"/>
    <mergeCell ref="AM12:AO12"/>
    <mergeCell ref="O13:Q13"/>
    <mergeCell ref="R13:T13"/>
    <mergeCell ref="AM13:AO13"/>
    <mergeCell ref="L28:N28"/>
    <mergeCell ref="A22:A24"/>
    <mergeCell ref="B22:C24"/>
    <mergeCell ref="F41:H41"/>
    <mergeCell ref="I41:K41"/>
    <mergeCell ref="L41:N41"/>
    <mergeCell ref="F22:H22"/>
    <mergeCell ref="L25:N25"/>
    <mergeCell ref="L22:N22"/>
    <mergeCell ref="I24:K24"/>
    <mergeCell ref="L27:N27"/>
    <mergeCell ref="L30:N30"/>
    <mergeCell ref="F27:H27"/>
    <mergeCell ref="I27:K27"/>
    <mergeCell ref="L24:N24"/>
    <mergeCell ref="F33:H33"/>
    <mergeCell ref="I33:K33"/>
    <mergeCell ref="L33:N33"/>
    <mergeCell ref="L31:N31"/>
    <mergeCell ref="F30:H30"/>
    <mergeCell ref="I30:K30"/>
    <mergeCell ref="A31:A33"/>
    <mergeCell ref="B31:C33"/>
    <mergeCell ref="D31:D33"/>
    <mergeCell ref="E31:E33"/>
    <mergeCell ref="F31:H31"/>
    <mergeCell ref="I31:K31"/>
    <mergeCell ref="L21:N21"/>
    <mergeCell ref="L19:N19"/>
    <mergeCell ref="A19:A21"/>
    <mergeCell ref="B19:C21"/>
    <mergeCell ref="D19:D21"/>
    <mergeCell ref="E19:E21"/>
    <mergeCell ref="F19:H19"/>
    <mergeCell ref="A25:A27"/>
    <mergeCell ref="B25:C27"/>
    <mergeCell ref="F21:H21"/>
    <mergeCell ref="I21:K21"/>
    <mergeCell ref="D25:D27"/>
    <mergeCell ref="E25:E27"/>
    <mergeCell ref="F25:H25"/>
    <mergeCell ref="I25:K25"/>
    <mergeCell ref="F24:H24"/>
    <mergeCell ref="E22:E24"/>
    <mergeCell ref="A16:A18"/>
    <mergeCell ref="B16:C18"/>
    <mergeCell ref="D16:D18"/>
    <mergeCell ref="E16:E18"/>
    <mergeCell ref="L13:N13"/>
    <mergeCell ref="F16:H16"/>
    <mergeCell ref="A13:A15"/>
    <mergeCell ref="B13:C15"/>
    <mergeCell ref="D13:D15"/>
    <mergeCell ref="L18:N18"/>
    <mergeCell ref="L16:N16"/>
    <mergeCell ref="F18:H18"/>
    <mergeCell ref="I18:K18"/>
    <mergeCell ref="F17:H17"/>
    <mergeCell ref="F15:H15"/>
    <mergeCell ref="L15:N15"/>
    <mergeCell ref="F13:H13"/>
    <mergeCell ref="L9:N9"/>
    <mergeCell ref="I12:K12"/>
    <mergeCell ref="E10:E12"/>
    <mergeCell ref="L12:N12"/>
    <mergeCell ref="L10:N10"/>
    <mergeCell ref="B7:C9"/>
    <mergeCell ref="D7:D9"/>
    <mergeCell ref="F7:H7"/>
    <mergeCell ref="I7:K7"/>
    <mergeCell ref="L7:N7"/>
    <mergeCell ref="R6:T6"/>
    <mergeCell ref="F9:H9"/>
    <mergeCell ref="I9:K9"/>
    <mergeCell ref="L6:N6"/>
    <mergeCell ref="F1:AO3"/>
    <mergeCell ref="A4:AO4"/>
    <mergeCell ref="F5:AO5"/>
    <mergeCell ref="U6:W6"/>
    <mergeCell ref="F8:H8"/>
    <mergeCell ref="O6:Q6"/>
    <mergeCell ref="AM6:AO6"/>
    <mergeCell ref="X6:Z6"/>
    <mergeCell ref="I6:K6"/>
    <mergeCell ref="A7:A9"/>
    <mergeCell ref="A28:A30"/>
    <mergeCell ref="B28:C30"/>
    <mergeCell ref="D28:D30"/>
    <mergeCell ref="E28:E30"/>
    <mergeCell ref="F28:H28"/>
    <mergeCell ref="A1:E3"/>
    <mergeCell ref="A5:E5"/>
    <mergeCell ref="B6:C6"/>
    <mergeCell ref="F6:H6"/>
    <mergeCell ref="B10:C12"/>
    <mergeCell ref="A10:A12"/>
    <mergeCell ref="I15:K15"/>
    <mergeCell ref="I16:K16"/>
    <mergeCell ref="I19:K19"/>
    <mergeCell ref="F20:H20"/>
    <mergeCell ref="D10:D12"/>
    <mergeCell ref="F10:H10"/>
    <mergeCell ref="I10:K10"/>
    <mergeCell ref="F11:H11"/>
    <mergeCell ref="F12:H12"/>
    <mergeCell ref="I28:K28"/>
    <mergeCell ref="I22:K22"/>
    <mergeCell ref="AA6:AC6"/>
    <mergeCell ref="AD6:AF6"/>
    <mergeCell ref="AJ6:AL6"/>
    <mergeCell ref="AG6:AI6"/>
    <mergeCell ref="U7:W7"/>
    <mergeCell ref="X7:Z7"/>
    <mergeCell ref="AA7:AC7"/>
    <mergeCell ref="AD7:AF7"/>
    <mergeCell ref="X13:Z13"/>
    <mergeCell ref="X15:Z15"/>
    <mergeCell ref="AG7:AI7"/>
    <mergeCell ref="AJ7:AL7"/>
    <mergeCell ref="U9:W9"/>
    <mergeCell ref="X9:Z9"/>
    <mergeCell ref="AA9:AC9"/>
    <mergeCell ref="AD9:AF9"/>
    <mergeCell ref="AG9:AI9"/>
    <mergeCell ref="AJ9:AL9"/>
    <mergeCell ref="AD10:AF10"/>
    <mergeCell ref="AD12:AF12"/>
    <mergeCell ref="AD13:AF13"/>
    <mergeCell ref="AD15:AF15"/>
    <mergeCell ref="U10:W10"/>
    <mergeCell ref="U12:W12"/>
    <mergeCell ref="U13:W13"/>
    <mergeCell ref="U15:W15"/>
    <mergeCell ref="X10:Z10"/>
    <mergeCell ref="X12:Z12"/>
    <mergeCell ref="AJ10:AL10"/>
    <mergeCell ref="AJ12:AL12"/>
    <mergeCell ref="AJ13:AL13"/>
    <mergeCell ref="AJ15:AL15"/>
    <mergeCell ref="E7:E9"/>
    <mergeCell ref="O16:Q16"/>
    <mergeCell ref="R16:T16"/>
    <mergeCell ref="E13:E15"/>
    <mergeCell ref="I13:K13"/>
    <mergeCell ref="F14:H14"/>
    <mergeCell ref="AA27:AC27"/>
    <mergeCell ref="X25:Z25"/>
    <mergeCell ref="AG10:AI10"/>
    <mergeCell ref="AG12:AI12"/>
    <mergeCell ref="AG13:AI13"/>
    <mergeCell ref="AD28:AF28"/>
    <mergeCell ref="AD22:AF22"/>
    <mergeCell ref="AA10:AC10"/>
    <mergeCell ref="AA12:AC12"/>
    <mergeCell ref="AA13:AC13"/>
    <mergeCell ref="AJ27:AL27"/>
    <mergeCell ref="AG25:AI25"/>
    <mergeCell ref="AG27:AI27"/>
    <mergeCell ref="AD25:AF25"/>
    <mergeCell ref="AD27:AF27"/>
    <mergeCell ref="AA19:AC19"/>
    <mergeCell ref="AA21:AC21"/>
    <mergeCell ref="AD19:AF19"/>
    <mergeCell ref="AD21:AF21"/>
    <mergeCell ref="AD24:AF24"/>
    <mergeCell ref="U28:W28"/>
    <mergeCell ref="X28:Z28"/>
    <mergeCell ref="AA28:AC28"/>
    <mergeCell ref="U16:W16"/>
    <mergeCell ref="X16:Z16"/>
    <mergeCell ref="X18:Z18"/>
    <mergeCell ref="AA16:AC16"/>
    <mergeCell ref="X19:Z19"/>
    <mergeCell ref="X21:Z21"/>
    <mergeCell ref="X27:Z27"/>
    <mergeCell ref="AD30:AF30"/>
    <mergeCell ref="AG30:AI30"/>
    <mergeCell ref="AJ30:AL30"/>
    <mergeCell ref="U31:W31"/>
    <mergeCell ref="X31:Z31"/>
    <mergeCell ref="AA31:AC31"/>
    <mergeCell ref="AD31:AF31"/>
    <mergeCell ref="AG31:AI31"/>
    <mergeCell ref="X30:Z30"/>
    <mergeCell ref="AA30:AC30"/>
    <mergeCell ref="U34:W34"/>
    <mergeCell ref="X34:Z34"/>
    <mergeCell ref="AA34:AC34"/>
    <mergeCell ref="AD34:AF34"/>
    <mergeCell ref="AG34:AI34"/>
    <mergeCell ref="AJ34:AL34"/>
    <mergeCell ref="AG36:AI36"/>
    <mergeCell ref="AJ36:AL36"/>
    <mergeCell ref="X39:Z39"/>
    <mergeCell ref="X37:Z37"/>
    <mergeCell ref="AJ31:AL31"/>
    <mergeCell ref="AG33:AI33"/>
    <mergeCell ref="AJ33:AL33"/>
    <mergeCell ref="AA39:AC39"/>
    <mergeCell ref="AD39:AF39"/>
    <mergeCell ref="AG39:AI39"/>
    <mergeCell ref="AJ40:AL40"/>
    <mergeCell ref="U41:W41"/>
    <mergeCell ref="U42:W42"/>
    <mergeCell ref="U43:W43"/>
    <mergeCell ref="X41:Z41"/>
    <mergeCell ref="X42:Z42"/>
    <mergeCell ref="X43:Z43"/>
    <mergeCell ref="AA41:AC41"/>
    <mergeCell ref="AA42:AC42"/>
    <mergeCell ref="AJ41:AL41"/>
    <mergeCell ref="AJ42:AL42"/>
    <mergeCell ref="AJ43:AL43"/>
    <mergeCell ref="AD41:AF41"/>
    <mergeCell ref="AD42:AF42"/>
    <mergeCell ref="AD43:AF43"/>
    <mergeCell ref="AG41:AI41"/>
    <mergeCell ref="AG42:AI42"/>
    <mergeCell ref="AG43:AI4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pane ySplit="7" topLeftCell="A11" activePane="bottomLeft" state="frozen"/>
      <selection pane="topLeft" activeCell="A1" sqref="A1"/>
      <selection pane="bottomLeft" activeCell="Q1" sqref="Q1:Q16384"/>
    </sheetView>
  </sheetViews>
  <sheetFormatPr defaultColWidth="9.140625" defaultRowHeight="12.75"/>
  <cols>
    <col min="1" max="1" width="25.8515625" style="0" customWidth="1"/>
    <col min="2" max="2" width="4.421875" style="0" bestFit="1" customWidth="1"/>
    <col min="3" max="3" width="2.7109375" style="0" customWidth="1"/>
    <col min="4" max="4" width="6.8515625" style="0" customWidth="1"/>
    <col min="5" max="5" width="7.57421875" style="0" customWidth="1"/>
    <col min="6" max="6" width="2.7109375" style="0" customWidth="1"/>
    <col min="7" max="7" width="5.421875" style="0" customWidth="1"/>
    <col min="8" max="8" width="10.57421875" style="0" customWidth="1"/>
    <col min="9" max="9" width="7.7109375" style="0" customWidth="1"/>
    <col min="10" max="10" width="8.00390625" style="0" customWidth="1"/>
    <col min="11" max="11" width="8.140625" style="0" customWidth="1"/>
    <col min="12" max="12" width="7.57421875" style="0" customWidth="1"/>
    <col min="13" max="13" width="10.57421875" style="0" customWidth="1"/>
    <col min="14" max="14" width="12.140625" style="0" customWidth="1"/>
    <col min="15" max="15" width="10.8515625" style="0" customWidth="1"/>
    <col min="16" max="16" width="12.140625" style="0" customWidth="1"/>
    <col min="17" max="18" width="10.00390625" style="0" customWidth="1"/>
    <col min="19" max="19" width="12.140625" style="0" customWidth="1"/>
    <col min="20" max="20" width="12.00390625" style="0" customWidth="1"/>
    <col min="21" max="21" width="10.28125" style="0" customWidth="1"/>
    <col min="22" max="23" width="11.7109375" style="0" customWidth="1"/>
    <col min="24" max="24" width="9.28125" style="0" bestFit="1" customWidth="1"/>
  </cols>
  <sheetData>
    <row r="1" spans="1:23" ht="18.75" customHeight="1">
      <c r="A1" s="456" t="s">
        <v>118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8"/>
    </row>
    <row r="2" spans="1:23" ht="20.25">
      <c r="A2" s="459" t="str">
        <f>QUANT!A2</f>
        <v>BAIRRO:JARDIM GLÓRIA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460"/>
    </row>
    <row r="3" spans="1:23" ht="26.25" customHeight="1">
      <c r="A3" s="749" t="str">
        <f>QUANT!A3</f>
        <v>RUAS: Louro, Loro, Rosário Oeste, Cáceres, Aroeira, Santos, Rondonópolis, Pinheiros e Jacarandá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1"/>
    </row>
    <row r="4" spans="1:23" ht="20.25">
      <c r="A4" s="752" t="s">
        <v>276</v>
      </c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753"/>
      <c r="Q4" s="753"/>
      <c r="R4" s="753"/>
      <c r="S4" s="753"/>
      <c r="T4" s="753"/>
      <c r="U4" s="753"/>
      <c r="V4" s="753"/>
      <c r="W4" s="754"/>
    </row>
    <row r="5" spans="1:23" ht="12" customHeight="1">
      <c r="A5" s="742" t="s">
        <v>84</v>
      </c>
      <c r="B5" s="736" t="s">
        <v>85</v>
      </c>
      <c r="C5" s="737"/>
      <c r="D5" s="737"/>
      <c r="E5" s="737"/>
      <c r="F5" s="737"/>
      <c r="G5" s="738"/>
      <c r="H5" s="739" t="s">
        <v>86</v>
      </c>
      <c r="I5" s="755" t="s">
        <v>315</v>
      </c>
      <c r="J5" s="761"/>
      <c r="K5" s="761"/>
      <c r="L5" s="756"/>
      <c r="M5" s="739" t="s">
        <v>320</v>
      </c>
      <c r="N5" s="755" t="s">
        <v>3</v>
      </c>
      <c r="O5" s="756"/>
      <c r="P5" s="739" t="s">
        <v>277</v>
      </c>
      <c r="Q5" s="739" t="s">
        <v>278</v>
      </c>
      <c r="R5" s="739" t="s">
        <v>279</v>
      </c>
      <c r="S5" s="739" t="s">
        <v>280</v>
      </c>
      <c r="T5" s="747" t="s">
        <v>321</v>
      </c>
      <c r="U5" s="739" t="s">
        <v>323</v>
      </c>
      <c r="V5" s="757" t="s">
        <v>281</v>
      </c>
      <c r="W5" s="758"/>
    </row>
    <row r="6" spans="1:23" ht="12.75" customHeight="1">
      <c r="A6" s="743"/>
      <c r="B6" s="730" t="s">
        <v>87</v>
      </c>
      <c r="C6" s="731"/>
      <c r="D6" s="732"/>
      <c r="E6" s="730" t="s">
        <v>88</v>
      </c>
      <c r="F6" s="731"/>
      <c r="G6" s="732"/>
      <c r="H6" s="740"/>
      <c r="I6" s="745" t="s">
        <v>316</v>
      </c>
      <c r="J6" s="745" t="s">
        <v>319</v>
      </c>
      <c r="K6" s="745" t="s">
        <v>317</v>
      </c>
      <c r="L6" s="745" t="s">
        <v>318</v>
      </c>
      <c r="M6" s="740"/>
      <c r="N6" s="739" t="s">
        <v>89</v>
      </c>
      <c r="O6" s="739" t="s">
        <v>90</v>
      </c>
      <c r="P6" s="740"/>
      <c r="Q6" s="740"/>
      <c r="R6" s="740"/>
      <c r="S6" s="740"/>
      <c r="T6" s="748"/>
      <c r="U6" s="740"/>
      <c r="V6" s="759"/>
      <c r="W6" s="760"/>
    </row>
    <row r="7" spans="1:23" ht="28.5" customHeight="1">
      <c r="A7" s="744"/>
      <c r="B7" s="733"/>
      <c r="C7" s="734"/>
      <c r="D7" s="735"/>
      <c r="E7" s="733"/>
      <c r="F7" s="734"/>
      <c r="G7" s="735"/>
      <c r="H7" s="741"/>
      <c r="I7" s="746"/>
      <c r="J7" s="746"/>
      <c r="K7" s="746"/>
      <c r="L7" s="746"/>
      <c r="M7" s="741"/>
      <c r="N7" s="741"/>
      <c r="O7" s="741"/>
      <c r="P7" s="741"/>
      <c r="Q7" s="741"/>
      <c r="R7" s="741"/>
      <c r="S7" s="741"/>
      <c r="T7" s="623"/>
      <c r="U7" s="741"/>
      <c r="V7" s="135" t="s">
        <v>324</v>
      </c>
      <c r="W7" s="461" t="s">
        <v>325</v>
      </c>
    </row>
    <row r="8" spans="1:23" ht="15" customHeight="1">
      <c r="A8" s="441"/>
      <c r="B8" s="442"/>
      <c r="C8" s="268"/>
      <c r="D8" s="442"/>
      <c r="E8" s="442"/>
      <c r="F8" s="267"/>
      <c r="G8" s="442"/>
      <c r="H8" s="270"/>
      <c r="I8" s="271"/>
      <c r="J8" s="271"/>
      <c r="K8" s="271"/>
      <c r="L8" s="368"/>
      <c r="M8" s="271"/>
      <c r="N8" s="364"/>
      <c r="O8" s="310"/>
      <c r="P8" s="370"/>
      <c r="Q8" s="370"/>
      <c r="R8" s="370"/>
      <c r="S8" s="369"/>
      <c r="T8" s="369"/>
      <c r="U8" s="369"/>
      <c r="V8" s="369"/>
      <c r="W8" s="369"/>
    </row>
    <row r="9" spans="1:23" ht="15" customHeight="1">
      <c r="A9" s="454" t="s">
        <v>493</v>
      </c>
      <c r="B9" s="442"/>
      <c r="C9" s="268"/>
      <c r="D9" s="442"/>
      <c r="E9" s="442"/>
      <c r="F9" s="267"/>
      <c r="G9" s="442"/>
      <c r="H9" s="270"/>
      <c r="I9" s="271"/>
      <c r="J9" s="271"/>
      <c r="K9" s="271"/>
      <c r="L9" s="368"/>
      <c r="M9" s="271"/>
      <c r="N9" s="364"/>
      <c r="O9" s="310"/>
      <c r="P9" s="370"/>
      <c r="Q9" s="370"/>
      <c r="R9" s="370"/>
      <c r="S9" s="369"/>
      <c r="T9" s="369"/>
      <c r="U9" s="369"/>
      <c r="V9" s="369"/>
      <c r="W9" s="369"/>
    </row>
    <row r="10" spans="1:24" ht="31.5" customHeight="1">
      <c r="A10" s="525" t="s">
        <v>498</v>
      </c>
      <c r="B10" s="442">
        <v>0</v>
      </c>
      <c r="C10" s="268" t="s">
        <v>92</v>
      </c>
      <c r="D10" s="442">
        <v>0</v>
      </c>
      <c r="E10" s="442">
        <v>23</v>
      </c>
      <c r="F10" s="267" t="s">
        <v>92</v>
      </c>
      <c r="G10" s="442">
        <v>10.609</v>
      </c>
      <c r="H10" s="270">
        <f>(E10*20+G10)-(B10*20+D10)</f>
        <v>470.609</v>
      </c>
      <c r="I10" s="271">
        <v>0.5</v>
      </c>
      <c r="J10" s="271">
        <v>3.5</v>
      </c>
      <c r="K10" s="271">
        <v>3.5</v>
      </c>
      <c r="L10" s="368">
        <v>0.5</v>
      </c>
      <c r="M10" s="271">
        <f>H10*3</f>
        <v>1411.827</v>
      </c>
      <c r="N10" s="364">
        <v>1718.26</v>
      </c>
      <c r="O10" s="310">
        <v>20.571</v>
      </c>
      <c r="P10" s="370">
        <f aca="true" t="shared" si="0" ref="P10:P20">INT((I10+J10+K10+L10)*H10*100+0.5)/100</f>
        <v>3764.87</v>
      </c>
      <c r="Q10" s="370">
        <f aca="true" t="shared" si="1" ref="Q10:Q20">INT((I10+J10+K10+L10)*H10*0.2*100+0.5)/100</f>
        <v>752.97</v>
      </c>
      <c r="R10" s="370">
        <f aca="true" t="shared" si="2" ref="R10:R20">INT((I10+J10+K10+L10)*H10*0.2*100+0.5)/100</f>
        <v>752.97</v>
      </c>
      <c r="S10" s="369">
        <f aca="true" t="shared" si="3" ref="S10:S20">INT((J10-0.3+K10-0.3)*H10*100+0.5)/100</f>
        <v>3011.9</v>
      </c>
      <c r="T10" s="369">
        <f aca="true" t="shared" si="4" ref="T10:T20">INT(((J10-0.3+K10-0.3))*H10*100+0.5)/100</f>
        <v>3011.9</v>
      </c>
      <c r="U10" s="369">
        <f>S10*0.04</f>
        <v>120.476</v>
      </c>
      <c r="V10" s="369">
        <f aca="true" t="shared" si="5" ref="V10:V20">(H10-W10)*2</f>
        <v>753.298</v>
      </c>
      <c r="W10" s="369">
        <f>12*7.83</f>
        <v>93.96000000000001</v>
      </c>
      <c r="X10">
        <v>60</v>
      </c>
    </row>
    <row r="11" spans="1:24" ht="15" customHeight="1">
      <c r="A11" s="523" t="s">
        <v>497</v>
      </c>
      <c r="B11" s="442">
        <v>0</v>
      </c>
      <c r="C11" s="268" t="s">
        <v>92</v>
      </c>
      <c r="D11" s="442">
        <v>0</v>
      </c>
      <c r="E11" s="442">
        <v>5</v>
      </c>
      <c r="F11" s="267" t="s">
        <v>92</v>
      </c>
      <c r="G11" s="442">
        <v>13.737</v>
      </c>
      <c r="H11" s="270">
        <f aca="true" t="shared" si="6" ref="H11:H20">(E11*20+G11)-(B11*20+D11)</f>
        <v>113.737</v>
      </c>
      <c r="I11" s="271">
        <v>0.5</v>
      </c>
      <c r="J11" s="271">
        <v>3.5</v>
      </c>
      <c r="K11" s="271">
        <v>3.5</v>
      </c>
      <c r="L11" s="368">
        <v>0.5</v>
      </c>
      <c r="M11" s="271">
        <f aca="true" t="shared" si="7" ref="M11:M20">H11*3</f>
        <v>341.211</v>
      </c>
      <c r="N11" s="364">
        <v>416.572</v>
      </c>
      <c r="O11" s="310">
        <v>0</v>
      </c>
      <c r="P11" s="370">
        <f t="shared" si="0"/>
        <v>909.9</v>
      </c>
      <c r="Q11" s="370">
        <f t="shared" si="1"/>
        <v>181.98</v>
      </c>
      <c r="R11" s="370">
        <f t="shared" si="2"/>
        <v>181.98</v>
      </c>
      <c r="S11" s="369">
        <f t="shared" si="3"/>
        <v>727.92</v>
      </c>
      <c r="T11" s="369">
        <f t="shared" si="4"/>
        <v>727.92</v>
      </c>
      <c r="U11" s="369">
        <f aca="true" t="shared" si="8" ref="U11:U20">S11*0.04</f>
        <v>29.116799999999998</v>
      </c>
      <c r="V11" s="369">
        <f t="shared" si="5"/>
        <v>180.49399999999997</v>
      </c>
      <c r="W11" s="369">
        <f>3*7.83</f>
        <v>23.490000000000002</v>
      </c>
      <c r="X11">
        <v>60</v>
      </c>
    </row>
    <row r="12" spans="1:24" ht="15" customHeight="1">
      <c r="A12" s="523" t="s">
        <v>497</v>
      </c>
      <c r="B12" s="442">
        <v>0</v>
      </c>
      <c r="C12" s="268" t="s">
        <v>92</v>
      </c>
      <c r="D12" s="442">
        <v>0</v>
      </c>
      <c r="E12" s="442">
        <v>4</v>
      </c>
      <c r="F12" s="267" t="s">
        <v>92</v>
      </c>
      <c r="G12" s="442">
        <v>6.153</v>
      </c>
      <c r="H12" s="270">
        <f t="shared" si="6"/>
        <v>86.153</v>
      </c>
      <c r="I12" s="271">
        <v>0.5</v>
      </c>
      <c r="J12" s="271">
        <v>3.5</v>
      </c>
      <c r="K12" s="271">
        <v>3.5</v>
      </c>
      <c r="L12" s="368">
        <v>0.5</v>
      </c>
      <c r="M12" s="271">
        <f t="shared" si="7"/>
        <v>258.459</v>
      </c>
      <c r="N12" s="364">
        <v>333.225</v>
      </c>
      <c r="O12" s="310">
        <v>0</v>
      </c>
      <c r="P12" s="370">
        <f t="shared" si="0"/>
        <v>689.22</v>
      </c>
      <c r="Q12" s="370">
        <f t="shared" si="1"/>
        <v>137.84</v>
      </c>
      <c r="R12" s="370">
        <f t="shared" si="2"/>
        <v>137.84</v>
      </c>
      <c r="S12" s="369">
        <f t="shared" si="3"/>
        <v>551.38</v>
      </c>
      <c r="T12" s="369">
        <f t="shared" si="4"/>
        <v>551.38</v>
      </c>
      <c r="U12" s="369">
        <f t="shared" si="8"/>
        <v>22.0552</v>
      </c>
      <c r="V12" s="369">
        <f t="shared" si="5"/>
        <v>125.32600000000001</v>
      </c>
      <c r="W12" s="369">
        <f>3*7.83</f>
        <v>23.490000000000002</v>
      </c>
      <c r="X12">
        <v>60</v>
      </c>
    </row>
    <row r="13" spans="1:24" ht="15" customHeight="1">
      <c r="A13" s="523" t="s">
        <v>502</v>
      </c>
      <c r="B13" s="442">
        <v>0</v>
      </c>
      <c r="C13" s="268" t="s">
        <v>92</v>
      </c>
      <c r="D13" s="442">
        <v>0</v>
      </c>
      <c r="E13" s="442">
        <v>18</v>
      </c>
      <c r="F13" s="267" t="s">
        <v>92</v>
      </c>
      <c r="G13" s="442">
        <v>7.671</v>
      </c>
      <c r="H13" s="270">
        <f t="shared" si="6"/>
        <v>367.671</v>
      </c>
      <c r="I13" s="271">
        <v>0.5</v>
      </c>
      <c r="J13" s="271">
        <v>3.5</v>
      </c>
      <c r="K13" s="271">
        <v>3.5</v>
      </c>
      <c r="L13" s="368">
        <v>0.5</v>
      </c>
      <c r="M13" s="271">
        <f t="shared" si="7"/>
        <v>1103.013</v>
      </c>
      <c r="N13" s="364">
        <v>1492.124</v>
      </c>
      <c r="O13" s="310">
        <v>1.529</v>
      </c>
      <c r="P13" s="370">
        <f t="shared" si="0"/>
        <v>2941.37</v>
      </c>
      <c r="Q13" s="370">
        <f t="shared" si="1"/>
        <v>588.27</v>
      </c>
      <c r="R13" s="370">
        <f t="shared" si="2"/>
        <v>588.27</v>
      </c>
      <c r="S13" s="369">
        <f t="shared" si="3"/>
        <v>2353.09</v>
      </c>
      <c r="T13" s="369">
        <f t="shared" si="4"/>
        <v>2353.09</v>
      </c>
      <c r="U13" s="369">
        <f t="shared" si="8"/>
        <v>94.12360000000001</v>
      </c>
      <c r="V13" s="369">
        <f t="shared" si="5"/>
        <v>610.062</v>
      </c>
      <c r="W13" s="369">
        <f>8*7.83</f>
        <v>62.64</v>
      </c>
      <c r="X13">
        <v>60</v>
      </c>
    </row>
    <row r="14" spans="1:24" ht="15" customHeight="1">
      <c r="A14" s="523" t="s">
        <v>494</v>
      </c>
      <c r="B14" s="442">
        <v>0</v>
      </c>
      <c r="C14" s="268" t="s">
        <v>92</v>
      </c>
      <c r="D14" s="442">
        <v>0</v>
      </c>
      <c r="E14" s="442">
        <v>2</v>
      </c>
      <c r="F14" s="267" t="s">
        <v>92</v>
      </c>
      <c r="G14" s="442">
        <v>4.31</v>
      </c>
      <c r="H14" s="270">
        <f t="shared" si="6"/>
        <v>44.31</v>
      </c>
      <c r="I14" s="271">
        <v>0.5</v>
      </c>
      <c r="J14" s="271">
        <v>3.5</v>
      </c>
      <c r="K14" s="271">
        <v>3.5</v>
      </c>
      <c r="L14" s="368">
        <v>0.5</v>
      </c>
      <c r="M14" s="271">
        <f t="shared" si="7"/>
        <v>132.93</v>
      </c>
      <c r="N14" s="364">
        <v>182.465</v>
      </c>
      <c r="O14" s="310">
        <v>0</v>
      </c>
      <c r="P14" s="370">
        <f t="shared" si="0"/>
        <v>354.48</v>
      </c>
      <c r="Q14" s="370">
        <f t="shared" si="1"/>
        <v>70.9</v>
      </c>
      <c r="R14" s="370">
        <f t="shared" si="2"/>
        <v>70.9</v>
      </c>
      <c r="S14" s="369">
        <f t="shared" si="3"/>
        <v>283.58</v>
      </c>
      <c r="T14" s="369">
        <f t="shared" si="4"/>
        <v>283.58</v>
      </c>
      <c r="U14" s="369">
        <f t="shared" si="8"/>
        <v>11.3432</v>
      </c>
      <c r="V14" s="369">
        <f t="shared" si="5"/>
        <v>25.980000000000004</v>
      </c>
      <c r="W14" s="369">
        <f>4*7.83</f>
        <v>31.32</v>
      </c>
      <c r="X14">
        <v>60</v>
      </c>
    </row>
    <row r="15" spans="1:24" ht="15" customHeight="1">
      <c r="A15" s="523" t="s">
        <v>495</v>
      </c>
      <c r="B15" s="442">
        <v>0</v>
      </c>
      <c r="C15" s="268" t="s">
        <v>92</v>
      </c>
      <c r="D15" s="442">
        <v>0</v>
      </c>
      <c r="E15" s="442">
        <v>21</v>
      </c>
      <c r="F15" s="267" t="s">
        <v>92</v>
      </c>
      <c r="G15" s="442">
        <v>17.507</v>
      </c>
      <c r="H15" s="270">
        <f t="shared" si="6"/>
        <v>437.507</v>
      </c>
      <c r="I15" s="271">
        <v>0.5</v>
      </c>
      <c r="J15" s="271">
        <v>3.5</v>
      </c>
      <c r="K15" s="271">
        <v>3.5</v>
      </c>
      <c r="L15" s="368">
        <v>0.5</v>
      </c>
      <c r="M15" s="271">
        <f t="shared" si="7"/>
        <v>1312.521</v>
      </c>
      <c r="N15" s="364">
        <v>2103.23</v>
      </c>
      <c r="O15" s="310">
        <v>15.92</v>
      </c>
      <c r="P15" s="370">
        <f t="shared" si="0"/>
        <v>3500.06</v>
      </c>
      <c r="Q15" s="370">
        <f t="shared" si="1"/>
        <v>700.01</v>
      </c>
      <c r="R15" s="370">
        <f t="shared" si="2"/>
        <v>700.01</v>
      </c>
      <c r="S15" s="369">
        <f t="shared" si="3"/>
        <v>2800.04</v>
      </c>
      <c r="T15" s="369">
        <f t="shared" si="4"/>
        <v>2800.04</v>
      </c>
      <c r="U15" s="369">
        <f t="shared" si="8"/>
        <v>112.0016</v>
      </c>
      <c r="V15" s="369">
        <f t="shared" si="5"/>
        <v>749.734</v>
      </c>
      <c r="W15" s="369">
        <f>8*7.83</f>
        <v>62.64</v>
      </c>
      <c r="X15">
        <v>60</v>
      </c>
    </row>
    <row r="16" spans="1:24" ht="15" customHeight="1">
      <c r="A16" s="524" t="s">
        <v>501</v>
      </c>
      <c r="B16" s="442">
        <v>0</v>
      </c>
      <c r="C16" s="268" t="s">
        <v>92</v>
      </c>
      <c r="D16" s="442">
        <v>0</v>
      </c>
      <c r="E16" s="442">
        <v>34</v>
      </c>
      <c r="F16" s="267" t="s">
        <v>92</v>
      </c>
      <c r="G16" s="442">
        <v>12.923</v>
      </c>
      <c r="H16" s="270">
        <f t="shared" si="6"/>
        <v>692.923</v>
      </c>
      <c r="I16" s="271">
        <v>0.5</v>
      </c>
      <c r="J16" s="271">
        <v>3.5</v>
      </c>
      <c r="K16" s="271">
        <v>3.5</v>
      </c>
      <c r="L16" s="368">
        <v>0.5</v>
      </c>
      <c r="M16" s="271">
        <f t="shared" si="7"/>
        <v>2078.7690000000002</v>
      </c>
      <c r="N16" s="364">
        <v>2966.196</v>
      </c>
      <c r="O16" s="310">
        <v>29.948</v>
      </c>
      <c r="P16" s="370">
        <f t="shared" si="0"/>
        <v>5543.38</v>
      </c>
      <c r="Q16" s="370">
        <f t="shared" si="1"/>
        <v>1108.68</v>
      </c>
      <c r="R16" s="370">
        <f t="shared" si="2"/>
        <v>1108.68</v>
      </c>
      <c r="S16" s="369">
        <f t="shared" si="3"/>
        <v>4434.71</v>
      </c>
      <c r="T16" s="369">
        <f t="shared" si="4"/>
        <v>4434.71</v>
      </c>
      <c r="U16" s="369">
        <f t="shared" si="8"/>
        <v>177.38840000000002</v>
      </c>
      <c r="V16" s="369">
        <f t="shared" si="5"/>
        <v>1135.286</v>
      </c>
      <c r="W16" s="369">
        <f>16*7.83</f>
        <v>125.28</v>
      </c>
      <c r="X16">
        <v>60</v>
      </c>
    </row>
    <row r="17" spans="1:24" ht="15" customHeight="1">
      <c r="A17" s="523" t="s">
        <v>500</v>
      </c>
      <c r="B17" s="442">
        <v>0</v>
      </c>
      <c r="C17" s="268" t="s">
        <v>92</v>
      </c>
      <c r="D17" s="442">
        <v>0</v>
      </c>
      <c r="E17" s="442">
        <v>5</v>
      </c>
      <c r="F17" s="267" t="s">
        <v>92</v>
      </c>
      <c r="G17" s="442">
        <v>12.296</v>
      </c>
      <c r="H17" s="270">
        <f t="shared" si="6"/>
        <v>112.29599999999999</v>
      </c>
      <c r="I17" s="271">
        <v>0.5</v>
      </c>
      <c r="J17" s="271">
        <v>3.5</v>
      </c>
      <c r="K17" s="271">
        <v>3.5</v>
      </c>
      <c r="L17" s="368">
        <v>0.5</v>
      </c>
      <c r="M17" s="271">
        <f t="shared" si="7"/>
        <v>336.888</v>
      </c>
      <c r="N17" s="364">
        <v>298.766</v>
      </c>
      <c r="O17" s="310">
        <v>0.178</v>
      </c>
      <c r="P17" s="370">
        <f t="shared" si="0"/>
        <v>898.37</v>
      </c>
      <c r="Q17" s="370">
        <f t="shared" si="1"/>
        <v>179.67</v>
      </c>
      <c r="R17" s="370">
        <f t="shared" si="2"/>
        <v>179.67</v>
      </c>
      <c r="S17" s="369">
        <f t="shared" si="3"/>
        <v>718.69</v>
      </c>
      <c r="T17" s="369">
        <f t="shared" si="4"/>
        <v>718.69</v>
      </c>
      <c r="U17" s="369">
        <f t="shared" si="8"/>
        <v>28.747600000000002</v>
      </c>
      <c r="V17" s="369">
        <f t="shared" si="5"/>
        <v>193.272</v>
      </c>
      <c r="W17" s="369">
        <f>2*7.83</f>
        <v>15.66</v>
      </c>
      <c r="X17">
        <v>60</v>
      </c>
    </row>
    <row r="18" spans="1:24" ht="15" customHeight="1">
      <c r="A18" s="523" t="s">
        <v>563</v>
      </c>
      <c r="B18" s="442">
        <v>0</v>
      </c>
      <c r="C18" s="268" t="s">
        <v>92</v>
      </c>
      <c r="D18" s="442">
        <v>0</v>
      </c>
      <c r="E18" s="442">
        <v>6</v>
      </c>
      <c r="F18" s="267" t="s">
        <v>92</v>
      </c>
      <c r="G18" s="442">
        <v>18.876</v>
      </c>
      <c r="H18" s="270">
        <f t="shared" si="6"/>
        <v>138.876</v>
      </c>
      <c r="I18" s="271">
        <v>0.5</v>
      </c>
      <c r="J18" s="271">
        <v>3.5</v>
      </c>
      <c r="K18" s="271">
        <v>3.5</v>
      </c>
      <c r="L18" s="368">
        <v>0.5</v>
      </c>
      <c r="M18" s="271">
        <f t="shared" si="7"/>
        <v>416.62800000000004</v>
      </c>
      <c r="N18" s="364">
        <v>715.059</v>
      </c>
      <c r="O18" s="310">
        <v>0</v>
      </c>
      <c r="P18" s="370">
        <f t="shared" si="0"/>
        <v>1111.01</v>
      </c>
      <c r="Q18" s="370">
        <f t="shared" si="1"/>
        <v>222.2</v>
      </c>
      <c r="R18" s="370">
        <f t="shared" si="2"/>
        <v>222.2</v>
      </c>
      <c r="S18" s="369">
        <f t="shared" si="3"/>
        <v>888.81</v>
      </c>
      <c r="T18" s="369">
        <f t="shared" si="4"/>
        <v>888.81</v>
      </c>
      <c r="U18" s="369">
        <f t="shared" si="8"/>
        <v>35.5524</v>
      </c>
      <c r="V18" s="369">
        <f t="shared" si="5"/>
        <v>152.472</v>
      </c>
      <c r="W18" s="369">
        <f>8*7.83</f>
        <v>62.64</v>
      </c>
      <c r="X18">
        <v>60</v>
      </c>
    </row>
    <row r="19" spans="1:24" ht="15" customHeight="1">
      <c r="A19" s="524" t="s">
        <v>496</v>
      </c>
      <c r="B19" s="442">
        <v>0</v>
      </c>
      <c r="C19" s="268" t="s">
        <v>92</v>
      </c>
      <c r="D19" s="442">
        <v>0</v>
      </c>
      <c r="E19" s="442">
        <v>3</v>
      </c>
      <c r="F19" s="267" t="s">
        <v>92</v>
      </c>
      <c r="G19" s="442">
        <v>12.502</v>
      </c>
      <c r="H19" s="270">
        <f t="shared" si="6"/>
        <v>72.502</v>
      </c>
      <c r="I19" s="271">
        <v>0.5</v>
      </c>
      <c r="J19" s="271">
        <v>3.5</v>
      </c>
      <c r="K19" s="271">
        <v>3.5</v>
      </c>
      <c r="L19" s="368">
        <v>0.5</v>
      </c>
      <c r="M19" s="271">
        <f t="shared" si="7"/>
        <v>217.50599999999997</v>
      </c>
      <c r="N19" s="364">
        <v>318.089</v>
      </c>
      <c r="O19" s="310">
        <v>0</v>
      </c>
      <c r="P19" s="370">
        <f t="shared" si="0"/>
        <v>580.02</v>
      </c>
      <c r="Q19" s="370">
        <f t="shared" si="1"/>
        <v>116</v>
      </c>
      <c r="R19" s="370">
        <f t="shared" si="2"/>
        <v>116</v>
      </c>
      <c r="S19" s="369">
        <f t="shared" si="3"/>
        <v>464.01</v>
      </c>
      <c r="T19" s="369">
        <f t="shared" si="4"/>
        <v>464.01</v>
      </c>
      <c r="U19" s="369">
        <f t="shared" si="8"/>
        <v>18.5604</v>
      </c>
      <c r="V19" s="369">
        <f t="shared" si="5"/>
        <v>82.36399999999999</v>
      </c>
      <c r="W19" s="369">
        <f>4*7.83</f>
        <v>31.32</v>
      </c>
      <c r="X19">
        <v>60</v>
      </c>
    </row>
    <row r="20" spans="1:24" ht="15" customHeight="1">
      <c r="A20" s="523" t="s">
        <v>499</v>
      </c>
      <c r="B20" s="442">
        <v>0</v>
      </c>
      <c r="C20" s="268" t="s">
        <v>92</v>
      </c>
      <c r="D20" s="442">
        <v>0</v>
      </c>
      <c r="E20" s="442">
        <v>5</v>
      </c>
      <c r="F20" s="267" t="s">
        <v>92</v>
      </c>
      <c r="G20" s="442">
        <v>13.431</v>
      </c>
      <c r="H20" s="270">
        <f t="shared" si="6"/>
        <v>113.431</v>
      </c>
      <c r="I20" s="271">
        <v>0.5</v>
      </c>
      <c r="J20" s="271">
        <v>3.5</v>
      </c>
      <c r="K20" s="271">
        <v>3.5</v>
      </c>
      <c r="L20" s="368">
        <v>0.5</v>
      </c>
      <c r="M20" s="271">
        <f t="shared" si="7"/>
        <v>340.293</v>
      </c>
      <c r="N20" s="364">
        <v>422.939</v>
      </c>
      <c r="O20" s="310">
        <v>0</v>
      </c>
      <c r="P20" s="370">
        <f t="shared" si="0"/>
        <v>907.45</v>
      </c>
      <c r="Q20" s="370">
        <f t="shared" si="1"/>
        <v>181.49</v>
      </c>
      <c r="R20" s="370">
        <f t="shared" si="2"/>
        <v>181.49</v>
      </c>
      <c r="S20" s="369">
        <f t="shared" si="3"/>
        <v>725.96</v>
      </c>
      <c r="T20" s="369">
        <f t="shared" si="4"/>
        <v>725.96</v>
      </c>
      <c r="U20" s="369">
        <f t="shared" si="8"/>
        <v>29.038400000000003</v>
      </c>
      <c r="V20" s="369">
        <f t="shared" si="5"/>
        <v>195.542</v>
      </c>
      <c r="W20" s="369">
        <f>2*7.83</f>
        <v>15.66</v>
      </c>
      <c r="X20">
        <v>60</v>
      </c>
    </row>
    <row r="21" spans="1:24" ht="15" customHeight="1">
      <c r="A21" s="493"/>
      <c r="B21" s="442"/>
      <c r="C21" s="268"/>
      <c r="D21" s="442"/>
      <c r="E21" s="442"/>
      <c r="F21" s="267"/>
      <c r="G21" s="442"/>
      <c r="H21" s="270"/>
      <c r="I21" s="271"/>
      <c r="J21" s="271"/>
      <c r="K21" s="271"/>
      <c r="L21" s="368"/>
      <c r="M21" s="271"/>
      <c r="N21" s="364"/>
      <c r="O21" s="310"/>
      <c r="P21" s="370"/>
      <c r="Q21" s="370"/>
      <c r="R21" s="370"/>
      <c r="S21" s="369"/>
      <c r="T21" s="369"/>
      <c r="U21" s="369"/>
      <c r="V21" s="369"/>
      <c r="W21" s="369"/>
      <c r="X21" s="34"/>
    </row>
    <row r="22" spans="1:24" ht="15" customHeight="1">
      <c r="A22" s="455" t="s">
        <v>480</v>
      </c>
      <c r="B22" s="442"/>
      <c r="C22" s="268"/>
      <c r="D22" s="442"/>
      <c r="E22" s="442"/>
      <c r="F22" s="267"/>
      <c r="G22" s="442"/>
      <c r="H22" s="270">
        <v>100</v>
      </c>
      <c r="I22" s="271">
        <v>0.5</v>
      </c>
      <c r="J22" s="271">
        <v>3.5</v>
      </c>
      <c r="K22" s="271">
        <v>3.5</v>
      </c>
      <c r="L22" s="368">
        <v>0.5</v>
      </c>
      <c r="M22" s="271">
        <f>H22*3</f>
        <v>300</v>
      </c>
      <c r="N22" s="364">
        <v>216.967</v>
      </c>
      <c r="O22" s="310">
        <v>0</v>
      </c>
      <c r="P22" s="370">
        <f>INT((I22+J22+K22+L22)*H22*100+0.5)/100</f>
        <v>800</v>
      </c>
      <c r="Q22" s="370">
        <f>INT((I22+J22+K22+L22)*H22*0.2*100+0.5)/100</f>
        <v>160</v>
      </c>
      <c r="R22" s="370">
        <f>INT((I22+J22+K22+L22)*H22*0.2*100+0.5)/100</f>
        <v>160</v>
      </c>
      <c r="S22" s="369">
        <f>INT((J22-0.3+K22-0.3)*H22*100+0.5)/100</f>
        <v>640</v>
      </c>
      <c r="T22" s="369">
        <f>INT(((J22-0.3+K22-0.3))*H22*100+0.5)/100</f>
        <v>640</v>
      </c>
      <c r="U22" s="369">
        <f>S22*0.04</f>
        <v>25.6</v>
      </c>
      <c r="V22" s="369">
        <v>0</v>
      </c>
      <c r="W22" s="369">
        <v>0</v>
      </c>
      <c r="X22" s="34">
        <v>0</v>
      </c>
    </row>
    <row r="23" spans="1:23" s="34" customFormat="1" ht="12.75">
      <c r="A23" s="462" t="s">
        <v>14</v>
      </c>
      <c r="B23" s="267"/>
      <c r="C23" s="268"/>
      <c r="D23" s="269"/>
      <c r="E23" s="267"/>
      <c r="F23" s="267"/>
      <c r="G23" s="269"/>
      <c r="H23" s="463">
        <f>SUM(H8:H22)</f>
        <v>2750.015</v>
      </c>
      <c r="I23" s="463"/>
      <c r="J23" s="463"/>
      <c r="K23" s="463"/>
      <c r="L23" s="463"/>
      <c r="M23" s="463">
        <f aca="true" t="shared" si="9" ref="M23:W23">SUM(M8:M22)</f>
        <v>8250.045</v>
      </c>
      <c r="N23" s="463">
        <f>SUM(N8:N22)</f>
        <v>11183.892</v>
      </c>
      <c r="O23" s="463">
        <f t="shared" si="9"/>
        <v>68.146</v>
      </c>
      <c r="P23" s="463">
        <f t="shared" si="9"/>
        <v>22000.129999999997</v>
      </c>
      <c r="Q23" s="463">
        <f t="shared" si="9"/>
        <v>4400.01</v>
      </c>
      <c r="R23" s="463">
        <f t="shared" si="9"/>
        <v>4400.01</v>
      </c>
      <c r="S23" s="463">
        <f t="shared" si="9"/>
        <v>17600.09</v>
      </c>
      <c r="T23" s="463">
        <f t="shared" si="9"/>
        <v>17600.09</v>
      </c>
      <c r="U23" s="463">
        <f>SUM(U8:U22)</f>
        <v>704.0036000000001</v>
      </c>
      <c r="V23" s="463">
        <f t="shared" si="9"/>
        <v>4203.83</v>
      </c>
      <c r="W23" s="463">
        <f t="shared" si="9"/>
        <v>548.1</v>
      </c>
    </row>
    <row r="24" spans="1:23" ht="12.75">
      <c r="A24" s="272"/>
      <c r="B24" s="273"/>
      <c r="C24" s="273"/>
      <c r="D24" s="273"/>
      <c r="E24" s="273"/>
      <c r="F24" s="273"/>
      <c r="G24" s="273"/>
      <c r="H24" s="497">
        <f>H23/1000</f>
        <v>2.750015</v>
      </c>
      <c r="I24" s="273"/>
      <c r="J24" s="273"/>
      <c r="K24" s="273"/>
      <c r="L24" s="273"/>
      <c r="M24" s="273"/>
      <c r="N24" s="274"/>
      <c r="O24" s="274"/>
      <c r="P24" s="274"/>
      <c r="Q24" s="274"/>
      <c r="R24" s="274"/>
      <c r="S24" s="274"/>
      <c r="T24" s="274"/>
      <c r="U24" s="274"/>
      <c r="V24" s="275"/>
      <c r="W24" s="275"/>
    </row>
    <row r="26" spans="16:17" ht="12.75">
      <c r="P26" s="140"/>
      <c r="Q26" s="365"/>
    </row>
    <row r="27" ht="12" customHeight="1">
      <c r="N27" s="7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23">
    <mergeCell ref="A3:W3"/>
    <mergeCell ref="A4:W4"/>
    <mergeCell ref="N5:O5"/>
    <mergeCell ref="L6:L7"/>
    <mergeCell ref="H5:H7"/>
    <mergeCell ref="O6:O7"/>
    <mergeCell ref="B6:D7"/>
    <mergeCell ref="S5:S7"/>
    <mergeCell ref="V5:W6"/>
    <mergeCell ref="I5:L5"/>
    <mergeCell ref="U5:U7"/>
    <mergeCell ref="K6:K7"/>
    <mergeCell ref="J6:J7"/>
    <mergeCell ref="R5:R7"/>
    <mergeCell ref="T5:T7"/>
    <mergeCell ref="I6:I7"/>
    <mergeCell ref="M5:M7"/>
    <mergeCell ref="E6:G7"/>
    <mergeCell ref="B5:G5"/>
    <mergeCell ref="P5:P7"/>
    <mergeCell ref="A5:A7"/>
    <mergeCell ref="Q5:Q7"/>
    <mergeCell ref="N6:N7"/>
  </mergeCells>
  <printOptions horizontalCentered="1"/>
  <pageMargins left="0.11811023622047245" right="0.11811023622047245" top="0.5905511811023623" bottom="0.3937007874015748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8"/>
  <sheetViews>
    <sheetView zoomScale="80" zoomScaleNormal="80" zoomScalePageLayoutView="0" workbookViewId="0" topLeftCell="A43">
      <selection activeCell="D78" sqref="D78"/>
    </sheetView>
  </sheetViews>
  <sheetFormatPr defaultColWidth="9.140625" defaultRowHeight="12.75"/>
  <cols>
    <col min="1" max="1" width="22.421875" style="0" customWidth="1"/>
    <col min="2" max="2" width="36.140625" style="0" bestFit="1" customWidth="1"/>
    <col min="3" max="3" width="9.421875" style="0" bestFit="1" customWidth="1"/>
    <col min="4" max="4" width="11.8515625" style="484" customWidth="1"/>
    <col min="5" max="5" width="12.140625" style="0" customWidth="1"/>
    <col min="6" max="6" width="11.7109375" style="444" customWidth="1"/>
    <col min="7" max="7" width="9.421875" style="444" bestFit="1" customWidth="1"/>
    <col min="8" max="8" width="9.421875" style="0" bestFit="1" customWidth="1"/>
    <col min="9" max="9" width="11.140625" style="0" bestFit="1" customWidth="1"/>
    <col min="10" max="10" width="13.7109375" style="0" customWidth="1"/>
    <col min="13" max="14" width="9.140625" style="0" customWidth="1"/>
    <col min="15" max="15" width="9.7109375" style="0" bestFit="1" customWidth="1"/>
  </cols>
  <sheetData>
    <row r="1" spans="1:10" ht="12.75">
      <c r="A1" s="115" t="s">
        <v>118</v>
      </c>
      <c r="B1" s="115"/>
      <c r="C1" s="116"/>
      <c r="D1" s="480"/>
      <c r="E1" s="116"/>
      <c r="F1" s="116"/>
      <c r="G1" s="116"/>
      <c r="H1" s="116"/>
      <c r="I1" s="116"/>
      <c r="J1" s="117"/>
    </row>
    <row r="2" spans="1:10" ht="12.75">
      <c r="A2" s="115" t="str">
        <f>QUANT!A2</f>
        <v>BAIRRO:JARDIM GLÓRIA</v>
      </c>
      <c r="B2" s="115"/>
      <c r="C2" s="116"/>
      <c r="D2" s="480"/>
      <c r="E2" s="116"/>
      <c r="F2" s="116"/>
      <c r="G2" s="116"/>
      <c r="H2" s="116"/>
      <c r="I2" s="116"/>
      <c r="J2" s="117"/>
    </row>
    <row r="3" spans="1:10" ht="32.25" customHeight="1">
      <c r="A3" s="770" t="str">
        <f>QUANT!A3</f>
        <v>RUAS: Louro, Loro, Rosário Oeste, Cáceres, Aroeira, Santos, Rondonópolis, Pinheiros e Jacarandá</v>
      </c>
      <c r="B3" s="771"/>
      <c r="C3" s="771"/>
      <c r="D3" s="771"/>
      <c r="E3" s="771"/>
      <c r="F3" s="771"/>
      <c r="G3" s="771"/>
      <c r="H3" s="771"/>
      <c r="I3" s="771"/>
      <c r="J3" s="772"/>
    </row>
    <row r="4" spans="1:10" ht="12.75">
      <c r="A4" s="773" t="s">
        <v>187</v>
      </c>
      <c r="B4" s="774"/>
      <c r="C4" s="774"/>
      <c r="D4" s="774"/>
      <c r="E4" s="774"/>
      <c r="F4" s="774"/>
      <c r="G4" s="774"/>
      <c r="H4" s="774"/>
      <c r="I4" s="774"/>
      <c r="J4" s="775"/>
    </row>
    <row r="5" spans="1:10" ht="12.75">
      <c r="A5" s="776"/>
      <c r="B5" s="777"/>
      <c r="C5" s="777"/>
      <c r="D5" s="777"/>
      <c r="E5" s="777"/>
      <c r="F5" s="777"/>
      <c r="G5" s="777"/>
      <c r="H5" s="777"/>
      <c r="I5" s="777"/>
      <c r="J5" s="778"/>
    </row>
    <row r="6" spans="1:10" ht="38.25" customHeight="1">
      <c r="A6" s="779" t="str">
        <f>QUANT!A2</f>
        <v>BAIRRO:JARDIM GLÓRIA</v>
      </c>
      <c r="B6" s="780"/>
      <c r="C6" s="783" t="s">
        <v>254</v>
      </c>
      <c r="D6" s="783" t="s">
        <v>188</v>
      </c>
      <c r="E6" s="167" t="s">
        <v>189</v>
      </c>
      <c r="F6" s="167" t="s">
        <v>190</v>
      </c>
      <c r="G6" s="167" t="s">
        <v>191</v>
      </c>
      <c r="H6" s="167" t="s">
        <v>192</v>
      </c>
      <c r="I6" s="167" t="s">
        <v>193</v>
      </c>
      <c r="J6" s="223" t="s">
        <v>194</v>
      </c>
    </row>
    <row r="7" spans="1:10" ht="25.5">
      <c r="A7" s="781"/>
      <c r="B7" s="782"/>
      <c r="C7" s="783"/>
      <c r="D7" s="783"/>
      <c r="E7" s="168" t="s">
        <v>195</v>
      </c>
      <c r="F7" s="168" t="s">
        <v>196</v>
      </c>
      <c r="G7" s="168" t="s">
        <v>197</v>
      </c>
      <c r="H7" s="168" t="s">
        <v>198</v>
      </c>
      <c r="I7" s="526" t="s">
        <v>211</v>
      </c>
      <c r="J7" s="223"/>
    </row>
    <row r="8" spans="1:10" ht="12.75">
      <c r="A8" s="284"/>
      <c r="B8" s="169"/>
      <c r="C8" s="139"/>
      <c r="D8" s="236"/>
      <c r="E8" s="170"/>
      <c r="F8" s="139"/>
      <c r="G8" s="139"/>
      <c r="H8" s="139"/>
      <c r="I8" s="139"/>
      <c r="J8" s="139"/>
    </row>
    <row r="9" spans="1:10" ht="12.75">
      <c r="A9" s="276"/>
      <c r="B9" s="169"/>
      <c r="C9" s="165"/>
      <c r="D9" s="236"/>
      <c r="E9" s="236"/>
      <c r="F9" s="139"/>
      <c r="G9" s="139"/>
      <c r="H9" s="139"/>
      <c r="I9" s="139"/>
      <c r="J9" s="139"/>
    </row>
    <row r="10" spans="1:10" ht="12.75" customHeight="1">
      <c r="A10" s="762" t="s">
        <v>502</v>
      </c>
      <c r="B10" s="169" t="s">
        <v>255</v>
      </c>
      <c r="C10" s="445">
        <v>91</v>
      </c>
      <c r="D10" s="485">
        <v>0.6</v>
      </c>
      <c r="E10" s="528">
        <v>1.4</v>
      </c>
      <c r="F10" s="285">
        <v>1.6</v>
      </c>
      <c r="G10" s="170">
        <v>1.6</v>
      </c>
      <c r="H10" s="139">
        <f>SUM(F10:G10)/2</f>
        <v>1.6</v>
      </c>
      <c r="I10" s="139">
        <f>SUM(C10*E10*H10)</f>
        <v>203.84</v>
      </c>
      <c r="J10" s="139">
        <f>SUM(C10*E10)</f>
        <v>127.39999999999999</v>
      </c>
    </row>
    <row r="11" spans="1:10" ht="12.75" customHeight="1">
      <c r="A11" s="763"/>
      <c r="B11" s="169" t="s">
        <v>255</v>
      </c>
      <c r="C11" s="403">
        <v>28</v>
      </c>
      <c r="D11" s="485">
        <v>0.8</v>
      </c>
      <c r="E11" s="529">
        <v>1.6</v>
      </c>
      <c r="F11" s="171">
        <v>1.8</v>
      </c>
      <c r="G11" s="171">
        <v>1.8</v>
      </c>
      <c r="H11" s="403">
        <v>1.7</v>
      </c>
      <c r="I11" s="403">
        <f>C11*D11*E11*H11</f>
        <v>60.928000000000004</v>
      </c>
      <c r="J11" s="404">
        <f>C11*E11</f>
        <v>44.800000000000004</v>
      </c>
    </row>
    <row r="12" spans="1:10" ht="12.75" customHeight="1">
      <c r="A12" s="763"/>
      <c r="B12" s="169" t="s">
        <v>255</v>
      </c>
      <c r="C12" s="403">
        <v>37</v>
      </c>
      <c r="D12" s="485">
        <v>0.8</v>
      </c>
      <c r="E12" s="529">
        <v>1.6</v>
      </c>
      <c r="F12" s="171">
        <v>1.8</v>
      </c>
      <c r="G12" s="171">
        <v>3.787</v>
      </c>
      <c r="H12" s="403">
        <v>1.7</v>
      </c>
      <c r="I12" s="403">
        <f>C12*D12*E12*H12</f>
        <v>80.51200000000001</v>
      </c>
      <c r="J12" s="404">
        <f>C12*E12</f>
        <v>59.2</v>
      </c>
    </row>
    <row r="13" spans="1:10" ht="12.75">
      <c r="A13" s="763"/>
      <c r="B13" s="169"/>
      <c r="C13" s="445"/>
      <c r="D13" s="485"/>
      <c r="E13" s="528"/>
      <c r="F13" s="285"/>
      <c r="G13" s="285"/>
      <c r="H13" s="139"/>
      <c r="I13" s="139"/>
      <c r="J13" s="139"/>
    </row>
    <row r="14" spans="1:10" ht="12.75">
      <c r="A14" s="763"/>
      <c r="B14" s="402" t="s">
        <v>199</v>
      </c>
      <c r="C14" s="403">
        <v>6</v>
      </c>
      <c r="D14" s="485">
        <v>1.6</v>
      </c>
      <c r="E14" s="529">
        <v>2.2</v>
      </c>
      <c r="F14" s="171">
        <v>0</v>
      </c>
      <c r="G14" s="171">
        <v>0</v>
      </c>
      <c r="H14" s="403">
        <v>1.7</v>
      </c>
      <c r="I14" s="403">
        <f>C14*D14*E14*H14</f>
        <v>35.904</v>
      </c>
      <c r="J14" s="404">
        <f>C14*E14</f>
        <v>13.200000000000001</v>
      </c>
    </row>
    <row r="15" spans="1:10" ht="12.75">
      <c r="A15" s="763"/>
      <c r="B15" s="402" t="s">
        <v>429</v>
      </c>
      <c r="C15" s="403">
        <v>4</v>
      </c>
      <c r="D15" s="485">
        <v>1.6</v>
      </c>
      <c r="E15" s="529">
        <v>3.2</v>
      </c>
      <c r="F15" s="171">
        <v>0</v>
      </c>
      <c r="G15" s="171">
        <v>0</v>
      </c>
      <c r="H15" s="403">
        <v>1.7</v>
      </c>
      <c r="I15" s="403">
        <f>C15*D15*E15*H15</f>
        <v>34.816</v>
      </c>
      <c r="J15" s="404">
        <f>C15*E15</f>
        <v>12.8</v>
      </c>
    </row>
    <row r="16" spans="1:10" ht="12.75">
      <c r="A16" s="764"/>
      <c r="B16" s="402" t="s">
        <v>430</v>
      </c>
      <c r="C16" s="403">
        <v>2</v>
      </c>
      <c r="D16" s="485">
        <v>1.6</v>
      </c>
      <c r="E16" s="529">
        <v>4.2</v>
      </c>
      <c r="F16" s="171">
        <v>0</v>
      </c>
      <c r="G16" s="171">
        <v>0</v>
      </c>
      <c r="H16" s="403">
        <v>1.7</v>
      </c>
      <c r="I16" s="403">
        <f>C16*D16*E16*H16</f>
        <v>22.848000000000003</v>
      </c>
      <c r="J16" s="404">
        <f>C16*E16</f>
        <v>8.4</v>
      </c>
    </row>
    <row r="17" spans="1:10" ht="12.75">
      <c r="A17" s="435"/>
      <c r="B17" s="169"/>
      <c r="C17" s="445"/>
      <c r="D17" s="485"/>
      <c r="E17" s="528"/>
      <c r="F17" s="285"/>
      <c r="G17" s="285"/>
      <c r="H17" s="139"/>
      <c r="I17" s="139"/>
      <c r="J17" s="139"/>
    </row>
    <row r="18" spans="1:10" ht="12.75">
      <c r="A18" s="762" t="s">
        <v>540</v>
      </c>
      <c r="B18" s="169" t="s">
        <v>255</v>
      </c>
      <c r="C18" s="445">
        <v>88</v>
      </c>
      <c r="D18" s="485">
        <v>0.8</v>
      </c>
      <c r="E18" s="528">
        <v>1.6</v>
      </c>
      <c r="F18" s="285">
        <v>3.8</v>
      </c>
      <c r="G18" s="285">
        <v>3.709</v>
      </c>
      <c r="H18" s="139">
        <f>SUM(F18:G18)/2</f>
        <v>3.7545</v>
      </c>
      <c r="I18" s="139">
        <f>SUM(C18*E18*H18)</f>
        <v>528.6336000000001</v>
      </c>
      <c r="J18" s="139">
        <f>SUM(C18*E18)</f>
        <v>140.8</v>
      </c>
    </row>
    <row r="19" spans="1:10" ht="12.75">
      <c r="A19" s="763"/>
      <c r="B19" s="169" t="s">
        <v>255</v>
      </c>
      <c r="C19" s="445">
        <v>40</v>
      </c>
      <c r="D19" s="485">
        <v>0.8</v>
      </c>
      <c r="E19" s="528">
        <v>1.6</v>
      </c>
      <c r="F19" s="285">
        <v>3.71</v>
      </c>
      <c r="G19" s="285">
        <v>2.049</v>
      </c>
      <c r="H19" s="139">
        <f>SUM(F19:G19)/2</f>
        <v>2.8795</v>
      </c>
      <c r="I19" s="139">
        <f>SUM(C19*E19*H19)</f>
        <v>184.288</v>
      </c>
      <c r="J19" s="139">
        <f>SUM(C19*E19)</f>
        <v>64</v>
      </c>
    </row>
    <row r="20" spans="1:10" ht="12.75">
      <c r="A20" s="763"/>
      <c r="B20" s="169" t="s">
        <v>255</v>
      </c>
      <c r="C20" s="445">
        <v>50</v>
      </c>
      <c r="D20" s="485">
        <v>0.8</v>
      </c>
      <c r="E20" s="528">
        <v>1.6</v>
      </c>
      <c r="F20" s="285">
        <v>5</v>
      </c>
      <c r="G20" s="285">
        <v>1.9</v>
      </c>
      <c r="H20" s="139">
        <f>SUM(F20:G20)/2</f>
        <v>3.45</v>
      </c>
      <c r="I20" s="139">
        <f>SUM(C20*E20*H20)</f>
        <v>276</v>
      </c>
      <c r="J20" s="139">
        <f>SUM(C20*E20)</f>
        <v>80</v>
      </c>
    </row>
    <row r="21" spans="1:10" ht="12.75">
      <c r="A21" s="763"/>
      <c r="B21" s="169" t="s">
        <v>255</v>
      </c>
      <c r="C21" s="403">
        <v>22</v>
      </c>
      <c r="D21" s="485">
        <v>1</v>
      </c>
      <c r="E21" s="529">
        <v>1.8</v>
      </c>
      <c r="F21" s="171">
        <v>4.637</v>
      </c>
      <c r="G21" s="530">
        <v>0</v>
      </c>
      <c r="H21" s="139">
        <f>SUM(F21:G21)/2</f>
        <v>2.3185</v>
      </c>
      <c r="I21" s="403">
        <f>C21*D21*E21*H21</f>
        <v>91.81259999999999</v>
      </c>
      <c r="J21" s="404">
        <f>C21*E21</f>
        <v>39.6</v>
      </c>
    </row>
    <row r="22" spans="1:10" ht="12.75">
      <c r="A22" s="763"/>
      <c r="B22" s="169"/>
      <c r="C22" s="445"/>
      <c r="D22" s="485"/>
      <c r="E22" s="528"/>
      <c r="F22" s="285"/>
      <c r="G22" s="285"/>
      <c r="H22" s="139"/>
      <c r="I22" s="139"/>
      <c r="J22" s="139"/>
    </row>
    <row r="23" spans="1:10" ht="12.75">
      <c r="A23" s="763"/>
      <c r="B23" s="402" t="s">
        <v>199</v>
      </c>
      <c r="C23" s="403">
        <v>6</v>
      </c>
      <c r="D23" s="485">
        <v>1.6</v>
      </c>
      <c r="E23" s="529">
        <v>2.2</v>
      </c>
      <c r="F23" s="171"/>
      <c r="G23" s="171"/>
      <c r="H23" s="403">
        <v>1.7</v>
      </c>
      <c r="I23" s="403">
        <f>C23*D23*E23*H23</f>
        <v>35.904</v>
      </c>
      <c r="J23" s="404">
        <f>C23*E23</f>
        <v>13.200000000000001</v>
      </c>
    </row>
    <row r="24" spans="1:10" ht="12.75">
      <c r="A24" s="763"/>
      <c r="B24" s="402" t="s">
        <v>429</v>
      </c>
      <c r="C24" s="403">
        <v>0</v>
      </c>
      <c r="D24" s="485">
        <v>1.6</v>
      </c>
      <c r="E24" s="529">
        <v>3.2</v>
      </c>
      <c r="F24" s="171">
        <v>0</v>
      </c>
      <c r="G24" s="171">
        <v>0</v>
      </c>
      <c r="H24" s="403">
        <v>1.7</v>
      </c>
      <c r="I24" s="403">
        <f>C24*D24*E24*H24</f>
        <v>0</v>
      </c>
      <c r="J24" s="404">
        <f>C24*E24</f>
        <v>0</v>
      </c>
    </row>
    <row r="25" spans="1:12" ht="12.75">
      <c r="A25" s="764"/>
      <c r="B25" s="402" t="s">
        <v>430</v>
      </c>
      <c r="C25" s="403">
        <v>0</v>
      </c>
      <c r="D25" s="485">
        <v>1.6</v>
      </c>
      <c r="E25" s="529">
        <v>4.2</v>
      </c>
      <c r="F25" s="171">
        <v>0</v>
      </c>
      <c r="G25" s="171">
        <v>0</v>
      </c>
      <c r="H25" s="403">
        <v>1.7</v>
      </c>
      <c r="I25" s="403">
        <f>C25*D25*E25*H25</f>
        <v>0</v>
      </c>
      <c r="J25" s="404">
        <f>C25*E25</f>
        <v>0</v>
      </c>
      <c r="L25" s="365"/>
    </row>
    <row r="26" spans="1:12" ht="12.75">
      <c r="A26" s="479"/>
      <c r="B26" s="402"/>
      <c r="C26" s="403"/>
      <c r="D26" s="485"/>
      <c r="E26" s="529"/>
      <c r="F26" s="171"/>
      <c r="G26" s="171"/>
      <c r="H26" s="403"/>
      <c r="I26" s="403"/>
      <c r="J26" s="404"/>
      <c r="L26" s="365"/>
    </row>
    <row r="27" spans="1:10" ht="12.75">
      <c r="A27" s="762" t="s">
        <v>495</v>
      </c>
      <c r="B27" s="169" t="s">
        <v>255</v>
      </c>
      <c r="C27" s="445">
        <v>60</v>
      </c>
      <c r="D27" s="485">
        <v>0.6</v>
      </c>
      <c r="E27" s="528">
        <v>1.4</v>
      </c>
      <c r="F27" s="285">
        <v>1.6</v>
      </c>
      <c r="G27" s="285">
        <v>1.6</v>
      </c>
      <c r="H27" s="139">
        <f>SUM(F27:G27)/2</f>
        <v>1.6</v>
      </c>
      <c r="I27" s="139">
        <f>SUM(C27*E27*H27)</f>
        <v>134.4</v>
      </c>
      <c r="J27" s="139">
        <f>SUM(C27*E27)</f>
        <v>84</v>
      </c>
    </row>
    <row r="28" spans="1:10" ht="12.75">
      <c r="A28" s="763"/>
      <c r="B28" s="169" t="s">
        <v>255</v>
      </c>
      <c r="C28" s="445">
        <v>54</v>
      </c>
      <c r="D28" s="485">
        <v>0.8</v>
      </c>
      <c r="E28" s="528">
        <v>1.6</v>
      </c>
      <c r="F28" s="285">
        <v>1.8</v>
      </c>
      <c r="G28" s="285">
        <v>1.8</v>
      </c>
      <c r="H28" s="139">
        <f>SUM(F28:G28)/2</f>
        <v>1.8</v>
      </c>
      <c r="I28" s="139">
        <f>SUM(C28*E28*H28)</f>
        <v>155.52</v>
      </c>
      <c r="J28" s="139">
        <f>SUM(C28*E28)</f>
        <v>86.4</v>
      </c>
    </row>
    <row r="29" spans="1:10" ht="12.75">
      <c r="A29" s="763"/>
      <c r="B29" s="169" t="s">
        <v>255</v>
      </c>
      <c r="C29" s="445">
        <v>56</v>
      </c>
      <c r="D29" s="485">
        <v>0.8</v>
      </c>
      <c r="E29" s="528">
        <v>1.6</v>
      </c>
      <c r="F29" s="285">
        <v>1.8</v>
      </c>
      <c r="G29" s="285">
        <v>1.8</v>
      </c>
      <c r="H29" s="139">
        <f>SUM(F29:G29)/2</f>
        <v>1.8</v>
      </c>
      <c r="I29" s="139">
        <f>SUM(C29*E29*H29)</f>
        <v>161.28000000000003</v>
      </c>
      <c r="J29" s="139">
        <f>SUM(C29*E29)</f>
        <v>89.60000000000001</v>
      </c>
    </row>
    <row r="30" spans="1:10" ht="12.75">
      <c r="A30" s="763"/>
      <c r="B30" s="169" t="s">
        <v>255</v>
      </c>
      <c r="C30" s="445">
        <v>50</v>
      </c>
      <c r="D30" s="485">
        <v>0.8</v>
      </c>
      <c r="E30" s="528">
        <v>1.6</v>
      </c>
      <c r="F30" s="285">
        <v>1.8</v>
      </c>
      <c r="G30" s="285">
        <v>1.8</v>
      </c>
      <c r="H30" s="139">
        <f>SUM(F30:G30)/2</f>
        <v>1.8</v>
      </c>
      <c r="I30" s="139">
        <f>SUM(C30*E30*H30)</f>
        <v>144</v>
      </c>
      <c r="J30" s="139">
        <f>SUM(C30*E30)</f>
        <v>80</v>
      </c>
    </row>
    <row r="31" spans="1:10" ht="12.75">
      <c r="A31" s="763"/>
      <c r="B31" s="169" t="s">
        <v>255</v>
      </c>
      <c r="C31" s="403">
        <v>24</v>
      </c>
      <c r="D31" s="485">
        <v>0.8</v>
      </c>
      <c r="E31" s="529">
        <v>1.6</v>
      </c>
      <c r="F31" s="171">
        <v>4.2</v>
      </c>
      <c r="G31" s="530">
        <v>0</v>
      </c>
      <c r="H31" s="139">
        <f>SUM(F31:G31)/2</f>
        <v>2.1</v>
      </c>
      <c r="I31" s="403">
        <f>C31*D31*E31*H31</f>
        <v>64.51200000000001</v>
      </c>
      <c r="J31" s="404">
        <f>C31*E31</f>
        <v>38.400000000000006</v>
      </c>
    </row>
    <row r="32" spans="1:10" ht="12.75">
      <c r="A32" s="763"/>
      <c r="B32" s="169"/>
      <c r="C32" s="445"/>
      <c r="D32" s="485"/>
      <c r="E32" s="528"/>
      <c r="F32" s="285"/>
      <c r="G32" s="285"/>
      <c r="H32" s="139"/>
      <c r="I32" s="139"/>
      <c r="J32" s="139"/>
    </row>
    <row r="33" spans="1:10" ht="12.75">
      <c r="A33" s="763"/>
      <c r="B33" s="402" t="s">
        <v>199</v>
      </c>
      <c r="C33" s="403">
        <v>10</v>
      </c>
      <c r="D33" s="485">
        <v>1.6</v>
      </c>
      <c r="E33" s="529">
        <v>2.2</v>
      </c>
      <c r="F33" s="171"/>
      <c r="G33" s="171"/>
      <c r="H33" s="403">
        <v>1.7</v>
      </c>
      <c r="I33" s="403">
        <f>C33*D33*E33*H33</f>
        <v>59.84</v>
      </c>
      <c r="J33" s="404">
        <f>C33*E33</f>
        <v>22</v>
      </c>
    </row>
    <row r="34" spans="1:10" ht="12.75">
      <c r="A34" s="763"/>
      <c r="B34" s="402" t="s">
        <v>429</v>
      </c>
      <c r="C34" s="403">
        <v>0</v>
      </c>
      <c r="D34" s="485">
        <v>1.6</v>
      </c>
      <c r="E34" s="529">
        <v>3.2</v>
      </c>
      <c r="F34" s="171">
        <v>0</v>
      </c>
      <c r="G34" s="171">
        <v>0</v>
      </c>
      <c r="H34" s="403">
        <v>1.7</v>
      </c>
      <c r="I34" s="403">
        <f>C34*D34*E34*H34</f>
        <v>0</v>
      </c>
      <c r="J34" s="404">
        <f>C34*E34</f>
        <v>0</v>
      </c>
    </row>
    <row r="35" spans="1:12" ht="12.75">
      <c r="A35" s="764"/>
      <c r="B35" s="402" t="s">
        <v>430</v>
      </c>
      <c r="C35" s="403">
        <v>2</v>
      </c>
      <c r="D35" s="485">
        <v>1.6</v>
      </c>
      <c r="E35" s="529">
        <v>4.2</v>
      </c>
      <c r="F35" s="171">
        <v>0</v>
      </c>
      <c r="G35" s="171">
        <v>0</v>
      </c>
      <c r="H35" s="403">
        <v>1.7</v>
      </c>
      <c r="I35" s="403">
        <f>C35*D35*E35*H35</f>
        <v>22.848000000000003</v>
      </c>
      <c r="J35" s="404">
        <f>C35*E35</f>
        <v>8.4</v>
      </c>
      <c r="L35" s="365"/>
    </row>
    <row r="36" spans="1:12" ht="12.75">
      <c r="A36" s="479"/>
      <c r="B36" s="402"/>
      <c r="C36" s="403"/>
      <c r="D36" s="485"/>
      <c r="E36" s="529"/>
      <c r="F36" s="171"/>
      <c r="G36" s="171"/>
      <c r="H36" s="403"/>
      <c r="I36" s="403"/>
      <c r="J36" s="404"/>
      <c r="L36" s="365"/>
    </row>
    <row r="37" spans="1:10" ht="12.75" customHeight="1">
      <c r="A37" s="762" t="s">
        <v>536</v>
      </c>
      <c r="B37" s="169" t="s">
        <v>255</v>
      </c>
      <c r="C37" s="445">
        <v>63</v>
      </c>
      <c r="D37" s="485">
        <v>0.6</v>
      </c>
      <c r="E37" s="528">
        <v>1.4</v>
      </c>
      <c r="F37" s="285">
        <v>1.6</v>
      </c>
      <c r="G37" s="170">
        <v>1.6</v>
      </c>
      <c r="H37" s="139">
        <f>SUM(F37:G37)/2</f>
        <v>1.6</v>
      </c>
      <c r="I37" s="139">
        <f>SUM(C37*E37*H37)</f>
        <v>141.11999999999998</v>
      </c>
      <c r="J37" s="139">
        <f>SUM(C37*E37)</f>
        <v>88.19999999999999</v>
      </c>
    </row>
    <row r="38" spans="1:10" ht="12.75" customHeight="1">
      <c r="A38" s="763"/>
      <c r="B38" s="169" t="s">
        <v>255</v>
      </c>
      <c r="C38" s="403">
        <v>60</v>
      </c>
      <c r="D38" s="485">
        <v>0.8</v>
      </c>
      <c r="E38" s="529">
        <v>1.6</v>
      </c>
      <c r="F38" s="171">
        <v>1.8</v>
      </c>
      <c r="G38" s="171">
        <v>1.8</v>
      </c>
      <c r="H38" s="403">
        <v>1.7</v>
      </c>
      <c r="I38" s="403">
        <f>C38*D38*E38*H38</f>
        <v>130.56</v>
      </c>
      <c r="J38" s="404">
        <f>C38*E38</f>
        <v>96</v>
      </c>
    </row>
    <row r="39" spans="1:10" ht="12.75" customHeight="1">
      <c r="A39" s="763"/>
      <c r="B39" s="169" t="s">
        <v>255</v>
      </c>
      <c r="C39" s="403">
        <v>20</v>
      </c>
      <c r="D39" s="485">
        <v>0.8</v>
      </c>
      <c r="E39" s="529">
        <v>1.6</v>
      </c>
      <c r="F39" s="171">
        <v>3.3</v>
      </c>
      <c r="G39" s="171">
        <v>0</v>
      </c>
      <c r="H39" s="403">
        <v>1.7</v>
      </c>
      <c r="I39" s="403">
        <f>C39*D39*E39*H39</f>
        <v>43.52</v>
      </c>
      <c r="J39" s="404">
        <f>C39*E39</f>
        <v>32</v>
      </c>
    </row>
    <row r="40" spans="1:10" ht="12.75">
      <c r="A40" s="763"/>
      <c r="B40" s="169"/>
      <c r="C40" s="445"/>
      <c r="D40" s="485"/>
      <c r="E40" s="528"/>
      <c r="F40" s="285"/>
      <c r="G40" s="285"/>
      <c r="H40" s="139"/>
      <c r="I40" s="139"/>
      <c r="J40" s="139"/>
    </row>
    <row r="41" spans="1:10" ht="12.75">
      <c r="A41" s="763"/>
      <c r="B41" s="402" t="s">
        <v>199</v>
      </c>
      <c r="C41" s="403">
        <v>2</v>
      </c>
      <c r="D41" s="485">
        <v>1.6</v>
      </c>
      <c r="E41" s="529">
        <v>2.2</v>
      </c>
      <c r="F41" s="171">
        <v>0</v>
      </c>
      <c r="G41" s="171">
        <v>0</v>
      </c>
      <c r="H41" s="403">
        <v>1.7</v>
      </c>
      <c r="I41" s="403">
        <f>C41*D41*E41*H41</f>
        <v>11.968000000000002</v>
      </c>
      <c r="J41" s="404">
        <f>C41*E41</f>
        <v>4.4</v>
      </c>
    </row>
    <row r="42" spans="1:10" ht="12.75">
      <c r="A42" s="763"/>
      <c r="B42" s="402" t="s">
        <v>429</v>
      </c>
      <c r="C42" s="403">
        <v>0</v>
      </c>
      <c r="D42" s="485">
        <v>1.6</v>
      </c>
      <c r="E42" s="529">
        <v>3.2</v>
      </c>
      <c r="F42" s="171">
        <v>0</v>
      </c>
      <c r="G42" s="171">
        <v>0</v>
      </c>
      <c r="H42" s="403">
        <v>1.7</v>
      </c>
      <c r="I42" s="403">
        <f>C42*D42*E42*H42</f>
        <v>0</v>
      </c>
      <c r="J42" s="404">
        <f>C42*E42</f>
        <v>0</v>
      </c>
    </row>
    <row r="43" spans="1:10" ht="12.75">
      <c r="A43" s="764"/>
      <c r="B43" s="402" t="s">
        <v>430</v>
      </c>
      <c r="C43" s="403">
        <v>4</v>
      </c>
      <c r="D43" s="485">
        <v>1.6</v>
      </c>
      <c r="E43" s="529">
        <v>4.2</v>
      </c>
      <c r="F43" s="171">
        <v>0</v>
      </c>
      <c r="G43" s="171">
        <v>0</v>
      </c>
      <c r="H43" s="403">
        <v>1.7</v>
      </c>
      <c r="I43" s="403">
        <f>C43*D43*E43*H43</f>
        <v>45.696000000000005</v>
      </c>
      <c r="J43" s="404">
        <f>C43*E43</f>
        <v>16.8</v>
      </c>
    </row>
    <row r="44" spans="1:12" ht="12.75">
      <c r="A44" s="479"/>
      <c r="B44" s="402"/>
      <c r="C44" s="403"/>
      <c r="D44" s="485"/>
      <c r="E44" s="529"/>
      <c r="F44" s="171"/>
      <c r="G44" s="171"/>
      <c r="H44" s="403"/>
      <c r="I44" s="403"/>
      <c r="J44" s="404"/>
      <c r="L44" s="365"/>
    </row>
    <row r="45" spans="1:10" ht="12.75" customHeight="1">
      <c r="A45" s="762" t="s">
        <v>541</v>
      </c>
      <c r="B45" s="169" t="s">
        <v>255</v>
      </c>
      <c r="C45" s="445">
        <v>76</v>
      </c>
      <c r="D45" s="485">
        <v>0.6</v>
      </c>
      <c r="E45" s="528">
        <v>1.4</v>
      </c>
      <c r="F45" s="285">
        <v>1.6</v>
      </c>
      <c r="G45" s="170">
        <v>1.6</v>
      </c>
      <c r="H45" s="139">
        <f>SUM(F45:G45)/2</f>
        <v>1.6</v>
      </c>
      <c r="I45" s="139">
        <f>SUM(C45*E45*H45)</f>
        <v>170.24</v>
      </c>
      <c r="J45" s="139">
        <f>SUM(C45*E45)</f>
        <v>106.39999999999999</v>
      </c>
    </row>
    <row r="46" spans="1:10" ht="12.75" customHeight="1">
      <c r="A46" s="763"/>
      <c r="B46" s="169" t="s">
        <v>255</v>
      </c>
      <c r="C46" s="403">
        <v>22</v>
      </c>
      <c r="D46" s="485">
        <v>0.8</v>
      </c>
      <c r="E46" s="529">
        <v>1.6</v>
      </c>
      <c r="F46" s="171">
        <v>3.484</v>
      </c>
      <c r="G46" s="171">
        <v>0</v>
      </c>
      <c r="H46" s="403">
        <v>1.7</v>
      </c>
      <c r="I46" s="403">
        <f>C46*D46*E46*H46</f>
        <v>47.87200000000001</v>
      </c>
      <c r="J46" s="404">
        <f>C46*E46</f>
        <v>35.2</v>
      </c>
    </row>
    <row r="47" spans="1:10" ht="12.75">
      <c r="A47" s="763"/>
      <c r="B47" s="169"/>
      <c r="C47" s="445"/>
      <c r="D47" s="485"/>
      <c r="E47" s="528"/>
      <c r="F47" s="285"/>
      <c r="G47" s="285"/>
      <c r="H47" s="139"/>
      <c r="I47" s="139"/>
      <c r="J47" s="139"/>
    </row>
    <row r="48" spans="1:10" ht="12.75">
      <c r="A48" s="763"/>
      <c r="B48" s="402" t="s">
        <v>199</v>
      </c>
      <c r="C48" s="403">
        <v>6</v>
      </c>
      <c r="D48" s="485">
        <v>1.6</v>
      </c>
      <c r="E48" s="529">
        <v>2.2</v>
      </c>
      <c r="F48" s="171">
        <v>0</v>
      </c>
      <c r="G48" s="171">
        <v>0</v>
      </c>
      <c r="H48" s="403">
        <v>1.7</v>
      </c>
      <c r="I48" s="403">
        <f>C48*D48*E48*H48</f>
        <v>35.904</v>
      </c>
      <c r="J48" s="404">
        <f>C48*E48</f>
        <v>13.200000000000001</v>
      </c>
    </row>
    <row r="49" spans="1:10" ht="12.75">
      <c r="A49" s="763"/>
      <c r="B49" s="402" t="s">
        <v>429</v>
      </c>
      <c r="C49" s="403">
        <v>2</v>
      </c>
      <c r="D49" s="485">
        <v>1.6</v>
      </c>
      <c r="E49" s="529">
        <v>3.2</v>
      </c>
      <c r="F49" s="171">
        <v>0</v>
      </c>
      <c r="G49" s="171">
        <v>0</v>
      </c>
      <c r="H49" s="403">
        <v>1.7</v>
      </c>
      <c r="I49" s="403">
        <f>C49*D49*E49*H49</f>
        <v>17.408</v>
      </c>
      <c r="J49" s="404">
        <f>C49*E49</f>
        <v>6.4</v>
      </c>
    </row>
    <row r="50" spans="1:10" ht="12.75">
      <c r="A50" s="764"/>
      <c r="B50" s="402" t="s">
        <v>430</v>
      </c>
      <c r="C50" s="403">
        <v>0</v>
      </c>
      <c r="D50" s="485">
        <v>1.6</v>
      </c>
      <c r="E50" s="529">
        <v>4.2</v>
      </c>
      <c r="F50" s="171">
        <v>0</v>
      </c>
      <c r="G50" s="171">
        <v>0</v>
      </c>
      <c r="H50" s="403">
        <v>1.7</v>
      </c>
      <c r="I50" s="403">
        <f>C50*D50*E50*H50</f>
        <v>0</v>
      </c>
      <c r="J50" s="404">
        <f>C50*E50</f>
        <v>0</v>
      </c>
    </row>
    <row r="51" spans="1:10" ht="12.75">
      <c r="A51" s="479"/>
      <c r="B51" s="402"/>
      <c r="C51" s="403"/>
      <c r="D51" s="485"/>
      <c r="E51" s="529"/>
      <c r="F51" s="171"/>
      <c r="G51" s="171"/>
      <c r="H51" s="403"/>
      <c r="I51" s="403"/>
      <c r="J51" s="404"/>
    </row>
    <row r="52" spans="1:10" ht="12.75">
      <c r="A52" s="762" t="s">
        <v>542</v>
      </c>
      <c r="B52" s="169" t="s">
        <v>255</v>
      </c>
      <c r="C52" s="445">
        <v>41</v>
      </c>
      <c r="D52" s="485">
        <v>0.6</v>
      </c>
      <c r="E52" s="528">
        <v>1.6</v>
      </c>
      <c r="F52" s="285">
        <v>1.8</v>
      </c>
      <c r="G52" s="170">
        <v>1.8</v>
      </c>
      <c r="H52" s="139">
        <f>SUM(F52:G52)/2</f>
        <v>1.8</v>
      </c>
      <c r="I52" s="139">
        <f>SUM(C52*E52*H52)</f>
        <v>118.08000000000001</v>
      </c>
      <c r="J52" s="139">
        <f>SUM(C52*E52)</f>
        <v>65.60000000000001</v>
      </c>
    </row>
    <row r="53" spans="1:10" ht="12.75">
      <c r="A53" s="763"/>
      <c r="B53" s="169" t="s">
        <v>255</v>
      </c>
      <c r="C53" s="403">
        <v>48</v>
      </c>
      <c r="D53" s="485">
        <v>0.6</v>
      </c>
      <c r="E53" s="529">
        <v>1.6</v>
      </c>
      <c r="F53" s="285">
        <v>1.8</v>
      </c>
      <c r="G53" s="170">
        <v>1.8</v>
      </c>
      <c r="H53" s="403">
        <v>1.7</v>
      </c>
      <c r="I53" s="403">
        <f>C53*D53*E53*H53</f>
        <v>78.336</v>
      </c>
      <c r="J53" s="404">
        <f>C53*E53</f>
        <v>76.80000000000001</v>
      </c>
    </row>
    <row r="54" spans="1:10" ht="12.75">
      <c r="A54" s="763"/>
      <c r="B54" s="169"/>
      <c r="C54" s="445"/>
      <c r="D54" s="485"/>
      <c r="E54" s="528"/>
      <c r="F54" s="285"/>
      <c r="G54" s="285"/>
      <c r="H54" s="139"/>
      <c r="I54" s="139"/>
      <c r="J54" s="139"/>
    </row>
    <row r="55" spans="1:10" ht="12.75">
      <c r="A55" s="763"/>
      <c r="B55" s="402" t="s">
        <v>199</v>
      </c>
      <c r="C55" s="403">
        <v>2</v>
      </c>
      <c r="D55" s="485">
        <v>1.6</v>
      </c>
      <c r="E55" s="529">
        <v>2.2</v>
      </c>
      <c r="F55" s="171">
        <v>0</v>
      </c>
      <c r="G55" s="171">
        <v>0</v>
      </c>
      <c r="H55" s="403">
        <v>1.7</v>
      </c>
      <c r="I55" s="403">
        <f>C55*D55*E55*H55</f>
        <v>11.968000000000002</v>
      </c>
      <c r="J55" s="404">
        <f>C55*E55</f>
        <v>4.4</v>
      </c>
    </row>
    <row r="56" spans="1:10" ht="12.75">
      <c r="A56" s="763"/>
      <c r="B56" s="402" t="s">
        <v>429</v>
      </c>
      <c r="C56" s="403"/>
      <c r="D56" s="485">
        <v>1.6</v>
      </c>
      <c r="E56" s="529">
        <v>3.2</v>
      </c>
      <c r="F56" s="171">
        <v>0</v>
      </c>
      <c r="G56" s="171">
        <v>0</v>
      </c>
      <c r="H56" s="403">
        <v>1.7</v>
      </c>
      <c r="I56" s="403">
        <f>C56*D56*E56*H56</f>
        <v>0</v>
      </c>
      <c r="J56" s="404">
        <f>C56*E56</f>
        <v>0</v>
      </c>
    </row>
    <row r="57" spans="1:10" ht="12.75">
      <c r="A57" s="764"/>
      <c r="B57" s="402" t="s">
        <v>430</v>
      </c>
      <c r="C57" s="403">
        <v>6</v>
      </c>
      <c r="D57" s="485">
        <v>1.6</v>
      </c>
      <c r="E57" s="529">
        <v>4.2</v>
      </c>
      <c r="F57" s="171">
        <v>0</v>
      </c>
      <c r="G57" s="171">
        <v>0</v>
      </c>
      <c r="H57" s="403">
        <v>1.7</v>
      </c>
      <c r="I57" s="403">
        <f>C57*D57*E57*H57</f>
        <v>68.54400000000001</v>
      </c>
      <c r="J57" s="404">
        <f>C57*E57</f>
        <v>25.200000000000003</v>
      </c>
    </row>
    <row r="58" spans="1:10" ht="12.75">
      <c r="A58" s="765" t="s">
        <v>472</v>
      </c>
      <c r="B58" s="169" t="s">
        <v>200</v>
      </c>
      <c r="C58" s="171"/>
      <c r="D58" s="170"/>
      <c r="E58" s="172"/>
      <c r="F58" s="171"/>
      <c r="G58" s="171"/>
      <c r="H58" s="171"/>
      <c r="I58" s="118">
        <f>SUM(I10:I57)</f>
        <v>3219.1021999999994</v>
      </c>
      <c r="J58" s="173"/>
    </row>
    <row r="59" spans="1:10" ht="12.75">
      <c r="A59" s="766"/>
      <c r="B59" s="169" t="s">
        <v>201</v>
      </c>
      <c r="C59" s="171"/>
      <c r="D59" s="170" t="s">
        <v>193</v>
      </c>
      <c r="E59" s="172"/>
      <c r="F59" s="171"/>
      <c r="G59" s="171"/>
      <c r="H59" s="171"/>
      <c r="I59" s="118"/>
      <c r="J59" s="175">
        <f>SUM(J8:J58)</f>
        <v>1582.8000000000002</v>
      </c>
    </row>
    <row r="60" spans="1:10" ht="12.75">
      <c r="A60" s="766"/>
      <c r="B60" s="169" t="s">
        <v>444</v>
      </c>
      <c r="C60" s="171">
        <v>4</v>
      </c>
      <c r="D60" s="174">
        <f>1.6*2.3*1*C60</f>
        <v>14.719999999999999</v>
      </c>
      <c r="E60" s="139" t="s">
        <v>8</v>
      </c>
      <c r="F60" s="171"/>
      <c r="G60" s="171"/>
      <c r="H60" s="171"/>
      <c r="I60" s="171"/>
      <c r="J60" s="175"/>
    </row>
    <row r="61" spans="1:10" ht="12.75" hidden="1">
      <c r="A61" s="766"/>
      <c r="B61" s="169" t="s">
        <v>303</v>
      </c>
      <c r="C61" s="171">
        <v>0</v>
      </c>
      <c r="D61" s="174">
        <f>2*2*2.25*C61</f>
        <v>0</v>
      </c>
      <c r="E61" s="139" t="s">
        <v>8</v>
      </c>
      <c r="F61" s="137"/>
      <c r="G61" s="137"/>
      <c r="H61" s="137"/>
      <c r="I61" s="137"/>
      <c r="J61" s="138"/>
    </row>
    <row r="62" spans="1:10" ht="12.75">
      <c r="A62" s="766"/>
      <c r="B62" s="169" t="s">
        <v>202</v>
      </c>
      <c r="C62" s="171">
        <v>16</v>
      </c>
      <c r="D62" s="174">
        <f>2.3*1.9*2.7*C62</f>
        <v>188.784</v>
      </c>
      <c r="E62" s="139"/>
      <c r="F62" s="119"/>
      <c r="G62" s="119"/>
      <c r="H62" s="119"/>
      <c r="I62" s="119"/>
      <c r="J62" s="120"/>
    </row>
    <row r="63" spans="1:10" ht="12.75">
      <c r="A63" s="766"/>
      <c r="B63" s="176" t="s">
        <v>478</v>
      </c>
      <c r="C63" s="171">
        <f>(C69+C70+C71)*6</f>
        <v>312</v>
      </c>
      <c r="D63" s="174">
        <f>0.76^2*3.1416*C63/4</f>
        <v>141.53787648</v>
      </c>
      <c r="E63" s="139" t="s">
        <v>4</v>
      </c>
      <c r="F63" s="119"/>
      <c r="G63" s="119"/>
      <c r="H63" s="119"/>
      <c r="I63" s="119"/>
      <c r="J63" s="120"/>
    </row>
    <row r="64" spans="1:14" ht="12.75">
      <c r="A64" s="766"/>
      <c r="B64" s="176" t="s">
        <v>203</v>
      </c>
      <c r="C64" s="171">
        <f>C45+C37+C27+C10+C53+C52+C63</f>
        <v>691</v>
      </c>
      <c r="D64" s="174">
        <f>0.76^2*3.1416*C64/4</f>
        <v>313.47010464</v>
      </c>
      <c r="E64" s="139" t="s">
        <v>4</v>
      </c>
      <c r="F64" s="121"/>
      <c r="G64" s="121"/>
      <c r="H64" s="121"/>
      <c r="I64" s="121"/>
      <c r="J64" s="122"/>
      <c r="M64" s="769" t="s">
        <v>333</v>
      </c>
      <c r="N64" s="769"/>
    </row>
    <row r="65" spans="1:21" ht="12.75">
      <c r="A65" s="766"/>
      <c r="B65" s="176" t="s">
        <v>204</v>
      </c>
      <c r="C65" s="177">
        <f>C46+C38+C39++C28+C29+C30+C31+C18+C19+C20+C11+C12</f>
        <v>529</v>
      </c>
      <c r="D65" s="174">
        <f>1^2*3.1416*C65/4</f>
        <v>415.4766</v>
      </c>
      <c r="E65" s="139" t="s">
        <v>4</v>
      </c>
      <c r="F65" s="121"/>
      <c r="G65" s="121"/>
      <c r="H65" s="121"/>
      <c r="I65" s="121"/>
      <c r="J65" s="122"/>
      <c r="M65" s="769" t="s">
        <v>334</v>
      </c>
      <c r="N65" s="769" t="s">
        <v>335</v>
      </c>
      <c r="O65" t="s">
        <v>336</v>
      </c>
      <c r="P65" t="s">
        <v>337</v>
      </c>
      <c r="Q65" t="s">
        <v>338</v>
      </c>
      <c r="R65" t="s">
        <v>339</v>
      </c>
      <c r="T65" s="286" t="s">
        <v>340</v>
      </c>
      <c r="U65" s="286"/>
    </row>
    <row r="66" spans="1:21" ht="12.75">
      <c r="A66" s="766"/>
      <c r="B66" s="176" t="s">
        <v>205</v>
      </c>
      <c r="C66" s="177">
        <f>C21</f>
        <v>22</v>
      </c>
      <c r="D66" s="174">
        <f>1.24^2*3.1416*C66/4</f>
        <v>26.567882880000003</v>
      </c>
      <c r="E66" s="139" t="s">
        <v>4</v>
      </c>
      <c r="F66" s="121"/>
      <c r="G66" s="121"/>
      <c r="H66" s="121"/>
      <c r="I66" s="121"/>
      <c r="J66" s="122"/>
      <c r="M66" s="768"/>
      <c r="N66" s="768"/>
      <c r="O66" s="286"/>
      <c r="P66" s="287"/>
      <c r="Q66" s="287"/>
      <c r="R66" s="288"/>
      <c r="S66" s="288"/>
      <c r="T66" s="286"/>
      <c r="U66" s="286"/>
    </row>
    <row r="67" spans="1:21" ht="12.75">
      <c r="A67" s="766"/>
      <c r="B67" s="176" t="s">
        <v>206</v>
      </c>
      <c r="C67" s="171">
        <v>0</v>
      </c>
      <c r="D67" s="174">
        <f>1.46^2*3.1416*C67/4</f>
        <v>0</v>
      </c>
      <c r="E67" s="139" t="s">
        <v>4</v>
      </c>
      <c r="F67" s="121"/>
      <c r="G67" s="121"/>
      <c r="H67" s="121"/>
      <c r="I67" s="121"/>
      <c r="J67" s="122"/>
      <c r="M67" s="768">
        <v>0.6</v>
      </c>
      <c r="N67" s="768">
        <v>1.4</v>
      </c>
      <c r="O67" s="286">
        <v>0.08</v>
      </c>
      <c r="P67" s="287">
        <v>0.1</v>
      </c>
      <c r="Q67" s="287">
        <v>0.15</v>
      </c>
      <c r="R67" s="288">
        <v>0.2613113541532365</v>
      </c>
      <c r="S67" s="288"/>
      <c r="T67" s="286">
        <v>0.76</v>
      </c>
      <c r="U67" s="286"/>
    </row>
    <row r="68" spans="1:21" ht="12.75">
      <c r="A68" s="766"/>
      <c r="B68" s="176" t="s">
        <v>332</v>
      </c>
      <c r="C68" s="171">
        <v>0</v>
      </c>
      <c r="D68" s="174">
        <f>1.76^2*3.1416*C68/4</f>
        <v>0</v>
      </c>
      <c r="E68" s="139" t="s">
        <v>4</v>
      </c>
      <c r="F68" s="121"/>
      <c r="G68" s="121"/>
      <c r="H68" s="121"/>
      <c r="I68" s="121"/>
      <c r="J68" s="122"/>
      <c r="M68" s="768">
        <v>0.8</v>
      </c>
      <c r="N68" s="768">
        <v>1.6</v>
      </c>
      <c r="O68" s="286">
        <v>0.1</v>
      </c>
      <c r="P68" s="287">
        <v>0.1</v>
      </c>
      <c r="Q68" s="287">
        <v>0.2</v>
      </c>
      <c r="R68" s="288">
        <v>0.32645317547305497</v>
      </c>
      <c r="S68" s="288"/>
      <c r="T68" s="286">
        <v>1</v>
      </c>
      <c r="U68" s="286"/>
    </row>
    <row r="69" spans="1:21" ht="12.75">
      <c r="A69" s="766"/>
      <c r="B69" s="169" t="s">
        <v>199</v>
      </c>
      <c r="C69" s="171">
        <f>C55+C48+C41+C33+C23+C14</f>
        <v>32</v>
      </c>
      <c r="D69" s="174">
        <f>I14+I23</f>
        <v>71.808</v>
      </c>
      <c r="E69" s="139" t="s">
        <v>4</v>
      </c>
      <c r="F69" s="121"/>
      <c r="G69" s="121"/>
      <c r="H69" s="121"/>
      <c r="I69" s="121"/>
      <c r="J69" s="122"/>
      <c r="M69" s="768">
        <v>1</v>
      </c>
      <c r="N69" s="768">
        <v>1.8</v>
      </c>
      <c r="O69" s="286">
        <v>0.12</v>
      </c>
      <c r="P69" s="287">
        <v>0.15</v>
      </c>
      <c r="Q69" s="287">
        <v>0.25</v>
      </c>
      <c r="R69" s="288">
        <v>0.48390640260736917</v>
      </c>
      <c r="S69" s="288"/>
      <c r="T69" s="286">
        <v>1.24</v>
      </c>
      <c r="U69" s="286"/>
    </row>
    <row r="70" spans="1:21" ht="12.75">
      <c r="A70" s="766"/>
      <c r="B70" s="176" t="s">
        <v>207</v>
      </c>
      <c r="C70" s="171">
        <f>C49+C15</f>
        <v>6</v>
      </c>
      <c r="D70" s="174">
        <f>I15+I24</f>
        <v>34.816</v>
      </c>
      <c r="E70" s="139" t="s">
        <v>4</v>
      </c>
      <c r="F70" s="123"/>
      <c r="G70" s="123"/>
      <c r="H70" s="123"/>
      <c r="I70" s="124"/>
      <c r="J70" s="125"/>
      <c r="M70" s="286">
        <v>1.2</v>
      </c>
      <c r="N70" s="286">
        <v>2</v>
      </c>
      <c r="O70" s="286">
        <v>0.13</v>
      </c>
      <c r="P70" s="287">
        <v>0.15</v>
      </c>
      <c r="Q70" s="287">
        <v>0.3</v>
      </c>
      <c r="R70" s="288">
        <v>0.5726995888383637</v>
      </c>
      <c r="S70" s="288"/>
      <c r="T70" s="286">
        <v>1.46</v>
      </c>
      <c r="U70" s="286"/>
    </row>
    <row r="71" spans="1:21" ht="12.75">
      <c r="A71" s="766"/>
      <c r="B71" s="176" t="s">
        <v>239</v>
      </c>
      <c r="C71" s="171">
        <f>C57+C43+C35+C16</f>
        <v>14</v>
      </c>
      <c r="D71" s="174">
        <f>I16+I25</f>
        <v>22.848000000000003</v>
      </c>
      <c r="E71" s="139" t="s">
        <v>4</v>
      </c>
      <c r="F71" s="123"/>
      <c r="G71" s="123"/>
      <c r="H71" s="123"/>
      <c r="I71" s="124"/>
      <c r="J71" s="125"/>
      <c r="M71" s="286">
        <v>1.5</v>
      </c>
      <c r="N71" s="286">
        <v>2.3</v>
      </c>
      <c r="O71" s="286">
        <v>0.13</v>
      </c>
      <c r="P71" s="287">
        <v>0.15</v>
      </c>
      <c r="Q71" s="287">
        <v>0.375</v>
      </c>
      <c r="R71" s="288">
        <v>0.7318733563453347</v>
      </c>
      <c r="S71" s="288"/>
      <c r="T71" s="286">
        <v>1.76</v>
      </c>
      <c r="U71" s="286"/>
    </row>
    <row r="72" spans="1:10" ht="12.75">
      <c r="A72" s="766"/>
      <c r="B72" s="176" t="s">
        <v>209</v>
      </c>
      <c r="C72" s="171"/>
      <c r="D72" s="174">
        <f>'[4]BUEIROS DISTRITO DE AGUAÇÚ'!$R$5</f>
        <v>24.726</v>
      </c>
      <c r="E72" s="139" t="s">
        <v>4</v>
      </c>
      <c r="F72" s="123"/>
      <c r="G72" s="123"/>
      <c r="H72" s="123"/>
      <c r="I72" s="124"/>
      <c r="J72" s="125"/>
    </row>
    <row r="73" spans="1:21" ht="12.75">
      <c r="A73" s="766"/>
      <c r="B73" s="178" t="s">
        <v>210</v>
      </c>
      <c r="C73" s="171"/>
      <c r="D73" s="181">
        <f>('DREN PROF'!H23)*0.5*1.5</f>
        <v>971.25</v>
      </c>
      <c r="E73" s="139" t="s">
        <v>4</v>
      </c>
      <c r="F73" s="123"/>
      <c r="G73" s="123"/>
      <c r="H73" s="123"/>
      <c r="I73" s="124"/>
      <c r="J73" s="125"/>
      <c r="M73" s="286">
        <v>0.6</v>
      </c>
      <c r="N73" s="286">
        <v>1.4</v>
      </c>
      <c r="O73" s="286">
        <v>0.08</v>
      </c>
      <c r="P73" s="287">
        <v>0.1</v>
      </c>
      <c r="Q73" s="287">
        <v>0.15</v>
      </c>
      <c r="R73" s="288">
        <v>0.2613113541532365</v>
      </c>
      <c r="S73" s="288"/>
      <c r="T73" s="286">
        <v>0.76</v>
      </c>
      <c r="U73" s="286"/>
    </row>
    <row r="74" spans="1:21" ht="12.75">
      <c r="A74" s="766"/>
      <c r="B74" s="178" t="s">
        <v>213</v>
      </c>
      <c r="C74" s="171"/>
      <c r="D74" s="181">
        <f>I58+165.65</f>
        <v>3384.7521999999994</v>
      </c>
      <c r="E74" s="139" t="s">
        <v>4</v>
      </c>
      <c r="F74" s="123"/>
      <c r="G74" s="123"/>
      <c r="H74" s="123"/>
      <c r="I74" s="124"/>
      <c r="J74" s="125"/>
      <c r="M74" s="286">
        <v>0.8</v>
      </c>
      <c r="N74" s="286">
        <v>1.6</v>
      </c>
      <c r="O74" s="286">
        <v>0.1</v>
      </c>
      <c r="P74" s="287">
        <v>0.1</v>
      </c>
      <c r="Q74" s="287">
        <v>0.2</v>
      </c>
      <c r="R74" s="288">
        <v>0.32645317547305497</v>
      </c>
      <c r="S74" s="288"/>
      <c r="T74" s="286">
        <v>1</v>
      </c>
      <c r="U74" s="286"/>
    </row>
    <row r="75" spans="1:21" ht="12.75">
      <c r="A75" s="766"/>
      <c r="B75" s="178" t="s">
        <v>256</v>
      </c>
      <c r="C75" s="171">
        <v>0</v>
      </c>
      <c r="D75" s="481">
        <f>SUM(D60:D71)+D73+151.86</f>
        <v>2353.138464</v>
      </c>
      <c r="E75" s="139" t="s">
        <v>4</v>
      </c>
      <c r="F75" s="123"/>
      <c r="G75" s="126"/>
      <c r="H75" s="123"/>
      <c r="I75" s="124"/>
      <c r="J75" s="125"/>
      <c r="M75" s="286">
        <v>1</v>
      </c>
      <c r="N75" s="286">
        <v>1.8</v>
      </c>
      <c r="O75" s="286">
        <v>0.12</v>
      </c>
      <c r="P75" s="287">
        <v>0.15</v>
      </c>
      <c r="Q75" s="287">
        <v>0.25</v>
      </c>
      <c r="R75" s="288">
        <v>0.48390640260736917</v>
      </c>
      <c r="S75" s="288"/>
      <c r="T75" s="286">
        <v>1.24</v>
      </c>
      <c r="U75" s="286"/>
    </row>
    <row r="76" spans="1:21" ht="12.75">
      <c r="A76" s="766"/>
      <c r="B76" s="178" t="s">
        <v>257</v>
      </c>
      <c r="C76" s="178"/>
      <c r="D76" s="482">
        <f>(I58-D63-D65-D66-D67-D68)+49.69*1.15</f>
        <v>2692.6633406399997</v>
      </c>
      <c r="E76" s="139" t="s">
        <v>4</v>
      </c>
      <c r="F76" s="127"/>
      <c r="G76" s="127"/>
      <c r="H76" s="123"/>
      <c r="I76" s="124"/>
      <c r="J76" s="125"/>
      <c r="M76" s="286">
        <v>1.2</v>
      </c>
      <c r="N76" s="286">
        <v>2</v>
      </c>
      <c r="O76" s="286">
        <v>0.13</v>
      </c>
      <c r="P76" s="287">
        <v>0.15</v>
      </c>
      <c r="Q76" s="287">
        <v>0.3</v>
      </c>
      <c r="R76" s="288">
        <v>0.5726995888383637</v>
      </c>
      <c r="S76" s="288"/>
      <c r="T76" s="286">
        <v>1.46</v>
      </c>
      <c r="U76" s="286"/>
    </row>
    <row r="77" spans="1:21" ht="12.75">
      <c r="A77" s="766"/>
      <c r="B77" s="179" t="s">
        <v>208</v>
      </c>
      <c r="C77" s="178"/>
      <c r="D77" s="483">
        <f>J59</f>
        <v>1582.8000000000002</v>
      </c>
      <c r="E77" s="139" t="s">
        <v>5</v>
      </c>
      <c r="F77" s="123"/>
      <c r="G77" s="123"/>
      <c r="H77" s="123"/>
      <c r="I77" s="124"/>
      <c r="J77" s="125"/>
      <c r="M77" s="286">
        <v>1.5</v>
      </c>
      <c r="N77" s="286">
        <v>2.3</v>
      </c>
      <c r="O77" s="286">
        <v>0.13</v>
      </c>
      <c r="P77" s="287">
        <v>0.15</v>
      </c>
      <c r="Q77" s="287">
        <v>0.375</v>
      </c>
      <c r="R77" s="288">
        <v>0.7318733563453347</v>
      </c>
      <c r="S77" s="288"/>
      <c r="T77" s="286">
        <v>1.76</v>
      </c>
      <c r="U77" s="286"/>
    </row>
    <row r="78" spans="1:10" ht="12.75">
      <c r="A78" s="767"/>
      <c r="B78" s="180" t="s">
        <v>240</v>
      </c>
      <c r="C78" s="179"/>
      <c r="D78" s="482">
        <f>C63*0.2613+C64*0.2613+C65*0.3265+C66*0.4829+C67*0.5727+C68*0.7319</f>
        <v>445.4262</v>
      </c>
      <c r="E78" s="139" t="s">
        <v>4</v>
      </c>
      <c r="F78" s="128"/>
      <c r="G78" s="128"/>
      <c r="H78" s="128"/>
      <c r="I78" s="129"/>
      <c r="J78" s="130"/>
    </row>
  </sheetData>
  <sheetProtection/>
  <mergeCells count="18">
    <mergeCell ref="A27:A35"/>
    <mergeCell ref="A37:A43"/>
    <mergeCell ref="A45:A50"/>
    <mergeCell ref="A3:J3"/>
    <mergeCell ref="A4:J5"/>
    <mergeCell ref="A6:B7"/>
    <mergeCell ref="C6:C7"/>
    <mergeCell ref="D6:D7"/>
    <mergeCell ref="A18:A25"/>
    <mergeCell ref="A10:A16"/>
    <mergeCell ref="A52:A57"/>
    <mergeCell ref="A58:A78"/>
    <mergeCell ref="M69:N69"/>
    <mergeCell ref="M64:N64"/>
    <mergeCell ref="M65:N65"/>
    <mergeCell ref="M66:N66"/>
    <mergeCell ref="M67:N67"/>
    <mergeCell ref="M68:N6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U41"/>
  <sheetViews>
    <sheetView zoomScalePageLayoutView="0" workbookViewId="0" topLeftCell="A16">
      <selection activeCell="U39" sqref="U39"/>
    </sheetView>
  </sheetViews>
  <sheetFormatPr defaultColWidth="9.140625" defaultRowHeight="12.75"/>
  <cols>
    <col min="1" max="11" width="4.140625" style="0" customWidth="1"/>
    <col min="12" max="12" width="6.8515625" style="0" customWidth="1"/>
    <col min="13" max="20" width="4.140625" style="0" customWidth="1"/>
    <col min="21" max="21" width="12.7109375" style="0" customWidth="1"/>
  </cols>
  <sheetData>
    <row r="1" spans="1:21" ht="15">
      <c r="A1" s="836" t="s">
        <v>51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  <c r="T1" s="837"/>
      <c r="U1" s="33">
        <v>43380</v>
      </c>
    </row>
    <row r="2" spans="1:21" ht="12.75">
      <c r="A2" s="838" t="s">
        <v>52</v>
      </c>
      <c r="B2" s="839"/>
      <c r="C2" s="839"/>
      <c r="D2" s="839"/>
      <c r="E2" s="840"/>
      <c r="F2" s="838" t="s">
        <v>216</v>
      </c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40"/>
      <c r="U2" s="19" t="s">
        <v>53</v>
      </c>
    </row>
    <row r="3" spans="1:21" ht="12.75" customHeight="1">
      <c r="A3" s="841" t="s">
        <v>54</v>
      </c>
      <c r="B3" s="842"/>
      <c r="C3" s="842"/>
      <c r="D3" s="842"/>
      <c r="E3" s="843"/>
      <c r="F3" s="844" t="s">
        <v>233</v>
      </c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6"/>
      <c r="U3" s="20" t="s">
        <v>8</v>
      </c>
    </row>
    <row r="4" spans="1:21" ht="12.75" customHeight="1">
      <c r="A4" s="801" t="s">
        <v>55</v>
      </c>
      <c r="B4" s="801"/>
      <c r="C4" s="801"/>
      <c r="D4" s="801"/>
      <c r="E4" s="801"/>
      <c r="F4" s="801"/>
      <c r="G4" s="801"/>
      <c r="H4" s="801"/>
      <c r="I4" s="801"/>
      <c r="J4" s="801"/>
      <c r="K4" s="803" t="s">
        <v>11</v>
      </c>
      <c r="L4" s="803"/>
      <c r="M4" s="803" t="s">
        <v>56</v>
      </c>
      <c r="N4" s="803"/>
      <c r="O4" s="803"/>
      <c r="P4" s="803"/>
      <c r="Q4" s="803" t="s">
        <v>57</v>
      </c>
      <c r="R4" s="803"/>
      <c r="S4" s="803"/>
      <c r="T4" s="803"/>
      <c r="U4" s="803" t="s">
        <v>50</v>
      </c>
    </row>
    <row r="5" spans="1:21" ht="12.75" customHeight="1">
      <c r="A5" s="801"/>
      <c r="B5" s="801"/>
      <c r="C5" s="801"/>
      <c r="D5" s="801"/>
      <c r="E5" s="801"/>
      <c r="F5" s="801"/>
      <c r="G5" s="801"/>
      <c r="H5" s="801"/>
      <c r="I5" s="801"/>
      <c r="J5" s="801"/>
      <c r="K5" s="803"/>
      <c r="L5" s="803"/>
      <c r="M5" s="803" t="s">
        <v>58</v>
      </c>
      <c r="N5" s="803"/>
      <c r="O5" s="803" t="s">
        <v>59</v>
      </c>
      <c r="P5" s="803"/>
      <c r="Q5" s="803" t="s">
        <v>58</v>
      </c>
      <c r="R5" s="803"/>
      <c r="S5" s="803" t="s">
        <v>59</v>
      </c>
      <c r="T5" s="803"/>
      <c r="U5" s="803"/>
    </row>
    <row r="6" spans="1:21" ht="12.75">
      <c r="A6" s="834"/>
      <c r="B6" s="834"/>
      <c r="C6" s="834"/>
      <c r="D6" s="834"/>
      <c r="E6" s="834"/>
      <c r="F6" s="834"/>
      <c r="G6" s="834"/>
      <c r="H6" s="834"/>
      <c r="I6" s="834"/>
      <c r="J6" s="834"/>
      <c r="K6" s="835"/>
      <c r="L6" s="835"/>
      <c r="M6" s="835"/>
      <c r="N6" s="835"/>
      <c r="O6" s="835"/>
      <c r="P6" s="835"/>
      <c r="Q6" s="833"/>
      <c r="R6" s="833"/>
      <c r="S6" s="833"/>
      <c r="T6" s="833"/>
      <c r="U6" s="21"/>
    </row>
    <row r="7" spans="1:21" ht="12.75">
      <c r="A7" s="831"/>
      <c r="B7" s="831"/>
      <c r="C7" s="831"/>
      <c r="D7" s="831"/>
      <c r="E7" s="831"/>
      <c r="F7" s="831"/>
      <c r="G7" s="831"/>
      <c r="H7" s="831"/>
      <c r="I7" s="831"/>
      <c r="J7" s="831"/>
      <c r="K7" s="809"/>
      <c r="L7" s="809"/>
      <c r="M7" s="809"/>
      <c r="N7" s="809"/>
      <c r="O7" s="809"/>
      <c r="P7" s="809"/>
      <c r="Q7" s="832"/>
      <c r="R7" s="832"/>
      <c r="S7" s="832"/>
      <c r="T7" s="832"/>
      <c r="U7" s="21"/>
    </row>
    <row r="8" spans="1:21" ht="12.75">
      <c r="A8" s="820"/>
      <c r="B8" s="820"/>
      <c r="C8" s="820"/>
      <c r="D8" s="820"/>
      <c r="E8" s="820"/>
      <c r="F8" s="820"/>
      <c r="G8" s="820"/>
      <c r="H8" s="820"/>
      <c r="I8" s="820"/>
      <c r="J8" s="820"/>
      <c r="K8" s="809"/>
      <c r="L8" s="809"/>
      <c r="M8" s="809"/>
      <c r="N8" s="809"/>
      <c r="O8" s="809"/>
      <c r="P8" s="809"/>
      <c r="Q8" s="832"/>
      <c r="R8" s="832"/>
      <c r="S8" s="832"/>
      <c r="T8" s="832"/>
      <c r="U8" s="21"/>
    </row>
    <row r="9" spans="1:21" ht="12.75">
      <c r="A9" s="831"/>
      <c r="B9" s="831"/>
      <c r="C9" s="831"/>
      <c r="D9" s="831"/>
      <c r="E9" s="831"/>
      <c r="F9" s="831"/>
      <c r="G9" s="831"/>
      <c r="H9" s="831"/>
      <c r="I9" s="831"/>
      <c r="J9" s="831"/>
      <c r="K9" s="809"/>
      <c r="L9" s="809"/>
      <c r="M9" s="809"/>
      <c r="N9" s="809"/>
      <c r="O9" s="809"/>
      <c r="P9" s="809"/>
      <c r="Q9" s="832"/>
      <c r="R9" s="832"/>
      <c r="S9" s="832"/>
      <c r="T9" s="832"/>
      <c r="U9" s="21"/>
    </row>
    <row r="10" spans="1:21" ht="12.75">
      <c r="A10" s="831"/>
      <c r="B10" s="831"/>
      <c r="C10" s="831"/>
      <c r="D10" s="831"/>
      <c r="E10" s="831"/>
      <c r="F10" s="831"/>
      <c r="G10" s="831"/>
      <c r="H10" s="831"/>
      <c r="I10" s="831"/>
      <c r="J10" s="831"/>
      <c r="K10" s="809"/>
      <c r="L10" s="809"/>
      <c r="M10" s="809"/>
      <c r="N10" s="809"/>
      <c r="O10" s="809"/>
      <c r="P10" s="809"/>
      <c r="Q10" s="832"/>
      <c r="R10" s="832"/>
      <c r="S10" s="832"/>
      <c r="T10" s="832"/>
      <c r="U10" s="21"/>
    </row>
    <row r="11" spans="1:21" ht="12.75">
      <c r="A11" s="831"/>
      <c r="B11" s="831"/>
      <c r="C11" s="831"/>
      <c r="D11" s="831"/>
      <c r="E11" s="831"/>
      <c r="F11" s="831"/>
      <c r="G11" s="831"/>
      <c r="H11" s="831"/>
      <c r="I11" s="831"/>
      <c r="J11" s="831"/>
      <c r="K11" s="809"/>
      <c r="L11" s="809"/>
      <c r="M11" s="809"/>
      <c r="N11" s="809"/>
      <c r="O11" s="809"/>
      <c r="P11" s="809"/>
      <c r="Q11" s="832"/>
      <c r="R11" s="832"/>
      <c r="S11" s="832"/>
      <c r="T11" s="832"/>
      <c r="U11" s="21"/>
    </row>
    <row r="12" spans="1:21" ht="12.75">
      <c r="A12" s="820"/>
      <c r="B12" s="820"/>
      <c r="C12" s="820"/>
      <c r="D12" s="820"/>
      <c r="E12" s="820"/>
      <c r="F12" s="820"/>
      <c r="G12" s="820"/>
      <c r="H12" s="820"/>
      <c r="I12" s="820"/>
      <c r="J12" s="820"/>
      <c r="K12" s="809"/>
      <c r="L12" s="809"/>
      <c r="M12" s="809"/>
      <c r="N12" s="809"/>
      <c r="O12" s="809"/>
      <c r="P12" s="809"/>
      <c r="Q12" s="832"/>
      <c r="R12" s="832"/>
      <c r="S12" s="832"/>
      <c r="T12" s="832"/>
      <c r="U12" s="21"/>
    </row>
    <row r="13" spans="1:21" ht="12.75">
      <c r="A13" s="820"/>
      <c r="B13" s="820"/>
      <c r="C13" s="820"/>
      <c r="D13" s="820"/>
      <c r="E13" s="820"/>
      <c r="F13" s="820"/>
      <c r="G13" s="820"/>
      <c r="H13" s="820"/>
      <c r="I13" s="820"/>
      <c r="J13" s="820"/>
      <c r="K13" s="809"/>
      <c r="L13" s="809"/>
      <c r="M13" s="809"/>
      <c r="N13" s="809"/>
      <c r="O13" s="809"/>
      <c r="P13" s="809"/>
      <c r="Q13" s="832"/>
      <c r="R13" s="832"/>
      <c r="S13" s="832"/>
      <c r="T13" s="832"/>
      <c r="U13" s="21"/>
    </row>
    <row r="14" spans="1:21" ht="12.75">
      <c r="A14" s="831"/>
      <c r="B14" s="831"/>
      <c r="C14" s="831"/>
      <c r="D14" s="831"/>
      <c r="E14" s="831"/>
      <c r="F14" s="831"/>
      <c r="G14" s="831"/>
      <c r="H14" s="831"/>
      <c r="I14" s="831"/>
      <c r="J14" s="831"/>
      <c r="K14" s="809"/>
      <c r="L14" s="809"/>
      <c r="M14" s="809"/>
      <c r="N14" s="809"/>
      <c r="O14" s="809"/>
      <c r="P14" s="809"/>
      <c r="Q14" s="832"/>
      <c r="R14" s="832"/>
      <c r="S14" s="832"/>
      <c r="T14" s="832"/>
      <c r="U14" s="21"/>
    </row>
    <row r="15" spans="1:21" ht="12.75">
      <c r="A15" s="784"/>
      <c r="B15" s="784"/>
      <c r="C15" s="784"/>
      <c r="D15" s="784"/>
      <c r="E15" s="784"/>
      <c r="F15" s="784"/>
      <c r="G15" s="784"/>
      <c r="H15" s="784"/>
      <c r="I15" s="784"/>
      <c r="J15" s="784"/>
      <c r="K15" s="784"/>
      <c r="L15" s="784"/>
      <c r="M15" s="784"/>
      <c r="N15" s="784"/>
      <c r="O15" s="784"/>
      <c r="P15" s="784"/>
      <c r="Q15" s="784"/>
      <c r="R15" s="785" t="s">
        <v>60</v>
      </c>
      <c r="S15" s="785"/>
      <c r="T15" s="785"/>
      <c r="U15" s="22">
        <f>SUM(U6:U14)</f>
        <v>0</v>
      </c>
    </row>
    <row r="16" spans="1:21" ht="24" customHeight="1">
      <c r="A16" s="801" t="s">
        <v>61</v>
      </c>
      <c r="B16" s="801"/>
      <c r="C16" s="801"/>
      <c r="D16" s="801"/>
      <c r="E16" s="801"/>
      <c r="F16" s="801"/>
      <c r="G16" s="801"/>
      <c r="H16" s="801"/>
      <c r="I16" s="801"/>
      <c r="J16" s="801"/>
      <c r="K16" s="801"/>
      <c r="L16" s="801"/>
      <c r="M16" s="801"/>
      <c r="N16" s="801"/>
      <c r="O16" s="803" t="s">
        <v>2</v>
      </c>
      <c r="P16" s="803"/>
      <c r="Q16" s="803"/>
      <c r="R16" s="803" t="s">
        <v>62</v>
      </c>
      <c r="S16" s="803"/>
      <c r="T16" s="803"/>
      <c r="U16" s="253" t="s">
        <v>50</v>
      </c>
    </row>
    <row r="17" spans="1:21" ht="12.75" customHeight="1">
      <c r="A17" s="830" t="s">
        <v>170</v>
      </c>
      <c r="B17" s="830"/>
      <c r="C17" s="830"/>
      <c r="D17" s="830"/>
      <c r="E17" s="830"/>
      <c r="F17" s="830"/>
      <c r="G17" s="830"/>
      <c r="H17" s="830"/>
      <c r="I17" s="830"/>
      <c r="J17" s="830"/>
      <c r="K17" s="830"/>
      <c r="L17" s="830"/>
      <c r="M17" s="830"/>
      <c r="N17" s="830"/>
      <c r="O17" s="821">
        <v>5.92</v>
      </c>
      <c r="P17" s="821"/>
      <c r="Q17" s="821"/>
      <c r="R17" s="828">
        <v>15.8259</v>
      </c>
      <c r="S17" s="828"/>
      <c r="T17" s="828"/>
      <c r="U17" s="150">
        <f>(O17*R17)</f>
        <v>93.689328</v>
      </c>
    </row>
    <row r="18" spans="1:21" ht="12.75">
      <c r="A18" s="827"/>
      <c r="B18" s="827"/>
      <c r="C18" s="827"/>
      <c r="D18" s="827"/>
      <c r="E18" s="827"/>
      <c r="F18" s="827"/>
      <c r="G18" s="827"/>
      <c r="H18" s="827"/>
      <c r="I18" s="827"/>
      <c r="J18" s="827"/>
      <c r="K18" s="827"/>
      <c r="L18" s="827"/>
      <c r="M18" s="827"/>
      <c r="N18" s="827"/>
      <c r="O18" s="810"/>
      <c r="P18" s="810"/>
      <c r="Q18" s="810"/>
      <c r="R18" s="828"/>
      <c r="S18" s="828"/>
      <c r="T18" s="828"/>
      <c r="U18" s="23"/>
    </row>
    <row r="19" spans="1:21" ht="12.75">
      <c r="A19" s="829"/>
      <c r="B19" s="829"/>
      <c r="C19" s="829"/>
      <c r="D19" s="829"/>
      <c r="E19" s="829"/>
      <c r="F19" s="829"/>
      <c r="G19" s="829"/>
      <c r="H19" s="829"/>
      <c r="I19" s="829"/>
      <c r="J19" s="829"/>
      <c r="K19" s="829"/>
      <c r="L19" s="829"/>
      <c r="M19" s="829"/>
      <c r="N19" s="829"/>
      <c r="O19" s="806"/>
      <c r="P19" s="806"/>
      <c r="Q19" s="806"/>
      <c r="R19" s="807"/>
      <c r="S19" s="807"/>
      <c r="T19" s="807"/>
      <c r="U19" s="24"/>
    </row>
    <row r="20" spans="1:21" ht="12.75">
      <c r="A20" s="784"/>
      <c r="B20" s="784"/>
      <c r="C20" s="784"/>
      <c r="D20" s="784"/>
      <c r="E20" s="784"/>
      <c r="F20" s="784"/>
      <c r="G20" s="784"/>
      <c r="H20" s="784"/>
      <c r="I20" s="784"/>
      <c r="J20" s="784"/>
      <c r="K20" s="784"/>
      <c r="L20" s="784"/>
      <c r="M20" s="784"/>
      <c r="N20" s="784"/>
      <c r="O20" s="784"/>
      <c r="P20" s="784"/>
      <c r="Q20" s="784"/>
      <c r="R20" s="785" t="s">
        <v>63</v>
      </c>
      <c r="S20" s="785"/>
      <c r="T20" s="785"/>
      <c r="U20" s="25">
        <f>SUM(U17:U19)</f>
        <v>93.689328</v>
      </c>
    </row>
    <row r="21" spans="1:21" ht="12.75">
      <c r="A21" s="822" t="s">
        <v>64</v>
      </c>
      <c r="B21" s="822"/>
      <c r="C21" s="822"/>
      <c r="D21" s="822"/>
      <c r="E21" s="822"/>
      <c r="F21" s="822"/>
      <c r="G21" s="822"/>
      <c r="H21" s="822"/>
      <c r="I21" s="823"/>
      <c r="J21" s="824">
        <v>1</v>
      </c>
      <c r="K21" s="825"/>
      <c r="L21" s="825"/>
      <c r="M21" s="826" t="s">
        <v>65</v>
      </c>
      <c r="N21" s="826"/>
      <c r="O21" s="826"/>
      <c r="P21" s="826"/>
      <c r="Q21" s="826"/>
      <c r="R21" s="826"/>
      <c r="S21" s="826"/>
      <c r="T21" s="826"/>
      <c r="U21" s="25">
        <f>SUM(U15,U20)</f>
        <v>93.689328</v>
      </c>
    </row>
    <row r="22" spans="1:21" ht="12.75">
      <c r="A22" s="802"/>
      <c r="B22" s="802"/>
      <c r="C22" s="802"/>
      <c r="D22" s="802" t="s">
        <v>66</v>
      </c>
      <c r="E22" s="802"/>
      <c r="F22" s="802"/>
      <c r="G22" s="802"/>
      <c r="H22" s="802"/>
      <c r="I22" s="802"/>
      <c r="J22" s="802"/>
      <c r="K22" s="802"/>
      <c r="L22" s="802"/>
      <c r="M22" s="802"/>
      <c r="N22" s="802"/>
      <c r="O22" s="802"/>
      <c r="P22" s="802"/>
      <c r="Q22" s="802"/>
      <c r="R22" s="802"/>
      <c r="S22" s="802"/>
      <c r="T22" s="802"/>
      <c r="U22" s="25">
        <f>U21/J21</f>
        <v>93.689328</v>
      </c>
    </row>
    <row r="23" spans="1:21" ht="24" customHeight="1">
      <c r="A23" s="801" t="s">
        <v>67</v>
      </c>
      <c r="B23" s="801"/>
      <c r="C23" s="801"/>
      <c r="D23" s="801"/>
      <c r="E23" s="801"/>
      <c r="F23" s="801"/>
      <c r="G23" s="801"/>
      <c r="H23" s="801"/>
      <c r="I23" s="801"/>
      <c r="J23" s="801"/>
      <c r="K23" s="801"/>
      <c r="L23" s="801"/>
      <c r="M23" s="803" t="s">
        <v>1</v>
      </c>
      <c r="N23" s="803"/>
      <c r="O23" s="803" t="s">
        <v>68</v>
      </c>
      <c r="P23" s="803"/>
      <c r="Q23" s="803"/>
      <c r="R23" s="803" t="s">
        <v>69</v>
      </c>
      <c r="S23" s="803"/>
      <c r="T23" s="803"/>
      <c r="U23" s="253" t="s">
        <v>70</v>
      </c>
    </row>
    <row r="24" spans="1:21" ht="12.75">
      <c r="A24" s="820" t="s">
        <v>228</v>
      </c>
      <c r="B24" s="820"/>
      <c r="C24" s="820"/>
      <c r="D24" s="820"/>
      <c r="E24" s="820"/>
      <c r="F24" s="820"/>
      <c r="G24" s="820"/>
      <c r="H24" s="820"/>
      <c r="I24" s="820"/>
      <c r="J24" s="820"/>
      <c r="K24" s="820"/>
      <c r="L24" s="820"/>
      <c r="M24" s="809" t="s">
        <v>5</v>
      </c>
      <c r="N24" s="809"/>
      <c r="O24" s="821">
        <v>9.54</v>
      </c>
      <c r="P24" s="821"/>
      <c r="Q24" s="821"/>
      <c r="R24" s="811">
        <v>75.65</v>
      </c>
      <c r="S24" s="811"/>
      <c r="T24" s="811"/>
      <c r="U24" s="150">
        <f>(O24*R24)</f>
        <v>721.701</v>
      </c>
    </row>
    <row r="25" spans="1:21" ht="12.75">
      <c r="A25" s="820" t="s">
        <v>229</v>
      </c>
      <c r="B25" s="820"/>
      <c r="C25" s="820"/>
      <c r="D25" s="820"/>
      <c r="E25" s="820"/>
      <c r="F25" s="820"/>
      <c r="G25" s="820"/>
      <c r="H25" s="820"/>
      <c r="I25" s="820"/>
      <c r="J25" s="820"/>
      <c r="K25" s="820"/>
      <c r="L25" s="820"/>
      <c r="M25" s="809" t="s">
        <v>5</v>
      </c>
      <c r="N25" s="809"/>
      <c r="O25" s="821">
        <v>4.13</v>
      </c>
      <c r="P25" s="821"/>
      <c r="Q25" s="821"/>
      <c r="R25" s="811">
        <v>53.82</v>
      </c>
      <c r="S25" s="811"/>
      <c r="T25" s="811"/>
      <c r="U25" s="150">
        <f>(O25*R25)</f>
        <v>222.2766</v>
      </c>
    </row>
    <row r="26" spans="1:21" ht="12.75">
      <c r="A26" s="820" t="s">
        <v>230</v>
      </c>
      <c r="B26" s="820"/>
      <c r="C26" s="820"/>
      <c r="D26" s="820"/>
      <c r="E26" s="820"/>
      <c r="F26" s="820"/>
      <c r="G26" s="820"/>
      <c r="H26" s="820"/>
      <c r="I26" s="820"/>
      <c r="J26" s="820"/>
      <c r="K26" s="820"/>
      <c r="L26" s="820"/>
      <c r="M26" s="809" t="s">
        <v>4</v>
      </c>
      <c r="N26" s="809"/>
      <c r="O26" s="810">
        <v>0.83</v>
      </c>
      <c r="P26" s="810"/>
      <c r="Q26" s="810"/>
      <c r="R26" s="811">
        <v>363.68</v>
      </c>
      <c r="S26" s="811"/>
      <c r="T26" s="811"/>
      <c r="U26" s="150">
        <f>(O26*R26)</f>
        <v>301.8544</v>
      </c>
    </row>
    <row r="27" spans="1:21" ht="12.75">
      <c r="A27" s="808" t="s">
        <v>231</v>
      </c>
      <c r="B27" s="808"/>
      <c r="C27" s="808"/>
      <c r="D27" s="808"/>
      <c r="E27" s="808"/>
      <c r="F27" s="808"/>
      <c r="G27" s="808"/>
      <c r="H27" s="808"/>
      <c r="I27" s="808"/>
      <c r="J27" s="808"/>
      <c r="K27" s="808"/>
      <c r="L27" s="808"/>
      <c r="M27" s="809" t="s">
        <v>83</v>
      </c>
      <c r="N27" s="809"/>
      <c r="O27" s="810">
        <v>21.06</v>
      </c>
      <c r="P27" s="810"/>
      <c r="Q27" s="810"/>
      <c r="R27" s="811">
        <v>9.05</v>
      </c>
      <c r="S27" s="811"/>
      <c r="T27" s="811"/>
      <c r="U27" s="150">
        <f>(O27*R27)</f>
        <v>190.593</v>
      </c>
    </row>
    <row r="28" spans="1:21" ht="12.75">
      <c r="A28" s="812" t="s">
        <v>232</v>
      </c>
      <c r="B28" s="813"/>
      <c r="C28" s="813"/>
      <c r="D28" s="813"/>
      <c r="E28" s="813"/>
      <c r="F28" s="813"/>
      <c r="G28" s="813"/>
      <c r="H28" s="813"/>
      <c r="I28" s="813"/>
      <c r="J28" s="813"/>
      <c r="K28" s="813"/>
      <c r="L28" s="814"/>
      <c r="M28" s="815" t="s">
        <v>4</v>
      </c>
      <c r="N28" s="816"/>
      <c r="O28" s="817">
        <v>0.24</v>
      </c>
      <c r="P28" s="818"/>
      <c r="Q28" s="819"/>
      <c r="R28" s="811">
        <v>346.09</v>
      </c>
      <c r="S28" s="811"/>
      <c r="T28" s="811"/>
      <c r="U28" s="150">
        <f>(O28*R28)</f>
        <v>83.06159999999998</v>
      </c>
    </row>
    <row r="29" spans="1:21" ht="12.75">
      <c r="A29" s="804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5"/>
      <c r="N29" s="805"/>
      <c r="O29" s="806"/>
      <c r="P29" s="806"/>
      <c r="Q29" s="806"/>
      <c r="R29" s="807"/>
      <c r="S29" s="807"/>
      <c r="T29" s="807"/>
      <c r="U29" s="26"/>
    </row>
    <row r="30" spans="1:21" ht="12.75">
      <c r="A30" s="784"/>
      <c r="B30" s="784"/>
      <c r="C30" s="784"/>
      <c r="D30" s="784"/>
      <c r="E30" s="784"/>
      <c r="F30" s="784"/>
      <c r="G30" s="784"/>
      <c r="H30" s="784"/>
      <c r="I30" s="784"/>
      <c r="J30" s="784"/>
      <c r="K30" s="784"/>
      <c r="L30" s="784"/>
      <c r="M30" s="784"/>
      <c r="N30" s="784"/>
      <c r="O30" s="784"/>
      <c r="P30" s="784"/>
      <c r="Q30" s="784"/>
      <c r="R30" s="785" t="s">
        <v>71</v>
      </c>
      <c r="S30" s="785"/>
      <c r="T30" s="785"/>
      <c r="U30" s="25">
        <f>SUM(U24:U29)</f>
        <v>1519.4866000000002</v>
      </c>
    </row>
    <row r="31" spans="1:21" ht="12.75" customHeight="1">
      <c r="A31" s="801" t="s">
        <v>72</v>
      </c>
      <c r="B31" s="801"/>
      <c r="C31" s="801"/>
      <c r="D31" s="801"/>
      <c r="E31" s="801"/>
      <c r="F31" s="801"/>
      <c r="G31" s="801"/>
      <c r="H31" s="801"/>
      <c r="I31" s="802" t="s">
        <v>73</v>
      </c>
      <c r="J31" s="802"/>
      <c r="K31" s="802"/>
      <c r="L31" s="802"/>
      <c r="M31" s="802"/>
      <c r="N31" s="802"/>
      <c r="O31" s="803" t="s">
        <v>74</v>
      </c>
      <c r="P31" s="803"/>
      <c r="Q31" s="803"/>
      <c r="R31" s="803" t="s">
        <v>69</v>
      </c>
      <c r="S31" s="803"/>
      <c r="T31" s="803"/>
      <c r="U31" s="803" t="s">
        <v>70</v>
      </c>
    </row>
    <row r="32" spans="1:21" ht="12.75">
      <c r="A32" s="801"/>
      <c r="B32" s="801"/>
      <c r="C32" s="801"/>
      <c r="D32" s="801"/>
      <c r="E32" s="801"/>
      <c r="F32" s="801"/>
      <c r="G32" s="801"/>
      <c r="H32" s="801"/>
      <c r="I32" s="802" t="s">
        <v>75</v>
      </c>
      <c r="J32" s="802"/>
      <c r="K32" s="802" t="s">
        <v>76</v>
      </c>
      <c r="L32" s="802"/>
      <c r="M32" s="802" t="s">
        <v>14</v>
      </c>
      <c r="N32" s="802"/>
      <c r="O32" s="803"/>
      <c r="P32" s="803"/>
      <c r="Q32" s="803"/>
      <c r="R32" s="803"/>
      <c r="S32" s="803"/>
      <c r="T32" s="803"/>
      <c r="U32" s="803"/>
    </row>
    <row r="33" spans="1:21" ht="12.75">
      <c r="A33" s="797"/>
      <c r="B33" s="797"/>
      <c r="C33" s="797"/>
      <c r="D33" s="797"/>
      <c r="E33" s="797"/>
      <c r="F33" s="797"/>
      <c r="G33" s="797"/>
      <c r="H33" s="797"/>
      <c r="I33" s="798"/>
      <c r="J33" s="798"/>
      <c r="K33" s="798"/>
      <c r="L33" s="798"/>
      <c r="M33" s="798"/>
      <c r="N33" s="798"/>
      <c r="O33" s="799"/>
      <c r="P33" s="799"/>
      <c r="Q33" s="799"/>
      <c r="R33" s="800"/>
      <c r="S33" s="800"/>
      <c r="T33" s="800"/>
      <c r="U33" s="252">
        <f>INT((M33*O33*R33)*100)/100</f>
        <v>0</v>
      </c>
    </row>
    <row r="34" spans="1:21" ht="12.75">
      <c r="A34" s="793"/>
      <c r="B34" s="793"/>
      <c r="C34" s="793"/>
      <c r="D34" s="793"/>
      <c r="E34" s="793"/>
      <c r="F34" s="793"/>
      <c r="G34" s="793"/>
      <c r="H34" s="793"/>
      <c r="I34" s="794"/>
      <c r="J34" s="794"/>
      <c r="K34" s="794"/>
      <c r="L34" s="794"/>
      <c r="M34" s="794"/>
      <c r="N34" s="794"/>
      <c r="O34" s="795"/>
      <c r="P34" s="795"/>
      <c r="Q34" s="795"/>
      <c r="R34" s="796"/>
      <c r="S34" s="796"/>
      <c r="T34" s="796"/>
      <c r="U34" s="254">
        <f>INT((M34*O34*R34)*100)/100</f>
        <v>0</v>
      </c>
    </row>
    <row r="35" spans="1:21" ht="12.75">
      <c r="A35" s="793"/>
      <c r="B35" s="793"/>
      <c r="C35" s="793"/>
      <c r="D35" s="793"/>
      <c r="E35" s="793"/>
      <c r="F35" s="793"/>
      <c r="G35" s="793"/>
      <c r="H35" s="793"/>
      <c r="I35" s="794"/>
      <c r="J35" s="794"/>
      <c r="K35" s="794"/>
      <c r="L35" s="794"/>
      <c r="M35" s="794">
        <f>SUM(I35:L35)</f>
        <v>0</v>
      </c>
      <c r="N35" s="794"/>
      <c r="O35" s="795"/>
      <c r="P35" s="795"/>
      <c r="Q35" s="795"/>
      <c r="R35" s="796"/>
      <c r="S35" s="796"/>
      <c r="T35" s="796"/>
      <c r="U35" s="254">
        <f>INT((M35*O35*R35)*100)/100</f>
        <v>0</v>
      </c>
    </row>
    <row r="36" spans="1:21" ht="12.75">
      <c r="A36" s="789"/>
      <c r="B36" s="789"/>
      <c r="C36" s="789"/>
      <c r="D36" s="789"/>
      <c r="E36" s="789"/>
      <c r="F36" s="789"/>
      <c r="G36" s="789"/>
      <c r="H36" s="789"/>
      <c r="I36" s="790"/>
      <c r="J36" s="790"/>
      <c r="K36" s="790"/>
      <c r="L36" s="790"/>
      <c r="M36" s="790">
        <f>SUM(I36:L36)</f>
        <v>0</v>
      </c>
      <c r="N36" s="790"/>
      <c r="O36" s="791"/>
      <c r="P36" s="791"/>
      <c r="Q36" s="791"/>
      <c r="R36" s="792"/>
      <c r="S36" s="792"/>
      <c r="T36" s="792"/>
      <c r="U36" s="255">
        <f>INT((M36*O36*R36)*100)/100</f>
        <v>0</v>
      </c>
    </row>
    <row r="37" spans="1:21" ht="12.75">
      <c r="A37" s="784"/>
      <c r="B37" s="784"/>
      <c r="C37" s="784"/>
      <c r="D37" s="784"/>
      <c r="E37" s="784"/>
      <c r="F37" s="784"/>
      <c r="G37" s="784"/>
      <c r="H37" s="784"/>
      <c r="I37" s="784"/>
      <c r="J37" s="784"/>
      <c r="K37" s="784"/>
      <c r="L37" s="784"/>
      <c r="M37" s="784"/>
      <c r="N37" s="784"/>
      <c r="O37" s="784"/>
      <c r="P37" s="784"/>
      <c r="Q37" s="784"/>
      <c r="R37" s="785" t="s">
        <v>77</v>
      </c>
      <c r="S37" s="785"/>
      <c r="T37" s="785"/>
      <c r="U37" s="27">
        <f>SUM(U33:U36)</f>
        <v>0</v>
      </c>
    </row>
    <row r="38" spans="1:21" ht="12.75">
      <c r="A38" s="784"/>
      <c r="B38" s="784"/>
      <c r="C38" s="784"/>
      <c r="D38" s="784"/>
      <c r="E38" s="784"/>
      <c r="F38" s="784"/>
      <c r="G38" s="784"/>
      <c r="H38" s="784"/>
      <c r="I38" s="784"/>
      <c r="J38" s="784"/>
      <c r="K38" s="784"/>
      <c r="L38" s="784"/>
      <c r="M38" s="784"/>
      <c r="N38" s="784"/>
      <c r="O38" s="784"/>
      <c r="P38" s="784"/>
      <c r="Q38" s="784"/>
      <c r="R38" s="784"/>
      <c r="S38" s="784"/>
      <c r="T38" s="784"/>
      <c r="U38" s="784"/>
    </row>
    <row r="39" spans="1:21" ht="12.75">
      <c r="A39" s="786" t="s">
        <v>78</v>
      </c>
      <c r="B39" s="786"/>
      <c r="C39" s="786"/>
      <c r="D39" s="786"/>
      <c r="E39" s="786"/>
      <c r="F39" s="786"/>
      <c r="G39" s="786"/>
      <c r="H39" s="786"/>
      <c r="I39" s="786"/>
      <c r="J39" s="786"/>
      <c r="K39" s="786"/>
      <c r="L39" s="786"/>
      <c r="M39" s="786"/>
      <c r="N39" s="786"/>
      <c r="O39" s="786"/>
      <c r="P39" s="786"/>
      <c r="Q39" s="786"/>
      <c r="R39" s="786"/>
      <c r="S39" s="786"/>
      <c r="T39" s="786"/>
      <c r="U39" s="28">
        <f>SUM(U22,U30,U37)</f>
        <v>1613.175928</v>
      </c>
    </row>
    <row r="40" spans="1:21" ht="12.75">
      <c r="A40" s="29" t="s">
        <v>79</v>
      </c>
      <c r="B40" s="30"/>
      <c r="C40" s="30"/>
      <c r="D40" s="30"/>
      <c r="E40" s="30"/>
      <c r="F40" s="30"/>
      <c r="G40" s="30"/>
      <c r="H40" s="31" t="s">
        <v>80</v>
      </c>
      <c r="I40" s="787">
        <v>0</v>
      </c>
      <c r="J40" s="787"/>
      <c r="K40" s="30" t="s">
        <v>81</v>
      </c>
      <c r="L40" s="30"/>
      <c r="M40" s="30"/>
      <c r="N40" s="30"/>
      <c r="O40" s="30"/>
      <c r="P40" s="30"/>
      <c r="Q40" s="30"/>
      <c r="R40" s="30"/>
      <c r="S40" s="30"/>
      <c r="T40" s="30"/>
      <c r="U40" s="32">
        <f>TRUNC((U39*I40),2)</f>
        <v>0</v>
      </c>
    </row>
    <row r="41" spans="1:21" ht="14.25">
      <c r="A41" s="788" t="s">
        <v>82</v>
      </c>
      <c r="B41" s="788"/>
      <c r="C41" s="788"/>
      <c r="D41" s="788"/>
      <c r="E41" s="788"/>
      <c r="F41" s="788"/>
      <c r="G41" s="788"/>
      <c r="H41" s="788"/>
      <c r="I41" s="788"/>
      <c r="J41" s="788"/>
      <c r="K41" s="788"/>
      <c r="L41" s="788"/>
      <c r="M41" s="788"/>
      <c r="N41" s="788"/>
      <c r="O41" s="788"/>
      <c r="P41" s="788"/>
      <c r="Q41" s="788"/>
      <c r="R41" s="788"/>
      <c r="S41" s="788"/>
      <c r="T41" s="788"/>
      <c r="U41" s="32">
        <f>((U40+U39))</f>
        <v>1613.175928</v>
      </c>
    </row>
  </sheetData>
  <sheetProtection/>
  <mergeCells count="157">
    <mergeCell ref="A1:T1"/>
    <mergeCell ref="A2:E2"/>
    <mergeCell ref="F2:T2"/>
    <mergeCell ref="A3:E3"/>
    <mergeCell ref="F3:T3"/>
    <mergeCell ref="A4:J5"/>
    <mergeCell ref="K4:L5"/>
    <mergeCell ref="M4:P4"/>
    <mergeCell ref="Q4:T4"/>
    <mergeCell ref="U4:U5"/>
    <mergeCell ref="M5:N5"/>
    <mergeCell ref="O5:P5"/>
    <mergeCell ref="Q5:R5"/>
    <mergeCell ref="S5:T5"/>
    <mergeCell ref="A6:J6"/>
    <mergeCell ref="K6:L6"/>
    <mergeCell ref="M6:N6"/>
    <mergeCell ref="O6:P6"/>
    <mergeCell ref="Q6:R6"/>
    <mergeCell ref="S6:T6"/>
    <mergeCell ref="A7:J7"/>
    <mergeCell ref="K7:L7"/>
    <mergeCell ref="M7:N7"/>
    <mergeCell ref="O7:P7"/>
    <mergeCell ref="Q7:R7"/>
    <mergeCell ref="S7:T7"/>
    <mergeCell ref="A8:J8"/>
    <mergeCell ref="K8:L8"/>
    <mergeCell ref="M8:N8"/>
    <mergeCell ref="O8:P8"/>
    <mergeCell ref="Q8:R8"/>
    <mergeCell ref="S8:T8"/>
    <mergeCell ref="A9:J9"/>
    <mergeCell ref="K9:L9"/>
    <mergeCell ref="M9:N9"/>
    <mergeCell ref="O9:P9"/>
    <mergeCell ref="Q9:R9"/>
    <mergeCell ref="S9:T9"/>
    <mergeCell ref="A10:J10"/>
    <mergeCell ref="K10:L10"/>
    <mergeCell ref="M10:N10"/>
    <mergeCell ref="O10:P10"/>
    <mergeCell ref="Q10:R10"/>
    <mergeCell ref="S10:T10"/>
    <mergeCell ref="A11:J11"/>
    <mergeCell ref="K11:L11"/>
    <mergeCell ref="M11:N11"/>
    <mergeCell ref="O11:P11"/>
    <mergeCell ref="Q11:R11"/>
    <mergeCell ref="S11:T11"/>
    <mergeCell ref="A12:J12"/>
    <mergeCell ref="K12:L12"/>
    <mergeCell ref="M12:N12"/>
    <mergeCell ref="O12:P12"/>
    <mergeCell ref="Q12:R12"/>
    <mergeCell ref="S12:T12"/>
    <mergeCell ref="A13:J13"/>
    <mergeCell ref="K13:L13"/>
    <mergeCell ref="M13:N13"/>
    <mergeCell ref="O13:P13"/>
    <mergeCell ref="Q13:R13"/>
    <mergeCell ref="S13:T13"/>
    <mergeCell ref="A14:J14"/>
    <mergeCell ref="K14:L14"/>
    <mergeCell ref="M14:N14"/>
    <mergeCell ref="O14:P14"/>
    <mergeCell ref="Q14:R14"/>
    <mergeCell ref="S14:T14"/>
    <mergeCell ref="A15:Q15"/>
    <mergeCell ref="R15:T15"/>
    <mergeCell ref="A16:N16"/>
    <mergeCell ref="O16:Q16"/>
    <mergeCell ref="R16:T16"/>
    <mergeCell ref="A17:N17"/>
    <mergeCell ref="O17:Q17"/>
    <mergeCell ref="R17:T17"/>
    <mergeCell ref="A18:N18"/>
    <mergeCell ref="O18:Q18"/>
    <mergeCell ref="R18:T18"/>
    <mergeCell ref="A19:N19"/>
    <mergeCell ref="O19:Q19"/>
    <mergeCell ref="R19:T19"/>
    <mergeCell ref="A20:Q20"/>
    <mergeCell ref="R20:T20"/>
    <mergeCell ref="A21:I21"/>
    <mergeCell ref="J21:L21"/>
    <mergeCell ref="M21:T21"/>
    <mergeCell ref="A22:C22"/>
    <mergeCell ref="D22:T22"/>
    <mergeCell ref="A23:L23"/>
    <mergeCell ref="M23:N23"/>
    <mergeCell ref="O23:Q23"/>
    <mergeCell ref="R23:T23"/>
    <mergeCell ref="A24:L24"/>
    <mergeCell ref="M24:N24"/>
    <mergeCell ref="O24:Q24"/>
    <mergeCell ref="R24:T24"/>
    <mergeCell ref="A25:L25"/>
    <mergeCell ref="M25:N25"/>
    <mergeCell ref="O25:Q25"/>
    <mergeCell ref="R25:T25"/>
    <mergeCell ref="A26:L26"/>
    <mergeCell ref="M26:N26"/>
    <mergeCell ref="O26:Q26"/>
    <mergeCell ref="R26:T26"/>
    <mergeCell ref="A27:L27"/>
    <mergeCell ref="M27:N27"/>
    <mergeCell ref="O27:Q27"/>
    <mergeCell ref="R27:T27"/>
    <mergeCell ref="A28:L28"/>
    <mergeCell ref="M28:N28"/>
    <mergeCell ref="O28:Q28"/>
    <mergeCell ref="R28:T28"/>
    <mergeCell ref="A29:L29"/>
    <mergeCell ref="M29:N29"/>
    <mergeCell ref="O29:Q29"/>
    <mergeCell ref="R29:T29"/>
    <mergeCell ref="A30:Q30"/>
    <mergeCell ref="R30:T30"/>
    <mergeCell ref="A31:H32"/>
    <mergeCell ref="I31:N31"/>
    <mergeCell ref="O31:Q32"/>
    <mergeCell ref="R31:T32"/>
    <mergeCell ref="U31:U32"/>
    <mergeCell ref="I32:J32"/>
    <mergeCell ref="K32:L32"/>
    <mergeCell ref="M32:N32"/>
    <mergeCell ref="A33:H33"/>
    <mergeCell ref="I33:J33"/>
    <mergeCell ref="K33:L33"/>
    <mergeCell ref="M33:N33"/>
    <mergeCell ref="O33:Q33"/>
    <mergeCell ref="R33:T33"/>
    <mergeCell ref="A34:H34"/>
    <mergeCell ref="I34:J34"/>
    <mergeCell ref="K34:L34"/>
    <mergeCell ref="M34:N34"/>
    <mergeCell ref="O34:Q34"/>
    <mergeCell ref="R34:T34"/>
    <mergeCell ref="A35:H35"/>
    <mergeCell ref="I35:J35"/>
    <mergeCell ref="K35:L35"/>
    <mergeCell ref="M35:N35"/>
    <mergeCell ref="O35:Q35"/>
    <mergeCell ref="R35:T35"/>
    <mergeCell ref="A36:H36"/>
    <mergeCell ref="I36:J36"/>
    <mergeCell ref="K36:L36"/>
    <mergeCell ref="M36:N36"/>
    <mergeCell ref="O36:Q36"/>
    <mergeCell ref="R36:T36"/>
    <mergeCell ref="A37:Q37"/>
    <mergeCell ref="R37:T37"/>
    <mergeCell ref="A38:U38"/>
    <mergeCell ref="A39:T39"/>
    <mergeCell ref="I40:J40"/>
    <mergeCell ref="A41:T41"/>
  </mergeCells>
  <conditionalFormatting sqref="O6:P14">
    <cfRule type="cellIs" priority="1" dxfId="0" operator="equal" stopIfTrue="1">
      <formula>1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40"/>
  <sheetViews>
    <sheetView zoomScalePageLayoutView="0" workbookViewId="0" topLeftCell="A1">
      <selection activeCell="U27" sqref="U27"/>
    </sheetView>
  </sheetViews>
  <sheetFormatPr defaultColWidth="9.140625" defaultRowHeight="12.75"/>
  <cols>
    <col min="1" max="11" width="4.140625" style="0" customWidth="1"/>
    <col min="12" max="12" width="6.8515625" style="0" customWidth="1"/>
    <col min="13" max="20" width="4.140625" style="0" customWidth="1"/>
    <col min="21" max="21" width="12.7109375" style="0" customWidth="1"/>
  </cols>
  <sheetData>
    <row r="1" spans="1:21" ht="19.5">
      <c r="A1" s="896" t="s">
        <v>51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33">
        <v>43374</v>
      </c>
    </row>
    <row r="2" spans="1:21" ht="12.75">
      <c r="A2" s="898" t="s">
        <v>52</v>
      </c>
      <c r="B2" s="899"/>
      <c r="C2" s="899"/>
      <c r="D2" s="899"/>
      <c r="E2" s="900"/>
      <c r="F2" s="898" t="s">
        <v>216</v>
      </c>
      <c r="G2" s="899"/>
      <c r="H2" s="899"/>
      <c r="I2" s="899"/>
      <c r="J2" s="899"/>
      <c r="K2" s="899"/>
      <c r="L2" s="899"/>
      <c r="M2" s="899"/>
      <c r="N2" s="899"/>
      <c r="O2" s="899"/>
      <c r="P2" s="899"/>
      <c r="Q2" s="899"/>
      <c r="R2" s="899"/>
      <c r="S2" s="899"/>
      <c r="T2" s="900"/>
      <c r="U2" s="145" t="s">
        <v>53</v>
      </c>
    </row>
    <row r="3" spans="1:21" ht="12.75" customHeight="1">
      <c r="A3" s="901" t="s">
        <v>54</v>
      </c>
      <c r="B3" s="902"/>
      <c r="C3" s="902"/>
      <c r="D3" s="902"/>
      <c r="E3" s="903"/>
      <c r="F3" s="904" t="s">
        <v>234</v>
      </c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  <c r="T3" s="906"/>
      <c r="U3" s="146" t="s">
        <v>8</v>
      </c>
    </row>
    <row r="4" spans="1:21" ht="12.75" customHeight="1">
      <c r="A4" s="876" t="s">
        <v>55</v>
      </c>
      <c r="B4" s="876"/>
      <c r="C4" s="876"/>
      <c r="D4" s="876"/>
      <c r="E4" s="876"/>
      <c r="F4" s="876"/>
      <c r="G4" s="876"/>
      <c r="H4" s="876"/>
      <c r="I4" s="876"/>
      <c r="J4" s="876"/>
      <c r="K4" s="872" t="s">
        <v>11</v>
      </c>
      <c r="L4" s="872"/>
      <c r="M4" s="872" t="s">
        <v>56</v>
      </c>
      <c r="N4" s="872"/>
      <c r="O4" s="872"/>
      <c r="P4" s="872"/>
      <c r="Q4" s="872" t="s">
        <v>57</v>
      </c>
      <c r="R4" s="872"/>
      <c r="S4" s="872"/>
      <c r="T4" s="872"/>
      <c r="U4" s="872" t="s">
        <v>50</v>
      </c>
    </row>
    <row r="5" spans="1:21" ht="12.75" customHeight="1">
      <c r="A5" s="876"/>
      <c r="B5" s="876"/>
      <c r="C5" s="876"/>
      <c r="D5" s="876"/>
      <c r="E5" s="876"/>
      <c r="F5" s="876"/>
      <c r="G5" s="876"/>
      <c r="H5" s="876"/>
      <c r="I5" s="876"/>
      <c r="J5" s="876"/>
      <c r="K5" s="872"/>
      <c r="L5" s="872"/>
      <c r="M5" s="872" t="s">
        <v>58</v>
      </c>
      <c r="N5" s="872"/>
      <c r="O5" s="872" t="s">
        <v>59</v>
      </c>
      <c r="P5" s="872"/>
      <c r="Q5" s="872" t="s">
        <v>58</v>
      </c>
      <c r="R5" s="872"/>
      <c r="S5" s="872" t="s">
        <v>59</v>
      </c>
      <c r="T5" s="872"/>
      <c r="U5" s="872"/>
    </row>
    <row r="6" spans="1:21" ht="12.75">
      <c r="A6" s="894"/>
      <c r="B6" s="894"/>
      <c r="C6" s="894"/>
      <c r="D6" s="894"/>
      <c r="E6" s="894"/>
      <c r="F6" s="894"/>
      <c r="G6" s="894"/>
      <c r="H6" s="894"/>
      <c r="I6" s="894"/>
      <c r="J6" s="894"/>
      <c r="K6" s="895"/>
      <c r="L6" s="895"/>
      <c r="M6" s="895"/>
      <c r="N6" s="895"/>
      <c r="O6" s="895"/>
      <c r="P6" s="895"/>
      <c r="Q6" s="893"/>
      <c r="R6" s="893"/>
      <c r="S6" s="893"/>
      <c r="T6" s="893"/>
      <c r="U6" s="148"/>
    </row>
    <row r="7" spans="1:21" ht="12.75">
      <c r="A7" s="892"/>
      <c r="B7" s="892"/>
      <c r="C7" s="892"/>
      <c r="D7" s="892"/>
      <c r="E7" s="892"/>
      <c r="F7" s="892"/>
      <c r="G7" s="892"/>
      <c r="H7" s="892"/>
      <c r="I7" s="892"/>
      <c r="J7" s="892"/>
      <c r="K7" s="890"/>
      <c r="L7" s="890"/>
      <c r="M7" s="890"/>
      <c r="N7" s="890"/>
      <c r="O7" s="890"/>
      <c r="P7" s="890"/>
      <c r="Q7" s="891"/>
      <c r="R7" s="891"/>
      <c r="S7" s="891"/>
      <c r="T7" s="891"/>
      <c r="U7" s="148"/>
    </row>
    <row r="8" spans="1:21" ht="12.75">
      <c r="A8" s="889"/>
      <c r="B8" s="889"/>
      <c r="C8" s="889"/>
      <c r="D8" s="889"/>
      <c r="E8" s="889"/>
      <c r="F8" s="889"/>
      <c r="G8" s="889"/>
      <c r="H8" s="889"/>
      <c r="I8" s="889"/>
      <c r="J8" s="889"/>
      <c r="K8" s="890"/>
      <c r="L8" s="890"/>
      <c r="M8" s="890"/>
      <c r="N8" s="890"/>
      <c r="O8" s="890"/>
      <c r="P8" s="890"/>
      <c r="Q8" s="891"/>
      <c r="R8" s="891"/>
      <c r="S8" s="891"/>
      <c r="T8" s="891"/>
      <c r="U8" s="148"/>
    </row>
    <row r="9" spans="1:21" ht="12.75">
      <c r="A9" s="892"/>
      <c r="B9" s="892"/>
      <c r="C9" s="892"/>
      <c r="D9" s="892"/>
      <c r="E9" s="892"/>
      <c r="F9" s="892"/>
      <c r="G9" s="892"/>
      <c r="H9" s="892"/>
      <c r="I9" s="892"/>
      <c r="J9" s="892"/>
      <c r="K9" s="890"/>
      <c r="L9" s="890"/>
      <c r="M9" s="890"/>
      <c r="N9" s="890"/>
      <c r="O9" s="890"/>
      <c r="P9" s="890"/>
      <c r="Q9" s="891"/>
      <c r="R9" s="891"/>
      <c r="S9" s="891"/>
      <c r="T9" s="891"/>
      <c r="U9" s="148"/>
    </row>
    <row r="10" spans="1:21" ht="12.75">
      <c r="A10" s="892"/>
      <c r="B10" s="892"/>
      <c r="C10" s="892"/>
      <c r="D10" s="892"/>
      <c r="E10" s="892"/>
      <c r="F10" s="892"/>
      <c r="G10" s="892"/>
      <c r="H10" s="892"/>
      <c r="I10" s="892"/>
      <c r="J10" s="892"/>
      <c r="K10" s="890"/>
      <c r="L10" s="890"/>
      <c r="M10" s="890"/>
      <c r="N10" s="890"/>
      <c r="O10" s="890"/>
      <c r="P10" s="890"/>
      <c r="Q10" s="891"/>
      <c r="R10" s="891"/>
      <c r="S10" s="891"/>
      <c r="T10" s="891"/>
      <c r="U10" s="148"/>
    </row>
    <row r="11" spans="1:21" ht="12.75">
      <c r="A11" s="892"/>
      <c r="B11" s="892"/>
      <c r="C11" s="892"/>
      <c r="D11" s="892"/>
      <c r="E11" s="892"/>
      <c r="F11" s="892"/>
      <c r="G11" s="892"/>
      <c r="H11" s="892"/>
      <c r="I11" s="892"/>
      <c r="J11" s="892"/>
      <c r="K11" s="890"/>
      <c r="L11" s="890"/>
      <c r="M11" s="890"/>
      <c r="N11" s="890"/>
      <c r="O11" s="890"/>
      <c r="P11" s="890"/>
      <c r="Q11" s="891"/>
      <c r="R11" s="891"/>
      <c r="S11" s="891"/>
      <c r="T11" s="891"/>
      <c r="U11" s="148"/>
    </row>
    <row r="12" spans="1:21" ht="12.75">
      <c r="A12" s="889"/>
      <c r="B12" s="889"/>
      <c r="C12" s="889"/>
      <c r="D12" s="889"/>
      <c r="E12" s="889"/>
      <c r="F12" s="889"/>
      <c r="G12" s="889"/>
      <c r="H12" s="889"/>
      <c r="I12" s="889"/>
      <c r="J12" s="889"/>
      <c r="K12" s="890"/>
      <c r="L12" s="890"/>
      <c r="M12" s="890"/>
      <c r="N12" s="890"/>
      <c r="O12" s="890"/>
      <c r="P12" s="890"/>
      <c r="Q12" s="891"/>
      <c r="R12" s="891"/>
      <c r="S12" s="891"/>
      <c r="T12" s="891"/>
      <c r="U12" s="148"/>
    </row>
    <row r="13" spans="1:21" ht="24" customHeight="1">
      <c r="A13" s="847"/>
      <c r="B13" s="847"/>
      <c r="C13" s="847"/>
      <c r="D13" s="847"/>
      <c r="E13" s="847"/>
      <c r="F13" s="847"/>
      <c r="G13" s="847"/>
      <c r="H13" s="847"/>
      <c r="I13" s="847"/>
      <c r="J13" s="847"/>
      <c r="K13" s="847"/>
      <c r="L13" s="847"/>
      <c r="M13" s="847"/>
      <c r="N13" s="847"/>
      <c r="O13" s="847"/>
      <c r="P13" s="847"/>
      <c r="Q13" s="847"/>
      <c r="R13" s="848" t="s">
        <v>60</v>
      </c>
      <c r="S13" s="848"/>
      <c r="T13" s="848"/>
      <c r="U13" s="149">
        <f>SUM(U6:U12)</f>
        <v>0</v>
      </c>
    </row>
    <row r="14" spans="1:21" ht="25.5" customHeight="1">
      <c r="A14" s="876" t="s">
        <v>61</v>
      </c>
      <c r="B14" s="876"/>
      <c r="C14" s="876"/>
      <c r="D14" s="876"/>
      <c r="E14" s="876"/>
      <c r="F14" s="876"/>
      <c r="G14" s="876"/>
      <c r="H14" s="876"/>
      <c r="I14" s="876"/>
      <c r="J14" s="876"/>
      <c r="K14" s="876"/>
      <c r="L14" s="876"/>
      <c r="M14" s="876"/>
      <c r="N14" s="876"/>
      <c r="O14" s="872" t="s">
        <v>2</v>
      </c>
      <c r="P14" s="872"/>
      <c r="Q14" s="872"/>
      <c r="R14" s="872" t="s">
        <v>62</v>
      </c>
      <c r="S14" s="872"/>
      <c r="T14" s="872"/>
      <c r="U14" s="147" t="s">
        <v>50</v>
      </c>
    </row>
    <row r="15" spans="1:21" ht="12.75" customHeight="1">
      <c r="A15" s="830" t="s">
        <v>170</v>
      </c>
      <c r="B15" s="830"/>
      <c r="C15" s="830"/>
      <c r="D15" s="830"/>
      <c r="E15" s="830"/>
      <c r="F15" s="830"/>
      <c r="G15" s="830"/>
      <c r="H15" s="830"/>
      <c r="I15" s="830"/>
      <c r="J15" s="830"/>
      <c r="K15" s="830"/>
      <c r="L15" s="830"/>
      <c r="M15" s="830"/>
      <c r="N15" s="830"/>
      <c r="O15" s="887">
        <v>2.96</v>
      </c>
      <c r="P15" s="887"/>
      <c r="Q15" s="887"/>
      <c r="R15" s="828">
        <v>15.8295</v>
      </c>
      <c r="S15" s="828"/>
      <c r="T15" s="828"/>
      <c r="U15" s="150">
        <f>(O15*R15)</f>
        <v>46.85532</v>
      </c>
    </row>
    <row r="16" spans="1:21" ht="12.75">
      <c r="A16" s="873"/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4"/>
      <c r="P16" s="874"/>
      <c r="Q16" s="874"/>
      <c r="R16" s="875"/>
      <c r="S16" s="875"/>
      <c r="T16" s="875"/>
      <c r="U16" s="152"/>
    </row>
    <row r="17" spans="1:21" ht="12.75">
      <c r="A17" s="873"/>
      <c r="B17" s="873"/>
      <c r="C17" s="873"/>
      <c r="D17" s="873"/>
      <c r="E17" s="873"/>
      <c r="F17" s="873"/>
      <c r="G17" s="873"/>
      <c r="H17" s="873"/>
      <c r="I17" s="873"/>
      <c r="J17" s="873"/>
      <c r="K17" s="873"/>
      <c r="L17" s="873"/>
      <c r="M17" s="873"/>
      <c r="N17" s="873"/>
      <c r="O17" s="874"/>
      <c r="P17" s="874"/>
      <c r="Q17" s="874"/>
      <c r="R17" s="875"/>
      <c r="S17" s="875"/>
      <c r="T17" s="875"/>
      <c r="U17" s="150"/>
    </row>
    <row r="18" spans="1:21" ht="12.75">
      <c r="A18" s="888"/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0"/>
      <c r="P18" s="880"/>
      <c r="Q18" s="880"/>
      <c r="R18" s="881"/>
      <c r="S18" s="881"/>
      <c r="T18" s="881"/>
      <c r="U18" s="154"/>
    </row>
    <row r="19" spans="1:21" ht="12.75">
      <c r="A19" s="847"/>
      <c r="B19" s="847"/>
      <c r="C19" s="847"/>
      <c r="D19" s="847"/>
      <c r="E19" s="847"/>
      <c r="F19" s="847"/>
      <c r="G19" s="847"/>
      <c r="H19" s="847"/>
      <c r="I19" s="847"/>
      <c r="J19" s="847"/>
      <c r="K19" s="847"/>
      <c r="L19" s="847"/>
      <c r="M19" s="847"/>
      <c r="N19" s="847"/>
      <c r="O19" s="847"/>
      <c r="P19" s="847"/>
      <c r="Q19" s="847"/>
      <c r="R19" s="848" t="s">
        <v>63</v>
      </c>
      <c r="S19" s="848"/>
      <c r="T19" s="848"/>
      <c r="U19" s="155">
        <f>SUM(U15:U18)</f>
        <v>46.85532</v>
      </c>
    </row>
    <row r="20" spans="1:21" ht="24" customHeight="1">
      <c r="A20" s="865" t="s">
        <v>64</v>
      </c>
      <c r="B20" s="865"/>
      <c r="C20" s="865"/>
      <c r="D20" s="865"/>
      <c r="E20" s="865"/>
      <c r="F20" s="865"/>
      <c r="G20" s="865"/>
      <c r="H20" s="865"/>
      <c r="I20" s="866"/>
      <c r="J20" s="867">
        <v>1</v>
      </c>
      <c r="K20" s="868"/>
      <c r="L20" s="868"/>
      <c r="M20" s="869" t="s">
        <v>65</v>
      </c>
      <c r="N20" s="869"/>
      <c r="O20" s="869"/>
      <c r="P20" s="869"/>
      <c r="Q20" s="869"/>
      <c r="R20" s="869"/>
      <c r="S20" s="869"/>
      <c r="T20" s="869"/>
      <c r="U20" s="155">
        <f>SUM(U13,U19)</f>
        <v>46.85532</v>
      </c>
    </row>
    <row r="21" spans="1:21" ht="12.75">
      <c r="A21" s="870"/>
      <c r="B21" s="870"/>
      <c r="C21" s="870"/>
      <c r="D21" s="871" t="s">
        <v>66</v>
      </c>
      <c r="E21" s="871"/>
      <c r="F21" s="871"/>
      <c r="G21" s="871"/>
      <c r="H21" s="871"/>
      <c r="I21" s="871"/>
      <c r="J21" s="871"/>
      <c r="K21" s="871"/>
      <c r="L21" s="871"/>
      <c r="M21" s="871"/>
      <c r="N21" s="871"/>
      <c r="O21" s="871"/>
      <c r="P21" s="871"/>
      <c r="Q21" s="871"/>
      <c r="R21" s="871"/>
      <c r="S21" s="871"/>
      <c r="T21" s="871"/>
      <c r="U21" s="155">
        <f>U20/J20</f>
        <v>46.85532</v>
      </c>
    </row>
    <row r="22" spans="1:21" ht="24" customHeight="1">
      <c r="A22" s="876" t="s">
        <v>67</v>
      </c>
      <c r="B22" s="876"/>
      <c r="C22" s="876"/>
      <c r="D22" s="876"/>
      <c r="E22" s="876"/>
      <c r="F22" s="876"/>
      <c r="G22" s="876"/>
      <c r="H22" s="876"/>
      <c r="I22" s="876"/>
      <c r="J22" s="876"/>
      <c r="K22" s="876"/>
      <c r="L22" s="876"/>
      <c r="M22" s="872" t="s">
        <v>1</v>
      </c>
      <c r="N22" s="872"/>
      <c r="O22" s="872" t="s">
        <v>68</v>
      </c>
      <c r="P22" s="872"/>
      <c r="Q22" s="872"/>
      <c r="R22" s="872" t="s">
        <v>69</v>
      </c>
      <c r="S22" s="872"/>
      <c r="T22" s="872"/>
      <c r="U22" s="147" t="s">
        <v>70</v>
      </c>
    </row>
    <row r="23" spans="1:21" ht="12.75">
      <c r="A23" s="820" t="s">
        <v>228</v>
      </c>
      <c r="B23" s="820"/>
      <c r="C23" s="820"/>
      <c r="D23" s="820"/>
      <c r="E23" s="820"/>
      <c r="F23" s="820"/>
      <c r="G23" s="820"/>
      <c r="H23" s="820"/>
      <c r="I23" s="820"/>
      <c r="J23" s="820"/>
      <c r="K23" s="820"/>
      <c r="L23" s="820"/>
      <c r="M23" s="886" t="s">
        <v>5</v>
      </c>
      <c r="N23" s="886"/>
      <c r="O23" s="887">
        <v>5.68</v>
      </c>
      <c r="P23" s="887"/>
      <c r="Q23" s="887"/>
      <c r="R23" s="811">
        <v>75.65</v>
      </c>
      <c r="S23" s="811"/>
      <c r="T23" s="811"/>
      <c r="U23" s="150">
        <f>(O23*R23)</f>
        <v>429.692</v>
      </c>
    </row>
    <row r="24" spans="1:21" ht="12.75">
      <c r="A24" s="820" t="s">
        <v>229</v>
      </c>
      <c r="B24" s="820"/>
      <c r="C24" s="820"/>
      <c r="D24" s="820"/>
      <c r="E24" s="820"/>
      <c r="F24" s="820"/>
      <c r="G24" s="820"/>
      <c r="H24" s="820"/>
      <c r="I24" s="820"/>
      <c r="J24" s="820"/>
      <c r="K24" s="820"/>
      <c r="L24" s="820"/>
      <c r="M24" s="886" t="s">
        <v>5</v>
      </c>
      <c r="N24" s="886"/>
      <c r="O24" s="887">
        <v>3.1</v>
      </c>
      <c r="P24" s="887"/>
      <c r="Q24" s="887"/>
      <c r="R24" s="811">
        <v>53.82</v>
      </c>
      <c r="S24" s="811"/>
      <c r="T24" s="811"/>
      <c r="U24" s="150">
        <f>(O24*R24)</f>
        <v>166.842</v>
      </c>
    </row>
    <row r="25" spans="1:21" ht="12.75">
      <c r="A25" s="820" t="s">
        <v>230</v>
      </c>
      <c r="B25" s="820"/>
      <c r="C25" s="820"/>
      <c r="D25" s="820"/>
      <c r="E25" s="820"/>
      <c r="F25" s="820"/>
      <c r="G25" s="820"/>
      <c r="H25" s="820"/>
      <c r="I25" s="820"/>
      <c r="J25" s="820"/>
      <c r="K25" s="820"/>
      <c r="L25" s="820"/>
      <c r="M25" s="886" t="s">
        <v>4</v>
      </c>
      <c r="N25" s="886"/>
      <c r="O25" s="874">
        <v>0.31</v>
      </c>
      <c r="P25" s="874"/>
      <c r="Q25" s="874"/>
      <c r="R25" s="811">
        <v>363.68</v>
      </c>
      <c r="S25" s="811"/>
      <c r="T25" s="811"/>
      <c r="U25" s="150">
        <f>(O25*R25)</f>
        <v>112.74080000000001</v>
      </c>
    </row>
    <row r="26" spans="1:21" ht="12.75">
      <c r="A26" s="808" t="s">
        <v>231</v>
      </c>
      <c r="B26" s="808"/>
      <c r="C26" s="808"/>
      <c r="D26" s="808"/>
      <c r="E26" s="808"/>
      <c r="F26" s="808"/>
      <c r="G26" s="808"/>
      <c r="H26" s="808"/>
      <c r="I26" s="808"/>
      <c r="J26" s="808"/>
      <c r="K26" s="808"/>
      <c r="L26" s="808"/>
      <c r="M26" s="886" t="s">
        <v>83</v>
      </c>
      <c r="N26" s="886"/>
      <c r="O26" s="874">
        <v>8.4</v>
      </c>
      <c r="P26" s="874"/>
      <c r="Q26" s="874"/>
      <c r="R26" s="811">
        <v>9.05</v>
      </c>
      <c r="S26" s="811"/>
      <c r="T26" s="811"/>
      <c r="U26" s="150">
        <f>(O26*R26)</f>
        <v>76.02000000000001</v>
      </c>
    </row>
    <row r="27" spans="1:21" ht="12.75">
      <c r="A27" s="812" t="s">
        <v>232</v>
      </c>
      <c r="B27" s="813"/>
      <c r="C27" s="813"/>
      <c r="D27" s="813"/>
      <c r="E27" s="813"/>
      <c r="F27" s="813"/>
      <c r="G27" s="813"/>
      <c r="H27" s="813"/>
      <c r="I27" s="813"/>
      <c r="J27" s="813"/>
      <c r="K27" s="813"/>
      <c r="L27" s="814"/>
      <c r="M27" s="877" t="s">
        <v>4</v>
      </c>
      <c r="N27" s="878"/>
      <c r="O27" s="883">
        <v>0.142</v>
      </c>
      <c r="P27" s="884"/>
      <c r="Q27" s="885"/>
      <c r="R27" s="811">
        <v>346.09</v>
      </c>
      <c r="S27" s="811"/>
      <c r="T27" s="811"/>
      <c r="U27" s="150">
        <f>(O27*R27)</f>
        <v>49.14477999999999</v>
      </c>
    </row>
    <row r="28" spans="1:21" ht="12.75" customHeight="1">
      <c r="A28" s="882"/>
      <c r="B28" s="882"/>
      <c r="C28" s="882"/>
      <c r="D28" s="882"/>
      <c r="E28" s="882"/>
      <c r="F28" s="882"/>
      <c r="G28" s="882"/>
      <c r="H28" s="882"/>
      <c r="I28" s="882"/>
      <c r="J28" s="882"/>
      <c r="K28" s="882"/>
      <c r="L28" s="882"/>
      <c r="M28" s="879"/>
      <c r="N28" s="879"/>
      <c r="O28" s="880"/>
      <c r="P28" s="880"/>
      <c r="Q28" s="880"/>
      <c r="R28" s="881"/>
      <c r="S28" s="881"/>
      <c r="T28" s="881"/>
      <c r="U28" s="156"/>
    </row>
    <row r="29" spans="1:21" ht="12.75">
      <c r="A29" s="847"/>
      <c r="B29" s="847"/>
      <c r="C29" s="847"/>
      <c r="D29" s="847"/>
      <c r="E29" s="847"/>
      <c r="F29" s="847"/>
      <c r="G29" s="847"/>
      <c r="H29" s="847"/>
      <c r="I29" s="847"/>
      <c r="J29" s="847"/>
      <c r="K29" s="847"/>
      <c r="L29" s="847"/>
      <c r="M29" s="847"/>
      <c r="N29" s="847"/>
      <c r="O29" s="847"/>
      <c r="P29" s="847"/>
      <c r="Q29" s="847"/>
      <c r="R29" s="848" t="s">
        <v>71</v>
      </c>
      <c r="S29" s="848"/>
      <c r="T29" s="848"/>
      <c r="U29" s="155">
        <f>SUM(U23:U28)</f>
        <v>834.43958</v>
      </c>
    </row>
    <row r="30" spans="1:21" ht="12.75" customHeight="1">
      <c r="A30" s="876" t="s">
        <v>72</v>
      </c>
      <c r="B30" s="876"/>
      <c r="C30" s="876"/>
      <c r="D30" s="876"/>
      <c r="E30" s="876"/>
      <c r="F30" s="876"/>
      <c r="G30" s="876"/>
      <c r="H30" s="876"/>
      <c r="I30" s="871" t="s">
        <v>73</v>
      </c>
      <c r="J30" s="871"/>
      <c r="K30" s="871"/>
      <c r="L30" s="871"/>
      <c r="M30" s="871"/>
      <c r="N30" s="871"/>
      <c r="O30" s="872" t="s">
        <v>74</v>
      </c>
      <c r="P30" s="872"/>
      <c r="Q30" s="872"/>
      <c r="R30" s="872" t="s">
        <v>69</v>
      </c>
      <c r="S30" s="872"/>
      <c r="T30" s="872"/>
      <c r="U30" s="872" t="s">
        <v>70</v>
      </c>
    </row>
    <row r="31" spans="1:21" ht="12.75">
      <c r="A31" s="876"/>
      <c r="B31" s="876"/>
      <c r="C31" s="876"/>
      <c r="D31" s="876"/>
      <c r="E31" s="876"/>
      <c r="F31" s="876"/>
      <c r="G31" s="876"/>
      <c r="H31" s="876"/>
      <c r="I31" s="871" t="s">
        <v>75</v>
      </c>
      <c r="J31" s="871"/>
      <c r="K31" s="871" t="s">
        <v>76</v>
      </c>
      <c r="L31" s="871"/>
      <c r="M31" s="871" t="s">
        <v>14</v>
      </c>
      <c r="N31" s="871"/>
      <c r="O31" s="872"/>
      <c r="P31" s="872"/>
      <c r="Q31" s="872"/>
      <c r="R31" s="872"/>
      <c r="S31" s="872"/>
      <c r="T31" s="872"/>
      <c r="U31" s="872"/>
    </row>
    <row r="32" spans="1:21" ht="12.75">
      <c r="A32" s="861"/>
      <c r="B32" s="861"/>
      <c r="C32" s="861"/>
      <c r="D32" s="861"/>
      <c r="E32" s="861"/>
      <c r="F32" s="861"/>
      <c r="G32" s="861"/>
      <c r="H32" s="861"/>
      <c r="I32" s="862"/>
      <c r="J32" s="862"/>
      <c r="K32" s="862"/>
      <c r="L32" s="862"/>
      <c r="M32" s="862"/>
      <c r="N32" s="862"/>
      <c r="O32" s="863"/>
      <c r="P32" s="863"/>
      <c r="Q32" s="863"/>
      <c r="R32" s="864"/>
      <c r="S32" s="864"/>
      <c r="T32" s="864"/>
      <c r="U32" s="157">
        <f>INT((M32*O32*R32)*100)/100</f>
        <v>0</v>
      </c>
    </row>
    <row r="33" spans="1:21" ht="12.75">
      <c r="A33" s="858"/>
      <c r="B33" s="858"/>
      <c r="C33" s="858"/>
      <c r="D33" s="858"/>
      <c r="E33" s="858"/>
      <c r="F33" s="858"/>
      <c r="G33" s="858"/>
      <c r="H33" s="858"/>
      <c r="I33" s="859"/>
      <c r="J33" s="859"/>
      <c r="K33" s="859"/>
      <c r="L33" s="859"/>
      <c r="M33" s="859"/>
      <c r="N33" s="859"/>
      <c r="O33" s="860"/>
      <c r="P33" s="860"/>
      <c r="Q33" s="860"/>
      <c r="R33" s="857"/>
      <c r="S33" s="857"/>
      <c r="T33" s="857"/>
      <c r="U33" s="151">
        <f>INT((M33*O33*R33)*100)/100</f>
        <v>0</v>
      </c>
    </row>
    <row r="34" spans="1:21" ht="12.75">
      <c r="A34" s="858"/>
      <c r="B34" s="858"/>
      <c r="C34" s="858"/>
      <c r="D34" s="858"/>
      <c r="E34" s="858"/>
      <c r="F34" s="858"/>
      <c r="G34" s="858"/>
      <c r="H34" s="858"/>
      <c r="I34" s="859"/>
      <c r="J34" s="859"/>
      <c r="K34" s="859"/>
      <c r="L34" s="859"/>
      <c r="M34" s="859">
        <f>SUM(I34:L34)</f>
        <v>0</v>
      </c>
      <c r="N34" s="859"/>
      <c r="O34" s="860"/>
      <c r="P34" s="860"/>
      <c r="Q34" s="860"/>
      <c r="R34" s="857"/>
      <c r="S34" s="857"/>
      <c r="T34" s="857"/>
      <c r="U34" s="151">
        <f>INT((M34*O34*R34)*100)/100</f>
        <v>0</v>
      </c>
    </row>
    <row r="35" spans="1:21" ht="12.75">
      <c r="A35" s="853"/>
      <c r="B35" s="853"/>
      <c r="C35" s="853"/>
      <c r="D35" s="853"/>
      <c r="E35" s="853"/>
      <c r="F35" s="853"/>
      <c r="G35" s="853"/>
      <c r="H35" s="853"/>
      <c r="I35" s="854"/>
      <c r="J35" s="854"/>
      <c r="K35" s="854"/>
      <c r="L35" s="854"/>
      <c r="M35" s="854">
        <f>SUM(I35:L35)</f>
        <v>0</v>
      </c>
      <c r="N35" s="854"/>
      <c r="O35" s="855"/>
      <c r="P35" s="855"/>
      <c r="Q35" s="855"/>
      <c r="R35" s="856"/>
      <c r="S35" s="856"/>
      <c r="T35" s="856"/>
      <c r="U35" s="153">
        <f>INT((M35*O35*R35)*100)/100</f>
        <v>0</v>
      </c>
    </row>
    <row r="36" spans="1:21" ht="12.75">
      <c r="A36" s="847"/>
      <c r="B36" s="847"/>
      <c r="C36" s="847"/>
      <c r="D36" s="847"/>
      <c r="E36" s="847"/>
      <c r="F36" s="847"/>
      <c r="G36" s="847"/>
      <c r="H36" s="847"/>
      <c r="I36" s="847"/>
      <c r="J36" s="847"/>
      <c r="K36" s="847"/>
      <c r="L36" s="847"/>
      <c r="M36" s="847"/>
      <c r="N36" s="847"/>
      <c r="O36" s="847"/>
      <c r="P36" s="847"/>
      <c r="Q36" s="847"/>
      <c r="R36" s="848" t="s">
        <v>77</v>
      </c>
      <c r="S36" s="848"/>
      <c r="T36" s="848"/>
      <c r="U36" s="158">
        <f>SUM(U32:U35)</f>
        <v>0</v>
      </c>
    </row>
    <row r="37" spans="1:21" ht="12.75">
      <c r="A37" s="849"/>
      <c r="B37" s="849"/>
      <c r="C37" s="849"/>
      <c r="D37" s="849"/>
      <c r="E37" s="849"/>
      <c r="F37" s="849"/>
      <c r="G37" s="849"/>
      <c r="H37" s="849"/>
      <c r="I37" s="849"/>
      <c r="J37" s="849"/>
      <c r="K37" s="849"/>
      <c r="L37" s="849"/>
      <c r="M37" s="849"/>
      <c r="N37" s="849"/>
      <c r="O37" s="849"/>
      <c r="P37" s="849"/>
      <c r="Q37" s="849"/>
      <c r="R37" s="849"/>
      <c r="S37" s="849"/>
      <c r="T37" s="849"/>
      <c r="U37" s="849"/>
    </row>
    <row r="38" spans="1:21" ht="12.75">
      <c r="A38" s="850" t="s">
        <v>78</v>
      </c>
      <c r="B38" s="850"/>
      <c r="C38" s="850"/>
      <c r="D38" s="850"/>
      <c r="E38" s="850"/>
      <c r="F38" s="850"/>
      <c r="G38" s="850"/>
      <c r="H38" s="850"/>
      <c r="I38" s="850"/>
      <c r="J38" s="850"/>
      <c r="K38" s="850"/>
      <c r="L38" s="850"/>
      <c r="M38" s="850"/>
      <c r="N38" s="850"/>
      <c r="O38" s="850"/>
      <c r="P38" s="850"/>
      <c r="Q38" s="850"/>
      <c r="R38" s="850"/>
      <c r="S38" s="850"/>
      <c r="T38" s="850"/>
      <c r="U38" s="159">
        <f>SUM(U21,U29,U36)</f>
        <v>881.2949</v>
      </c>
    </row>
    <row r="39" spans="1:21" ht="12.75">
      <c r="A39" s="160" t="s">
        <v>79</v>
      </c>
      <c r="B39" s="161"/>
      <c r="C39" s="161"/>
      <c r="D39" s="161"/>
      <c r="E39" s="161"/>
      <c r="F39" s="161"/>
      <c r="G39" s="161"/>
      <c r="H39" s="162" t="s">
        <v>80</v>
      </c>
      <c r="I39" s="851">
        <v>0</v>
      </c>
      <c r="J39" s="851"/>
      <c r="K39" s="161" t="s">
        <v>81</v>
      </c>
      <c r="L39" s="161"/>
      <c r="M39" s="161"/>
      <c r="N39" s="161"/>
      <c r="O39" s="161"/>
      <c r="P39" s="161"/>
      <c r="Q39" s="161"/>
      <c r="R39" s="161"/>
      <c r="S39" s="161"/>
      <c r="T39" s="161"/>
      <c r="U39" s="163">
        <f>TRUNC((U38*I39),2)</f>
        <v>0</v>
      </c>
    </row>
    <row r="40" spans="1:21" ht="18.75">
      <c r="A40" s="852" t="s">
        <v>82</v>
      </c>
      <c r="B40" s="852"/>
      <c r="C40" s="852"/>
      <c r="D40" s="852"/>
      <c r="E40" s="852"/>
      <c r="F40" s="852"/>
      <c r="G40" s="852"/>
      <c r="H40" s="852"/>
      <c r="I40" s="852"/>
      <c r="J40" s="852"/>
      <c r="K40" s="852"/>
      <c r="L40" s="852"/>
      <c r="M40" s="852"/>
      <c r="N40" s="852"/>
      <c r="O40" s="852"/>
      <c r="P40" s="852"/>
      <c r="Q40" s="852"/>
      <c r="R40" s="852"/>
      <c r="S40" s="852"/>
      <c r="T40" s="852"/>
      <c r="U40" s="163">
        <f>((U39+U38))</f>
        <v>881.2949</v>
      </c>
    </row>
  </sheetData>
  <sheetProtection/>
  <mergeCells count="148">
    <mergeCell ref="A1:T1"/>
    <mergeCell ref="A2:E2"/>
    <mergeCell ref="F2:T2"/>
    <mergeCell ref="A3:E3"/>
    <mergeCell ref="F3:T3"/>
    <mergeCell ref="A4:J5"/>
    <mergeCell ref="K4:L5"/>
    <mergeCell ref="M4:P4"/>
    <mergeCell ref="Q4:T4"/>
    <mergeCell ref="U4:U5"/>
    <mergeCell ref="M5:N5"/>
    <mergeCell ref="O5:P5"/>
    <mergeCell ref="Q5:R5"/>
    <mergeCell ref="S5:T5"/>
    <mergeCell ref="A6:J6"/>
    <mergeCell ref="K6:L6"/>
    <mergeCell ref="M6:N6"/>
    <mergeCell ref="O6:P6"/>
    <mergeCell ref="Q6:R6"/>
    <mergeCell ref="S6:T6"/>
    <mergeCell ref="A7:J7"/>
    <mergeCell ref="K7:L7"/>
    <mergeCell ref="M7:N7"/>
    <mergeCell ref="O7:P7"/>
    <mergeCell ref="Q7:R7"/>
    <mergeCell ref="S7:T7"/>
    <mergeCell ref="A8:J8"/>
    <mergeCell ref="K8:L8"/>
    <mergeCell ref="M8:N8"/>
    <mergeCell ref="O8:P8"/>
    <mergeCell ref="Q8:R8"/>
    <mergeCell ref="S8:T8"/>
    <mergeCell ref="A9:J9"/>
    <mergeCell ref="K9:L9"/>
    <mergeCell ref="M9:N9"/>
    <mergeCell ref="O9:P9"/>
    <mergeCell ref="Q9:R9"/>
    <mergeCell ref="S9:T9"/>
    <mergeCell ref="A10:J10"/>
    <mergeCell ref="K10:L10"/>
    <mergeCell ref="M10:N10"/>
    <mergeCell ref="O10:P10"/>
    <mergeCell ref="Q10:R10"/>
    <mergeCell ref="S10:T10"/>
    <mergeCell ref="A11:J11"/>
    <mergeCell ref="K11:L11"/>
    <mergeCell ref="M11:N11"/>
    <mergeCell ref="O11:P11"/>
    <mergeCell ref="Q11:R11"/>
    <mergeCell ref="S11:T11"/>
    <mergeCell ref="A12:J12"/>
    <mergeCell ref="K12:L12"/>
    <mergeCell ref="M12:N12"/>
    <mergeCell ref="O12:P12"/>
    <mergeCell ref="Q12:R12"/>
    <mergeCell ref="S12:T12"/>
    <mergeCell ref="O14:Q14"/>
    <mergeCell ref="R14:T14"/>
    <mergeCell ref="O18:Q18"/>
    <mergeCell ref="R18:T18"/>
    <mergeCell ref="A15:N15"/>
    <mergeCell ref="O15:Q15"/>
    <mergeCell ref="R15:T15"/>
    <mergeCell ref="A16:N16"/>
    <mergeCell ref="O16:Q16"/>
    <mergeCell ref="R16:T16"/>
    <mergeCell ref="A18:N18"/>
    <mergeCell ref="A22:L22"/>
    <mergeCell ref="M22:N22"/>
    <mergeCell ref="O22:Q22"/>
    <mergeCell ref="R22:T22"/>
    <mergeCell ref="A23:L23"/>
    <mergeCell ref="M23:N23"/>
    <mergeCell ref="O23:Q23"/>
    <mergeCell ref="R23:T23"/>
    <mergeCell ref="R19:T19"/>
    <mergeCell ref="A24:L24"/>
    <mergeCell ref="M24:N24"/>
    <mergeCell ref="O24:Q24"/>
    <mergeCell ref="R24:T24"/>
    <mergeCell ref="A25:L25"/>
    <mergeCell ref="O25:Q25"/>
    <mergeCell ref="R25:T25"/>
    <mergeCell ref="M25:N25"/>
    <mergeCell ref="O27:Q27"/>
    <mergeCell ref="R27:T27"/>
    <mergeCell ref="A27:L27"/>
    <mergeCell ref="O26:Q26"/>
    <mergeCell ref="R26:T26"/>
    <mergeCell ref="M26:N26"/>
    <mergeCell ref="K33:L33"/>
    <mergeCell ref="O33:Q33"/>
    <mergeCell ref="M28:N28"/>
    <mergeCell ref="O28:Q28"/>
    <mergeCell ref="R28:T28"/>
    <mergeCell ref="A28:L28"/>
    <mergeCell ref="A30:H31"/>
    <mergeCell ref="I30:N30"/>
    <mergeCell ref="O30:Q31"/>
    <mergeCell ref="R30:T31"/>
    <mergeCell ref="A29:Q29"/>
    <mergeCell ref="A13:Q13"/>
    <mergeCell ref="A17:N17"/>
    <mergeCell ref="O17:Q17"/>
    <mergeCell ref="R17:T17"/>
    <mergeCell ref="R13:T13"/>
    <mergeCell ref="A14:N14"/>
    <mergeCell ref="A26:L26"/>
    <mergeCell ref="A19:Q19"/>
    <mergeCell ref="M27:N27"/>
    <mergeCell ref="A20:I20"/>
    <mergeCell ref="J20:L20"/>
    <mergeCell ref="M20:T20"/>
    <mergeCell ref="A21:C21"/>
    <mergeCell ref="D21:T21"/>
    <mergeCell ref="U30:U31"/>
    <mergeCell ref="I31:J31"/>
    <mergeCell ref="K31:L31"/>
    <mergeCell ref="M31:N31"/>
    <mergeCell ref="R29:T29"/>
    <mergeCell ref="A32:H32"/>
    <mergeCell ref="I32:J32"/>
    <mergeCell ref="K32:L32"/>
    <mergeCell ref="M32:N32"/>
    <mergeCell ref="O32:Q32"/>
    <mergeCell ref="R32:T32"/>
    <mergeCell ref="R33:T33"/>
    <mergeCell ref="A34:H34"/>
    <mergeCell ref="I34:J34"/>
    <mergeCell ref="K34:L34"/>
    <mergeCell ref="M34:N34"/>
    <mergeCell ref="O34:Q34"/>
    <mergeCell ref="R34:T34"/>
    <mergeCell ref="M33:N33"/>
    <mergeCell ref="I33:J33"/>
    <mergeCell ref="A33:H33"/>
    <mergeCell ref="A35:H35"/>
    <mergeCell ref="I35:J35"/>
    <mergeCell ref="K35:L35"/>
    <mergeCell ref="M35:N35"/>
    <mergeCell ref="O35:Q35"/>
    <mergeCell ref="R35:T35"/>
    <mergeCell ref="A36:Q36"/>
    <mergeCell ref="R36:T36"/>
    <mergeCell ref="A37:U37"/>
    <mergeCell ref="A38:T38"/>
    <mergeCell ref="I39:J39"/>
    <mergeCell ref="A40:T40"/>
  </mergeCells>
  <conditionalFormatting sqref="O6:P12">
    <cfRule type="cellIs" priority="1" dxfId="0" operator="equal" stopIfTrue="1">
      <formula>1</formula>
    </cfRule>
  </conditionalFormatting>
  <printOptions horizontalCentered="1"/>
  <pageMargins left="0.5118110236220472" right="0.3937007874015748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ECP</dc:creator>
  <cp:keywords/>
  <dc:description/>
  <cp:lastModifiedBy>olindopn</cp:lastModifiedBy>
  <cp:lastPrinted>2019-11-19T21:21:56Z</cp:lastPrinted>
  <dcterms:created xsi:type="dcterms:W3CDTF">1997-03-06T18:55:11Z</dcterms:created>
  <dcterms:modified xsi:type="dcterms:W3CDTF">2019-11-19T21:21:57Z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