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050" windowWidth="12000" windowHeight="7290" tabRatio="826" firstSheet="2" activeTab="11"/>
  </bookViews>
  <sheets>
    <sheet name="BASCULANTE (2)" sheetId="1" state="hidden" r:id="rId1"/>
    <sheet name="COLETOR" sheetId="2" state="hidden" r:id="rId2"/>
    <sheet name="VARREDOR" sheetId="3" r:id="rId3"/>
    <sheet name="FISCAL" sheetId="4" r:id="rId4"/>
    <sheet name="MOTORISTA" sheetId="5" r:id="rId5"/>
    <sheet name="ADM" sheetId="6" r:id="rId6"/>
    <sheet name="LOCA RETRO" sheetId="7" state="hidden" r:id="rId7"/>
    <sheet name="VARREDEIRA" sheetId="8" r:id="rId8"/>
    <sheet name="CARROCERIA" sheetId="9" r:id="rId9"/>
    <sheet name="BAÚ" sheetId="10" state="hidden" r:id="rId10"/>
    <sheet name="COMPACTADOR 15m³" sheetId="11" state="hidden" r:id="rId11"/>
    <sheet name="caminhão pipa" sheetId="12" r:id="rId12"/>
    <sheet name="KOMBI" sheetId="13" r:id="rId13"/>
    <sheet name="BASCULANTE" sheetId="14" r:id="rId14"/>
    <sheet name="VARRIÇÃO" sheetId="15" r:id="rId15"/>
    <sheet name="DOMICILIAR" sheetId="16" state="hidden" r:id="rId16"/>
    <sheet name="CAPINAÇÃO" sheetId="17" r:id="rId17"/>
    <sheet name="PINTURA" sheetId="18" r:id="rId18"/>
    <sheet name="SELETIVA" sheetId="19" state="hidden" r:id="rId19"/>
    <sheet name="EDUCAÇÃO" sheetId="20" state="hidden" r:id="rId20"/>
    <sheet name="SAÚDE" sheetId="21" state="hidden" r:id="rId21"/>
    <sheet name="OPERAÇÃO" sheetId="22" state="hidden" r:id="rId22"/>
    <sheet name="3.30" sheetId="23" state="hidden" r:id="rId23"/>
    <sheet name="3.40" sheetId="24" state="hidden" r:id="rId24"/>
    <sheet name="PODAÇÃO" sheetId="25" r:id="rId25"/>
    <sheet name="PREÇOS" sheetId="26" r:id="rId26"/>
    <sheet name="ANEXO XVI" sheetId="27" r:id="rId27"/>
    <sheet name="ANEXO VIa" sheetId="28" r:id="rId28"/>
    <sheet name="ANEXO VIb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Toc231023065" localSheetId="28">'ANEXO VIb'!#REF!</definedName>
    <definedName name="_xlnm.Print_Area" localSheetId="20">'SAÚDE'!$A$1:$E$73</definedName>
    <definedName name="_xlnm.Print_Titles" localSheetId="20">'SAÚDE'!$1:$12</definedName>
  </definedNames>
  <calcPr fullCalcOnLoad="1"/>
</workbook>
</file>

<file path=xl/sharedStrings.xml><?xml version="1.0" encoding="utf-8"?>
<sst xmlns="http://schemas.openxmlformats.org/spreadsheetml/2006/main" count="1588" uniqueCount="423">
  <si>
    <t>COMPOSIÇÃO DE PREÇOS UNITÁRIOS</t>
  </si>
  <si>
    <t>A - MÃO DE OBRA</t>
  </si>
  <si>
    <t xml:space="preserve">   A1 - Salário Mensal do Coletor</t>
  </si>
  <si>
    <t xml:space="preserve">   A2 - Insalubridade (40%)</t>
  </si>
  <si>
    <t xml:space="preserve">   A3 - Subtotal</t>
  </si>
  <si>
    <t xml:space="preserve">   A4 - Encargos Sociais (Em %)</t>
  </si>
  <si>
    <t xml:space="preserve">   A5 - CUSTO MENSAL COM MÃO-DE-OBRA</t>
  </si>
  <si>
    <t xml:space="preserve">   </t>
  </si>
  <si>
    <t xml:space="preserve"> </t>
  </si>
  <si>
    <t>C - CUSTO DIRETO MENSAL</t>
  </si>
  <si>
    <t xml:space="preserve">   A2 - Insalubridade (20%)</t>
  </si>
  <si>
    <t xml:space="preserve">   A1 - Salário Mensal do Fiscal</t>
  </si>
  <si>
    <t xml:space="preserve">   A2 - Número de Pessoas</t>
  </si>
  <si>
    <t xml:space="preserve">   A4 - Número de Pessoas</t>
  </si>
  <si>
    <t>COMPOSIÇÃO AUXILIAR - CAMINHÃO BASCULANTE 6M³</t>
  </si>
  <si>
    <t>A - DEPRECIAÇÃO</t>
  </si>
  <si>
    <t xml:space="preserve">   A2 - Vida Útil do Equipamento (Em meses)</t>
  </si>
  <si>
    <t xml:space="preserve">   A3 - Valor Residual (Em Percentual)</t>
  </si>
  <si>
    <t xml:space="preserve">   A4 - CUSTO DE PROPRIEDADE HORÁRIO</t>
  </si>
  <si>
    <t xml:space="preserve">B - CUSTO DO CAPITAL IMOBILIZADO </t>
  </si>
  <si>
    <t xml:space="preserve">   B1 - Custo de Aquisição</t>
  </si>
  <si>
    <t xml:space="preserve">   B2 - Taxa de Juros Mensal</t>
  </si>
  <si>
    <t xml:space="preserve">   B3 - CUSTO MENSAL COM JUROS</t>
  </si>
  <si>
    <t>C - COMBUSTÍVEL</t>
  </si>
  <si>
    <t xml:space="preserve">   C1 - Preço de Um Litro de Óleo Diesel</t>
  </si>
  <si>
    <t xml:space="preserve">   C3 - Número de Km Rodados com Um Litro</t>
  </si>
  <si>
    <t xml:space="preserve">   C4 - CUSTO COM COMBUSTÍVEL MENSAL</t>
  </si>
  <si>
    <t>D - PNEUS</t>
  </si>
  <si>
    <t xml:space="preserve">   D2 - Kilometros Rodados Com um Rodízio</t>
  </si>
  <si>
    <t xml:space="preserve">   D4 - CUSTO COM PNEUS E CÂMARAS</t>
  </si>
  <si>
    <t>E - MANUTENÇÃO</t>
  </si>
  <si>
    <t xml:space="preserve">   E1 - Custo de Manutenção na Vida Útil (Em %)</t>
  </si>
  <si>
    <t xml:space="preserve">   E2 - Custo do Equipamento</t>
  </si>
  <si>
    <t xml:space="preserve">   E3 - Vida Útil do Equipamento (Em Meses)</t>
  </si>
  <si>
    <t xml:space="preserve">   E4 - CUSTO DE MANUTENÇÃO POR MES</t>
  </si>
  <si>
    <t>1.0 - CUSTO DA MÃO DE OBRA</t>
  </si>
  <si>
    <t>un</t>
  </si>
  <si>
    <t>valor mensal de um varredor</t>
  </si>
  <si>
    <t>R$/unidade</t>
  </si>
  <si>
    <t>total mensal com varredor</t>
  </si>
  <si>
    <t>R$</t>
  </si>
  <si>
    <t>Fiscal/Encarregado</t>
  </si>
  <si>
    <t>valor mensal de um fiscal</t>
  </si>
  <si>
    <t>total mensal com fiscal</t>
  </si>
  <si>
    <t>Lutocar metálico de 100 l</t>
  </si>
  <si>
    <t>Quantidade</t>
  </si>
  <si>
    <t>Subtotal</t>
  </si>
  <si>
    <t>vida útil em meses</t>
  </si>
  <si>
    <t>m</t>
  </si>
  <si>
    <t>Total com lutocar</t>
  </si>
  <si>
    <t>R$/mes</t>
  </si>
  <si>
    <t>Custo Total</t>
  </si>
  <si>
    <t xml:space="preserve"> de ADMINISTRAÇÃO / MANUTENÇÃO</t>
  </si>
  <si>
    <t>do faturamento</t>
  </si>
  <si>
    <t>FATURAMENTO</t>
  </si>
  <si>
    <t>Unidade mensal</t>
  </si>
  <si>
    <t>Km</t>
  </si>
  <si>
    <t>Custo/unid</t>
  </si>
  <si>
    <t>valor mensal de um coletor</t>
  </si>
  <si>
    <t>Total de Fiscal/Encarregados</t>
  </si>
  <si>
    <t>Motorista</t>
  </si>
  <si>
    <t>valor mensal de um motorista</t>
  </si>
  <si>
    <t>total mensal com motorista</t>
  </si>
  <si>
    <t>Total de Motoristas</t>
  </si>
  <si>
    <t>valor mensal de um veículo</t>
  </si>
  <si>
    <t>meses</t>
  </si>
  <si>
    <t>Amortização mensal</t>
  </si>
  <si>
    <t>Juros do capital para aquisição</t>
  </si>
  <si>
    <t>Equipamentos</t>
  </si>
  <si>
    <t>4.0 RESUMO DOS CUSTOS</t>
  </si>
  <si>
    <t>Ferramentas</t>
  </si>
  <si>
    <t>5.0 DESPESAS ADMINISTRATIVAS</t>
  </si>
  <si>
    <t>7.0 SUBTOTAL</t>
  </si>
  <si>
    <t>9.0 CUSTO/UNIDADE</t>
  </si>
  <si>
    <t>Mão de obra</t>
  </si>
  <si>
    <t>Sub - total</t>
  </si>
  <si>
    <t>Prazo do contrato em meses</t>
  </si>
  <si>
    <t>R$/Mês</t>
  </si>
  <si>
    <t>Taxa de juros mensais</t>
  </si>
  <si>
    <t>-</t>
  </si>
  <si>
    <t>F - CUSTO COM LAVAGEM E LUBRIFICAÇÃO</t>
  </si>
  <si>
    <t xml:space="preserve">   F1 -  Óleo de Motor</t>
  </si>
  <si>
    <t xml:space="preserve">   F2 - Óleo de Transmissão</t>
  </si>
  <si>
    <t xml:space="preserve">   F3 - Óleo Hidraúlico</t>
  </si>
  <si>
    <t xml:space="preserve">   F4 - Graxa</t>
  </si>
  <si>
    <t xml:space="preserve">   F6 - Filtros ( 15 % do Valor Total )</t>
  </si>
  <si>
    <t xml:space="preserve">   F7 - CUSTO C/ LAVAGEM E LUBRIFICAÇÃO MENSAL</t>
  </si>
  <si>
    <t>G - CUSTO COM LICENCIAMENTO</t>
  </si>
  <si>
    <t xml:space="preserve">   G3 - CUSTO COM LICENCIAMENTO</t>
  </si>
  <si>
    <t>H - CUSTO DIRETO MENSAL</t>
  </si>
  <si>
    <t>3.0 - FERRAMENTAS</t>
  </si>
  <si>
    <t>Lutocar</t>
  </si>
  <si>
    <t>R$/Km</t>
  </si>
  <si>
    <t>valor mensal de um gari</t>
  </si>
  <si>
    <t>2.0 - EQUIPAMENTOS</t>
  </si>
  <si>
    <t>Coletor</t>
  </si>
  <si>
    <t>2.0 - FERRAMENTAS</t>
  </si>
  <si>
    <t>B - FARDAMENTO / ALIMENTAÇÃO</t>
  </si>
  <si>
    <t>total mensal com coletor</t>
  </si>
  <si>
    <t>Total de Coletor</t>
  </si>
  <si>
    <t>Total com compactador</t>
  </si>
  <si>
    <t xml:space="preserve">   A1 - Salário Mensal de Pessoal Administrativo</t>
  </si>
  <si>
    <t xml:space="preserve">   A5 - Salário Mensal de Estagiários</t>
  </si>
  <si>
    <t xml:space="preserve">   A6 - Número de Pessoas</t>
  </si>
  <si>
    <t>COMPOSIÇÃO AUXILIAR - DESPESAS ADMINISTRATIVAS</t>
  </si>
  <si>
    <t xml:space="preserve">   D1 - Preço de um rodízio de pneus ( 6 pneus completos)</t>
  </si>
  <si>
    <t>Varredor</t>
  </si>
  <si>
    <t>Item</t>
  </si>
  <si>
    <t>Descrição</t>
  </si>
  <si>
    <t>Pr. Unitário</t>
  </si>
  <si>
    <t>Garfo</t>
  </si>
  <si>
    <t>Pa</t>
  </si>
  <si>
    <t>Gadanho</t>
  </si>
  <si>
    <t>Vassourão</t>
  </si>
  <si>
    <t>Enxada</t>
  </si>
  <si>
    <t>Cone</t>
  </si>
  <si>
    <t>Balde/brocha</t>
  </si>
  <si>
    <t>Foice</t>
  </si>
  <si>
    <t>Chibanca</t>
  </si>
  <si>
    <t>Ciscador</t>
  </si>
  <si>
    <t>Estrovenga</t>
  </si>
  <si>
    <t>Sacos 100l</t>
  </si>
  <si>
    <t>Colete Refletivo</t>
  </si>
  <si>
    <t xml:space="preserve">Fardas </t>
  </si>
  <si>
    <t>Luvas</t>
  </si>
  <si>
    <t>Sapatos</t>
  </si>
  <si>
    <t>Carro de mao</t>
  </si>
  <si>
    <t>Cone (grande)</t>
  </si>
  <si>
    <t xml:space="preserve">   B1 - Fardamento Mensal </t>
  </si>
  <si>
    <t xml:space="preserve">Pá </t>
  </si>
  <si>
    <t>unid</t>
  </si>
  <si>
    <t xml:space="preserve">Garfo </t>
  </si>
  <si>
    <t xml:space="preserve">Vassourão </t>
  </si>
  <si>
    <t xml:space="preserve">Gadanho </t>
  </si>
  <si>
    <t xml:space="preserve">Enxada </t>
  </si>
  <si>
    <t>Carro de mão</t>
  </si>
  <si>
    <t xml:space="preserve">Ciscador </t>
  </si>
  <si>
    <t xml:space="preserve">Estrovenga </t>
  </si>
  <si>
    <t>Cal/hidracor</t>
  </si>
  <si>
    <t xml:space="preserve">Verba mensal para sacos plásticos 100L </t>
  </si>
  <si>
    <t xml:space="preserve">Foice </t>
  </si>
  <si>
    <t>kg</t>
  </si>
  <si>
    <t xml:space="preserve">Balde/brocha </t>
  </si>
  <si>
    <t xml:space="preserve">Cal/hidracor </t>
  </si>
  <si>
    <t>Vida útil em meses</t>
  </si>
  <si>
    <t>Adicional de domingos e feriados</t>
  </si>
  <si>
    <t xml:space="preserve">   B1 - Fardamento Mensal</t>
  </si>
  <si>
    <t xml:space="preserve">   A7 - Subtotal</t>
  </si>
  <si>
    <t xml:space="preserve">   A8 - Encargos Sociais (Em %)</t>
  </si>
  <si>
    <t xml:space="preserve">   A9 - CUSTO MENSAL COM MÃO-DE-OBRA</t>
  </si>
  <si>
    <t>2.0 - CUSTO DO LUTOCAR / SACOS PLÁSTICOS</t>
  </si>
  <si>
    <t>5.0 DESPESAS</t>
  </si>
  <si>
    <t>9.0 CUSTO/ UNIDADE</t>
  </si>
  <si>
    <t xml:space="preserve">   A1 - Preço de Aquisição (CHASSIS + CAÇAMBA)</t>
  </si>
  <si>
    <t xml:space="preserve">   G2 - IPVA/Seguro Obrigatório</t>
  </si>
  <si>
    <t xml:space="preserve">   G1 - SEGURO</t>
  </si>
  <si>
    <t xml:space="preserve">   A1 - Preço de Aquisição (CHASSIS + COMPACTADOR)</t>
  </si>
  <si>
    <t>COMPOSIÇÃO AUXILIAR - AGENTE DE VARRIÇÃO, CAPINAÇÃO E SERVIÇOS</t>
  </si>
  <si>
    <t>COMPOSIÇÃO AUXILIAR - COLETOR (TURNO NOTURNO)</t>
  </si>
  <si>
    <t xml:space="preserve">   A4 - Subtotal</t>
  </si>
  <si>
    <t xml:space="preserve">   A5 - Encargos Sociais (Em %)</t>
  </si>
  <si>
    <t xml:space="preserve">   A6 - CUSTO MENSAL COM MÃO-DE-OBRA</t>
  </si>
  <si>
    <t xml:space="preserve">   A3 - Adicional noturno </t>
  </si>
  <si>
    <t xml:space="preserve">          B1.1 - Fardamento completo</t>
  </si>
  <si>
    <t xml:space="preserve">          B1.2 - Calçado Tipo Kichute/Vulcabrás</t>
  </si>
  <si>
    <t xml:space="preserve">          B1.3 - Luvas </t>
  </si>
  <si>
    <t xml:space="preserve">          B1.4 - Colete refletivo </t>
  </si>
  <si>
    <t>3.0 - FERRAMENTAS/ INSUMOS</t>
  </si>
  <si>
    <t xml:space="preserve"> de ADMINISTRAÇÃO/INSTALAÇÕES/MANUTENÇÃO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</si>
  <si>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</si>
  <si>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</si>
  <si>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</si>
  <si>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</si>
  <si>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</si>
  <si>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</si>
  <si>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</si>
  <si>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</si>
  <si>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 B2 - Alimentação (Cesta básica/Café da manhã)</t>
  </si>
  <si>
    <t>Agente de capinação</t>
  </si>
  <si>
    <t>Roçadeira costal</t>
  </si>
  <si>
    <t>Lutocar/ sacos</t>
  </si>
  <si>
    <t xml:space="preserve">Sacos plásticos 100L </t>
  </si>
  <si>
    <t xml:space="preserve">COLETA DE PREÇOS </t>
  </si>
  <si>
    <t xml:space="preserve">   A1 - Salário Mensal do Motorista </t>
  </si>
  <si>
    <t xml:space="preserve">   A0 - Salário Mensal de Gerente</t>
  </si>
  <si>
    <t>PLANILHA DE PREÇOS MÁXIMOS ADMITIDOS</t>
  </si>
  <si>
    <t>ITEM</t>
  </si>
  <si>
    <t>SERVIÇO</t>
  </si>
  <si>
    <t>QUANT.</t>
  </si>
  <si>
    <t>UNID.</t>
  </si>
  <si>
    <t>P.UNITÁRIO</t>
  </si>
  <si>
    <t>PREÇO TOTAL</t>
  </si>
  <si>
    <t>VARRIÇÃO MANUAL DE VIAS URBANAS PAVIMENTADAS</t>
  </si>
  <si>
    <t>B -  INSTALAÇÕES</t>
  </si>
  <si>
    <t xml:space="preserve">   B0 - Aluguel de Escritório</t>
  </si>
  <si>
    <t xml:space="preserve">   B1 - Luz/Água/Telefone</t>
  </si>
  <si>
    <t xml:space="preserve">   B3 - CUSTO MENSAL COM INSTALAÇÕES</t>
  </si>
  <si>
    <t>01</t>
  </si>
  <si>
    <r>
      <t>COMPOSIÇÃO AUXILIAR - CAMINHÃO COMPACTADOR - 15 m</t>
    </r>
    <r>
      <rPr>
        <b/>
        <vertAlign val="superscript"/>
        <sz val="10"/>
        <color indexed="8"/>
        <rFont val="Arial"/>
        <family val="2"/>
      </rPr>
      <t>3</t>
    </r>
  </si>
  <si>
    <t>Caminhão compactador 15 m³</t>
  </si>
  <si>
    <t>Contentores 240 Litros</t>
  </si>
  <si>
    <t>R$/ton</t>
  </si>
  <si>
    <t xml:space="preserve">   F5 - Lavagem  ( 8 LAVAGENS A R$ 10,00)</t>
  </si>
  <si>
    <t xml:space="preserve">   F5 - Lavagem  ( 16 LAVAGENS A R$ 10,00)</t>
  </si>
  <si>
    <t xml:space="preserve">   B2 - Veículo fiscalização/Taxas e Emolumentos</t>
  </si>
  <si>
    <t>H - CUSTO DIRETO MENSAL DIURNO</t>
  </si>
  <si>
    <t>H - CUSTO DIRETO MENSAL NOTURNO</t>
  </si>
  <si>
    <t>Total com compactador (notuno)</t>
  </si>
  <si>
    <t>DIURNO</t>
  </si>
  <si>
    <t>NOTURNO</t>
  </si>
  <si>
    <t>Caminhão caçamba 6³</t>
  </si>
  <si>
    <t>1 - Varrição manual de vias urbanas pavimentadas</t>
  </si>
  <si>
    <t>2 - Coleta e transporte de resíduos domiciliares, comerciais e de varrição</t>
  </si>
  <si>
    <t>02</t>
  </si>
  <si>
    <t>PINTURA DE MEIO FIO</t>
  </si>
  <si>
    <t>CAPINAÇÃO MANUAL DE VIAS PAVIMENTADAS</t>
  </si>
  <si>
    <t xml:space="preserve">   C2 - Kilometros Rodados num Mês 90 x 26</t>
  </si>
  <si>
    <t>diurno</t>
  </si>
  <si>
    <t>Total de coletores</t>
  </si>
  <si>
    <t>noturno</t>
  </si>
  <si>
    <t>Caçamba basculante para 6 m³</t>
  </si>
  <si>
    <t>Total com caçambas</t>
  </si>
  <si>
    <t>Pá</t>
  </si>
  <si>
    <t xml:space="preserve">Cone </t>
  </si>
  <si>
    <t>valor mensal de um agente de capinação</t>
  </si>
  <si>
    <t>total mensal com agentes de capinação</t>
  </si>
  <si>
    <t xml:space="preserve">Chibanca </t>
  </si>
  <si>
    <t>3.0 RESUMO DOS CUSTOS</t>
  </si>
  <si>
    <t>4.0 DESPESAS</t>
  </si>
  <si>
    <t>6.0 SUBTOTAL</t>
  </si>
  <si>
    <t>8.0 CUSTO/ UNIDADE</t>
  </si>
  <si>
    <t>3.0 - ROÇADEIRA COSTAL</t>
  </si>
  <si>
    <t>Combustível/manutenção roçadeira (vb/mês/um)</t>
  </si>
  <si>
    <t>Total com roçadeiras</t>
  </si>
  <si>
    <t>Roçadeira</t>
  </si>
  <si>
    <t>4 - Capinação manual de vias urbanas pavimentadas</t>
  </si>
  <si>
    <t>5 - Pintura de meio fio</t>
  </si>
  <si>
    <t xml:space="preserve">   D3 - Kilometros Rodados num Mes 90 x 26</t>
  </si>
  <si>
    <t>8.0 PIS, COFINS, ISS , CSSL</t>
  </si>
  <si>
    <t>6.0 ADMINISTRAÇÃO CENTRAL + LUCRO</t>
  </si>
  <si>
    <t>QUADRO DE PESSOAL/EQUIPAMENTOS MÍNIMOS</t>
  </si>
  <si>
    <t>FISCAL</t>
  </si>
  <si>
    <t>MOTORISTA</t>
  </si>
  <si>
    <t>CAÇAMBA            6m³</t>
  </si>
  <si>
    <t>Capinação manual de vias pavimentadas</t>
  </si>
  <si>
    <t>Pintura de meio fio</t>
  </si>
  <si>
    <t>Locação de furgão baú tipo fiorino ou similar</t>
  </si>
  <si>
    <t>Total com furgão baú</t>
  </si>
  <si>
    <t>PREFEITURA MUNICIPAL DE VARZEA GRANDE</t>
  </si>
  <si>
    <t xml:space="preserve">   B4 - SEGURO DE VIDA</t>
  </si>
  <si>
    <t xml:space="preserve">   B1+ B2 + B3 = B4- CUSTO MENSAL </t>
  </si>
  <si>
    <t xml:space="preserve">   A3 - Salário Mensal de Vigilantes</t>
  </si>
  <si>
    <t>Caminhão baú (inclusive combustivel e manutenção)</t>
  </si>
  <si>
    <t>R$/EQUIPE</t>
  </si>
  <si>
    <t xml:space="preserve">EQUIPE/MÊS </t>
  </si>
  <si>
    <t>COMPOSIÇÃO AUXILIAR - CAMINHÃO BAÚ/CARROCERIA</t>
  </si>
  <si>
    <t>AGENTE</t>
  </si>
  <si>
    <t>03</t>
  </si>
  <si>
    <t>3.0 - EQUIPAMENTOS</t>
  </si>
  <si>
    <t>Caçamba basculante</t>
  </si>
  <si>
    <t>Locaçao de retro escavadeira</t>
  </si>
  <si>
    <t>Caminhão carroceria</t>
  </si>
  <si>
    <t>Locaçao de Onibus para transporte de pessoal</t>
  </si>
  <si>
    <t>Total com equipamentos</t>
  </si>
  <si>
    <t>R$/diárias</t>
  </si>
  <si>
    <t>7 - Locação de retro escavadeira</t>
  </si>
  <si>
    <t>horas/retro</t>
  </si>
  <si>
    <t>R$/hora</t>
  </si>
  <si>
    <t>diárias</t>
  </si>
  <si>
    <t>Programa de educação ambiental</t>
  </si>
  <si>
    <t>8 - Coleta seletiva e operação de central de triagem</t>
  </si>
  <si>
    <t>Total</t>
  </si>
  <si>
    <t>MÃO DE OBRA</t>
  </si>
  <si>
    <t xml:space="preserve">   B3 - TICKET+VALE TRANSPORTE</t>
  </si>
  <si>
    <t xml:space="preserve"> VALOR MENSAL MÁXIMO ADMITIDO (SUB TOTAL 1)</t>
  </si>
  <si>
    <t>PLANILHA ORÇAMENTÁRIA</t>
  </si>
  <si>
    <t>REMEDIAÇÃO DO ATERRO DE RESÍDUOS SÓLIDOS DE VÁRZEA GRANDE - MT</t>
  </si>
  <si>
    <t>CUSTOS OPERACIONAIS</t>
  </si>
  <si>
    <t>VALOR</t>
  </si>
  <si>
    <t>CÓD</t>
  </si>
  <si>
    <t>DESCRIÇÃO</t>
  </si>
  <si>
    <t>UNID</t>
  </si>
  <si>
    <t>QUANT</t>
  </si>
  <si>
    <t>UNITÁRIO</t>
  </si>
  <si>
    <t>TOTAL</t>
  </si>
  <si>
    <t>1.10</t>
  </si>
  <si>
    <t>Engenheiro pleno (Parcial 25%)</t>
  </si>
  <si>
    <t>HOMEM/MÊS</t>
  </si>
  <si>
    <t>SINAPI - JUL/13</t>
  </si>
  <si>
    <t>1.20</t>
  </si>
  <si>
    <t>Encarregado de turma</t>
  </si>
  <si>
    <t>DNIT/MT - NOV/12</t>
  </si>
  <si>
    <t>1.30</t>
  </si>
  <si>
    <t>Auxiliar de escritório</t>
  </si>
  <si>
    <t>1.40</t>
  </si>
  <si>
    <t>Ajudante</t>
  </si>
  <si>
    <t>1.50</t>
  </si>
  <si>
    <t>topografo (parcial 20%)</t>
  </si>
  <si>
    <t>1.70</t>
  </si>
  <si>
    <t>Vigia</t>
  </si>
  <si>
    <t>Subtotal 1</t>
  </si>
  <si>
    <t>MÁQUINAS PESADAS</t>
  </si>
  <si>
    <t>2.10</t>
  </si>
  <si>
    <t>Escavadeira hidráulica: Caterpillar 320DL sobre esteiras ou similar, inclusive operador e combustível.</t>
  </si>
  <si>
    <t>HORA/MÊS</t>
  </si>
  <si>
    <t>2.20</t>
  </si>
  <si>
    <t>Trator de esteira: Caterpillar D6 com lâmina ou similar, inclui operador e combustível.</t>
  </si>
  <si>
    <t>2.30</t>
  </si>
  <si>
    <t>Caminhão Basculante : Mercedes Benz : ATEGO 1518/36 - 5 m3 - 8,8 t ou similar, inclusive operador e combustível.</t>
  </si>
  <si>
    <t>Subtotal 2</t>
  </si>
  <si>
    <t>CUSTO MENSAL (R$)</t>
  </si>
  <si>
    <t>QUANTIDADE ESTIMADA DE RESÍDUOS (TON)</t>
  </si>
  <si>
    <t>CUSTO TOTAL 1 (R$/TON)</t>
  </si>
  <si>
    <t>REMEDIAÇÃO DO LIXÃO</t>
  </si>
  <si>
    <t>3.10</t>
  </si>
  <si>
    <t>Levantamento topográfico da área do lixão, incluindo nivelamento de precisão do perímetro do local e colocação de referências de concreto nos limetes do terreno.</t>
  </si>
  <si>
    <t>há</t>
  </si>
  <si>
    <t>3.20</t>
  </si>
  <si>
    <t>Und</t>
  </si>
  <si>
    <t>SINAPI - JUL/13 - 150 horas de eng.</t>
  </si>
  <si>
    <t>3.30</t>
  </si>
  <si>
    <t>Construção de dreno de chorume na massa de lixo de 0,50m x 0,50m conformado em brita nº 4 com seção revestida em geotêxtil (bidim RT 09 ou similar) para filtro e reforçado com tubulação Kananet de 4" ou similar. Inclui a escavação da massa de lixo, nivelamento do fundo da escavação, instalação do dreno e reaterro.</t>
  </si>
  <si>
    <t>3.40</t>
  </si>
  <si>
    <t>Fornecimento e instalação de dreno de gás desde a cobertura da célula com 7,00m de profundidade, diâmetro de 1,00m, preenchido com brita. Inclui o fornecimento e a instalação de tubulação de concreto de diâmetro de 0,80m.</t>
  </si>
  <si>
    <t>3.50</t>
  </si>
  <si>
    <t>Fornecimento e implantação de canaletas de concreto com 0,40m. Inclui escavação manual, fornecimento de materiais, nivelamento topográfico e acabamento.</t>
  </si>
  <si>
    <t>3.60</t>
  </si>
  <si>
    <t>Fornecimento e aplicação de manta lisa de PEAD com espessura de 1,5mm. Inclui abertura manual de vala para ancoragem da manta. Área = 30m x 30m. Altura = 3,00m.</t>
  </si>
  <si>
    <t>m²</t>
  </si>
  <si>
    <t>CUSTO TOTAL 2 (R$)</t>
  </si>
  <si>
    <t>CUSTO TOTAL PARA 12 MESES (CUSTO TOTAL 1 + CUSTO TOTAL 2) (R$)</t>
  </si>
  <si>
    <t>Composição para 1 m de dreno</t>
  </si>
  <si>
    <t>material</t>
  </si>
  <si>
    <t>quant.</t>
  </si>
  <si>
    <t>preço unit.</t>
  </si>
  <si>
    <t>preço total</t>
  </si>
  <si>
    <t>Brita</t>
  </si>
  <si>
    <t>Geotextil</t>
  </si>
  <si>
    <t>Forma de aço</t>
  </si>
  <si>
    <t>tubo de concreto 80</t>
  </si>
  <si>
    <t>A</t>
  </si>
  <si>
    <t>B</t>
  </si>
  <si>
    <t>C</t>
  </si>
  <si>
    <t>Ajudantes</t>
  </si>
  <si>
    <t>valor mensal de um Ajudante</t>
  </si>
  <si>
    <t>Técnico</t>
  </si>
  <si>
    <t>valor mensal de um técnico</t>
  </si>
  <si>
    <t>Van tipo Kombi (inclusive combustivel e manutenção)</t>
  </si>
  <si>
    <t>Locação de van tipo Kombi ou similar</t>
  </si>
  <si>
    <t>PREFEITURA MUNICIPAL DE SALGUEIRO</t>
  </si>
  <si>
    <t xml:space="preserve">EDITAL DE DE CONCORRÊNCIA N° </t>
  </si>
  <si>
    <t>Data: 12/09/06</t>
  </si>
  <si>
    <t>Coleta de resíduos de saúde</t>
  </si>
  <si>
    <t>TOTAL DE MÃO DE OBRA</t>
  </si>
  <si>
    <t>R$/mês</t>
  </si>
  <si>
    <t>Total com veículos</t>
  </si>
  <si>
    <t>TOTAL EQUIPAMENTOS</t>
  </si>
  <si>
    <t>3.0 - Tratamento</t>
  </si>
  <si>
    <t>Incineração de RSS</t>
  </si>
  <si>
    <t>t/mês</t>
  </si>
  <si>
    <t>R$/t</t>
  </si>
  <si>
    <t>Incineração</t>
  </si>
  <si>
    <t>CUSTO TOTAL</t>
  </si>
  <si>
    <t>4.0 DESPESAS ADMINISTRATIVAS</t>
  </si>
  <si>
    <t>5.0 ADMINISTRAÇÃO CENTRAL + LUCRO</t>
  </si>
  <si>
    <t>7.0 PIS, COFINS, ISS , CSSL</t>
  </si>
  <si>
    <t>8.0  CUSTO/ UNIDADE</t>
  </si>
  <si>
    <t>Tratamento e destinação final (classe A - B e E)</t>
  </si>
  <si>
    <t>Veículo tipo furgão  de médio porte (inclusive combustivel e manutenção)</t>
  </si>
  <si>
    <t>Locação de veículo furgão de médio porte</t>
  </si>
  <si>
    <t>vale transporte</t>
  </si>
  <si>
    <t xml:space="preserve">   C2 - Kilometros Rodados num Mês 70 x 26 (PREVISÃO)</t>
  </si>
  <si>
    <t xml:space="preserve">   D3 - Kilometros Rodados num Mes 70 x 26 (PREVISÃO)</t>
  </si>
  <si>
    <t xml:space="preserve">   C2 - Kilometros Rodados num Mês 70 x 26 (MÉDIA)</t>
  </si>
  <si>
    <t xml:space="preserve">   D3 - Kilometros Rodados num Mês 70 x 26 (MÉDIA)</t>
  </si>
  <si>
    <t>COMPOSIÇÃO AUXILIAR - COLETOR (SALÁRIO E VANTAGENS DA CATEGORIA + 6,678%)</t>
  </si>
  <si>
    <t>COMPOSIÇÃO AUXILIAR - MOTORISTA (SALÁRIO E VANTAGENS DA CATEGORIA + 6,678%)</t>
  </si>
  <si>
    <t>Elaboração de um diagnóstico ambiental de acordo com o Termo de Referência.(LAUDO DE VISTORIA CONFORME TR)</t>
  </si>
  <si>
    <t xml:space="preserve">                                          COMPLEMENTARES </t>
  </si>
  <si>
    <t>OBS - AUX ADMINISTRATIVO</t>
  </si>
  <si>
    <t xml:space="preserve"> Encargos Sociais (Em %)</t>
  </si>
  <si>
    <t>PESSOAL DE VIGILANCIA</t>
  </si>
  <si>
    <t>LOTE 2</t>
  </si>
  <si>
    <t>VALOR GLOBAL (12 MESES) = (SUB TOTAL 1 X 12 )</t>
  </si>
  <si>
    <t xml:space="preserve">PLANILHA  DE PROPOSTA DE PREÇOS </t>
  </si>
  <si>
    <t>04</t>
  </si>
  <si>
    <t>COMPOSIÇÃO AUXILIAR - CAMINHÃO CARROCERIA 16M³</t>
  </si>
  <si>
    <t xml:space="preserve">   A1 - Preço de Aquisição (CHASSIS + CARROCERIA)</t>
  </si>
  <si>
    <t>EQUIPE</t>
  </si>
  <si>
    <t>PODAÇÃO DE ÁRVORES/ARBUSTOS COM TRANSPORTE DO MATERIAL PRODUZIDO</t>
  </si>
  <si>
    <t>D</t>
  </si>
  <si>
    <t>Podação de árvores/arbustos</t>
  </si>
  <si>
    <t>CARROCERIA 16 m³</t>
  </si>
  <si>
    <t xml:space="preserve">   F5 - Lavagem  ( 8 LAVAGENS A R$ 100,00)</t>
  </si>
  <si>
    <t>COMPOSIÇÃO AUXILIAR - KOMBI</t>
  </si>
  <si>
    <t xml:space="preserve">   C1 - Preço de Um Litro de GASOLINA</t>
  </si>
  <si>
    <t xml:space="preserve">   A1 - Preço de Aquisição (CHASSIS)</t>
  </si>
  <si>
    <t>4.0 - EQUIPAMENTOS</t>
  </si>
  <si>
    <t>KOMBI</t>
  </si>
  <si>
    <t>EQUIPAMENTOS</t>
  </si>
  <si>
    <t>5.0 RESUMO DOS CUSTOS</t>
  </si>
  <si>
    <t>CAMINHÕES</t>
  </si>
  <si>
    <t>4 - PODA DE ARVORES</t>
  </si>
  <si>
    <t>Agente de poda</t>
  </si>
  <si>
    <t>valor mensal de um agente de poda</t>
  </si>
  <si>
    <t>total mensal com agentes de poda</t>
  </si>
  <si>
    <t xml:space="preserve">COMPOSIÇÃO AUXILIAR - FISCAL </t>
  </si>
  <si>
    <t>H - CUSTO MENSAL MOTORISTA</t>
  </si>
  <si>
    <t>I - CUSTO DIRETO MENSAL</t>
  </si>
  <si>
    <t>TOTAL KOMBI</t>
  </si>
  <si>
    <t>Total com CAMINHÃO</t>
  </si>
  <si>
    <t>Produtividade: 134,62 m x 26 dias x 20 homens</t>
  </si>
  <si>
    <t>Agente de Pintura</t>
  </si>
  <si>
    <t>COMPOSIÇÃO AUXILIAR - CAMINHÃO PIPA COM CAPACIDADE PARA 16.000 Lts</t>
  </si>
  <si>
    <t>Caminhão Pipa 16.000 Lts.</t>
  </si>
  <si>
    <t>CAMINHÃO PIPA 16.000 Lts.</t>
  </si>
  <si>
    <t>COMPOSIÇÃO AUXILIAR - VARREDEIRA</t>
  </si>
  <si>
    <t xml:space="preserve">   A1 - Preço de Aquisição </t>
  </si>
  <si>
    <t>H - CUSTO MENSAL OPERADOR</t>
  </si>
  <si>
    <t>Varredeira</t>
  </si>
  <si>
    <t>Total com Varredeira</t>
  </si>
  <si>
    <t>PODE DE ARVORE</t>
  </si>
  <si>
    <t>VARREDEIRA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</si>
</sst>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%"/>
    <numFmt numFmtId="167" formatCode="#,##0.000"/>
    <numFmt numFmtId="168" formatCode="_(* #,##0.0000_);_(* \(#,##0.0000\);_(* &quot;-&quot;??_);_(@_)"/>
    <numFmt numFmtId="169" formatCode="_(* #,##0_);_(* \(#,##0\);_(* &quot;-&quot;??_);_(@_)"/>
    <numFmt numFmtId="170" formatCode="0.0000"/>
  </numFmts>
  <fonts count="63">
    <font>
      <sz val="10"/>
      <name val="Times New Roman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3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u val="single"/>
      <sz val="11.5"/>
      <color indexed="12"/>
      <name val="Times New Roman"/>
      <family val="0"/>
    </font>
    <font>
      <u val="single"/>
      <sz val="11.5"/>
      <color indexed="20"/>
      <name val="Times New Roman"/>
      <family val="0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9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b/>
      <i/>
      <sz val="11"/>
      <color indexed="8"/>
      <name val="Arial"/>
      <family val="2"/>
    </font>
    <font>
      <u val="single"/>
      <sz val="11.5"/>
      <color theme="10"/>
      <name val="Times New Roman"/>
      <family val="0"/>
    </font>
    <font>
      <u val="single"/>
      <sz val="11.5"/>
      <color theme="11"/>
      <name val="Times New Roman"/>
      <family val="0"/>
    </font>
    <font>
      <sz val="11"/>
      <color theme="1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3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64" fontId="4" fillId="0" borderId="0" xfId="62" applyFont="1" applyFill="1" applyAlignment="1">
      <alignment/>
    </xf>
    <xf numFmtId="164" fontId="10" fillId="0" borderId="0" xfId="62" applyFont="1" applyFill="1" applyAlignment="1">
      <alignment horizontal="center"/>
    </xf>
    <xf numFmtId="164" fontId="16" fillId="0" borderId="0" xfId="62" applyFont="1" applyFill="1" applyAlignment="1">
      <alignment vertical="center"/>
    </xf>
    <xf numFmtId="4" fontId="2" fillId="0" borderId="0" xfId="0" applyNumberFormat="1" applyFont="1" applyFill="1" applyAlignment="1">
      <alignment/>
    </xf>
    <xf numFmtId="164" fontId="4" fillId="0" borderId="0" xfId="59" applyFont="1" applyFill="1" applyBorder="1" applyAlignment="1">
      <alignment/>
    </xf>
    <xf numFmtId="168" fontId="16" fillId="0" borderId="0" xfId="62" applyNumberFormat="1" applyFont="1" applyFill="1" applyAlignment="1">
      <alignment/>
    </xf>
    <xf numFmtId="168" fontId="16" fillId="0" borderId="0" xfId="62" applyNumberFormat="1" applyFont="1" applyFill="1" applyAlignment="1">
      <alignment vertical="center"/>
    </xf>
    <xf numFmtId="164" fontId="4" fillId="0" borderId="0" xfId="59" applyFont="1" applyFill="1" applyAlignment="1">
      <alignment/>
    </xf>
    <xf numFmtId="10" fontId="2" fillId="0" borderId="0" xfId="56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 quotePrefix="1">
      <alignment horizontal="left"/>
    </xf>
    <xf numFmtId="4" fontId="7" fillId="0" borderId="0" xfId="0" applyNumberFormat="1" applyFont="1" applyFill="1" applyAlignment="1" quotePrefix="1">
      <alignment horizontal="lef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/>
    </xf>
    <xf numFmtId="165" fontId="2" fillId="0" borderId="0" xfId="47" applyFont="1" applyFill="1" applyAlignment="1">
      <alignment/>
    </xf>
    <xf numFmtId="4" fontId="7" fillId="0" borderId="0" xfId="0" applyNumberFormat="1" applyFont="1" applyFill="1" applyAlignment="1">
      <alignment horizontal="left"/>
    </xf>
    <xf numFmtId="9" fontId="2" fillId="0" borderId="0" xfId="56" applyFont="1" applyFill="1" applyAlignment="1">
      <alignment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 quotePrefix="1">
      <alignment horizontal="left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9" fontId="2" fillId="0" borderId="0" xfId="59" applyNumberFormat="1" applyFont="1" applyFill="1" applyAlignment="1">
      <alignment horizontal="left"/>
    </xf>
    <xf numFmtId="166" fontId="2" fillId="0" borderId="0" xfId="56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" fontId="2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164" fontId="16" fillId="0" borderId="10" xfId="62" applyFont="1" applyFill="1" applyBorder="1" applyAlignment="1">
      <alignment horizontal="justify" vertical="top"/>
    </xf>
    <xf numFmtId="164" fontId="16" fillId="0" borderId="10" xfId="62" applyFont="1" applyFill="1" applyBorder="1" applyAlignment="1">
      <alignment horizontal="center"/>
    </xf>
    <xf numFmtId="164" fontId="16" fillId="0" borderId="0" xfId="62" applyFont="1" applyFill="1" applyAlignment="1">
      <alignment/>
    </xf>
    <xf numFmtId="0" fontId="4" fillId="0" borderId="0" xfId="0" applyFont="1" applyFill="1" applyAlignment="1" quotePrefix="1">
      <alignment horizontal="left"/>
    </xf>
    <xf numFmtId="10" fontId="4" fillId="0" borderId="0" xfId="56" applyNumberFormat="1" applyFont="1" applyFill="1" applyAlignment="1">
      <alignment/>
    </xf>
    <xf numFmtId="0" fontId="10" fillId="0" borderId="0" xfId="0" applyFont="1" applyFill="1" applyAlignment="1" quotePrefix="1">
      <alignment horizontal="left"/>
    </xf>
    <xf numFmtId="164" fontId="10" fillId="0" borderId="0" xfId="59" applyFont="1" applyFill="1" applyAlignment="1">
      <alignment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 horizontal="left"/>
    </xf>
    <xf numFmtId="164" fontId="1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4" fillId="0" borderId="0" xfId="62" applyFont="1" applyFill="1" applyAlignment="1">
      <alignment horizontal="center"/>
    </xf>
    <xf numFmtId="170" fontId="19" fillId="0" borderId="0" xfId="59" applyNumberFormat="1" applyFont="1" applyFill="1" applyAlignment="1">
      <alignment/>
    </xf>
    <xf numFmtId="13" fontId="17" fillId="0" borderId="10" xfId="62" applyNumberFormat="1" applyFont="1" applyFill="1" applyBorder="1" applyAlignment="1">
      <alignment horizontal="left" vertical="center"/>
    </xf>
    <xf numFmtId="164" fontId="10" fillId="0" borderId="0" xfId="62" applyFont="1" applyFill="1" applyBorder="1" applyAlignment="1">
      <alignment horizontal="left"/>
    </xf>
    <xf numFmtId="164" fontId="4" fillId="0" borderId="0" xfId="62" applyFont="1" applyFill="1" applyBorder="1" applyAlignment="1">
      <alignment/>
    </xf>
    <xf numFmtId="164" fontId="4" fillId="0" borderId="0" xfId="62" applyFont="1" applyFill="1" applyBorder="1" applyAlignment="1">
      <alignment horizontal="center"/>
    </xf>
    <xf numFmtId="164" fontId="10" fillId="0" borderId="0" xfId="62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/>
    </xf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 quotePrefix="1">
      <alignment horizontal="left"/>
    </xf>
    <xf numFmtId="9" fontId="4" fillId="0" borderId="0" xfId="56" applyFont="1" applyFill="1" applyAlignment="1">
      <alignment/>
    </xf>
    <xf numFmtId="164" fontId="4" fillId="0" borderId="0" xfId="59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64" fontId="8" fillId="0" borderId="0" xfId="59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" fontId="4" fillId="0" borderId="0" xfId="59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43" fontId="4" fillId="0" borderId="0" xfId="0" applyNumberFormat="1" applyFont="1" applyFill="1" applyAlignment="1">
      <alignment/>
    </xf>
    <xf numFmtId="4" fontId="18" fillId="0" borderId="0" xfId="59" applyNumberFormat="1" applyFont="1" applyFill="1" applyAlignment="1">
      <alignment/>
    </xf>
    <xf numFmtId="4" fontId="16" fillId="0" borderId="10" xfId="62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 quotePrefix="1">
      <alignment horizontal="right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4" fontId="4" fillId="0" borderId="0" xfId="0" applyNumberFormat="1" applyFont="1" applyFill="1" applyAlignment="1">
      <alignment/>
    </xf>
    <xf numFmtId="164" fontId="17" fillId="0" borderId="10" xfId="62" applyFont="1" applyFill="1" applyBorder="1" applyAlignment="1">
      <alignment horizontal="left" vertical="center"/>
    </xf>
    <xf numFmtId="4" fontId="16" fillId="0" borderId="11" xfId="62" applyNumberFormat="1" applyFont="1" applyFill="1" applyBorder="1" applyAlignment="1">
      <alignment/>
    </xf>
    <xf numFmtId="164" fontId="17" fillId="0" borderId="12" xfId="62" applyFont="1" applyFill="1" applyBorder="1" applyAlignment="1">
      <alignment horizontal="left" vertical="center"/>
    </xf>
    <xf numFmtId="4" fontId="17" fillId="0" borderId="11" xfId="62" applyNumberFormat="1" applyFont="1" applyFill="1" applyBorder="1" applyAlignment="1">
      <alignment vertical="center"/>
    </xf>
    <xf numFmtId="164" fontId="17" fillId="0" borderId="13" xfId="62" applyFont="1" applyFill="1" applyBorder="1" applyAlignment="1">
      <alignment vertical="center"/>
    </xf>
    <xf numFmtId="164" fontId="17" fillId="0" borderId="13" xfId="62" applyFont="1" applyFill="1" applyBorder="1" applyAlignment="1">
      <alignment horizontal="center" vertical="center"/>
    </xf>
    <xf numFmtId="4" fontId="17" fillId="0" borderId="14" xfId="62" applyNumberFormat="1" applyFont="1" applyFill="1" applyBorder="1" applyAlignment="1">
      <alignment vertical="center"/>
    </xf>
    <xf numFmtId="164" fontId="17" fillId="0" borderId="15" xfId="62" applyFont="1" applyFill="1" applyBorder="1" applyAlignment="1">
      <alignment vertical="center"/>
    </xf>
    <xf numFmtId="164" fontId="16" fillId="0" borderId="12" xfId="62" applyFont="1" applyFill="1" applyBorder="1" applyAlignment="1" quotePrefix="1">
      <alignment horizontal="center" vertical="center"/>
    </xf>
    <xf numFmtId="0" fontId="55" fillId="0" borderId="0" xfId="52" applyFont="1">
      <alignment/>
      <protection/>
    </xf>
    <xf numFmtId="0" fontId="54" fillId="0" borderId="0" xfId="52">
      <alignment/>
      <protection/>
    </xf>
    <xf numFmtId="0" fontId="10" fillId="0" borderId="12" xfId="52" applyFont="1" applyBorder="1" applyAlignment="1">
      <alignment horizontal="center"/>
      <protection/>
    </xf>
    <xf numFmtId="9" fontId="54" fillId="0" borderId="0" xfId="52" applyNumberFormat="1" applyAlignment="1">
      <alignment horizontal="center" vertical="center"/>
      <protection/>
    </xf>
    <xf numFmtId="164" fontId="10" fillId="0" borderId="11" xfId="52" applyNumberFormat="1" applyFont="1" applyBorder="1">
      <alignment/>
      <protection/>
    </xf>
    <xf numFmtId="0" fontId="54" fillId="0" borderId="0" xfId="52" applyAlignment="1">
      <alignment vertical="center"/>
      <protection/>
    </xf>
    <xf numFmtId="9" fontId="54" fillId="0" borderId="0" xfId="52" applyNumberFormat="1" applyAlignment="1">
      <alignment horizontal="center"/>
      <protection/>
    </xf>
    <xf numFmtId="43" fontId="10" fillId="0" borderId="11" xfId="74" applyFont="1" applyBorder="1" applyAlignment="1">
      <alignment/>
    </xf>
    <xf numFmtId="2" fontId="54" fillId="0" borderId="0" xfId="52" applyNumberFormat="1">
      <alignment/>
      <protection/>
    </xf>
    <xf numFmtId="0" fontId="4" fillId="0" borderId="10" xfId="52" applyFont="1" applyBorder="1" applyAlignment="1">
      <alignment horizontal="justify" vertical="center"/>
      <protection/>
    </xf>
    <xf numFmtId="9" fontId="54" fillId="0" borderId="0" xfId="52" applyNumberFormat="1" applyAlignment="1">
      <alignment horizontal="center" wrapText="1"/>
      <protection/>
    </xf>
    <xf numFmtId="164" fontId="10" fillId="0" borderId="14" xfId="52" applyNumberFormat="1" applyFont="1" applyBorder="1">
      <alignment/>
      <protection/>
    </xf>
    <xf numFmtId="10" fontId="2" fillId="0" borderId="0" xfId="57" applyNumberFormat="1" applyFont="1" applyFill="1" applyAlignment="1">
      <alignment/>
    </xf>
    <xf numFmtId="165" fontId="2" fillId="0" borderId="0" xfId="49" applyFont="1" applyFill="1" applyAlignment="1">
      <alignment/>
    </xf>
    <xf numFmtId="9" fontId="2" fillId="0" borderId="0" xfId="57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164" fontId="2" fillId="0" borderId="0" xfId="72" applyFont="1" applyFill="1" applyAlignment="1">
      <alignment/>
    </xf>
    <xf numFmtId="4" fontId="2" fillId="0" borderId="0" xfId="47" applyNumberFormat="1" applyFont="1" applyFill="1" applyAlignment="1">
      <alignment/>
    </xf>
    <xf numFmtId="0" fontId="10" fillId="0" borderId="10" xfId="52" applyFont="1" applyBorder="1" applyAlignment="1">
      <alignment horizontal="center"/>
      <protection/>
    </xf>
    <xf numFmtId="0" fontId="10" fillId="0" borderId="11" xfId="52" applyFont="1" applyBorder="1" applyAlignment="1">
      <alignment horizontal="center"/>
      <protection/>
    </xf>
    <xf numFmtId="164" fontId="16" fillId="0" borderId="16" xfId="62" applyFont="1" applyFill="1" applyBorder="1" applyAlignment="1">
      <alignment vertical="center"/>
    </xf>
    <xf numFmtId="0" fontId="56" fillId="0" borderId="0" xfId="52" applyFont="1">
      <alignment/>
      <protection/>
    </xf>
    <xf numFmtId="0" fontId="57" fillId="0" borderId="12" xfId="52" applyFont="1" applyBorder="1">
      <alignment/>
      <protection/>
    </xf>
    <xf numFmtId="0" fontId="57" fillId="0" borderId="10" xfId="52" applyFont="1" applyBorder="1">
      <alignment/>
      <protection/>
    </xf>
    <xf numFmtId="0" fontId="58" fillId="0" borderId="0" xfId="52" applyFont="1">
      <alignment/>
      <protection/>
    </xf>
    <xf numFmtId="0" fontId="57" fillId="0" borderId="12" xfId="52" applyFont="1" applyBorder="1" applyAlignment="1">
      <alignment horizontal="center"/>
      <protection/>
    </xf>
    <xf numFmtId="0" fontId="57" fillId="0" borderId="10" xfId="52" applyFont="1" applyFill="1" applyBorder="1">
      <alignment/>
      <protection/>
    </xf>
    <xf numFmtId="0" fontId="57" fillId="0" borderId="10" xfId="52" applyFont="1" applyFill="1" applyBorder="1" applyAlignment="1">
      <alignment horizontal="center"/>
      <protection/>
    </xf>
    <xf numFmtId="43" fontId="4" fillId="0" borderId="10" xfId="74" applyFont="1" applyFill="1" applyBorder="1" applyAlignment="1">
      <alignment/>
    </xf>
    <xf numFmtId="43" fontId="4" fillId="0" borderId="11" xfId="74" applyFont="1" applyFill="1" applyBorder="1" applyAlignment="1">
      <alignment/>
    </xf>
    <xf numFmtId="2" fontId="56" fillId="0" borderId="0" xfId="52" applyNumberFormat="1" applyFont="1" applyAlignment="1">
      <alignment vertical="center"/>
      <protection/>
    </xf>
    <xf numFmtId="0" fontId="56" fillId="0" borderId="0" xfId="52" applyFont="1" applyAlignment="1">
      <alignment vertical="center"/>
      <protection/>
    </xf>
    <xf numFmtId="0" fontId="57" fillId="0" borderId="12" xfId="52" applyFont="1" applyBorder="1" applyAlignment="1">
      <alignment horizontal="center" vertical="center"/>
      <protection/>
    </xf>
    <xf numFmtId="0" fontId="57" fillId="0" borderId="10" xfId="52" applyFont="1" applyFill="1" applyBorder="1" applyAlignment="1">
      <alignment horizontal="justify" vertical="center"/>
      <protection/>
    </xf>
    <xf numFmtId="2" fontId="56" fillId="0" borderId="0" xfId="52" applyNumberFormat="1" applyFont="1" applyAlignment="1">
      <alignment/>
      <protection/>
    </xf>
    <xf numFmtId="0" fontId="57" fillId="0" borderId="10" xfId="52" applyFont="1" applyFill="1" applyBorder="1" applyAlignment="1">
      <alignment horizontal="justify" vertical="center" wrapText="1"/>
      <protection/>
    </xf>
    <xf numFmtId="0" fontId="57" fillId="0" borderId="10" xfId="52" applyFont="1" applyBorder="1" applyAlignment="1">
      <alignment horizontal="center"/>
      <protection/>
    </xf>
    <xf numFmtId="43" fontId="4" fillId="0" borderId="10" xfId="74" applyFont="1" applyBorder="1" applyAlignment="1">
      <alignment/>
    </xf>
    <xf numFmtId="43" fontId="4" fillId="0" borderId="11" xfId="74" applyFont="1" applyBorder="1" applyAlignment="1">
      <alignment/>
    </xf>
    <xf numFmtId="2" fontId="56" fillId="0" borderId="0" xfId="52" applyNumberFormat="1" applyFont="1" applyAlignment="1">
      <alignment horizontal="left" vertical="center" wrapText="1"/>
      <protection/>
    </xf>
    <xf numFmtId="0" fontId="57" fillId="0" borderId="10" xfId="52" applyFont="1" applyBorder="1" applyAlignment="1">
      <alignment horizontal="justify" vertical="center"/>
      <protection/>
    </xf>
    <xf numFmtId="0" fontId="57" fillId="0" borderId="17" xfId="52" applyFont="1" applyBorder="1">
      <alignment/>
      <protection/>
    </xf>
    <xf numFmtId="0" fontId="57" fillId="0" borderId="0" xfId="52" applyFont="1" applyAlignment="1">
      <alignment wrapText="1"/>
      <protection/>
    </xf>
    <xf numFmtId="0" fontId="57" fillId="0" borderId="0" xfId="52" applyFont="1">
      <alignment/>
      <protection/>
    </xf>
    <xf numFmtId="0" fontId="59" fillId="0" borderId="18" xfId="52" applyFont="1" applyBorder="1" applyAlignment="1">
      <alignment horizontal="center"/>
      <protection/>
    </xf>
    <xf numFmtId="0" fontId="59" fillId="0" borderId="19" xfId="52" applyFont="1" applyBorder="1" applyAlignment="1">
      <alignment horizontal="center"/>
      <protection/>
    </xf>
    <xf numFmtId="0" fontId="59" fillId="0" borderId="20" xfId="52" applyFont="1" applyBorder="1" applyAlignment="1">
      <alignment horizontal="center"/>
      <protection/>
    </xf>
    <xf numFmtId="0" fontId="57" fillId="0" borderId="21" xfId="52" applyFont="1" applyBorder="1">
      <alignment/>
      <protection/>
    </xf>
    <xf numFmtId="2" fontId="57" fillId="0" borderId="0" xfId="52" applyNumberFormat="1" applyFont="1" applyBorder="1">
      <alignment/>
      <protection/>
    </xf>
    <xf numFmtId="0" fontId="57" fillId="0" borderId="0" xfId="52" applyFont="1" applyBorder="1">
      <alignment/>
      <protection/>
    </xf>
    <xf numFmtId="2" fontId="57" fillId="0" borderId="22" xfId="52" applyNumberFormat="1" applyFont="1" applyBorder="1">
      <alignment/>
      <protection/>
    </xf>
    <xf numFmtId="0" fontId="57" fillId="0" borderId="23" xfId="52" applyFont="1" applyBorder="1">
      <alignment/>
      <protection/>
    </xf>
    <xf numFmtId="2" fontId="57" fillId="0" borderId="24" xfId="52" applyNumberFormat="1" applyFont="1" applyBorder="1">
      <alignment/>
      <protection/>
    </xf>
    <xf numFmtId="0" fontId="57" fillId="0" borderId="24" xfId="52" applyFont="1" applyBorder="1">
      <alignment/>
      <protection/>
    </xf>
    <xf numFmtId="2" fontId="57" fillId="0" borderId="25" xfId="52" applyNumberFormat="1" applyFont="1" applyBorder="1">
      <alignment/>
      <protection/>
    </xf>
    <xf numFmtId="0" fontId="59" fillId="0" borderId="0" xfId="52" applyFont="1">
      <alignment/>
      <protection/>
    </xf>
    <xf numFmtId="2" fontId="59" fillId="0" borderId="0" xfId="52" applyNumberFormat="1" applyFont="1">
      <alignment/>
      <protection/>
    </xf>
    <xf numFmtId="170" fontId="60" fillId="0" borderId="0" xfId="0" applyNumberFormat="1" applyFont="1" applyFill="1" applyAlignment="1">
      <alignment/>
    </xf>
    <xf numFmtId="164" fontId="16" fillId="0" borderId="0" xfId="62" applyFont="1" applyFill="1" applyBorder="1" applyAlignment="1" quotePrefix="1">
      <alignment horizontal="center" vertical="center"/>
    </xf>
    <xf numFmtId="164" fontId="16" fillId="0" borderId="0" xfId="62" applyFont="1" applyFill="1" applyBorder="1" applyAlignment="1">
      <alignment vertical="center"/>
    </xf>
    <xf numFmtId="164" fontId="4" fillId="0" borderId="0" xfId="63" applyNumberFormat="1" applyFont="1" applyFill="1" applyAlignment="1">
      <alignment/>
    </xf>
    <xf numFmtId="164" fontId="4" fillId="0" borderId="0" xfId="63" applyFont="1" applyFill="1" applyAlignment="1">
      <alignment/>
    </xf>
    <xf numFmtId="164" fontId="4" fillId="0" borderId="0" xfId="63" applyFont="1" applyFill="1" applyAlignment="1">
      <alignment horizontal="center"/>
    </xf>
    <xf numFmtId="164" fontId="10" fillId="0" borderId="0" xfId="63" applyNumberFormat="1" applyFont="1" applyFill="1" applyAlignment="1">
      <alignment horizontal="center"/>
    </xf>
    <xf numFmtId="164" fontId="10" fillId="0" borderId="0" xfId="63" applyFont="1" applyFill="1" applyAlignment="1">
      <alignment horizontal="center"/>
    </xf>
    <xf numFmtId="164" fontId="16" fillId="0" borderId="12" xfId="63" applyFont="1" applyFill="1" applyBorder="1" applyAlignment="1" quotePrefix="1">
      <alignment horizontal="center" vertical="center"/>
    </xf>
    <xf numFmtId="164" fontId="16" fillId="0" borderId="10" xfId="63" applyFont="1" applyFill="1" applyBorder="1" applyAlignment="1">
      <alignment horizontal="justify" vertical="top"/>
    </xf>
    <xf numFmtId="4" fontId="16" fillId="0" borderId="10" xfId="63" applyNumberFormat="1" applyFont="1" applyFill="1" applyBorder="1" applyAlignment="1">
      <alignment/>
    </xf>
    <xf numFmtId="164" fontId="16" fillId="0" borderId="10" xfId="63" applyFont="1" applyFill="1" applyBorder="1" applyAlignment="1">
      <alignment horizontal="center"/>
    </xf>
    <xf numFmtId="4" fontId="16" fillId="0" borderId="11" xfId="63" applyNumberFormat="1" applyFont="1" applyFill="1" applyBorder="1" applyAlignment="1">
      <alignment/>
    </xf>
    <xf numFmtId="168" fontId="16" fillId="0" borderId="0" xfId="63" applyNumberFormat="1" applyFont="1" applyFill="1" applyAlignment="1">
      <alignment/>
    </xf>
    <xf numFmtId="164" fontId="16" fillId="0" borderId="0" xfId="63" applyFont="1" applyFill="1" applyAlignment="1">
      <alignment/>
    </xf>
    <xf numFmtId="164" fontId="17" fillId="0" borderId="12" xfId="63" applyFont="1" applyFill="1" applyBorder="1" applyAlignment="1">
      <alignment horizontal="left" vertical="center"/>
    </xf>
    <xf numFmtId="164" fontId="17" fillId="0" borderId="10" xfId="63" applyFont="1" applyFill="1" applyBorder="1" applyAlignment="1">
      <alignment horizontal="left" vertical="center"/>
    </xf>
    <xf numFmtId="13" fontId="17" fillId="0" borderId="10" xfId="63" applyNumberFormat="1" applyFont="1" applyFill="1" applyBorder="1" applyAlignment="1">
      <alignment horizontal="left" vertical="center"/>
    </xf>
    <xf numFmtId="4" fontId="17" fillId="0" borderId="11" xfId="63" applyNumberFormat="1" applyFont="1" applyFill="1" applyBorder="1" applyAlignment="1">
      <alignment vertical="center"/>
    </xf>
    <xf numFmtId="168" fontId="16" fillId="0" borderId="0" xfId="63" applyNumberFormat="1" applyFont="1" applyFill="1" applyAlignment="1">
      <alignment vertical="center"/>
    </xf>
    <xf numFmtId="164" fontId="16" fillId="0" borderId="0" xfId="63" applyFont="1" applyFill="1" applyAlignment="1">
      <alignment vertical="center"/>
    </xf>
    <xf numFmtId="164" fontId="17" fillId="0" borderId="15" xfId="63" applyFont="1" applyFill="1" applyBorder="1" applyAlignment="1">
      <alignment vertical="center"/>
    </xf>
    <xf numFmtId="164" fontId="16" fillId="0" borderId="16" xfId="63" applyFont="1" applyFill="1" applyBorder="1" applyAlignment="1">
      <alignment vertical="center"/>
    </xf>
    <xf numFmtId="164" fontId="17" fillId="0" borderId="13" xfId="63" applyFont="1" applyFill="1" applyBorder="1" applyAlignment="1">
      <alignment vertical="center"/>
    </xf>
    <xf numFmtId="164" fontId="17" fillId="0" borderId="13" xfId="63" applyFont="1" applyFill="1" applyBorder="1" applyAlignment="1">
      <alignment horizontal="center" vertical="center"/>
    </xf>
    <xf numFmtId="4" fontId="17" fillId="0" borderId="14" xfId="63" applyNumberFormat="1" applyFont="1" applyFill="1" applyBorder="1" applyAlignment="1">
      <alignment vertical="center"/>
    </xf>
    <xf numFmtId="164" fontId="16" fillId="0" borderId="0" xfId="63" applyNumberFormat="1" applyFont="1" applyFill="1" applyAlignment="1">
      <alignment vertical="center"/>
    </xf>
    <xf numFmtId="164" fontId="10" fillId="0" borderId="0" xfId="63" applyFont="1" applyFill="1" applyBorder="1" applyAlignment="1">
      <alignment horizontal="left"/>
    </xf>
    <xf numFmtId="164" fontId="4" fillId="0" borderId="0" xfId="63" applyFont="1" applyFill="1" applyBorder="1" applyAlignment="1">
      <alignment/>
    </xf>
    <xf numFmtId="164" fontId="4" fillId="0" borderId="0" xfId="63" applyFont="1" applyFill="1" applyBorder="1" applyAlignment="1">
      <alignment horizontal="center"/>
    </xf>
    <xf numFmtId="164" fontId="10" fillId="0" borderId="0" xfId="63" applyFont="1" applyFill="1" applyBorder="1" applyAlignment="1">
      <alignment/>
    </xf>
    <xf numFmtId="39" fontId="4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 applyAlignment="1">
      <alignment horizontal="right" vertical="top" wrapText="1"/>
      <protection/>
    </xf>
    <xf numFmtId="164" fontId="0" fillId="0" borderId="0" xfId="63" applyNumberFormat="1" applyFont="1" applyFill="1" applyAlignment="1">
      <alignment/>
    </xf>
    <xf numFmtId="164" fontId="0" fillId="0" borderId="0" xfId="63" applyFont="1" applyFill="1" applyAlignment="1">
      <alignment/>
    </xf>
    <xf numFmtId="164" fontId="14" fillId="0" borderId="0" xfId="63" applyFont="1" applyFill="1" applyAlignment="1">
      <alignment horizontal="left"/>
    </xf>
    <xf numFmtId="164" fontId="37" fillId="0" borderId="0" xfId="63" applyFont="1" applyFill="1" applyAlignment="1">
      <alignment horizontal="center"/>
    </xf>
    <xf numFmtId="164" fontId="4" fillId="0" borderId="26" xfId="63" applyFont="1" applyFill="1" applyBorder="1" applyAlignment="1" quotePrefix="1">
      <alignment horizontal="center" vertical="center"/>
    </xf>
    <xf numFmtId="164" fontId="4" fillId="0" borderId="27" xfId="63" applyFont="1" applyFill="1" applyBorder="1" applyAlignment="1">
      <alignment horizontal="justify" vertical="top"/>
    </xf>
    <xf numFmtId="164" fontId="4" fillId="0" borderId="27" xfId="63" applyFont="1" applyFill="1" applyBorder="1" applyAlignment="1">
      <alignment horizontal="center" vertical="center"/>
    </xf>
    <xf numFmtId="164" fontId="39" fillId="0" borderId="0" xfId="63" applyFont="1" applyFill="1" applyAlignment="1">
      <alignment horizontal="center" vertical="justify"/>
    </xf>
    <xf numFmtId="164" fontId="39" fillId="0" borderId="0" xfId="63" applyFont="1" applyFill="1" applyAlignment="1">
      <alignment/>
    </xf>
    <xf numFmtId="164" fontId="4" fillId="0" borderId="12" xfId="63" applyFont="1" applyFill="1" applyBorder="1" applyAlignment="1" quotePrefix="1">
      <alignment horizontal="center" vertical="center"/>
    </xf>
    <xf numFmtId="164" fontId="4" fillId="0" borderId="10" xfId="63" applyFont="1" applyFill="1" applyBorder="1" applyAlignment="1">
      <alignment horizontal="justify" vertical="top"/>
    </xf>
    <xf numFmtId="164" fontId="4" fillId="0" borderId="10" xfId="63" applyFont="1" applyFill="1" applyBorder="1" applyAlignment="1">
      <alignment horizontal="center" vertical="center"/>
    </xf>
    <xf numFmtId="168" fontId="39" fillId="0" borderId="0" xfId="63" applyNumberFormat="1" applyFont="1" applyFill="1" applyAlignment="1">
      <alignment horizontal="center" vertical="justify"/>
    </xf>
    <xf numFmtId="164" fontId="0" fillId="0" borderId="0" xfId="63" applyFont="1" applyFill="1" applyBorder="1" applyAlignment="1">
      <alignment horizontal="center"/>
    </xf>
    <xf numFmtId="164" fontId="40" fillId="0" borderId="0" xfId="63" applyFont="1" applyFill="1" applyBorder="1" applyAlignment="1">
      <alignment horizontal="justify" vertical="top"/>
    </xf>
    <xf numFmtId="164" fontId="0" fillId="0" borderId="0" xfId="63" applyFont="1" applyFill="1" applyAlignment="1">
      <alignment horizontal="center"/>
    </xf>
    <xf numFmtId="43" fontId="4" fillId="0" borderId="24" xfId="0" applyNumberFormat="1" applyFont="1" applyFill="1" applyBorder="1" applyAlignment="1">
      <alignment/>
    </xf>
    <xf numFmtId="164" fontId="17" fillId="0" borderId="28" xfId="63" applyFont="1" applyFill="1" applyBorder="1" applyAlignment="1">
      <alignment horizontal="left" vertical="center"/>
    </xf>
    <xf numFmtId="164" fontId="17" fillId="0" borderId="20" xfId="63" applyFont="1" applyFill="1" applyBorder="1" applyAlignment="1">
      <alignment horizontal="left" vertical="center"/>
    </xf>
    <xf numFmtId="164" fontId="17" fillId="0" borderId="29" xfId="63" applyFont="1" applyFill="1" applyBorder="1" applyAlignment="1">
      <alignment horizontal="left" vertical="center"/>
    </xf>
    <xf numFmtId="13" fontId="17" fillId="0" borderId="29" xfId="63" applyNumberFormat="1" applyFont="1" applyFill="1" applyBorder="1" applyAlignment="1">
      <alignment horizontal="left" vertical="center"/>
    </xf>
    <xf numFmtId="4" fontId="17" fillId="0" borderId="30" xfId="63" applyNumberFormat="1" applyFont="1" applyFill="1" applyBorder="1" applyAlignment="1">
      <alignment vertical="center"/>
    </xf>
    <xf numFmtId="164" fontId="16" fillId="0" borderId="10" xfId="62" applyFont="1" applyFill="1" applyBorder="1" applyAlignment="1">
      <alignment horizontal="left" vertical="top" wrapText="1"/>
    </xf>
    <xf numFmtId="4" fontId="16" fillId="0" borderId="10" xfId="62" applyNumberFormat="1" applyFont="1" applyFill="1" applyBorder="1" applyAlignment="1">
      <alignment horizontal="center"/>
    </xf>
    <xf numFmtId="168" fontId="4" fillId="0" borderId="0" xfId="62" applyNumberFormat="1" applyFont="1" applyFill="1" applyAlignment="1">
      <alignment/>
    </xf>
    <xf numFmtId="168" fontId="10" fillId="0" borderId="0" xfId="62" applyNumberFormat="1" applyFont="1" applyFill="1" applyAlignment="1">
      <alignment horizontal="center"/>
    </xf>
    <xf numFmtId="168" fontId="19" fillId="0" borderId="0" xfId="59" applyNumberFormat="1" applyFont="1" applyFill="1" applyAlignment="1">
      <alignment/>
    </xf>
    <xf numFmtId="164" fontId="4" fillId="0" borderId="17" xfId="63" applyFont="1" applyFill="1" applyBorder="1" applyAlignment="1" quotePrefix="1">
      <alignment horizontal="center" vertical="center"/>
    </xf>
    <xf numFmtId="164" fontId="4" fillId="0" borderId="13" xfId="63" applyFont="1" applyFill="1" applyBorder="1" applyAlignment="1">
      <alignment horizontal="justify" vertical="top"/>
    </xf>
    <xf numFmtId="164" fontId="4" fillId="0" borderId="13" xfId="63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164" fontId="4" fillId="0" borderId="31" xfId="63" applyFont="1" applyFill="1" applyBorder="1" applyAlignment="1">
      <alignment horizontal="center" vertical="center"/>
    </xf>
    <xf numFmtId="164" fontId="4" fillId="0" borderId="32" xfId="63" applyFont="1" applyFill="1" applyBorder="1" applyAlignment="1">
      <alignment horizontal="center" vertical="center"/>
    </xf>
    <xf numFmtId="164" fontId="4" fillId="0" borderId="33" xfId="63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164" fontId="15" fillId="0" borderId="0" xfId="63" applyFont="1" applyFill="1" applyAlignment="1">
      <alignment horizontal="center"/>
    </xf>
    <xf numFmtId="164" fontId="14" fillId="0" borderId="0" xfId="63" applyFont="1" applyFill="1" applyAlignment="1">
      <alignment horizontal="center"/>
    </xf>
    <xf numFmtId="168" fontId="38" fillId="0" borderId="10" xfId="63" applyNumberFormat="1" applyFont="1" applyFill="1" applyBorder="1" applyAlignment="1">
      <alignment horizontal="center" vertical="center"/>
    </xf>
    <xf numFmtId="168" fontId="38" fillId="0" borderId="34" xfId="63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0" xfId="52" applyFont="1" applyBorder="1" applyAlignment="1">
      <alignment horizontal="right"/>
      <protection/>
    </xf>
    <xf numFmtId="0" fontId="61" fillId="0" borderId="26" xfId="52" applyFont="1" applyBorder="1" applyAlignment="1">
      <alignment horizontal="center"/>
      <protection/>
    </xf>
    <xf numFmtId="0" fontId="61" fillId="0" borderId="27" xfId="52" applyFont="1" applyBorder="1" applyAlignment="1">
      <alignment horizontal="center"/>
      <protection/>
    </xf>
    <xf numFmtId="0" fontId="61" fillId="0" borderId="35" xfId="52" applyFont="1" applyBorder="1" applyAlignment="1">
      <alignment horizontal="center"/>
      <protection/>
    </xf>
    <xf numFmtId="0" fontId="59" fillId="0" borderId="17" xfId="52" applyFont="1" applyBorder="1" applyAlignment="1">
      <alignment horizontal="center"/>
      <protection/>
    </xf>
    <xf numFmtId="0" fontId="59" fillId="0" borderId="13" xfId="52" applyFont="1" applyBorder="1" applyAlignment="1">
      <alignment horizontal="center"/>
      <protection/>
    </xf>
    <xf numFmtId="0" fontId="59" fillId="0" borderId="14" xfId="52" applyFont="1" applyBorder="1" applyAlignment="1">
      <alignment horizontal="center"/>
      <protection/>
    </xf>
    <xf numFmtId="0" fontId="42" fillId="0" borderId="36" xfId="52" applyFont="1" applyBorder="1" applyAlignment="1">
      <alignment horizontal="center"/>
      <protection/>
    </xf>
    <xf numFmtId="0" fontId="42" fillId="0" borderId="34" xfId="52" applyFont="1" applyBorder="1" applyAlignment="1">
      <alignment horizontal="center"/>
      <protection/>
    </xf>
    <xf numFmtId="0" fontId="42" fillId="0" borderId="37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10" fillId="0" borderId="11" xfId="52" applyFont="1" applyBorder="1" applyAlignment="1">
      <alignment horizontal="center"/>
      <protection/>
    </xf>
    <xf numFmtId="0" fontId="10" fillId="0" borderId="10" xfId="52" applyFont="1" applyBorder="1" applyAlignment="1">
      <alignment horizontal="left"/>
      <protection/>
    </xf>
    <xf numFmtId="0" fontId="10" fillId="0" borderId="11" xfId="52" applyFont="1" applyBorder="1" applyAlignment="1">
      <alignment horizontal="left"/>
      <protection/>
    </xf>
    <xf numFmtId="0" fontId="57" fillId="0" borderId="38" xfId="52" applyFont="1" applyBorder="1" applyAlignment="1">
      <alignment horizontal="center"/>
      <protection/>
    </xf>
    <xf numFmtId="0" fontId="57" fillId="0" borderId="39" xfId="52" applyFont="1" applyBorder="1" applyAlignment="1">
      <alignment horizontal="center"/>
      <protection/>
    </xf>
    <xf numFmtId="0" fontId="57" fillId="0" borderId="40" xfId="52" applyFont="1" applyBorder="1" applyAlignment="1">
      <alignment horizontal="center"/>
      <protection/>
    </xf>
    <xf numFmtId="0" fontId="10" fillId="0" borderId="13" xfId="52" applyFont="1" applyBorder="1" applyAlignment="1">
      <alignment horizontal="left"/>
      <protection/>
    </xf>
    <xf numFmtId="0" fontId="57" fillId="0" borderId="12" xfId="52" applyFont="1" applyBorder="1" applyAlignment="1">
      <alignment horizontal="center"/>
      <protection/>
    </xf>
    <xf numFmtId="0" fontId="57" fillId="0" borderId="10" xfId="52" applyFont="1" applyBorder="1" applyAlignment="1">
      <alignment horizontal="center"/>
      <protection/>
    </xf>
    <xf numFmtId="0" fontId="57" fillId="0" borderId="11" xfId="52" applyFont="1" applyBorder="1" applyAlignment="1">
      <alignment horizontal="center"/>
      <protection/>
    </xf>
    <xf numFmtId="0" fontId="10" fillId="0" borderId="32" xfId="52" applyFont="1" applyBorder="1" applyAlignment="1">
      <alignment horizontal="left"/>
      <protection/>
    </xf>
    <xf numFmtId="0" fontId="10" fillId="0" borderId="39" xfId="52" applyFont="1" applyBorder="1" applyAlignment="1">
      <alignment horizontal="left"/>
      <protection/>
    </xf>
    <xf numFmtId="0" fontId="10" fillId="0" borderId="41" xfId="52" applyFont="1" applyBorder="1" applyAlignment="1">
      <alignment horizontal="left"/>
      <protection/>
    </xf>
    <xf numFmtId="0" fontId="57" fillId="0" borderId="10" xfId="52" applyFont="1" applyBorder="1" applyAlignment="1">
      <alignment horizontal="justify" wrapText="1"/>
      <protection/>
    </xf>
    <xf numFmtId="0" fontId="62" fillId="0" borderId="10" xfId="52" applyFont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164" fontId="10" fillId="0" borderId="26" xfId="62" applyFont="1" applyFill="1" applyBorder="1" applyAlignment="1">
      <alignment horizontal="center" vertical="center"/>
    </xf>
    <xf numFmtId="164" fontId="10" fillId="0" borderId="12" xfId="62" applyFont="1" applyFill="1" applyBorder="1" applyAlignment="1">
      <alignment horizontal="center" vertical="center"/>
    </xf>
    <xf numFmtId="164" fontId="41" fillId="0" borderId="0" xfId="62" applyFont="1" applyFill="1" applyAlignment="1">
      <alignment horizontal="center"/>
    </xf>
    <xf numFmtId="164" fontId="15" fillId="0" borderId="0" xfId="62" applyFont="1" applyFill="1" applyAlignment="1">
      <alignment horizontal="center"/>
    </xf>
    <xf numFmtId="164" fontId="10" fillId="0" borderId="27" xfId="62" applyFont="1" applyFill="1" applyBorder="1" applyAlignment="1">
      <alignment horizontal="center" vertical="center"/>
    </xf>
    <xf numFmtId="164" fontId="10" fillId="0" borderId="10" xfId="62" applyFont="1" applyFill="1" applyBorder="1" applyAlignment="1">
      <alignment horizontal="center" vertical="center"/>
    </xf>
    <xf numFmtId="164" fontId="10" fillId="0" borderId="35" xfId="62" applyFont="1" applyFill="1" applyBorder="1" applyAlignment="1">
      <alignment horizontal="center" vertical="center" wrapText="1"/>
    </xf>
    <xf numFmtId="164" fontId="10" fillId="0" borderId="11" xfId="62" applyFont="1" applyFill="1" applyBorder="1" applyAlignment="1">
      <alignment horizontal="center" vertical="center" wrapText="1"/>
    </xf>
    <xf numFmtId="164" fontId="41" fillId="0" borderId="0" xfId="63" applyFont="1" applyFill="1" applyAlignment="1">
      <alignment horizontal="center"/>
    </xf>
    <xf numFmtId="164" fontId="15" fillId="0" borderId="0" xfId="63" applyFont="1" applyFill="1" applyAlignment="1">
      <alignment horizontal="center"/>
    </xf>
    <xf numFmtId="164" fontId="10" fillId="0" borderId="26" xfId="63" applyFont="1" applyFill="1" applyBorder="1" applyAlignment="1">
      <alignment horizontal="center" vertical="center"/>
    </xf>
    <xf numFmtId="164" fontId="10" fillId="0" borderId="12" xfId="63" applyFont="1" applyFill="1" applyBorder="1" applyAlignment="1">
      <alignment horizontal="center" vertical="center"/>
    </xf>
    <xf numFmtId="164" fontId="10" fillId="0" borderId="27" xfId="63" applyFont="1" applyFill="1" applyBorder="1" applyAlignment="1">
      <alignment horizontal="center" vertical="center"/>
    </xf>
    <xf numFmtId="164" fontId="10" fillId="0" borderId="10" xfId="63" applyFont="1" applyFill="1" applyBorder="1" applyAlignment="1">
      <alignment horizontal="center" vertical="center"/>
    </xf>
    <xf numFmtId="164" fontId="10" fillId="0" borderId="35" xfId="63" applyFont="1" applyFill="1" applyBorder="1" applyAlignment="1">
      <alignment horizontal="center" vertical="center" wrapText="1"/>
    </xf>
    <xf numFmtId="164" fontId="10" fillId="0" borderId="11" xfId="63" applyFont="1" applyFill="1" applyBorder="1" applyAlignment="1">
      <alignment horizontal="center" vertical="center" wrapText="1"/>
    </xf>
    <xf numFmtId="164" fontId="14" fillId="0" borderId="0" xfId="63" applyFont="1" applyFill="1" applyAlignment="1">
      <alignment horizontal="left"/>
    </xf>
    <xf numFmtId="164" fontId="14" fillId="0" borderId="0" xfId="63" applyFont="1" applyFill="1" applyAlignment="1">
      <alignment horizontal="center"/>
    </xf>
    <xf numFmtId="164" fontId="10" fillId="0" borderId="42" xfId="63" applyFont="1" applyFill="1" applyBorder="1" applyAlignment="1">
      <alignment horizontal="center" vertical="center"/>
    </xf>
    <xf numFmtId="164" fontId="10" fillId="0" borderId="29" xfId="63" applyFont="1" applyFill="1" applyBorder="1" applyAlignment="1">
      <alignment horizontal="center" vertical="center"/>
    </xf>
    <xf numFmtId="164" fontId="10" fillId="0" borderId="43" xfId="63" applyFont="1" applyFill="1" applyBorder="1" applyAlignment="1">
      <alignment horizontal="center" vertical="center" wrapText="1"/>
    </xf>
    <xf numFmtId="164" fontId="10" fillId="0" borderId="44" xfId="63" applyFont="1" applyFill="1" applyBorder="1" applyAlignment="1">
      <alignment horizontal="center" vertical="center" wrapText="1"/>
    </xf>
    <xf numFmtId="0" fontId="4" fillId="0" borderId="44" xfId="54" applyFont="1" applyFill="1" applyBorder="1">
      <alignment/>
      <protection/>
    </xf>
    <xf numFmtId="164" fontId="10" fillId="0" borderId="14" xfId="63" applyFont="1" applyFill="1" applyBorder="1" applyAlignment="1">
      <alignment horizontal="center" vertical="center" wrapText="1"/>
    </xf>
    <xf numFmtId="164" fontId="10" fillId="0" borderId="31" xfId="63" applyFont="1" applyFill="1" applyBorder="1" applyAlignment="1">
      <alignment horizontal="center" vertical="center" wrapText="1"/>
    </xf>
    <xf numFmtId="0" fontId="4" fillId="0" borderId="18" xfId="54" applyFont="1" applyFill="1" applyBorder="1">
      <alignment/>
      <protection/>
    </xf>
    <xf numFmtId="164" fontId="10" fillId="0" borderId="26" xfId="63" applyFont="1" applyFill="1" applyBorder="1" applyAlignment="1">
      <alignment horizontal="center" vertical="center" wrapText="1"/>
    </xf>
    <xf numFmtId="164" fontId="10" fillId="0" borderId="17" xfId="63" applyFont="1" applyFill="1" applyBorder="1" applyAlignment="1">
      <alignment horizontal="center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 4" xfId="53"/>
    <cellStyle name="Normal_COMPOSIÇÃO DE PREÇOS BÁSICOS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Separador de milhares_Pasta2" xfId="62"/>
    <cellStyle name="Separador de milhares_Pasta2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Vírgula 2" xfId="72"/>
    <cellStyle name="Vírgula 3" xfId="73"/>
    <cellStyle name="Vírgula 4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wnloads\2%20-%20PLANILHA%20DE%20COMPOSI&#199;&#195;O%20DE%20CUSTO%20V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ta%20Cruz\EDITAL\julho08\COMPOSI&#199;&#195;O%20DE%20PRE&#199;OS%20B&#193;S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Temp\COMPOSI&#199;&#195;O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Temp\COMPOSI&#199;&#195;O%20N&#195;O%20DISPONIBILIZ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antas\Meus%20documentos\PEN%20DRIVE\jul2007\Vit&#243;ria\EDITAL\COMPOSI&#199;&#195;O%20DE%20PRE&#199;OS%20B&#193;SIC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arzea%20Grande\Edital\Nova%20pasta%20(2)\COMPOSI&#199;&#195;O%20N&#195;O%20DISPONIBILIZAR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it&#243;ria\LIMPEZA%20URBANA%20PROJETO%202013%20-%202\COMPOSI&#199;&#195;O%20JUN%202013%20-%20C&#243;p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arzea%20Grande\2013\ATUALIZAR\COMPOSI&#199;&#195;O%20N&#195;O%20DISPONIBILIZAR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INGSTON%20020213\Cabo2011\Agosto%20clayton\COMPOSI&#199;&#195;O%20LIXO-cabo0teste-d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arzea%20Grande\2013\agosto2013\COMPOSI&#199;&#195;O%20-%20C&#243;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CULANTE (2)"/>
      <sheetName val="COLETOR"/>
      <sheetName val="VARREDOR"/>
      <sheetName val="FISCAL"/>
      <sheetName val="MOTORISTA"/>
      <sheetName val="ADM"/>
      <sheetName val="LOCA RETRO"/>
      <sheetName val="LOCA CAÇAMBA"/>
      <sheetName val="BASCULANTE"/>
      <sheetName val="BAÚ"/>
      <sheetName val="COMPACTADOR 15m³"/>
      <sheetName val="DOMICILIAR"/>
      <sheetName val="SELETIVA"/>
      <sheetName val="SAÚDE"/>
      <sheetName val="OPERAÇÃO"/>
      <sheetName val="3.30"/>
      <sheetName val="3.40"/>
      <sheetName val="PREÇOS"/>
      <sheetName val="ANEXO XVI"/>
      <sheetName val="ANEXO XVIa"/>
      <sheetName val="ANEXO XVIb"/>
    </sheetNames>
    <sheetDataSet>
      <sheetData sheetId="1">
        <row r="10">
          <cell r="B10">
            <v>346.78400000000005</v>
          </cell>
        </row>
        <row r="12">
          <cell r="B12">
            <v>0.95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(2)"/>
      <sheetName val="COLETOR"/>
      <sheetName val="VARREDOR"/>
      <sheetName val="FISCAL"/>
      <sheetName val="MOTORISTA"/>
      <sheetName val="ADM"/>
      <sheetName val="BASCULANTE (2)"/>
      <sheetName val="BASCULANTE"/>
      <sheetName val="COMPACTADOR 15m³"/>
      <sheetName val="VARRIÇÃO"/>
      <sheetName val="CAPINAÇÃO"/>
      <sheetName val="PINTURA"/>
      <sheetName val="DOMICILIAR"/>
      <sheetName val="ENTULHO"/>
      <sheetName val="COMPLEMENTARES"/>
      <sheetName val="OPERAÇÃO"/>
      <sheetName val="COMPOSIÇÃO 3.1"/>
      <sheetName val="COMPOSIÇÃO 3.2"/>
      <sheetName val="COMPOSIÇÃO 3.3"/>
      <sheetName val="COMPOSIÇÃO 3.4"/>
      <sheetName val="PREÇOS"/>
      <sheetName val="planilha"/>
      <sheetName val="QUADRO"/>
    </sheetNames>
    <sheetDataSet>
      <sheetData sheetId="21">
        <row r="5">
          <cell r="B5" t="str">
            <v>Varrição manual de vias urbanas pavimentadas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ETOR"/>
      <sheetName val="VARREDOR"/>
      <sheetName val="FISCAL"/>
      <sheetName val="MOTORISTA"/>
      <sheetName val="ADM"/>
      <sheetName val="BASCULANTE"/>
      <sheetName val="BAÚ"/>
      <sheetName val="COMPACTADOR 15m³"/>
      <sheetName val="VARRIÇÃO"/>
      <sheetName val="DOMICILIAR"/>
      <sheetName val="CAPINAÇÃO"/>
      <sheetName val="PINTURA"/>
      <sheetName val="SELETIVA"/>
      <sheetName val="ECO"/>
      <sheetName val="PREÇOS"/>
      <sheetName val="ANEXO VI"/>
      <sheetName val="ANEXO VII"/>
      <sheetName val="ANEXO VIII"/>
    </sheetNames>
    <sheetDataSet>
      <sheetData sheetId="14">
        <row r="25">
          <cell r="C25">
            <v>22</v>
          </cell>
        </row>
        <row r="27">
          <cell r="C27">
            <v>56</v>
          </cell>
        </row>
        <row r="28">
          <cell r="C28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ETOR"/>
      <sheetName val="VARREDOR"/>
      <sheetName val="FISCAL"/>
      <sheetName val="MOTORISTA"/>
      <sheetName val="ADM"/>
      <sheetName val="BASCULANTE"/>
      <sheetName val="BAÚ"/>
      <sheetName val="COMPACTADOR 15m³"/>
      <sheetName val="VARRIÇÃO"/>
      <sheetName val="DOMICILIAR"/>
      <sheetName val="CAPINAÇÃO"/>
      <sheetName val="PINTURA"/>
      <sheetName val="SELETIVA"/>
      <sheetName val="PREÇOS"/>
      <sheetName val="ANEXO VI"/>
      <sheetName val="ANEXO VII"/>
      <sheetName val="ANEXO VIII"/>
    </sheetNames>
    <sheetDataSet>
      <sheetData sheetId="0">
        <row r="27">
          <cell r="B27">
            <v>2348.54</v>
          </cell>
        </row>
      </sheetData>
      <sheetData sheetId="2">
        <row r="29">
          <cell r="B29">
            <v>3322.2905</v>
          </cell>
        </row>
      </sheetData>
      <sheetData sheetId="4">
        <row r="37">
          <cell r="B37">
            <v>28839.65</v>
          </cell>
        </row>
      </sheetData>
      <sheetData sheetId="5">
        <row r="61">
          <cell r="B61">
            <v>7729.7075</v>
          </cell>
        </row>
      </sheetData>
      <sheetData sheetId="6">
        <row r="61">
          <cell r="B61">
            <v>7729.7075</v>
          </cell>
        </row>
      </sheetData>
      <sheetData sheetId="13">
        <row r="9">
          <cell r="C9">
            <v>75</v>
          </cell>
        </row>
        <row r="10">
          <cell r="C10">
            <v>20</v>
          </cell>
        </row>
        <row r="11">
          <cell r="C11">
            <v>18</v>
          </cell>
        </row>
        <row r="12">
          <cell r="C12">
            <v>5</v>
          </cell>
        </row>
        <row r="13">
          <cell r="C13">
            <v>21</v>
          </cell>
        </row>
        <row r="14">
          <cell r="C14">
            <v>75</v>
          </cell>
        </row>
        <row r="16">
          <cell r="C16">
            <v>25</v>
          </cell>
        </row>
        <row r="17">
          <cell r="C17">
            <v>12</v>
          </cell>
        </row>
        <row r="20">
          <cell r="C20">
            <v>19</v>
          </cell>
        </row>
        <row r="21">
          <cell r="C21">
            <v>17</v>
          </cell>
        </row>
        <row r="22">
          <cell r="C22">
            <v>2600</v>
          </cell>
        </row>
        <row r="24">
          <cell r="C24">
            <v>0.7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(2)"/>
      <sheetName val="COLETOR"/>
      <sheetName val="VARREDOR"/>
      <sheetName val="FISCAL"/>
      <sheetName val="MOTORISTA"/>
      <sheetName val="ADM"/>
      <sheetName val="BASCULANTE (2)"/>
      <sheetName val="BASCULANTE"/>
      <sheetName val="COMPACTADOR 15m³"/>
      <sheetName val="VARRIÇÃO"/>
      <sheetName val="CAPINAÇÃO"/>
      <sheetName val="PINTURA"/>
      <sheetName val="DOMICILIAR"/>
      <sheetName val="ENTULHO"/>
      <sheetName val="COMPLEMENTARES"/>
      <sheetName val="OPERAÇÃO"/>
      <sheetName val="COMPOSIÇÃO 3.1"/>
      <sheetName val="COMPOSIÇÃO 3.2"/>
      <sheetName val="COMPOSIÇÃO 3.3"/>
      <sheetName val="COMPOSIÇÃO 3.4"/>
      <sheetName val="PREÇOS"/>
      <sheetName val="planilha"/>
      <sheetName val="QUADRO"/>
    </sheetNames>
    <sheetDataSet>
      <sheetData sheetId="20">
        <row r="5">
          <cell r="C5">
            <v>60</v>
          </cell>
        </row>
        <row r="6">
          <cell r="C6">
            <v>15</v>
          </cell>
        </row>
        <row r="7">
          <cell r="C7">
            <v>12</v>
          </cell>
        </row>
        <row r="8">
          <cell r="C8">
            <v>5</v>
          </cell>
        </row>
        <row r="9">
          <cell r="C9">
            <v>12</v>
          </cell>
        </row>
        <row r="10">
          <cell r="C10">
            <v>55</v>
          </cell>
        </row>
        <row r="12">
          <cell r="C12">
            <v>20</v>
          </cell>
        </row>
        <row r="13">
          <cell r="C13">
            <v>10</v>
          </cell>
        </row>
        <row r="14">
          <cell r="C14">
            <v>13</v>
          </cell>
        </row>
        <row r="15">
          <cell r="C15">
            <v>25</v>
          </cell>
        </row>
        <row r="16">
          <cell r="C16">
            <v>12</v>
          </cell>
        </row>
        <row r="17">
          <cell r="C17">
            <v>13</v>
          </cell>
        </row>
        <row r="19">
          <cell r="C19">
            <v>0.11</v>
          </cell>
        </row>
        <row r="20">
          <cell r="C20">
            <v>0.7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CULANTE (2)"/>
      <sheetName val="COLETOR"/>
      <sheetName val="VARREDOR"/>
      <sheetName val="FISCAL"/>
      <sheetName val="MOTORISTA"/>
      <sheetName val="ADM"/>
      <sheetName val="LOCA RETRO"/>
      <sheetName val="LOCA CAÇAMBA"/>
      <sheetName val="BASCULANTE"/>
      <sheetName val="BAÚ"/>
      <sheetName val="COMPACTADOR 15m³"/>
      <sheetName val="VARRIÇÃO"/>
      <sheetName val="DOMICILIAR"/>
      <sheetName val="CAPINAÇÃO"/>
      <sheetName val="PINTURA"/>
      <sheetName val="OPERAÇÃO"/>
      <sheetName val="SELETIVA"/>
      <sheetName val="PREÇOS"/>
      <sheetName val="ANEXO VI"/>
      <sheetName val="ANEXO VII"/>
      <sheetName val="ANEXO VIII"/>
    </sheetNames>
    <sheetDataSet>
      <sheetData sheetId="1">
        <row r="85">
          <cell r="B85">
            <v>0</v>
          </cell>
        </row>
      </sheetData>
      <sheetData sheetId="4">
        <row r="57">
          <cell r="B57">
            <v>3004.46</v>
          </cell>
        </row>
      </sheetData>
      <sheetData sheetId="5">
        <row r="37">
          <cell r="B37">
            <v>28839.65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LETOR"/>
      <sheetName val="VARREDOR"/>
      <sheetName val="FISCAL"/>
      <sheetName val="MOTORISTA"/>
      <sheetName val="ADM"/>
      <sheetName val="BASCULANTE"/>
      <sheetName val="COMPACTADOR 15m³"/>
      <sheetName val="BAÚ"/>
      <sheetName val="DOMICILIAR"/>
      <sheetName val="VARRIÇÃO"/>
      <sheetName val="PINTURA"/>
      <sheetName val="ENTULHO"/>
      <sheetName val="CORRELATOS"/>
      <sheetName val="OPERAÇÃO"/>
      <sheetName val="SELETIVA"/>
      <sheetName val="EDUCAÇÃO"/>
      <sheetName val="PREÇOS"/>
      <sheetName val="ANEXO VI"/>
      <sheetName val="ANEXO VII"/>
      <sheetName val="ANEXO VIII"/>
    </sheetNames>
    <sheetDataSet>
      <sheetData sheetId="16">
        <row r="10">
          <cell r="C10">
            <v>17</v>
          </cell>
        </row>
        <row r="11">
          <cell r="C11">
            <v>14</v>
          </cell>
        </row>
        <row r="12">
          <cell r="C12">
            <v>5</v>
          </cell>
        </row>
        <row r="13">
          <cell r="C13">
            <v>19</v>
          </cell>
        </row>
        <row r="14">
          <cell r="C14">
            <v>72</v>
          </cell>
        </row>
        <row r="16">
          <cell r="C16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CULANTE (2)"/>
      <sheetName val="COLETOR"/>
      <sheetName val="VARREDOR"/>
      <sheetName val="FISCAL"/>
      <sheetName val="MOTORISTA"/>
      <sheetName val="ADM"/>
      <sheetName val="LOCA RETRO"/>
      <sheetName val="LOCA CAÇAMBA"/>
      <sheetName val="BASCULANTE"/>
      <sheetName val="BAÚ"/>
      <sheetName val="COMPACTADOR 15m³"/>
      <sheetName val="VARRIÇÃO"/>
      <sheetName val="DOMICILIAR"/>
      <sheetName val="CAPINAÇÃO"/>
      <sheetName val="PINTURA"/>
      <sheetName val="OPERAÇÃO"/>
      <sheetName val="SELETIVA"/>
      <sheetName val="EDUCAÇÃO"/>
      <sheetName val="SAÚDE"/>
      <sheetName val="PREÇOS"/>
      <sheetName val="ANEXO VI"/>
      <sheetName val="ANEXO VII"/>
      <sheetName val="ANEXO VIII"/>
    </sheetNames>
    <sheetDataSet>
      <sheetData sheetId="1">
        <row r="27">
          <cell r="B27">
            <v>2763.78658</v>
          </cell>
        </row>
      </sheetData>
      <sheetData sheetId="4">
        <row r="31">
          <cell r="B31">
            <v>3842.1760000000004</v>
          </cell>
        </row>
      </sheetData>
      <sheetData sheetId="17">
        <row r="1">
          <cell r="A1" t="str">
            <v>PREFEITURA MUNICIPAL DE VARZEA GRANDE</v>
          </cell>
        </row>
        <row r="6">
          <cell r="A6" t="str">
            <v>COMPOSIÇÃO DE PREÇOS UNITÁRIOS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LETOR"/>
      <sheetName val="VARREDOR"/>
      <sheetName val="FISCAL"/>
      <sheetName val="orientador"/>
      <sheetName val="MOTORISTA"/>
      <sheetName val="Adm1"/>
      <sheetName val="cavalo"/>
      <sheetName val="furgão"/>
      <sheetName val="carroc"/>
      <sheetName val="Trator1"/>
      <sheetName val="Triturador"/>
      <sheetName val="basculante 12"/>
      <sheetName val="BASCULANTE 6"/>
      <sheetName val="COMPACTADOR 15 m3"/>
      <sheetName val="VARRIÇÃO"/>
      <sheetName val="DOMICILIAR"/>
      <sheetName val="entulho Man"/>
      <sheetName val="Podação"/>
      <sheetName val="manual"/>
      <sheetName val="saúde"/>
      <sheetName val="CAPINAÇÃO"/>
      <sheetName val="pintura"/>
      <sheetName val="diversos"/>
      <sheetName val="pá"/>
      <sheetName val="REtro"/>
      <sheetName val="Loc caçamba"/>
      <sheetName val="Praias"/>
      <sheetName val="transp"/>
      <sheetName val="DESTINO"/>
      <sheetName val="Pessoal"/>
      <sheetName val="Caç 12m3"/>
      <sheetName val="escavadeira"/>
      <sheetName val="PREÇOS"/>
      <sheetName val="RESUMO"/>
      <sheetName val="impostos"/>
      <sheetName val="Encargos"/>
      <sheetName val="memória"/>
      <sheetName val="Plan1"/>
    </sheetNames>
    <sheetDataSet>
      <sheetData sheetId="2">
        <row r="31">
          <cell r="B31">
            <v>1522.4018559533015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CULANTE (2)"/>
      <sheetName val="COLETOR"/>
      <sheetName val="VARREDOR"/>
      <sheetName val="FISCAL"/>
      <sheetName val="MOTORISTA"/>
      <sheetName val="ADM"/>
      <sheetName val="LOCA RETRO"/>
      <sheetName val="LOCA CAÇAMBA"/>
      <sheetName val="BASCULANTE"/>
      <sheetName val="BAÚ"/>
      <sheetName val="COMPACTADOR 15m³"/>
      <sheetName val="VARRIÇÃO"/>
      <sheetName val="DOMICILIAR"/>
      <sheetName val="CAPINAÇÃO"/>
      <sheetName val="PINTURA"/>
      <sheetName val="SELETIVA"/>
      <sheetName val="EDUCAÇÃO"/>
      <sheetName val="SAÚDE"/>
      <sheetName val="OPERAÇÃO"/>
      <sheetName val="3.30"/>
      <sheetName val="3.40"/>
      <sheetName val="PREÇOS"/>
      <sheetName val="ANEXO VI"/>
      <sheetName val="ANEXO VII"/>
      <sheetName val="ANEXO VIII"/>
    </sheetNames>
    <sheetDataSet>
      <sheetData sheetId="1">
        <row r="1">
          <cell r="A1" t="str">
            <v>PREFEITURA MUNICIPAL DE VARZEA GRANDE</v>
          </cell>
        </row>
      </sheetData>
      <sheetData sheetId="13">
        <row r="12">
          <cell r="D12">
            <v>20</v>
          </cell>
        </row>
        <row r="16">
          <cell r="D16">
            <v>1</v>
          </cell>
        </row>
        <row r="29">
          <cell r="D29">
            <v>1</v>
          </cell>
        </row>
      </sheetData>
      <sheetData sheetId="14">
        <row r="12">
          <cell r="D12">
            <v>4</v>
          </cell>
        </row>
        <row r="17">
          <cell r="D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6">
      <selection activeCell="B14" sqref="B14"/>
    </sheetView>
  </sheetViews>
  <sheetFormatPr defaultColWidth="12" defaultRowHeight="12.75"/>
  <cols>
    <col min="1" max="1" width="57.33203125" style="1" customWidth="1"/>
    <col min="2" max="2" width="13.332031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spans="1:5" ht="12.75">
      <c r="A4" s="14"/>
      <c r="B4" s="15"/>
      <c r="C4" s="15"/>
      <c r="D4" s="15"/>
      <c r="E4" s="15"/>
    </row>
    <row r="5" spans="2:5" ht="12.75">
      <c r="B5" s="15"/>
      <c r="C5" s="15"/>
      <c r="D5" s="15"/>
      <c r="E5" s="15"/>
    </row>
    <row r="6" spans="1:5" ht="12.75">
      <c r="A6" s="16" t="s">
        <v>0</v>
      </c>
      <c r="B6" s="16"/>
      <c r="C6" s="16"/>
      <c r="D6" s="16"/>
      <c r="E6" s="16"/>
    </row>
    <row r="7" spans="1:4" ht="12.75">
      <c r="A7" s="6"/>
      <c r="B7" s="6"/>
      <c r="C7" s="6"/>
      <c r="D7" s="6"/>
    </row>
    <row r="8" spans="1:4" ht="12.75">
      <c r="A8" s="33" t="s">
        <v>14</v>
      </c>
      <c r="B8" s="2"/>
      <c r="C8" s="2"/>
      <c r="D8" s="2"/>
    </row>
    <row r="9" spans="1:4" ht="12.75">
      <c r="A9" s="6"/>
      <c r="B9" s="6"/>
      <c r="C9" s="6"/>
      <c r="D9" s="6"/>
    </row>
    <row r="11" ht="12.75">
      <c r="A11" s="1" t="s">
        <v>15</v>
      </c>
    </row>
    <row r="13" spans="1:2" ht="12.75">
      <c r="A13" s="45" t="s">
        <v>153</v>
      </c>
      <c r="B13" s="10">
        <v>155000</v>
      </c>
    </row>
    <row r="14" spans="1:2" ht="12.75">
      <c r="A14" s="45" t="s">
        <v>16</v>
      </c>
      <c r="B14" s="10">
        <v>60</v>
      </c>
    </row>
    <row r="15" spans="1:2" ht="12.75">
      <c r="A15" s="45" t="s">
        <v>17</v>
      </c>
      <c r="B15" s="71">
        <v>0.3</v>
      </c>
    </row>
    <row r="16" spans="1:2" ht="12.75">
      <c r="A16" s="1" t="s">
        <v>18</v>
      </c>
      <c r="B16" s="10">
        <f>((+B13)-(+B13*B15))/B14</f>
        <v>1808.3333333333333</v>
      </c>
    </row>
    <row r="18" ht="12.75">
      <c r="A18" s="45" t="s">
        <v>19</v>
      </c>
    </row>
    <row r="20" spans="1:4" ht="12.75">
      <c r="A20" s="21" t="s">
        <v>20</v>
      </c>
      <c r="B20" s="6">
        <f>+B13</f>
        <v>155000</v>
      </c>
      <c r="C20" s="6"/>
      <c r="D20" s="6"/>
    </row>
    <row r="21" spans="1:4" ht="12.75">
      <c r="A21" s="21" t="s">
        <v>21</v>
      </c>
      <c r="B21" s="37">
        <v>0.01</v>
      </c>
      <c r="C21" s="6"/>
      <c r="D21" s="6"/>
    </row>
    <row r="22" spans="1:4" ht="12.75">
      <c r="A22" s="21" t="s">
        <v>22</v>
      </c>
      <c r="B22" s="6">
        <f>+B20*B21</f>
        <v>1550</v>
      </c>
      <c r="C22" s="6"/>
      <c r="D22" s="6"/>
    </row>
    <row r="23" spans="1:4" ht="12.75">
      <c r="A23" s="6" t="s">
        <v>8</v>
      </c>
      <c r="B23" s="6" t="s">
        <v>8</v>
      </c>
      <c r="C23" s="6" t="s">
        <v>8</v>
      </c>
      <c r="D23" s="6"/>
    </row>
    <row r="24" spans="1:4" ht="12.75">
      <c r="A24" s="6" t="s">
        <v>23</v>
      </c>
      <c r="B24" s="6" t="s">
        <v>8</v>
      </c>
      <c r="C24" s="6" t="s">
        <v>8</v>
      </c>
      <c r="D24" s="6" t="s">
        <v>8</v>
      </c>
    </row>
    <row r="26" spans="1:2" ht="12.75">
      <c r="A26" s="45" t="s">
        <v>24</v>
      </c>
      <c r="B26" s="10">
        <v>2.33</v>
      </c>
    </row>
    <row r="27" spans="1:2" ht="12.75">
      <c r="A27" s="45" t="s">
        <v>216</v>
      </c>
      <c r="B27" s="10">
        <f>90*26</f>
        <v>2340</v>
      </c>
    </row>
    <row r="28" spans="1:2" ht="12.75">
      <c r="A28" s="45" t="s">
        <v>25</v>
      </c>
      <c r="B28" s="10">
        <v>2.4</v>
      </c>
    </row>
    <row r="29" spans="1:2" ht="12.75">
      <c r="A29" s="24" t="s">
        <v>26</v>
      </c>
      <c r="B29" s="10">
        <f>+B27/B28*B26</f>
        <v>2271.75</v>
      </c>
    </row>
    <row r="30" spans="1:2" ht="12.75">
      <c r="A30" s="45"/>
      <c r="B30" s="10"/>
    </row>
    <row r="31" spans="1:2" ht="12.75">
      <c r="A31" s="6" t="s">
        <v>27</v>
      </c>
      <c r="B31" s="6" t="s">
        <v>8</v>
      </c>
    </row>
    <row r="33" spans="1:2" ht="12.75">
      <c r="A33" s="45" t="s">
        <v>105</v>
      </c>
      <c r="B33" s="10">
        <f>1150*6</f>
        <v>6900</v>
      </c>
    </row>
    <row r="34" spans="1:2" ht="12.75">
      <c r="A34" s="45" t="s">
        <v>28</v>
      </c>
      <c r="B34" s="10">
        <v>40000</v>
      </c>
    </row>
    <row r="35" spans="1:2" ht="12.75">
      <c r="A35" s="45" t="s">
        <v>237</v>
      </c>
      <c r="B35" s="10">
        <f>B27</f>
        <v>2340</v>
      </c>
    </row>
    <row r="36" spans="1:2" ht="12.75">
      <c r="A36" s="45" t="s">
        <v>29</v>
      </c>
      <c r="B36" s="10">
        <f>+B33*B35/B34</f>
        <v>403.65</v>
      </c>
    </row>
    <row r="37" spans="1:2" ht="12.75">
      <c r="A37" s="45"/>
      <c r="B37" s="10"/>
    </row>
    <row r="38" ht="12.75">
      <c r="A38" s="45" t="s">
        <v>30</v>
      </c>
    </row>
    <row r="39" ht="12.75">
      <c r="A39" s="45" t="s">
        <v>7</v>
      </c>
    </row>
    <row r="40" spans="1:2" ht="12.75">
      <c r="A40" s="45" t="s">
        <v>31</v>
      </c>
      <c r="B40" s="71">
        <v>0.5</v>
      </c>
    </row>
    <row r="41" spans="1:2" ht="12.75">
      <c r="A41" s="45" t="s">
        <v>32</v>
      </c>
      <c r="B41" s="38">
        <f>+B20</f>
        <v>155000</v>
      </c>
    </row>
    <row r="42" spans="1:2" ht="12.75">
      <c r="A42" s="45" t="s">
        <v>33</v>
      </c>
      <c r="B42" s="10">
        <v>60</v>
      </c>
    </row>
    <row r="43" spans="1:2" ht="12.75">
      <c r="A43" s="45" t="s">
        <v>34</v>
      </c>
      <c r="B43" s="10">
        <f>+B40*B41/B42</f>
        <v>1291.6666666666667</v>
      </c>
    </row>
    <row r="45" spans="1:2" ht="12.75">
      <c r="A45" s="24" t="s">
        <v>80</v>
      </c>
      <c r="B45" s="10"/>
    </row>
    <row r="46" spans="1:2" ht="12.75">
      <c r="A46" s="45"/>
      <c r="B46" s="10"/>
    </row>
    <row r="47" spans="1:2" ht="12.75">
      <c r="A47" s="24" t="s">
        <v>81</v>
      </c>
      <c r="B47" s="72">
        <v>47.5</v>
      </c>
    </row>
    <row r="48" spans="1:2" ht="12.75">
      <c r="A48" s="24" t="s">
        <v>82</v>
      </c>
      <c r="B48" s="10">
        <v>15.66</v>
      </c>
    </row>
    <row r="49" spans="1:2" ht="12.75">
      <c r="A49" s="24" t="s">
        <v>83</v>
      </c>
      <c r="B49" s="10">
        <v>0</v>
      </c>
    </row>
    <row r="50" spans="1:2" ht="12.75">
      <c r="A50" s="24" t="s">
        <v>84</v>
      </c>
      <c r="B50" s="10">
        <f>5.3*1.3</f>
        <v>6.89</v>
      </c>
    </row>
    <row r="51" spans="1:2" ht="12.75">
      <c r="A51" s="24" t="s">
        <v>202</v>
      </c>
      <c r="B51" s="10">
        <f>8*10</f>
        <v>80</v>
      </c>
    </row>
    <row r="52" spans="1:2" ht="12.75">
      <c r="A52" s="24" t="s">
        <v>85</v>
      </c>
      <c r="B52" s="10">
        <f>(+B47+B48+B49+B50)*15%</f>
        <v>10.507499999999999</v>
      </c>
    </row>
    <row r="53" spans="1:2" ht="12.75">
      <c r="A53" s="73" t="s">
        <v>86</v>
      </c>
      <c r="B53" s="74">
        <f>+B47+B48+B49+B50+B51+B52</f>
        <v>160.5575</v>
      </c>
    </row>
    <row r="54" spans="1:2" ht="12.75">
      <c r="A54" s="24"/>
      <c r="B54" s="10"/>
    </row>
    <row r="55" spans="1:2" ht="12.75">
      <c r="A55" s="24" t="s">
        <v>87</v>
      </c>
      <c r="B55" s="10"/>
    </row>
    <row r="56" spans="1:2" ht="12.75">
      <c r="A56" s="24"/>
      <c r="B56" s="10"/>
    </row>
    <row r="57" spans="1:2" ht="12.75">
      <c r="A57" s="24" t="s">
        <v>155</v>
      </c>
      <c r="B57" s="10">
        <f>(+B20*3%)/12</f>
        <v>387.5</v>
      </c>
    </row>
    <row r="58" spans="1:2" ht="12.75">
      <c r="A58" s="24" t="s">
        <v>154</v>
      </c>
      <c r="B58" s="10">
        <f>(+B20*1.5%)/12</f>
        <v>193.75</v>
      </c>
    </row>
    <row r="59" spans="1:2" ht="12.75">
      <c r="A59" s="75" t="s">
        <v>88</v>
      </c>
      <c r="B59" s="76">
        <f>+B57+B58</f>
        <v>581.25</v>
      </c>
    </row>
    <row r="61" spans="1:2" ht="12.75">
      <c r="A61" s="51" t="s">
        <v>89</v>
      </c>
      <c r="B61" s="52">
        <f>B59+B53+B43+B36+B29+B22+B16</f>
        <v>8067.2074999999995</v>
      </c>
    </row>
    <row r="63" spans="1:2" ht="12.75">
      <c r="A63" s="51" t="s">
        <v>206</v>
      </c>
      <c r="B63" s="52">
        <f>+B61-B16-B22-B59</f>
        <v>4127.6241666666665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3">
      <selection activeCell="A35" sqref="A35"/>
    </sheetView>
  </sheetViews>
  <sheetFormatPr defaultColWidth="12" defaultRowHeight="12.75"/>
  <cols>
    <col min="1" max="1" width="57.33203125" style="1" customWidth="1"/>
    <col min="2" max="2" width="13.332031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spans="1:5" ht="12.75">
      <c r="A4" s="14"/>
      <c r="B4" s="15"/>
      <c r="C4" s="15"/>
      <c r="D4" s="15"/>
      <c r="E4" s="15"/>
    </row>
    <row r="5" spans="2:5" ht="12.75">
      <c r="B5" s="15"/>
      <c r="C5" s="15"/>
      <c r="D5" s="15"/>
      <c r="E5" s="15"/>
    </row>
    <row r="6" spans="1:5" ht="12.75">
      <c r="A6" s="16" t="s">
        <v>0</v>
      </c>
      <c r="B6" s="16"/>
      <c r="C6" s="16"/>
      <c r="D6" s="16"/>
      <c r="E6" s="16"/>
    </row>
    <row r="7" spans="1:4" ht="12.75">
      <c r="A7" s="6"/>
      <c r="B7" s="6"/>
      <c r="C7" s="6"/>
      <c r="D7" s="6"/>
    </row>
    <row r="8" spans="1:4" ht="12.75">
      <c r="A8" s="33" t="s">
        <v>255</v>
      </c>
      <c r="B8" s="2"/>
      <c r="C8" s="2"/>
      <c r="D8" s="2"/>
    </row>
    <row r="9" spans="1:4" ht="12.75">
      <c r="A9" s="6"/>
      <c r="B9" s="6"/>
      <c r="C9" s="6"/>
      <c r="D9" s="6"/>
    </row>
    <row r="11" ht="12.75">
      <c r="A11" s="1" t="s">
        <v>15</v>
      </c>
    </row>
    <row r="13" spans="1:2" ht="12.75">
      <c r="A13" s="45" t="s">
        <v>153</v>
      </c>
      <c r="B13" s="10">
        <v>140000</v>
      </c>
    </row>
    <row r="14" spans="1:2" ht="12.75">
      <c r="A14" s="45" t="s">
        <v>16</v>
      </c>
      <c r="B14" s="10">
        <v>60</v>
      </c>
    </row>
    <row r="15" spans="1:2" ht="12.75">
      <c r="A15" s="45" t="s">
        <v>17</v>
      </c>
      <c r="B15" s="71">
        <v>0.3</v>
      </c>
    </row>
    <row r="16" spans="1:2" ht="12.75">
      <c r="A16" s="1" t="s">
        <v>18</v>
      </c>
      <c r="B16" s="10">
        <f>((+B13)-(+B13*B15))/60</f>
        <v>1633.3333333333333</v>
      </c>
    </row>
    <row r="18" ht="12.75">
      <c r="A18" s="45" t="s">
        <v>19</v>
      </c>
    </row>
    <row r="20" spans="1:4" ht="12.75">
      <c r="A20" s="21" t="s">
        <v>20</v>
      </c>
      <c r="B20" s="6">
        <f>B13</f>
        <v>140000</v>
      </c>
      <c r="C20" s="6"/>
      <c r="D20" s="6"/>
    </row>
    <row r="21" spans="1:4" ht="12.75">
      <c r="A21" s="21" t="s">
        <v>21</v>
      </c>
      <c r="B21" s="37">
        <v>0.01</v>
      </c>
      <c r="C21" s="6"/>
      <c r="D21" s="6"/>
    </row>
    <row r="22" spans="1:4" ht="12.75">
      <c r="A22" s="21" t="s">
        <v>22</v>
      </c>
      <c r="B22" s="6">
        <f>+B20*B21</f>
        <v>1400</v>
      </c>
      <c r="C22" s="6"/>
      <c r="D22" s="6"/>
    </row>
    <row r="23" spans="1:4" ht="12.75">
      <c r="A23" s="6" t="s">
        <v>8</v>
      </c>
      <c r="B23" s="6" t="s">
        <v>8</v>
      </c>
      <c r="C23" s="6" t="s">
        <v>8</v>
      </c>
      <c r="D23" s="6"/>
    </row>
    <row r="24" spans="1:4" ht="12.75">
      <c r="A24" s="6" t="s">
        <v>23</v>
      </c>
      <c r="B24" s="6" t="s">
        <v>8</v>
      </c>
      <c r="C24" s="6" t="s">
        <v>8</v>
      </c>
      <c r="D24" s="6" t="s">
        <v>8</v>
      </c>
    </row>
    <row r="26" spans="1:2" ht="12.75">
      <c r="A26" s="45" t="s">
        <v>24</v>
      </c>
      <c r="B26" s="10">
        <f>'COMPACTADOR 15m³'!B26</f>
        <v>2.51</v>
      </c>
    </row>
    <row r="27" spans="1:2" ht="12.75">
      <c r="A27" s="45" t="s">
        <v>371</v>
      </c>
      <c r="B27" s="10">
        <f>70*26</f>
        <v>1820</v>
      </c>
    </row>
    <row r="28" spans="1:2" ht="12.75">
      <c r="A28" s="45" t="s">
        <v>25</v>
      </c>
      <c r="B28" s="10">
        <v>2.4</v>
      </c>
    </row>
    <row r="29" spans="1:2" ht="12.75">
      <c r="A29" s="24" t="s">
        <v>26</v>
      </c>
      <c r="B29" s="10">
        <f>+B27/B28*B26</f>
        <v>1903.4166666666665</v>
      </c>
    </row>
    <row r="30" spans="1:2" ht="12.75">
      <c r="A30" s="45"/>
      <c r="B30" s="10"/>
    </row>
    <row r="31" spans="1:2" ht="12.75">
      <c r="A31" s="6" t="s">
        <v>27</v>
      </c>
      <c r="B31" s="6" t="s">
        <v>8</v>
      </c>
    </row>
    <row r="33" spans="1:2" ht="12.75">
      <c r="A33" s="45" t="s">
        <v>105</v>
      </c>
      <c r="B33" s="10">
        <f>1150*6</f>
        <v>6900</v>
      </c>
    </row>
    <row r="34" spans="1:2" ht="12.75">
      <c r="A34" s="45" t="s">
        <v>28</v>
      </c>
      <c r="B34" s="10">
        <v>40000</v>
      </c>
    </row>
    <row r="35" spans="1:2" ht="12.75">
      <c r="A35" s="45" t="s">
        <v>372</v>
      </c>
      <c r="B35" s="10">
        <f>B27</f>
        <v>1820</v>
      </c>
    </row>
    <row r="36" spans="1:2" ht="12.75">
      <c r="A36" s="45" t="s">
        <v>29</v>
      </c>
      <c r="B36" s="10">
        <f>+B33*B35/B34</f>
        <v>313.95</v>
      </c>
    </row>
    <row r="37" spans="1:2" ht="12.75">
      <c r="A37" s="45"/>
      <c r="B37" s="10"/>
    </row>
    <row r="38" ht="12.75">
      <c r="A38" s="45" t="s">
        <v>30</v>
      </c>
    </row>
    <row r="39" ht="12.75">
      <c r="A39" s="45" t="s">
        <v>7</v>
      </c>
    </row>
    <row r="40" spans="1:2" ht="12.75">
      <c r="A40" s="45" t="s">
        <v>31</v>
      </c>
      <c r="B40" s="71">
        <v>0.5</v>
      </c>
    </row>
    <row r="41" spans="1:2" ht="12.75">
      <c r="A41" s="45" t="s">
        <v>32</v>
      </c>
      <c r="B41" s="38">
        <f>B13</f>
        <v>140000</v>
      </c>
    </row>
    <row r="42" spans="1:2" ht="12.75">
      <c r="A42" s="45" t="s">
        <v>33</v>
      </c>
      <c r="B42" s="10">
        <v>60</v>
      </c>
    </row>
    <row r="43" spans="1:2" ht="12.75">
      <c r="A43" s="45" t="s">
        <v>34</v>
      </c>
      <c r="B43" s="10">
        <f>+B40*B41/B42</f>
        <v>1166.6666666666667</v>
      </c>
    </row>
    <row r="45" spans="1:2" ht="12.75">
      <c r="A45" s="24" t="s">
        <v>80</v>
      </c>
      <c r="B45" s="10"/>
    </row>
    <row r="46" spans="1:2" ht="12.75">
      <c r="A46" s="45"/>
      <c r="B46" s="10"/>
    </row>
    <row r="47" spans="1:2" ht="12.75">
      <c r="A47" s="24" t="s">
        <v>81</v>
      </c>
      <c r="B47" s="72">
        <v>47.5</v>
      </c>
    </row>
    <row r="48" spans="1:2" ht="12.75">
      <c r="A48" s="24" t="s">
        <v>82</v>
      </c>
      <c r="B48" s="10">
        <v>15.66</v>
      </c>
    </row>
    <row r="49" spans="1:2" ht="12.75">
      <c r="A49" s="24" t="s">
        <v>83</v>
      </c>
      <c r="B49" s="10">
        <v>0</v>
      </c>
    </row>
    <row r="50" spans="1:2" ht="12.75">
      <c r="A50" s="24" t="s">
        <v>84</v>
      </c>
      <c r="B50" s="10">
        <f>5.3*1.3</f>
        <v>6.89</v>
      </c>
    </row>
    <row r="51" spans="1:2" ht="12.75">
      <c r="A51" s="24" t="s">
        <v>202</v>
      </c>
      <c r="B51" s="10">
        <f>8*10</f>
        <v>80</v>
      </c>
    </row>
    <row r="52" spans="1:2" ht="12.75">
      <c r="A52" s="24" t="s">
        <v>85</v>
      </c>
      <c r="B52" s="10">
        <f>(+B47+B48+B49+B50)*15%</f>
        <v>10.507499999999999</v>
      </c>
    </row>
    <row r="53" spans="1:2" ht="12.75">
      <c r="A53" s="73" t="s">
        <v>86</v>
      </c>
      <c r="B53" s="74">
        <f>+B47+B48+B49+B50+B51+B52</f>
        <v>160.5575</v>
      </c>
    </row>
    <row r="54" spans="1:2" ht="12.75">
      <c r="A54" s="24"/>
      <c r="B54" s="10"/>
    </row>
    <row r="55" spans="1:2" ht="12.75">
      <c r="A55" s="24" t="s">
        <v>87</v>
      </c>
      <c r="B55" s="10"/>
    </row>
    <row r="56" spans="1:2" ht="12.75">
      <c r="A56" s="24"/>
      <c r="B56" s="10"/>
    </row>
    <row r="57" spans="1:2" ht="12.75">
      <c r="A57" s="24" t="s">
        <v>155</v>
      </c>
      <c r="B57" s="10">
        <f>(+B20*3%)/12</f>
        <v>350</v>
      </c>
    </row>
    <row r="58" spans="1:2" ht="12.75">
      <c r="A58" s="24" t="s">
        <v>154</v>
      </c>
      <c r="B58" s="10">
        <f>(+B20*1.5%)/12</f>
        <v>175</v>
      </c>
    </row>
    <row r="59" spans="1:2" ht="12.75">
      <c r="A59" s="75" t="s">
        <v>88</v>
      </c>
      <c r="B59" s="76">
        <f>+B57+B58</f>
        <v>525</v>
      </c>
    </row>
    <row r="61" spans="1:2" ht="12.75">
      <c r="A61" s="51" t="s">
        <v>89</v>
      </c>
      <c r="B61" s="52">
        <f>B59+B53+B43+B36+B29+B22+B16</f>
        <v>7102.924166666667</v>
      </c>
    </row>
    <row r="63" spans="1:2" ht="12.75">
      <c r="A63" s="51" t="s">
        <v>206</v>
      </c>
      <c r="B63" s="52">
        <f>+B61-B16-B22-B59</f>
        <v>3544.5908333333336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1">
      <selection activeCell="B36" sqref="B36"/>
    </sheetView>
  </sheetViews>
  <sheetFormatPr defaultColWidth="12" defaultRowHeight="12.75"/>
  <cols>
    <col min="1" max="1" width="58.83203125" style="1" customWidth="1"/>
    <col min="2" max="2" width="13.33203125" style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spans="1:5" ht="12.75">
      <c r="A4" s="14"/>
      <c r="B4" s="15"/>
      <c r="C4" s="15"/>
      <c r="D4" s="15"/>
      <c r="E4" s="15"/>
    </row>
    <row r="5" spans="2:5" ht="12.75">
      <c r="B5" s="15"/>
      <c r="C5" s="15"/>
      <c r="D5" s="15"/>
      <c r="E5" s="15"/>
    </row>
    <row r="6" spans="1:5" ht="12.75">
      <c r="A6" s="16" t="s">
        <v>0</v>
      </c>
      <c r="B6" s="16"/>
      <c r="C6" s="16"/>
      <c r="D6" s="16"/>
      <c r="E6" s="16"/>
    </row>
    <row r="7" spans="1:2" ht="12.75">
      <c r="A7" s="6"/>
      <c r="B7" s="6"/>
    </row>
    <row r="8" spans="1:2" ht="14.25">
      <c r="A8" s="232" t="s">
        <v>198</v>
      </c>
      <c r="B8" s="232"/>
    </row>
    <row r="9" spans="1:2" ht="12.75">
      <c r="A9" s="6"/>
      <c r="B9" s="6"/>
    </row>
    <row r="11" ht="12.75">
      <c r="A11" s="1" t="s">
        <v>15</v>
      </c>
    </row>
    <row r="13" spans="1:2" ht="12.75">
      <c r="A13" s="45" t="s">
        <v>156</v>
      </c>
      <c r="B13" s="10">
        <v>255000</v>
      </c>
    </row>
    <row r="14" spans="1:2" ht="12.75">
      <c r="A14" s="45" t="s">
        <v>16</v>
      </c>
      <c r="B14" s="10">
        <v>60</v>
      </c>
    </row>
    <row r="15" spans="1:2" ht="12.75">
      <c r="A15" s="45" t="s">
        <v>17</v>
      </c>
      <c r="B15" s="71">
        <v>0.3</v>
      </c>
    </row>
    <row r="16" spans="1:2" ht="12.75">
      <c r="A16" s="1" t="s">
        <v>18</v>
      </c>
      <c r="B16" s="10">
        <f>((+B13)-(+B13*B15))/60</f>
        <v>2975</v>
      </c>
    </row>
    <row r="18" ht="12.75">
      <c r="A18" s="45" t="s">
        <v>19</v>
      </c>
    </row>
    <row r="20" spans="1:2" ht="12.75">
      <c r="A20" s="21" t="s">
        <v>20</v>
      </c>
      <c r="B20" s="6">
        <f>B13</f>
        <v>255000</v>
      </c>
    </row>
    <row r="21" spans="1:2" ht="12.75">
      <c r="A21" s="21" t="s">
        <v>21</v>
      </c>
      <c r="B21" s="37">
        <v>0.01</v>
      </c>
    </row>
    <row r="22" spans="1:2" ht="12.75">
      <c r="A22" s="21" t="s">
        <v>22</v>
      </c>
      <c r="B22" s="6">
        <f>+B20*B21</f>
        <v>2550</v>
      </c>
    </row>
    <row r="23" spans="1:2" ht="12.75">
      <c r="A23" s="6" t="s">
        <v>8</v>
      </c>
      <c r="B23" s="6" t="s">
        <v>8</v>
      </c>
    </row>
    <row r="24" spans="1:2" ht="12.75">
      <c r="A24" s="6" t="s">
        <v>23</v>
      </c>
      <c r="B24" s="6" t="s">
        <v>8</v>
      </c>
    </row>
    <row r="26" spans="1:2" ht="12.75">
      <c r="A26" s="45" t="s">
        <v>24</v>
      </c>
      <c r="B26" s="10">
        <v>2.51</v>
      </c>
    </row>
    <row r="27" spans="1:2" ht="12.75">
      <c r="A27" s="45" t="s">
        <v>373</v>
      </c>
      <c r="B27" s="10">
        <f>70*26*2</f>
        <v>3640</v>
      </c>
    </row>
    <row r="28" spans="1:2" ht="12.75">
      <c r="A28" s="45" t="s">
        <v>25</v>
      </c>
      <c r="B28" s="10">
        <v>1.9</v>
      </c>
    </row>
    <row r="29" spans="1:2" ht="12.75">
      <c r="A29" s="24" t="s">
        <v>26</v>
      </c>
      <c r="B29" s="10">
        <f>+B27/B28*B26</f>
        <v>4808.631578947368</v>
      </c>
    </row>
    <row r="30" spans="1:2" ht="12.75">
      <c r="A30" s="45"/>
      <c r="B30" s="10"/>
    </row>
    <row r="31" spans="1:2" ht="12.75">
      <c r="A31" s="6" t="s">
        <v>27</v>
      </c>
      <c r="B31" s="6" t="s">
        <v>8</v>
      </c>
    </row>
    <row r="33" spans="1:2" ht="12.75">
      <c r="A33" s="45" t="s">
        <v>105</v>
      </c>
      <c r="B33" s="10">
        <f>1250*6</f>
        <v>7500</v>
      </c>
    </row>
    <row r="34" spans="1:2" ht="12.75">
      <c r="A34" s="45" t="s">
        <v>28</v>
      </c>
      <c r="B34" s="10">
        <v>40000</v>
      </c>
    </row>
    <row r="35" spans="1:2" ht="12.75">
      <c r="A35" s="45" t="s">
        <v>374</v>
      </c>
      <c r="B35" s="10">
        <f>70*26*2</f>
        <v>3640</v>
      </c>
    </row>
    <row r="36" spans="1:2" ht="12.75">
      <c r="A36" s="45" t="s">
        <v>29</v>
      </c>
      <c r="B36" s="10">
        <f>+B33*B35/B34</f>
        <v>682.5</v>
      </c>
    </row>
    <row r="37" spans="1:2" ht="12.75">
      <c r="A37" s="45"/>
      <c r="B37" s="10"/>
    </row>
    <row r="38" ht="12.75">
      <c r="A38" s="45" t="s">
        <v>30</v>
      </c>
    </row>
    <row r="39" ht="12.75">
      <c r="A39" s="45" t="s">
        <v>7</v>
      </c>
    </row>
    <row r="40" spans="1:2" ht="12.75">
      <c r="A40" s="45" t="s">
        <v>31</v>
      </c>
      <c r="B40" s="71">
        <v>0.5</v>
      </c>
    </row>
    <row r="41" spans="1:2" ht="12.75">
      <c r="A41" s="45" t="s">
        <v>32</v>
      </c>
      <c r="B41" s="38">
        <v>245000</v>
      </c>
    </row>
    <row r="42" spans="1:2" ht="12.75">
      <c r="A42" s="45" t="s">
        <v>33</v>
      </c>
      <c r="B42" s="10">
        <v>60</v>
      </c>
    </row>
    <row r="43" spans="1:2" ht="12.75">
      <c r="A43" s="45" t="s">
        <v>34</v>
      </c>
      <c r="B43" s="10">
        <f>+B40*B41/B42</f>
        <v>2041.6666666666667</v>
      </c>
    </row>
    <row r="45" spans="1:2" ht="12.75">
      <c r="A45" s="24" t="s">
        <v>80</v>
      </c>
      <c r="B45" s="10"/>
    </row>
    <row r="46" spans="1:2" ht="12.75">
      <c r="A46" s="45"/>
      <c r="B46" s="10"/>
    </row>
    <row r="47" spans="1:2" ht="12.75">
      <c r="A47" s="24" t="s">
        <v>81</v>
      </c>
      <c r="B47" s="72">
        <v>47.5</v>
      </c>
    </row>
    <row r="48" spans="1:2" ht="12.75">
      <c r="A48" s="24" t="s">
        <v>82</v>
      </c>
      <c r="B48" s="10">
        <v>15.66</v>
      </c>
    </row>
    <row r="49" spans="1:2" ht="12.75">
      <c r="A49" s="24" t="s">
        <v>83</v>
      </c>
      <c r="B49" s="10">
        <v>68</v>
      </c>
    </row>
    <row r="50" spans="1:2" ht="12.75">
      <c r="A50" s="24" t="s">
        <v>84</v>
      </c>
      <c r="B50" s="10">
        <f>5.3*2</f>
        <v>10.6</v>
      </c>
    </row>
    <row r="51" spans="1:2" ht="12.75">
      <c r="A51" s="24" t="s">
        <v>203</v>
      </c>
      <c r="B51" s="10">
        <f>16*10</f>
        <v>160</v>
      </c>
    </row>
    <row r="52" spans="1:2" ht="12.75">
      <c r="A52" s="24" t="s">
        <v>85</v>
      </c>
      <c r="B52" s="10">
        <f>(+B47+B48+B49+B50)*15%</f>
        <v>21.264</v>
      </c>
    </row>
    <row r="53" spans="1:2" ht="12.75">
      <c r="A53" s="73" t="s">
        <v>86</v>
      </c>
      <c r="B53" s="74">
        <f>+B47+B48+B49+B50+B51+B52</f>
        <v>323.024</v>
      </c>
    </row>
    <row r="54" spans="1:2" ht="12.75">
      <c r="A54" s="24"/>
      <c r="B54" s="10"/>
    </row>
    <row r="55" spans="1:2" ht="12.75">
      <c r="A55" s="24" t="s">
        <v>87</v>
      </c>
      <c r="B55" s="10"/>
    </row>
    <row r="56" spans="1:2" ht="12.75">
      <c r="A56" s="24"/>
      <c r="B56" s="10"/>
    </row>
    <row r="57" spans="1:2" ht="12.75">
      <c r="A57" s="24" t="s">
        <v>155</v>
      </c>
      <c r="B57" s="10">
        <f>(+B20*3%)/12</f>
        <v>637.5</v>
      </c>
    </row>
    <row r="58" spans="1:2" ht="12.75">
      <c r="A58" s="24" t="s">
        <v>154</v>
      </c>
      <c r="B58" s="10">
        <f>(+B20*1.5%)/12</f>
        <v>318.75</v>
      </c>
    </row>
    <row r="59" spans="1:2" ht="12.75">
      <c r="A59" s="75" t="s">
        <v>88</v>
      </c>
      <c r="B59" s="76">
        <f>+B57+B58</f>
        <v>956.25</v>
      </c>
    </row>
    <row r="61" spans="1:2" ht="12.75">
      <c r="A61" s="51" t="s">
        <v>205</v>
      </c>
      <c r="B61" s="52">
        <f>B59+B53+B43+B36+B29+B22+B16</f>
        <v>14337.072245614036</v>
      </c>
    </row>
    <row r="63" spans="1:2" ht="12.75">
      <c r="A63" s="51" t="s">
        <v>206</v>
      </c>
      <c r="B63" s="52">
        <f>+B61-B16-B22-B59</f>
        <v>7855.822245614036</v>
      </c>
    </row>
  </sheetData>
  <sheetProtection/>
  <mergeCells count="1">
    <mergeCell ref="A8:B8"/>
  </mergeCells>
  <printOptions/>
  <pageMargins left="0.787401575" right="0.787401575" top="0.984251969" bottom="0.984251969" header="0.492125985" footer="0.492125985"/>
  <pageSetup horizontalDpi="360" verticalDpi="36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14" sqref="B14"/>
    </sheetView>
  </sheetViews>
  <sheetFormatPr defaultColWidth="12" defaultRowHeight="12.75"/>
  <cols>
    <col min="1" max="1" width="57.33203125" style="1" customWidth="1"/>
    <col min="2" max="2" width="13.332031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spans="1:5" ht="12.75">
      <c r="A4" s="14"/>
      <c r="B4" s="15"/>
      <c r="C4" s="15"/>
      <c r="D4" s="15"/>
      <c r="E4" s="15"/>
    </row>
    <row r="5" spans="2:5" ht="12.75">
      <c r="B5" s="15"/>
      <c r="C5" s="15"/>
      <c r="D5" s="15"/>
      <c r="E5" s="15"/>
    </row>
    <row r="6" spans="1:5" ht="12.75">
      <c r="A6" s="16" t="s">
        <v>0</v>
      </c>
      <c r="B6" s="16"/>
      <c r="C6" s="16"/>
      <c r="D6" s="16"/>
      <c r="E6" s="16"/>
    </row>
    <row r="7" spans="1:4" ht="12.75">
      <c r="A7" s="6"/>
      <c r="B7" s="6"/>
      <c r="C7" s="6"/>
      <c r="D7" s="6"/>
    </row>
    <row r="8" spans="1:4" ht="12.75">
      <c r="A8" s="33" t="s">
        <v>413</v>
      </c>
      <c r="B8" s="2"/>
      <c r="C8" s="2"/>
      <c r="D8" s="2"/>
    </row>
    <row r="9" spans="1:4" ht="12.75">
      <c r="A9" s="6"/>
      <c r="B9" s="6"/>
      <c r="C9" s="6"/>
      <c r="D9" s="6"/>
    </row>
    <row r="11" ht="12.75">
      <c r="A11" s="1" t="s">
        <v>15</v>
      </c>
    </row>
    <row r="13" spans="1:2" ht="12.75">
      <c r="A13" s="45" t="s">
        <v>153</v>
      </c>
      <c r="B13" s="10">
        <v>145000</v>
      </c>
    </row>
    <row r="14" spans="1:2" ht="12.75">
      <c r="A14" s="45" t="s">
        <v>16</v>
      </c>
      <c r="B14" s="10">
        <v>60</v>
      </c>
    </row>
    <row r="15" spans="1:2" ht="12.75">
      <c r="A15" s="45" t="s">
        <v>17</v>
      </c>
      <c r="B15" s="71">
        <v>0.3</v>
      </c>
    </row>
    <row r="16" spans="1:2" ht="12.75">
      <c r="A16" s="1" t="s">
        <v>18</v>
      </c>
      <c r="B16" s="10">
        <f>((+B13)-(+B13*B15))/B14</f>
        <v>1691.6666666666667</v>
      </c>
    </row>
    <row r="18" ht="12.75">
      <c r="A18" s="45" t="s">
        <v>19</v>
      </c>
    </row>
    <row r="20" spans="1:4" ht="12.75">
      <c r="A20" s="21" t="s">
        <v>20</v>
      </c>
      <c r="B20" s="6">
        <f>+B13</f>
        <v>145000</v>
      </c>
      <c r="C20" s="6"/>
      <c r="D20" s="6"/>
    </row>
    <row r="21" spans="1:4" ht="12.75">
      <c r="A21" s="21" t="s">
        <v>21</v>
      </c>
      <c r="B21" s="37">
        <v>0.01</v>
      </c>
      <c r="C21" s="6"/>
      <c r="D21" s="6"/>
    </row>
    <row r="22" spans="1:4" ht="12.75">
      <c r="A22" s="21" t="s">
        <v>22</v>
      </c>
      <c r="B22" s="6">
        <f>+B20*B21</f>
        <v>1450</v>
      </c>
      <c r="C22" s="6"/>
      <c r="D22" s="6"/>
    </row>
    <row r="23" spans="1:4" ht="12.75">
      <c r="A23" s="6" t="s">
        <v>8</v>
      </c>
      <c r="B23" s="6" t="s">
        <v>8</v>
      </c>
      <c r="C23" s="6" t="s">
        <v>8</v>
      </c>
      <c r="D23" s="6"/>
    </row>
    <row r="24" spans="1:4" ht="12.75">
      <c r="A24" s="6" t="s">
        <v>23</v>
      </c>
      <c r="B24" s="6" t="s">
        <v>8</v>
      </c>
      <c r="C24" s="6" t="s">
        <v>8</v>
      </c>
      <c r="D24" s="6" t="s">
        <v>8</v>
      </c>
    </row>
    <row r="26" spans="1:2" ht="12.75">
      <c r="A26" s="45" t="s">
        <v>24</v>
      </c>
      <c r="B26" s="10">
        <v>3.25</v>
      </c>
    </row>
    <row r="27" spans="1:2" ht="12.75">
      <c r="A27" s="45" t="s">
        <v>371</v>
      </c>
      <c r="B27" s="10">
        <f>70*26</f>
        <v>1820</v>
      </c>
    </row>
    <row r="28" spans="1:2" ht="12.75">
      <c r="A28" s="45" t="s">
        <v>25</v>
      </c>
      <c r="B28" s="10">
        <v>2.4</v>
      </c>
    </row>
    <row r="29" spans="1:2" ht="12.75">
      <c r="A29" s="24" t="s">
        <v>26</v>
      </c>
      <c r="B29" s="10">
        <f>+B27/B28*B26</f>
        <v>2464.5833333333335</v>
      </c>
    </row>
    <row r="30" spans="1:2" ht="12.75">
      <c r="A30" s="45"/>
      <c r="B30" s="10"/>
    </row>
    <row r="31" spans="1:2" ht="12.75">
      <c r="A31" s="6" t="s">
        <v>27</v>
      </c>
      <c r="B31" s="6" t="s">
        <v>8</v>
      </c>
    </row>
    <row r="33" spans="1:2" ht="12.75">
      <c r="A33" s="45" t="s">
        <v>105</v>
      </c>
      <c r="B33" s="10">
        <f>1150*6</f>
        <v>6900</v>
      </c>
    </row>
    <row r="34" spans="1:2" ht="12.75">
      <c r="A34" s="45" t="s">
        <v>28</v>
      </c>
      <c r="B34" s="10">
        <v>40000</v>
      </c>
    </row>
    <row r="35" spans="1:2" ht="12.75">
      <c r="A35" s="45" t="s">
        <v>372</v>
      </c>
      <c r="B35" s="10">
        <f>B27</f>
        <v>1820</v>
      </c>
    </row>
    <row r="36" spans="1:2" ht="12.75">
      <c r="A36" s="45" t="s">
        <v>29</v>
      </c>
      <c r="B36" s="10">
        <f>+B33*B35/B34</f>
        <v>313.95</v>
      </c>
    </row>
    <row r="37" spans="1:2" ht="12.75">
      <c r="A37" s="45"/>
      <c r="B37" s="10"/>
    </row>
    <row r="38" ht="12.75">
      <c r="A38" s="45" t="s">
        <v>30</v>
      </c>
    </row>
    <row r="39" ht="12.75">
      <c r="A39" s="45" t="s">
        <v>7</v>
      </c>
    </row>
    <row r="40" spans="1:2" ht="12.75">
      <c r="A40" s="45" t="s">
        <v>31</v>
      </c>
      <c r="B40" s="71">
        <v>0.5</v>
      </c>
    </row>
    <row r="41" spans="1:2" ht="12.75">
      <c r="A41" s="45" t="s">
        <v>32</v>
      </c>
      <c r="B41" s="38">
        <f>+B20</f>
        <v>145000</v>
      </c>
    </row>
    <row r="42" spans="1:2" ht="12.75">
      <c r="A42" s="45" t="s">
        <v>33</v>
      </c>
      <c r="B42" s="10">
        <v>60</v>
      </c>
    </row>
    <row r="43" spans="1:2" ht="12.75">
      <c r="A43" s="45" t="s">
        <v>34</v>
      </c>
      <c r="B43" s="10">
        <f>+B40*B41/B42</f>
        <v>1208.3333333333333</v>
      </c>
    </row>
    <row r="45" spans="1:2" ht="12.75">
      <c r="A45" s="24" t="s">
        <v>80</v>
      </c>
      <c r="B45" s="10"/>
    </row>
    <row r="46" spans="1:2" ht="12.75">
      <c r="A46" s="45"/>
      <c r="B46" s="10"/>
    </row>
    <row r="47" spans="1:2" ht="12.75">
      <c r="A47" s="24" t="s">
        <v>81</v>
      </c>
      <c r="B47" s="72">
        <v>47.5</v>
      </c>
    </row>
    <row r="48" spans="1:2" ht="12.75">
      <c r="A48" s="24" t="s">
        <v>82</v>
      </c>
      <c r="B48" s="10">
        <v>15.66</v>
      </c>
    </row>
    <row r="49" spans="1:2" ht="12.75">
      <c r="A49" s="24" t="s">
        <v>83</v>
      </c>
      <c r="B49" s="10">
        <v>0</v>
      </c>
    </row>
    <row r="50" spans="1:2" ht="12.75">
      <c r="A50" s="24" t="s">
        <v>84</v>
      </c>
      <c r="B50" s="10">
        <f>5.3*1.3</f>
        <v>6.89</v>
      </c>
    </row>
    <row r="51" spans="1:2" ht="12.75">
      <c r="A51" s="24" t="s">
        <v>393</v>
      </c>
      <c r="B51" s="10">
        <f>8*10</f>
        <v>80</v>
      </c>
    </row>
    <row r="52" spans="1:2" ht="12.75">
      <c r="A52" s="24" t="s">
        <v>85</v>
      </c>
      <c r="B52" s="10">
        <f>(+B47+B48+B49+B50)*15%</f>
        <v>10.507499999999999</v>
      </c>
    </row>
    <row r="53" spans="1:2" ht="12.75">
      <c r="A53" s="73" t="s">
        <v>86</v>
      </c>
      <c r="B53" s="74">
        <f>+B47+B48+B49+B50+B51+B52</f>
        <v>160.5575</v>
      </c>
    </row>
    <row r="54" spans="1:2" ht="12.75">
      <c r="A54" s="24"/>
      <c r="B54" s="10"/>
    </row>
    <row r="55" spans="1:2" ht="12.75">
      <c r="A55" s="24" t="s">
        <v>87</v>
      </c>
      <c r="B55" s="10"/>
    </row>
    <row r="56" spans="1:2" ht="12.75">
      <c r="A56" s="24"/>
      <c r="B56" s="10"/>
    </row>
    <row r="57" spans="1:2" ht="12.75">
      <c r="A57" s="24" t="s">
        <v>155</v>
      </c>
      <c r="B57" s="10">
        <f>(+B20*3%)/12</f>
        <v>362.5</v>
      </c>
    </row>
    <row r="58" spans="1:2" ht="12.75">
      <c r="A58" s="24" t="s">
        <v>154</v>
      </c>
      <c r="B58" s="10">
        <f>(+B20*1.5%)/12</f>
        <v>181.25</v>
      </c>
    </row>
    <row r="59" spans="1:2" ht="12.75">
      <c r="A59" s="75" t="s">
        <v>88</v>
      </c>
      <c r="B59" s="76">
        <f>+B57+B58</f>
        <v>543.75</v>
      </c>
    </row>
    <row r="61" spans="1:2" ht="12.75">
      <c r="A61" s="222" t="s">
        <v>407</v>
      </c>
      <c r="B61" s="52">
        <f>MOTORISTA!B29</f>
        <v>4679.127399999999</v>
      </c>
    </row>
    <row r="64" spans="1:2" ht="12.75">
      <c r="A64" s="51" t="s">
        <v>408</v>
      </c>
      <c r="B64" s="52">
        <f>B59+B53+B43+B36+B29+B22+B16+B61</f>
        <v>12511.968233333333</v>
      </c>
    </row>
    <row r="66" spans="1:2" ht="12.75">
      <c r="A66" s="51"/>
      <c r="B66" s="5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3">
      <selection activeCell="A60" sqref="A60:B60"/>
    </sheetView>
  </sheetViews>
  <sheetFormatPr defaultColWidth="12" defaultRowHeight="12.75"/>
  <cols>
    <col min="1" max="1" width="57.33203125" style="1" customWidth="1"/>
    <col min="2" max="2" width="13.332031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4"/>
      <c r="B3" s="15"/>
      <c r="C3" s="15"/>
      <c r="D3" s="15"/>
      <c r="E3" s="15"/>
    </row>
    <row r="4" spans="2:5" ht="12.75">
      <c r="B4" s="15"/>
      <c r="C4" s="15"/>
      <c r="D4" s="15"/>
      <c r="E4" s="15"/>
    </row>
    <row r="5" spans="1:5" ht="12.75">
      <c r="A5" s="16" t="s">
        <v>0</v>
      </c>
      <c r="B5" s="16"/>
      <c r="C5" s="16"/>
      <c r="D5" s="16"/>
      <c r="E5" s="16"/>
    </row>
    <row r="6" spans="1:4" ht="12.75">
      <c r="A6" s="6"/>
      <c r="B6" s="6"/>
      <c r="C6" s="6"/>
      <c r="D6" s="6"/>
    </row>
    <row r="7" spans="1:4" ht="12.75">
      <c r="A7" s="33" t="s">
        <v>394</v>
      </c>
      <c r="B7" s="2"/>
      <c r="C7" s="2"/>
      <c r="D7" s="2"/>
    </row>
    <row r="8" spans="1:4" ht="12.75">
      <c r="A8" s="6"/>
      <c r="B8" s="6"/>
      <c r="C8" s="6"/>
      <c r="D8" s="6"/>
    </row>
    <row r="10" ht="12.75">
      <c r="A10" s="1" t="s">
        <v>15</v>
      </c>
    </row>
    <row r="12" spans="1:2" ht="12.75">
      <c r="A12" s="45" t="s">
        <v>396</v>
      </c>
      <c r="B12" s="10">
        <v>40000</v>
      </c>
    </row>
    <row r="13" spans="1:2" ht="12.75">
      <c r="A13" s="45" t="s">
        <v>16</v>
      </c>
      <c r="B13" s="10">
        <v>60</v>
      </c>
    </row>
    <row r="14" spans="1:2" ht="12.75">
      <c r="A14" s="45" t="s">
        <v>17</v>
      </c>
      <c r="B14" s="71">
        <v>0.3</v>
      </c>
    </row>
    <row r="15" spans="1:2" ht="12.75">
      <c r="A15" s="1" t="s">
        <v>18</v>
      </c>
      <c r="B15" s="10">
        <f>((+B12)-(+B12*B14))/B13</f>
        <v>466.6666666666667</v>
      </c>
    </row>
    <row r="17" ht="12.75">
      <c r="A17" s="45" t="s">
        <v>19</v>
      </c>
    </row>
    <row r="19" spans="1:4" ht="12.75">
      <c r="A19" s="21" t="s">
        <v>20</v>
      </c>
      <c r="B19" s="6">
        <f>+B12</f>
        <v>40000</v>
      </c>
      <c r="C19" s="6"/>
      <c r="D19" s="6"/>
    </row>
    <row r="20" spans="1:4" ht="12.75">
      <c r="A20" s="21" t="s">
        <v>21</v>
      </c>
      <c r="B20" s="11">
        <v>0.0195</v>
      </c>
      <c r="C20" s="6"/>
      <c r="D20" s="6"/>
    </row>
    <row r="21" spans="1:4" ht="12.75">
      <c r="A21" s="21" t="s">
        <v>22</v>
      </c>
      <c r="B21" s="6">
        <f>+B19*B20</f>
        <v>780</v>
      </c>
      <c r="C21" s="6"/>
      <c r="D21" s="6"/>
    </row>
    <row r="22" spans="1:4" ht="12.75">
      <c r="A22" s="6" t="s">
        <v>8</v>
      </c>
      <c r="B22" s="6" t="s">
        <v>8</v>
      </c>
      <c r="C22" s="6" t="s">
        <v>8</v>
      </c>
      <c r="D22" s="6"/>
    </row>
    <row r="23" spans="1:4" ht="12.75">
      <c r="A23" s="6" t="s">
        <v>23</v>
      </c>
      <c r="B23" s="6" t="s">
        <v>8</v>
      </c>
      <c r="C23" s="6" t="s">
        <v>8</v>
      </c>
      <c r="D23" s="6" t="s">
        <v>8</v>
      </c>
    </row>
    <row r="25" spans="1:2" ht="12.75">
      <c r="A25" s="45" t="s">
        <v>395</v>
      </c>
      <c r="B25" s="10">
        <v>3.25</v>
      </c>
    </row>
    <row r="26" spans="1:2" ht="12.75">
      <c r="A26" s="45" t="s">
        <v>371</v>
      </c>
      <c r="B26" s="10">
        <f>300*26</f>
        <v>7800</v>
      </c>
    </row>
    <row r="27" spans="1:2" ht="12.75">
      <c r="A27" s="45" t="s">
        <v>25</v>
      </c>
      <c r="B27" s="10">
        <v>9</v>
      </c>
    </row>
    <row r="28" spans="1:2" ht="12.75">
      <c r="A28" s="24" t="s">
        <v>26</v>
      </c>
      <c r="B28" s="10">
        <f>+B26/B27*B25</f>
        <v>2816.6666666666665</v>
      </c>
    </row>
    <row r="29" spans="1:2" ht="12.75">
      <c r="A29" s="45"/>
      <c r="B29" s="10"/>
    </row>
    <row r="30" spans="1:2" ht="12.75">
      <c r="A30" s="6" t="s">
        <v>27</v>
      </c>
      <c r="B30" s="6" t="s">
        <v>8</v>
      </c>
    </row>
    <row r="32" spans="1:2" ht="12.75">
      <c r="A32" s="45" t="s">
        <v>105</v>
      </c>
      <c r="B32" s="10">
        <f>1250*6</f>
        <v>7500</v>
      </c>
    </row>
    <row r="33" spans="1:2" ht="12.75">
      <c r="A33" s="45" t="s">
        <v>28</v>
      </c>
      <c r="B33" s="10">
        <v>40000</v>
      </c>
    </row>
    <row r="34" spans="1:2" ht="12.75">
      <c r="A34" s="45" t="s">
        <v>372</v>
      </c>
      <c r="B34" s="10">
        <f>B26</f>
        <v>7800</v>
      </c>
    </row>
    <row r="35" spans="1:2" ht="12.75">
      <c r="A35" s="45" t="s">
        <v>29</v>
      </c>
      <c r="B35" s="10">
        <f>+B32*B34/B33</f>
        <v>1462.5</v>
      </c>
    </row>
    <row r="36" spans="1:2" ht="12.75">
      <c r="A36" s="45"/>
      <c r="B36" s="10"/>
    </row>
    <row r="37" ht="12.75">
      <c r="A37" s="45" t="s">
        <v>30</v>
      </c>
    </row>
    <row r="38" ht="12.75">
      <c r="A38" s="45" t="s">
        <v>7</v>
      </c>
    </row>
    <row r="39" spans="1:2" ht="12.75">
      <c r="A39" s="45" t="s">
        <v>31</v>
      </c>
      <c r="B39" s="71">
        <v>0.5</v>
      </c>
    </row>
    <row r="40" spans="1:2" ht="12.75">
      <c r="A40" s="45" t="s">
        <v>32</v>
      </c>
      <c r="B40" s="38">
        <f>+B19</f>
        <v>40000</v>
      </c>
    </row>
    <row r="41" spans="1:2" ht="12.75">
      <c r="A41" s="45" t="s">
        <v>33</v>
      </c>
      <c r="B41" s="10">
        <v>60</v>
      </c>
    </row>
    <row r="42" spans="1:2" ht="12.75">
      <c r="A42" s="45" t="s">
        <v>34</v>
      </c>
      <c r="B42" s="10">
        <f>+B39*B40/B41</f>
        <v>333.3333333333333</v>
      </c>
    </row>
    <row r="44" spans="1:2" ht="12.75">
      <c r="A44" s="24" t="s">
        <v>80</v>
      </c>
      <c r="B44" s="10"/>
    </row>
    <row r="45" spans="1:2" ht="12.75">
      <c r="A45" s="45"/>
      <c r="B45" s="10"/>
    </row>
    <row r="46" spans="1:2" ht="12.75">
      <c r="A46" s="24" t="s">
        <v>81</v>
      </c>
      <c r="B46" s="72">
        <v>47.5</v>
      </c>
    </row>
    <row r="47" spans="1:2" ht="12.75">
      <c r="A47" s="24" t="s">
        <v>82</v>
      </c>
      <c r="B47" s="10">
        <v>15.66</v>
      </c>
    </row>
    <row r="48" spans="1:2" ht="12.75">
      <c r="A48" s="24" t="s">
        <v>83</v>
      </c>
      <c r="B48" s="10">
        <v>0</v>
      </c>
    </row>
    <row r="49" spans="1:2" ht="12.75">
      <c r="A49" s="24" t="s">
        <v>84</v>
      </c>
      <c r="B49" s="10">
        <f>5.3*1.3</f>
        <v>6.89</v>
      </c>
    </row>
    <row r="50" spans="1:2" ht="12.75">
      <c r="A50" s="24" t="s">
        <v>202</v>
      </c>
      <c r="B50" s="10">
        <f>8*10</f>
        <v>80</v>
      </c>
    </row>
    <row r="51" spans="1:2" ht="12.75">
      <c r="A51" s="24" t="s">
        <v>85</v>
      </c>
      <c r="B51" s="10">
        <f>(+B46+B47+B48+B49)*15%</f>
        <v>10.507499999999999</v>
      </c>
    </row>
    <row r="52" spans="1:2" ht="12.75">
      <c r="A52" s="73" t="s">
        <v>86</v>
      </c>
      <c r="B52" s="74">
        <f>+B46+B47+B48+B49+B50+B51</f>
        <v>160.5575</v>
      </c>
    </row>
    <row r="53" spans="1:2" ht="12.75">
      <c r="A53" s="24"/>
      <c r="B53" s="10"/>
    </row>
    <row r="54" spans="1:2" ht="12.75">
      <c r="A54" s="24" t="s">
        <v>87</v>
      </c>
      <c r="B54" s="10"/>
    </row>
    <row r="55" spans="1:2" ht="12.75">
      <c r="A55" s="24"/>
      <c r="B55" s="10"/>
    </row>
    <row r="56" spans="1:2" ht="12.75">
      <c r="A56" s="24" t="s">
        <v>155</v>
      </c>
      <c r="B56" s="10">
        <f>(+B19*3%)/12</f>
        <v>100</v>
      </c>
    </row>
    <row r="57" spans="1:2" ht="12.75">
      <c r="A57" s="24" t="s">
        <v>154</v>
      </c>
      <c r="B57" s="10">
        <f>(+B19*1.5%)/12</f>
        <v>50</v>
      </c>
    </row>
    <row r="58" spans="1:2" ht="12.75">
      <c r="A58" s="75" t="s">
        <v>88</v>
      </c>
      <c r="B58" s="76">
        <f>+B56+B57</f>
        <v>150</v>
      </c>
    </row>
    <row r="59" spans="1:2" ht="12.75">
      <c r="A59" s="75"/>
      <c r="B59" s="76"/>
    </row>
    <row r="60" spans="1:2" ht="12.75">
      <c r="A60" s="222" t="s">
        <v>407</v>
      </c>
      <c r="B60" s="52">
        <f>MOTORISTA!B29</f>
        <v>4679.127399999999</v>
      </c>
    </row>
    <row r="62" spans="1:2" ht="12.75">
      <c r="A62" s="51" t="s">
        <v>408</v>
      </c>
      <c r="B62" s="52">
        <f>B58+B52+B42+B35+B28+B21+B15+B60</f>
        <v>10848.851566666666</v>
      </c>
    </row>
    <row r="64" spans="1:2" ht="12.75">
      <c r="A64" s="51"/>
      <c r="B64" s="5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64" sqref="B64"/>
    </sheetView>
  </sheetViews>
  <sheetFormatPr defaultColWidth="12" defaultRowHeight="12.75"/>
  <cols>
    <col min="1" max="1" width="57.33203125" style="1" customWidth="1"/>
    <col min="2" max="2" width="13.332031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spans="1:5" ht="12.75">
      <c r="A4" s="14"/>
      <c r="B4" s="15"/>
      <c r="C4" s="15"/>
      <c r="D4" s="15"/>
      <c r="E4" s="15"/>
    </row>
    <row r="5" spans="2:5" ht="12.75">
      <c r="B5" s="15"/>
      <c r="C5" s="15"/>
      <c r="D5" s="15"/>
      <c r="E5" s="15"/>
    </row>
    <row r="6" spans="1:5" ht="12.75">
      <c r="A6" s="16" t="s">
        <v>0</v>
      </c>
      <c r="B6" s="16"/>
      <c r="C6" s="16"/>
      <c r="D6" s="16"/>
      <c r="E6" s="16"/>
    </row>
    <row r="7" spans="1:4" ht="12.75">
      <c r="A7" s="6"/>
      <c r="B7" s="6"/>
      <c r="C7" s="6"/>
      <c r="D7" s="6"/>
    </row>
    <row r="8" spans="1:4" ht="12.75">
      <c r="A8" s="33" t="s">
        <v>14</v>
      </c>
      <c r="B8" s="2"/>
      <c r="C8" s="2"/>
      <c r="D8" s="2"/>
    </row>
    <row r="9" spans="1:4" ht="12.75">
      <c r="A9" s="6"/>
      <c r="B9" s="6"/>
      <c r="C9" s="6"/>
      <c r="D9" s="6"/>
    </row>
    <row r="11" ht="12.75">
      <c r="A11" s="1" t="s">
        <v>15</v>
      </c>
    </row>
    <row r="13" spans="1:2" ht="12.75">
      <c r="A13" s="45" t="s">
        <v>153</v>
      </c>
      <c r="B13" s="10">
        <v>157000</v>
      </c>
    </row>
    <row r="14" spans="1:2" ht="12.75">
      <c r="A14" s="45" t="s">
        <v>16</v>
      </c>
      <c r="B14" s="10">
        <v>60</v>
      </c>
    </row>
    <row r="15" spans="1:2" ht="12.75">
      <c r="A15" s="45" t="s">
        <v>17</v>
      </c>
      <c r="B15" s="71">
        <v>0.3</v>
      </c>
    </row>
    <row r="16" spans="1:2" ht="12.75">
      <c r="A16" s="1" t="s">
        <v>18</v>
      </c>
      <c r="B16" s="10">
        <f>((+B13)-(+B13*B15))/B14</f>
        <v>1831.6666666666667</v>
      </c>
    </row>
    <row r="18" ht="12.75">
      <c r="A18" s="45" t="s">
        <v>19</v>
      </c>
    </row>
    <row r="20" spans="1:4" ht="12.75">
      <c r="A20" s="21" t="s">
        <v>20</v>
      </c>
      <c r="B20" s="6">
        <f>+B13</f>
        <v>157000</v>
      </c>
      <c r="C20" s="6"/>
      <c r="D20" s="6"/>
    </row>
    <row r="21" spans="1:4" ht="12.75">
      <c r="A21" s="21" t="s">
        <v>21</v>
      </c>
      <c r="B21" s="37">
        <v>0.01</v>
      </c>
      <c r="C21" s="6"/>
      <c r="D21" s="6"/>
    </row>
    <row r="22" spans="1:4" ht="12.75">
      <c r="A22" s="21" t="s">
        <v>22</v>
      </c>
      <c r="B22" s="6">
        <f>+B20*B21</f>
        <v>1570</v>
      </c>
      <c r="C22" s="6"/>
      <c r="D22" s="6"/>
    </row>
    <row r="23" spans="1:4" ht="12.75">
      <c r="A23" s="6" t="s">
        <v>8</v>
      </c>
      <c r="B23" s="6" t="s">
        <v>8</v>
      </c>
      <c r="C23" s="6" t="s">
        <v>8</v>
      </c>
      <c r="D23" s="6"/>
    </row>
    <row r="24" spans="1:4" ht="12.75">
      <c r="A24" s="6" t="s">
        <v>23</v>
      </c>
      <c r="B24" s="6" t="s">
        <v>8</v>
      </c>
      <c r="C24" s="6" t="s">
        <v>8</v>
      </c>
      <c r="D24" s="6" t="s">
        <v>8</v>
      </c>
    </row>
    <row r="26" spans="1:2" ht="12.75">
      <c r="A26" s="45" t="s">
        <v>24</v>
      </c>
      <c r="B26" s="10">
        <v>3.2</v>
      </c>
    </row>
    <row r="27" spans="1:2" ht="12.75">
      <c r="A27" s="45" t="s">
        <v>371</v>
      </c>
      <c r="B27" s="10">
        <f>70*26</f>
        <v>1820</v>
      </c>
    </row>
    <row r="28" spans="1:2" ht="12.75">
      <c r="A28" s="45" t="s">
        <v>25</v>
      </c>
      <c r="B28" s="10">
        <v>2.4</v>
      </c>
    </row>
    <row r="29" spans="1:2" ht="12.75">
      <c r="A29" s="24" t="s">
        <v>26</v>
      </c>
      <c r="B29" s="10">
        <f>+B27/B28*B26</f>
        <v>2426.666666666667</v>
      </c>
    </row>
    <row r="30" spans="1:2" ht="12.75">
      <c r="A30" s="45"/>
      <c r="B30" s="10"/>
    </row>
    <row r="31" spans="1:2" ht="12.75">
      <c r="A31" s="6" t="s">
        <v>27</v>
      </c>
      <c r="B31" s="6" t="s">
        <v>8</v>
      </c>
    </row>
    <row r="33" spans="1:2" ht="12.75">
      <c r="A33" s="45" t="s">
        <v>105</v>
      </c>
      <c r="B33" s="10">
        <f>1150*6</f>
        <v>6900</v>
      </c>
    </row>
    <row r="34" spans="1:2" ht="12.75">
      <c r="A34" s="45" t="s">
        <v>28</v>
      </c>
      <c r="B34" s="10">
        <v>40000</v>
      </c>
    </row>
    <row r="35" spans="1:2" ht="12.75">
      <c r="A35" s="45" t="s">
        <v>372</v>
      </c>
      <c r="B35" s="10">
        <f>B27</f>
        <v>1820</v>
      </c>
    </row>
    <row r="36" spans="1:2" ht="12.75">
      <c r="A36" s="45" t="s">
        <v>29</v>
      </c>
      <c r="B36" s="10">
        <f>+B33*B35/B34</f>
        <v>313.95</v>
      </c>
    </row>
    <row r="37" spans="1:2" ht="12.75">
      <c r="A37" s="45"/>
      <c r="B37" s="10"/>
    </row>
    <row r="38" ht="12.75">
      <c r="A38" s="45" t="s">
        <v>30</v>
      </c>
    </row>
    <row r="39" ht="12.75">
      <c r="A39" s="45" t="s">
        <v>7</v>
      </c>
    </row>
    <row r="40" spans="1:2" ht="12.75">
      <c r="A40" s="45" t="s">
        <v>31</v>
      </c>
      <c r="B40" s="71">
        <v>0.5</v>
      </c>
    </row>
    <row r="41" spans="1:2" ht="12.75">
      <c r="A41" s="45" t="s">
        <v>32</v>
      </c>
      <c r="B41" s="38">
        <f>+B20</f>
        <v>157000</v>
      </c>
    </row>
    <row r="42" spans="1:2" ht="12.75">
      <c r="A42" s="45" t="s">
        <v>33</v>
      </c>
      <c r="B42" s="10">
        <v>60</v>
      </c>
    </row>
    <row r="43" spans="1:2" ht="12.75">
      <c r="A43" s="45" t="s">
        <v>34</v>
      </c>
      <c r="B43" s="10">
        <f>+B40*B41/B42</f>
        <v>1308.3333333333333</v>
      </c>
    </row>
    <row r="45" spans="1:2" ht="12.75">
      <c r="A45" s="24" t="s">
        <v>80</v>
      </c>
      <c r="B45" s="10"/>
    </row>
    <row r="46" spans="1:2" ht="12.75">
      <c r="A46" s="45"/>
      <c r="B46" s="10"/>
    </row>
    <row r="47" spans="1:2" ht="12.75">
      <c r="A47" s="24" t="s">
        <v>81</v>
      </c>
      <c r="B47" s="72">
        <v>47.5</v>
      </c>
    </row>
    <row r="48" spans="1:2" ht="12.75">
      <c r="A48" s="24" t="s">
        <v>82</v>
      </c>
      <c r="B48" s="10">
        <v>15.66</v>
      </c>
    </row>
    <row r="49" spans="1:2" ht="12.75">
      <c r="A49" s="24" t="s">
        <v>83</v>
      </c>
      <c r="B49" s="10">
        <v>0</v>
      </c>
    </row>
    <row r="50" spans="1:2" ht="12.75">
      <c r="A50" s="24" t="s">
        <v>84</v>
      </c>
      <c r="B50" s="10">
        <f>5.3*1.3</f>
        <v>6.89</v>
      </c>
    </row>
    <row r="51" spans="1:2" ht="12.75">
      <c r="A51" s="24" t="s">
        <v>393</v>
      </c>
      <c r="B51" s="10">
        <f>8*10</f>
        <v>80</v>
      </c>
    </row>
    <row r="52" spans="1:2" ht="12.75">
      <c r="A52" s="24" t="s">
        <v>85</v>
      </c>
      <c r="B52" s="10">
        <f>(+B47+B48+B49+B50)*15%</f>
        <v>10.507499999999999</v>
      </c>
    </row>
    <row r="53" spans="1:2" ht="12.75">
      <c r="A53" s="73" t="s">
        <v>86</v>
      </c>
      <c r="B53" s="74">
        <f>+B47+B48+B49+B50+B51+B52</f>
        <v>160.5575</v>
      </c>
    </row>
    <row r="54" spans="1:2" ht="12.75">
      <c r="A54" s="24"/>
      <c r="B54" s="10"/>
    </row>
    <row r="55" spans="1:2" ht="12.75">
      <c r="A55" s="24" t="s">
        <v>87</v>
      </c>
      <c r="B55" s="10"/>
    </row>
    <row r="56" spans="1:2" ht="12.75">
      <c r="A56" s="24"/>
      <c r="B56" s="10"/>
    </row>
    <row r="57" spans="1:2" ht="12.75">
      <c r="A57" s="24" t="s">
        <v>155</v>
      </c>
      <c r="B57" s="10">
        <f>(+B20*3%)/12</f>
        <v>392.5</v>
      </c>
    </row>
    <row r="58" spans="1:2" ht="12.75">
      <c r="A58" s="24" t="s">
        <v>154</v>
      </c>
      <c r="B58" s="10">
        <f>(+B20*1.5%)/12</f>
        <v>196.25</v>
      </c>
    </row>
    <row r="59" spans="1:2" ht="12.75">
      <c r="A59" s="75" t="s">
        <v>88</v>
      </c>
      <c r="B59" s="76">
        <f>+B57+B58</f>
        <v>588.75</v>
      </c>
    </row>
    <row r="61" spans="1:2" ht="12.75">
      <c r="A61" s="222" t="s">
        <v>407</v>
      </c>
      <c r="B61" s="52">
        <f>MOTORISTA!B29</f>
        <v>4679.127399999999</v>
      </c>
    </row>
    <row r="64" spans="1:2" ht="12.75">
      <c r="A64" s="51" t="s">
        <v>408</v>
      </c>
      <c r="B64" s="52">
        <f>B59+B53+B43+B36+B29+B22+B16+B61</f>
        <v>12879.051566666665</v>
      </c>
    </row>
    <row r="66" spans="1:2" ht="12.75">
      <c r="A66" s="51"/>
      <c r="B66" s="5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selection activeCell="D11" sqref="D11"/>
    </sheetView>
  </sheetViews>
  <sheetFormatPr defaultColWidth="9.33203125" defaultRowHeight="12.75"/>
  <cols>
    <col min="1" max="1" width="40.33203125" style="15" customWidth="1"/>
    <col min="2" max="2" width="10.83203125" style="15" bestFit="1" customWidth="1"/>
    <col min="3" max="3" width="7.5" style="15" customWidth="1"/>
    <col min="4" max="4" width="12.83203125" style="15" customWidth="1"/>
    <col min="5" max="5" width="12" style="15" bestFit="1" customWidth="1"/>
    <col min="6" max="6" width="15.66015625" style="15" customWidth="1"/>
    <col min="7" max="7" width="9.33203125" style="1" customWidth="1"/>
    <col min="8" max="8" width="10.83203125" style="1" bestFit="1" customWidth="1"/>
    <col min="9" max="9" width="9.33203125" style="1" customWidth="1"/>
    <col min="10" max="10" width="11.83203125" style="1" bestFit="1" customWidth="1"/>
    <col min="11" max="16384" width="9.33203125" style="1" customWidth="1"/>
  </cols>
  <sheetData>
    <row r="1" spans="1:6" ht="18">
      <c r="A1" s="12" t="s">
        <v>248</v>
      </c>
      <c r="B1" s="12"/>
      <c r="C1" s="12"/>
      <c r="D1" s="13"/>
      <c r="E1" s="13"/>
      <c r="F1" s="13"/>
    </row>
    <row r="2" spans="1:6" ht="18">
      <c r="A2" s="13"/>
      <c r="B2" s="13"/>
      <c r="C2" s="13"/>
      <c r="D2" s="14"/>
      <c r="E2" s="14"/>
      <c r="F2" s="14"/>
    </row>
    <row r="3" ht="12.75">
      <c r="A3" s="1"/>
    </row>
    <row r="4" spans="1:6" ht="12.75">
      <c r="A4" s="16" t="s">
        <v>0</v>
      </c>
      <c r="B4" s="16"/>
      <c r="C4" s="16"/>
      <c r="D4" s="16"/>
      <c r="E4" s="16"/>
      <c r="F4" s="16"/>
    </row>
    <row r="5" spans="1:6" ht="12.75">
      <c r="A5" s="6"/>
      <c r="B5" s="6"/>
      <c r="C5" s="6"/>
      <c r="D5" s="6"/>
      <c r="E5" s="6"/>
      <c r="F5" s="6"/>
    </row>
    <row r="6" spans="1:6" ht="12.75">
      <c r="A6" s="17" t="s">
        <v>211</v>
      </c>
      <c r="B6" s="17"/>
      <c r="C6" s="17"/>
      <c r="D6" s="2"/>
      <c r="E6" s="2"/>
      <c r="F6" s="2"/>
    </row>
    <row r="7" spans="1:6" ht="12.75">
      <c r="A7" s="6"/>
      <c r="B7" s="6"/>
      <c r="C7" s="6"/>
      <c r="D7" s="6"/>
      <c r="E7" s="6"/>
      <c r="F7" s="6"/>
    </row>
    <row r="8" spans="1:6" ht="12.75">
      <c r="A8" s="18" t="s">
        <v>35</v>
      </c>
      <c r="B8" s="18"/>
      <c r="C8" s="18"/>
      <c r="D8" s="6">
        <f>+D13+D17</f>
        <v>331868.317</v>
      </c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6" ht="12.75">
      <c r="A10" s="20" t="s">
        <v>106</v>
      </c>
      <c r="B10" s="20"/>
      <c r="C10" s="20"/>
      <c r="D10" s="6">
        <v>95</v>
      </c>
      <c r="E10" s="6" t="s">
        <v>36</v>
      </c>
      <c r="F10" s="6"/>
    </row>
    <row r="11" spans="1:6" ht="12.75">
      <c r="A11" s="21" t="s">
        <v>37</v>
      </c>
      <c r="B11" s="21"/>
      <c r="C11" s="21"/>
      <c r="D11" s="6">
        <f>VARREDOR!B28</f>
        <v>3223.7644</v>
      </c>
      <c r="E11" s="21" t="s">
        <v>38</v>
      </c>
      <c r="F11" s="6"/>
    </row>
    <row r="12" spans="1:256" ht="12.75">
      <c r="A12" s="21" t="s">
        <v>145</v>
      </c>
      <c r="B12" s="21"/>
      <c r="C12" s="21"/>
      <c r="D12" s="6">
        <f>ROUND(((D10*0.2*((D11/220)*2)*4.5*6)+(D10*((D10/220)*2)*6*1)),2)</f>
        <v>15526.74</v>
      </c>
      <c r="E12" s="21"/>
      <c r="F12" s="21"/>
      <c r="G12" s="21"/>
      <c r="H12" s="6"/>
      <c r="I12" s="21"/>
      <c r="J12" s="21"/>
      <c r="K12" s="21"/>
      <c r="L12" s="6"/>
      <c r="M12" s="21"/>
      <c r="N12" s="21"/>
      <c r="O12" s="21"/>
      <c r="P12" s="6"/>
      <c r="Q12" s="21"/>
      <c r="R12" s="21"/>
      <c r="S12" s="21"/>
      <c r="T12" s="6"/>
      <c r="U12" s="21"/>
      <c r="V12" s="21"/>
      <c r="W12" s="21"/>
      <c r="X12" s="6"/>
      <c r="Y12" s="21"/>
      <c r="Z12" s="21"/>
      <c r="AA12" s="21"/>
      <c r="AB12" s="6"/>
      <c r="AC12" s="21"/>
      <c r="AD12" s="21"/>
      <c r="AE12" s="21"/>
      <c r="AF12" s="6"/>
      <c r="AG12" s="21"/>
      <c r="AH12" s="21"/>
      <c r="AI12" s="21"/>
      <c r="AJ12" s="6"/>
      <c r="AK12" s="21"/>
      <c r="AL12" s="21"/>
      <c r="AM12" s="21"/>
      <c r="AN12" s="6"/>
      <c r="AO12" s="21"/>
      <c r="AP12" s="21"/>
      <c r="AQ12" s="21"/>
      <c r="AR12" s="6"/>
      <c r="AS12" s="21"/>
      <c r="AT12" s="21"/>
      <c r="AU12" s="21"/>
      <c r="AV12" s="6"/>
      <c r="AW12" s="21"/>
      <c r="AX12" s="21"/>
      <c r="AY12" s="21"/>
      <c r="AZ12" s="6"/>
      <c r="BA12" s="21"/>
      <c r="BB12" s="21"/>
      <c r="BC12" s="21"/>
      <c r="BD12" s="6"/>
      <c r="BE12" s="21"/>
      <c r="BF12" s="21"/>
      <c r="BG12" s="21"/>
      <c r="BH12" s="6"/>
      <c r="BI12" s="21"/>
      <c r="BJ12" s="21"/>
      <c r="BK12" s="21"/>
      <c r="BL12" s="6"/>
      <c r="BM12" s="21"/>
      <c r="BN12" s="21"/>
      <c r="BO12" s="21"/>
      <c r="BP12" s="6"/>
      <c r="BQ12" s="21"/>
      <c r="BR12" s="21"/>
      <c r="BS12" s="21"/>
      <c r="BT12" s="6"/>
      <c r="BU12" s="21"/>
      <c r="BV12" s="21"/>
      <c r="BW12" s="21"/>
      <c r="BX12" s="6"/>
      <c r="BY12" s="21"/>
      <c r="BZ12" s="21"/>
      <c r="CA12" s="21"/>
      <c r="CB12" s="6"/>
      <c r="CC12" s="21"/>
      <c r="CD12" s="21"/>
      <c r="CE12" s="21"/>
      <c r="CF12" s="6"/>
      <c r="CG12" s="21"/>
      <c r="CH12" s="21"/>
      <c r="CI12" s="21"/>
      <c r="CJ12" s="6"/>
      <c r="CK12" s="21"/>
      <c r="CL12" s="21"/>
      <c r="CM12" s="21"/>
      <c r="CN12" s="6"/>
      <c r="CO12" s="21"/>
      <c r="CP12" s="21"/>
      <c r="CQ12" s="21"/>
      <c r="CR12" s="6"/>
      <c r="CS12" s="21"/>
      <c r="CT12" s="21"/>
      <c r="CU12" s="21"/>
      <c r="CV12" s="6"/>
      <c r="CW12" s="21"/>
      <c r="CX12" s="21"/>
      <c r="CY12" s="21"/>
      <c r="CZ12" s="6"/>
      <c r="DA12" s="21"/>
      <c r="DB12" s="21"/>
      <c r="DC12" s="21"/>
      <c r="DD12" s="6"/>
      <c r="DE12" s="21"/>
      <c r="DF12" s="21"/>
      <c r="DG12" s="21"/>
      <c r="DH12" s="6"/>
      <c r="DI12" s="21"/>
      <c r="DJ12" s="21"/>
      <c r="DK12" s="21"/>
      <c r="DL12" s="6"/>
      <c r="DM12" s="21"/>
      <c r="DN12" s="21"/>
      <c r="DO12" s="21"/>
      <c r="DP12" s="6"/>
      <c r="DQ12" s="21"/>
      <c r="DR12" s="21"/>
      <c r="DS12" s="21"/>
      <c r="DT12" s="6"/>
      <c r="DU12" s="21"/>
      <c r="DV12" s="21"/>
      <c r="DW12" s="21"/>
      <c r="DX12" s="6"/>
      <c r="DY12" s="21"/>
      <c r="DZ12" s="21"/>
      <c r="EA12" s="21"/>
      <c r="EB12" s="6"/>
      <c r="EC12" s="21"/>
      <c r="ED12" s="21"/>
      <c r="EE12" s="21"/>
      <c r="EF12" s="6"/>
      <c r="EG12" s="21"/>
      <c r="EH12" s="21"/>
      <c r="EI12" s="21"/>
      <c r="EJ12" s="6"/>
      <c r="EK12" s="21"/>
      <c r="EL12" s="21"/>
      <c r="EM12" s="21"/>
      <c r="EN12" s="6"/>
      <c r="EO12" s="21"/>
      <c r="EP12" s="21"/>
      <c r="EQ12" s="21"/>
      <c r="ER12" s="6"/>
      <c r="ES12" s="21"/>
      <c r="ET12" s="21"/>
      <c r="EU12" s="21"/>
      <c r="EV12" s="6"/>
      <c r="EW12" s="21"/>
      <c r="EX12" s="21"/>
      <c r="EY12" s="21"/>
      <c r="EZ12" s="6"/>
      <c r="FA12" s="21"/>
      <c r="FB12" s="21"/>
      <c r="FC12" s="21"/>
      <c r="FD12" s="6"/>
      <c r="FE12" s="21"/>
      <c r="FF12" s="21"/>
      <c r="FG12" s="21"/>
      <c r="FH12" s="6"/>
      <c r="FI12" s="21"/>
      <c r="FJ12" s="21"/>
      <c r="FK12" s="21"/>
      <c r="FL12" s="6"/>
      <c r="FM12" s="21"/>
      <c r="FN12" s="21"/>
      <c r="FO12" s="21"/>
      <c r="FP12" s="6"/>
      <c r="FQ12" s="21"/>
      <c r="FR12" s="21"/>
      <c r="FS12" s="21"/>
      <c r="FT12" s="6"/>
      <c r="FU12" s="21"/>
      <c r="FV12" s="21"/>
      <c r="FW12" s="21"/>
      <c r="FX12" s="6"/>
      <c r="FY12" s="21"/>
      <c r="FZ12" s="21"/>
      <c r="GA12" s="21"/>
      <c r="GB12" s="6"/>
      <c r="GC12" s="21"/>
      <c r="GD12" s="21"/>
      <c r="GE12" s="21"/>
      <c r="GF12" s="6"/>
      <c r="GG12" s="21"/>
      <c r="GH12" s="21"/>
      <c r="GI12" s="21"/>
      <c r="GJ12" s="6"/>
      <c r="GK12" s="21"/>
      <c r="GL12" s="21"/>
      <c r="GM12" s="21"/>
      <c r="GN12" s="6"/>
      <c r="GO12" s="21"/>
      <c r="GP12" s="21"/>
      <c r="GQ12" s="21"/>
      <c r="GR12" s="6"/>
      <c r="GS12" s="21"/>
      <c r="GT12" s="21"/>
      <c r="GU12" s="21"/>
      <c r="GV12" s="6"/>
      <c r="GW12" s="21"/>
      <c r="GX12" s="21"/>
      <c r="GY12" s="21"/>
      <c r="GZ12" s="6"/>
      <c r="HA12" s="21"/>
      <c r="HB12" s="21"/>
      <c r="HC12" s="21"/>
      <c r="HD12" s="6"/>
      <c r="HE12" s="21"/>
      <c r="HF12" s="21"/>
      <c r="HG12" s="21"/>
      <c r="HH12" s="6"/>
      <c r="HI12" s="21"/>
      <c r="HJ12" s="21"/>
      <c r="HK12" s="21"/>
      <c r="HL12" s="6"/>
      <c r="HM12" s="21"/>
      <c r="HN12" s="21"/>
      <c r="HO12" s="21"/>
      <c r="HP12" s="6"/>
      <c r="HQ12" s="21"/>
      <c r="HR12" s="21"/>
      <c r="HS12" s="21"/>
      <c r="HT12" s="6"/>
      <c r="HU12" s="21"/>
      <c r="HV12" s="21"/>
      <c r="HW12" s="21"/>
      <c r="HX12" s="6"/>
      <c r="HY12" s="21"/>
      <c r="HZ12" s="21"/>
      <c r="IA12" s="21"/>
      <c r="IB12" s="6"/>
      <c r="IC12" s="21"/>
      <c r="ID12" s="21"/>
      <c r="IE12" s="21"/>
      <c r="IF12" s="6"/>
      <c r="IG12" s="21"/>
      <c r="IH12" s="21"/>
      <c r="II12" s="21"/>
      <c r="IJ12" s="6"/>
      <c r="IK12" s="21"/>
      <c r="IL12" s="21"/>
      <c r="IM12" s="21"/>
      <c r="IN12" s="6"/>
      <c r="IO12" s="21"/>
      <c r="IP12" s="21"/>
      <c r="IQ12" s="21"/>
      <c r="IR12" s="6"/>
      <c r="IS12" s="21"/>
      <c r="IT12" s="21"/>
      <c r="IU12" s="21"/>
      <c r="IV12" s="6"/>
    </row>
    <row r="13" spans="1:6" ht="12.75">
      <c r="A13" s="20" t="s">
        <v>39</v>
      </c>
      <c r="B13" s="20"/>
      <c r="C13" s="20"/>
      <c r="D13" s="6">
        <f>+D11*D10+D12</f>
        <v>321784.358</v>
      </c>
      <c r="E13" s="6" t="s">
        <v>40</v>
      </c>
      <c r="F13" s="6"/>
    </row>
    <row r="14" spans="1:6" ht="12.75">
      <c r="A14" s="20"/>
      <c r="B14" s="20"/>
      <c r="C14" s="20"/>
      <c r="D14" s="6"/>
      <c r="E14" s="6"/>
      <c r="F14" s="6"/>
    </row>
    <row r="15" spans="1:6" ht="12.75">
      <c r="A15" s="21" t="s">
        <v>41</v>
      </c>
      <c r="B15" s="21"/>
      <c r="C15" s="21"/>
      <c r="D15" s="6">
        <v>2</v>
      </c>
      <c r="E15" s="6" t="s">
        <v>36</v>
      </c>
      <c r="F15" s="6"/>
    </row>
    <row r="16" spans="1:6" ht="12.75">
      <c r="A16" s="6" t="s">
        <v>42</v>
      </c>
      <c r="B16" s="6"/>
      <c r="C16" s="6"/>
      <c r="D16" s="6">
        <f>FISCAL!B29</f>
        <v>5041.9794999999995</v>
      </c>
      <c r="E16" s="6" t="s">
        <v>38</v>
      </c>
      <c r="F16" s="6"/>
    </row>
    <row r="17" spans="1:6" ht="12.75">
      <c r="A17" s="6" t="s">
        <v>43</v>
      </c>
      <c r="B17" s="6"/>
      <c r="C17" s="6"/>
      <c r="D17" s="6">
        <f>+D16*D15</f>
        <v>10083.958999999999</v>
      </c>
      <c r="E17" s="6" t="s">
        <v>40</v>
      </c>
      <c r="F17" s="6"/>
    </row>
    <row r="18" spans="1:6" ht="12.75">
      <c r="A18" s="6"/>
      <c r="B18" s="6"/>
      <c r="C18" s="6"/>
      <c r="D18" s="6"/>
      <c r="E18" s="6"/>
      <c r="F18" s="6"/>
    </row>
    <row r="19" spans="1:6" ht="12.75">
      <c r="A19" s="30" t="s">
        <v>150</v>
      </c>
      <c r="B19" s="30"/>
      <c r="C19" s="30"/>
      <c r="D19" s="6">
        <f>+D25+D26</f>
        <v>8050</v>
      </c>
      <c r="E19" s="6"/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6" t="s">
        <v>44</v>
      </c>
      <c r="B21" s="6"/>
      <c r="C21" s="6"/>
      <c r="D21" s="6">
        <v>350</v>
      </c>
      <c r="E21" s="6" t="s">
        <v>40</v>
      </c>
      <c r="F21" s="6"/>
    </row>
    <row r="22" spans="1:6" ht="12.75">
      <c r="A22" s="6" t="s">
        <v>45</v>
      </c>
      <c r="B22" s="6"/>
      <c r="C22" s="6"/>
      <c r="D22" s="6">
        <v>60</v>
      </c>
      <c r="E22" s="6" t="s">
        <v>36</v>
      </c>
      <c r="F22" s="6"/>
    </row>
    <row r="23" spans="1:6" ht="12.75">
      <c r="A23" s="20" t="s">
        <v>46</v>
      </c>
      <c r="B23" s="20"/>
      <c r="C23" s="20"/>
      <c r="D23" s="6">
        <f>+D22*D21</f>
        <v>21000</v>
      </c>
      <c r="E23" s="6" t="s">
        <v>40</v>
      </c>
      <c r="F23" s="6"/>
    </row>
    <row r="24" spans="1:6" ht="12.75">
      <c r="A24" s="21" t="s">
        <v>47</v>
      </c>
      <c r="B24" s="21"/>
      <c r="C24" s="21"/>
      <c r="D24" s="6">
        <v>6</v>
      </c>
      <c r="E24" s="6" t="s">
        <v>48</v>
      </c>
      <c r="F24" s="6"/>
    </row>
    <row r="25" spans="1:6" ht="12.75">
      <c r="A25" s="6" t="s">
        <v>49</v>
      </c>
      <c r="B25" s="6"/>
      <c r="C25" s="6"/>
      <c r="D25" s="6">
        <f>+D23/D24</f>
        <v>3500</v>
      </c>
      <c r="E25" s="6" t="s">
        <v>50</v>
      </c>
      <c r="F25" s="6"/>
    </row>
    <row r="26" spans="1:6" ht="12.75">
      <c r="A26" s="6" t="s">
        <v>139</v>
      </c>
      <c r="B26" s="27">
        <v>35000</v>
      </c>
      <c r="C26" s="26" t="s">
        <v>130</v>
      </c>
      <c r="D26" s="6">
        <f>PREÇOS!C23*B26</f>
        <v>4550</v>
      </c>
      <c r="E26" s="6" t="s">
        <v>50</v>
      </c>
      <c r="F26" s="6"/>
    </row>
    <row r="27" spans="1:6" ht="12.75">
      <c r="A27" s="6"/>
      <c r="B27" s="36"/>
      <c r="C27" s="6"/>
      <c r="D27" s="6"/>
      <c r="E27" s="6"/>
      <c r="F27" s="6"/>
    </row>
    <row r="28" spans="1:6" ht="12.75">
      <c r="A28" s="30" t="s">
        <v>90</v>
      </c>
      <c r="B28" s="30"/>
      <c r="C28" s="30"/>
      <c r="D28" s="23">
        <f>D34+D36</f>
        <v>2419</v>
      </c>
      <c r="E28" s="6"/>
      <c r="F28" s="6"/>
    </row>
    <row r="29" spans="1:6" ht="12.75">
      <c r="A29" s="22"/>
      <c r="B29" s="22"/>
      <c r="C29" s="22"/>
      <c r="D29" s="23"/>
      <c r="E29" s="6"/>
      <c r="F29" s="6"/>
    </row>
    <row r="30" spans="1:6" ht="12.75">
      <c r="A30" s="24" t="s">
        <v>129</v>
      </c>
      <c r="B30" s="25">
        <v>120</v>
      </c>
      <c r="C30" s="26" t="s">
        <v>130</v>
      </c>
      <c r="D30" s="6">
        <f>B30*PREÇOS!C10</f>
        <v>2400</v>
      </c>
      <c r="E30" s="6" t="s">
        <v>40</v>
      </c>
      <c r="F30" s="6"/>
    </row>
    <row r="31" spans="1:6" ht="12.75">
      <c r="A31" s="6" t="s">
        <v>132</v>
      </c>
      <c r="B31" s="27">
        <f>120*12*1.5</f>
        <v>2160</v>
      </c>
      <c r="C31" s="26" t="s">
        <v>130</v>
      </c>
      <c r="D31" s="6">
        <f>B31*PREÇOS!C12</f>
        <v>25920</v>
      </c>
      <c r="E31" s="6" t="s">
        <v>40</v>
      </c>
      <c r="F31" s="6"/>
    </row>
    <row r="32" spans="1:6" ht="12.75">
      <c r="A32" s="6" t="s">
        <v>75</v>
      </c>
      <c r="B32" s="6"/>
      <c r="C32" s="6"/>
      <c r="D32" s="6">
        <f>SUM(D30:D31)</f>
        <v>28320</v>
      </c>
      <c r="E32" s="6" t="s">
        <v>40</v>
      </c>
      <c r="F32" s="6"/>
    </row>
    <row r="33" spans="1:6" ht="12.75">
      <c r="A33" s="6" t="s">
        <v>76</v>
      </c>
      <c r="B33" s="6"/>
      <c r="C33" s="6"/>
      <c r="D33" s="6">
        <v>12</v>
      </c>
      <c r="E33" s="6" t="s">
        <v>65</v>
      </c>
      <c r="F33" s="6"/>
    </row>
    <row r="34" spans="1:6" ht="12.75">
      <c r="A34" s="6" t="s">
        <v>66</v>
      </c>
      <c r="B34" s="6"/>
      <c r="C34" s="6"/>
      <c r="D34" s="6">
        <f>+D32/+D33</f>
        <v>2360</v>
      </c>
      <c r="E34" s="6" t="s">
        <v>77</v>
      </c>
      <c r="F34" s="6"/>
    </row>
    <row r="35" spans="1:6" ht="12.75">
      <c r="A35" s="6" t="s">
        <v>78</v>
      </c>
      <c r="B35" s="6"/>
      <c r="C35" s="6"/>
      <c r="D35" s="28">
        <v>0.025</v>
      </c>
      <c r="E35" s="6"/>
      <c r="F35" s="6"/>
    </row>
    <row r="36" spans="1:6" ht="12.75">
      <c r="A36" s="6" t="s">
        <v>67</v>
      </c>
      <c r="B36" s="6"/>
      <c r="C36" s="6"/>
      <c r="D36" s="6">
        <f>D35*D34</f>
        <v>59</v>
      </c>
      <c r="E36" s="6" t="s">
        <v>77</v>
      </c>
      <c r="F36" s="37"/>
    </row>
    <row r="37" spans="1:6" ht="12.75">
      <c r="A37" s="6"/>
      <c r="B37" s="6"/>
      <c r="C37" s="6"/>
      <c r="D37" s="6"/>
      <c r="E37" s="6"/>
      <c r="F37" s="37"/>
    </row>
    <row r="38" spans="1:6" ht="12.75">
      <c r="A38" s="70" t="s">
        <v>397</v>
      </c>
      <c r="B38" s="70"/>
      <c r="C38" s="70"/>
      <c r="D38" s="2">
        <f>D41+D44+D47</f>
        <v>149516.63546666666</v>
      </c>
      <c r="E38" s="6"/>
      <c r="F38" s="37"/>
    </row>
    <row r="39" spans="1:6" ht="12.75">
      <c r="A39" s="20" t="s">
        <v>398</v>
      </c>
      <c r="B39" s="20"/>
      <c r="C39" s="20"/>
      <c r="D39" s="6">
        <v>7</v>
      </c>
      <c r="E39" s="6" t="s">
        <v>36</v>
      </c>
      <c r="F39" s="37"/>
    </row>
    <row r="40" spans="1:6" ht="12.75">
      <c r="A40" s="6" t="s">
        <v>64</v>
      </c>
      <c r="B40" s="6"/>
      <c r="C40" s="6"/>
      <c r="D40" s="6">
        <f>KOMBI!B62</f>
        <v>10848.851566666666</v>
      </c>
      <c r="E40" s="6" t="s">
        <v>38</v>
      </c>
      <c r="F40" s="37"/>
    </row>
    <row r="41" spans="1:6" ht="12.75">
      <c r="A41" s="6" t="s">
        <v>409</v>
      </c>
      <c r="B41" s="6"/>
      <c r="C41" s="6"/>
      <c r="D41" s="6">
        <f>D40*D39</f>
        <v>75941.96096666667</v>
      </c>
      <c r="E41" s="6"/>
      <c r="F41" s="37"/>
    </row>
    <row r="42" spans="1:6" ht="12.75">
      <c r="A42" s="20" t="s">
        <v>401</v>
      </c>
      <c r="B42" s="20"/>
      <c r="C42" s="20"/>
      <c r="D42" s="6">
        <v>4</v>
      </c>
      <c r="E42" s="6" t="s">
        <v>36</v>
      </c>
      <c r="F42" s="37"/>
    </row>
    <row r="43" spans="1:6" ht="12.75">
      <c r="A43" s="6" t="s">
        <v>64</v>
      </c>
      <c r="B43" s="6"/>
      <c r="C43" s="6"/>
      <c r="D43" s="6">
        <f>CARROCERIA!B62</f>
        <v>12708.018233333332</v>
      </c>
      <c r="E43" s="6" t="s">
        <v>38</v>
      </c>
      <c r="F43" s="37"/>
    </row>
    <row r="44" spans="1:6" ht="12.75">
      <c r="A44" s="21" t="s">
        <v>410</v>
      </c>
      <c r="B44" s="21"/>
      <c r="C44" s="21"/>
      <c r="D44" s="6">
        <f>D43*D42</f>
        <v>50832.07293333333</v>
      </c>
      <c r="E44" s="6" t="s">
        <v>40</v>
      </c>
      <c r="F44" s="37"/>
    </row>
    <row r="45" spans="1:6" ht="12.75">
      <c r="A45" s="20" t="s">
        <v>419</v>
      </c>
      <c r="B45" s="20"/>
      <c r="C45" s="20"/>
      <c r="D45" s="6">
        <v>1</v>
      </c>
      <c r="E45" s="6" t="s">
        <v>36</v>
      </c>
      <c r="F45" s="37"/>
    </row>
    <row r="46" spans="1:6" ht="12.75">
      <c r="A46" s="6" t="s">
        <v>64</v>
      </c>
      <c r="B46" s="6"/>
      <c r="C46" s="6"/>
      <c r="D46" s="6">
        <f>VARREDEIRA!B64</f>
        <v>22742.601566666664</v>
      </c>
      <c r="E46" s="6" t="s">
        <v>38</v>
      </c>
      <c r="F46" s="37"/>
    </row>
    <row r="47" spans="1:6" ht="12.75">
      <c r="A47" s="21" t="s">
        <v>420</v>
      </c>
      <c r="B47" s="21"/>
      <c r="C47" s="21"/>
      <c r="D47" s="6">
        <f>D46*D45</f>
        <v>22742.601566666664</v>
      </c>
      <c r="E47" s="6" t="s">
        <v>40</v>
      </c>
      <c r="F47" s="37"/>
    </row>
    <row r="48" spans="1:6" ht="12.75">
      <c r="A48" s="21"/>
      <c r="B48" s="21"/>
      <c r="C48" s="21"/>
      <c r="D48" s="6"/>
      <c r="E48" s="6"/>
      <c r="F48" s="37"/>
    </row>
    <row r="49" spans="1:6" ht="12.75">
      <c r="A49" s="21"/>
      <c r="B49" s="21"/>
      <c r="C49" s="21"/>
      <c r="D49" s="6"/>
      <c r="E49" s="6"/>
      <c r="F49" s="37"/>
    </row>
    <row r="50" spans="1:6" ht="12.75">
      <c r="A50" s="21"/>
      <c r="B50" s="21"/>
      <c r="C50" s="21"/>
      <c r="D50" s="6"/>
      <c r="E50" s="6"/>
      <c r="F50" s="37"/>
    </row>
    <row r="51" spans="1:6" ht="12.75">
      <c r="A51" s="21"/>
      <c r="B51" s="21"/>
      <c r="C51" s="21"/>
      <c r="D51" s="6"/>
      <c r="E51" s="6"/>
      <c r="F51" s="37"/>
    </row>
    <row r="52" spans="1:6" ht="12.75">
      <c r="A52" s="6"/>
      <c r="B52" s="6"/>
      <c r="C52" s="6"/>
      <c r="D52" s="6"/>
      <c r="E52" s="6"/>
      <c r="F52" s="6"/>
    </row>
    <row r="53" spans="1:6" ht="12.75">
      <c r="A53" s="34" t="s">
        <v>400</v>
      </c>
      <c r="B53" s="18"/>
      <c r="C53" s="18"/>
      <c r="D53" s="6"/>
      <c r="E53" s="6"/>
      <c r="F53" s="6"/>
    </row>
    <row r="54" spans="1:6" ht="12.75">
      <c r="A54" s="6" t="s">
        <v>74</v>
      </c>
      <c r="B54" s="6"/>
      <c r="C54" s="6"/>
      <c r="D54" s="6">
        <f>D8</f>
        <v>331868.317</v>
      </c>
      <c r="E54" s="6" t="s">
        <v>40</v>
      </c>
      <c r="F54" s="6"/>
    </row>
    <row r="55" spans="1:6" ht="12.75">
      <c r="A55" s="6" t="s">
        <v>180</v>
      </c>
      <c r="B55" s="6"/>
      <c r="C55" s="6"/>
      <c r="D55" s="6">
        <f>+D19</f>
        <v>8050</v>
      </c>
      <c r="E55" s="6" t="s">
        <v>40</v>
      </c>
      <c r="F55" s="6"/>
    </row>
    <row r="56" spans="1:6" ht="12.75">
      <c r="A56" s="6" t="s">
        <v>70</v>
      </c>
      <c r="B56" s="6"/>
      <c r="C56" s="6"/>
      <c r="D56" s="6">
        <f>D28</f>
        <v>2419</v>
      </c>
      <c r="E56" s="6" t="s">
        <v>40</v>
      </c>
      <c r="F56" s="6"/>
    </row>
    <row r="57" spans="1:6" ht="12.75">
      <c r="A57" s="6" t="s">
        <v>399</v>
      </c>
      <c r="B57" s="6"/>
      <c r="C57" s="6"/>
      <c r="D57" s="6">
        <f>D38</f>
        <v>149516.63546666666</v>
      </c>
      <c r="E57" s="6"/>
      <c r="F57" s="6"/>
    </row>
    <row r="58" spans="1:6" ht="12.75">
      <c r="A58" s="2" t="s">
        <v>51</v>
      </c>
      <c r="B58" s="6"/>
      <c r="C58" s="6"/>
      <c r="D58" s="2">
        <f>SUM(D54:D57)</f>
        <v>491853.95246666664</v>
      </c>
      <c r="E58" s="6" t="s">
        <v>40</v>
      </c>
      <c r="F58" s="6"/>
    </row>
    <row r="59" spans="1:6" ht="12.75">
      <c r="A59" s="6"/>
      <c r="B59" s="6"/>
      <c r="C59" s="6"/>
      <c r="D59" s="6" t="s">
        <v>8</v>
      </c>
      <c r="E59" s="6"/>
      <c r="F59" s="6"/>
    </row>
    <row r="60" spans="1:6" ht="12.75">
      <c r="A60" s="18" t="s">
        <v>151</v>
      </c>
      <c r="B60" s="6"/>
      <c r="C60" s="6"/>
      <c r="D60" s="6" t="s">
        <v>8</v>
      </c>
      <c r="E60" s="6"/>
      <c r="F60" s="6"/>
    </row>
    <row r="61" spans="1:8" ht="12.75">
      <c r="A61" s="21" t="s">
        <v>52</v>
      </c>
      <c r="B61" s="21"/>
      <c r="C61" s="21"/>
      <c r="D61" s="11">
        <v>0.7584</v>
      </c>
      <c r="E61" s="6"/>
      <c r="F61" s="2">
        <f>D61*ADM!B37</f>
        <v>22020.5232</v>
      </c>
      <c r="H61" s="38"/>
    </row>
    <row r="62" spans="1:6" ht="12.75">
      <c r="A62" s="6"/>
      <c r="B62" s="6"/>
      <c r="C62" s="6"/>
      <c r="D62" s="6"/>
      <c r="E62" s="6"/>
      <c r="F62" s="2"/>
    </row>
    <row r="63" spans="1:6" ht="12.75">
      <c r="A63" s="18" t="s">
        <v>239</v>
      </c>
      <c r="B63" s="6"/>
      <c r="C63" s="6"/>
      <c r="D63" s="6"/>
      <c r="E63" s="6"/>
      <c r="F63" s="2"/>
    </row>
    <row r="64" spans="1:6" ht="12.75">
      <c r="A64" s="6" t="s">
        <v>53</v>
      </c>
      <c r="B64" s="6"/>
      <c r="C64" s="6"/>
      <c r="D64" s="31">
        <v>0.15</v>
      </c>
      <c r="E64" s="6" t="s">
        <v>8</v>
      </c>
      <c r="F64" s="2">
        <f>D64*(D58+F61)</f>
        <v>77081.17134999999</v>
      </c>
    </row>
    <row r="65" spans="1:6" ht="12.75">
      <c r="A65" s="6"/>
      <c r="B65" s="6"/>
      <c r="C65" s="6"/>
      <c r="D65" s="6"/>
      <c r="E65" s="6"/>
      <c r="F65" s="2"/>
    </row>
    <row r="66" spans="1:6" ht="12.75">
      <c r="A66" s="18" t="s">
        <v>72</v>
      </c>
      <c r="B66" s="18"/>
      <c r="C66" s="18"/>
      <c r="D66" s="6"/>
      <c r="E66" s="6"/>
      <c r="F66" s="2">
        <f>F64+F61+D58</f>
        <v>590955.6470166666</v>
      </c>
    </row>
    <row r="67" spans="1:6" ht="12.75">
      <c r="A67" s="18"/>
      <c r="B67" s="18"/>
      <c r="C67" s="18"/>
      <c r="D67" s="6"/>
      <c r="E67" s="6"/>
      <c r="F67" s="2"/>
    </row>
    <row r="68" spans="1:6" ht="12.75">
      <c r="A68" s="22" t="s">
        <v>238</v>
      </c>
      <c r="B68" s="6"/>
      <c r="C68" s="6"/>
      <c r="D68" s="6"/>
      <c r="E68" s="6"/>
      <c r="F68" s="2"/>
    </row>
    <row r="69" spans="1:6" ht="12.75">
      <c r="A69" s="6" t="s">
        <v>53</v>
      </c>
      <c r="B69" s="6"/>
      <c r="C69" s="6"/>
      <c r="D69" s="11">
        <v>0.1425</v>
      </c>
      <c r="E69" s="6" t="s">
        <v>8</v>
      </c>
      <c r="F69" s="2">
        <f>+F66/0.8575</f>
        <v>689161.1043926141</v>
      </c>
    </row>
    <row r="70" spans="1:6" ht="12.75">
      <c r="A70" s="6"/>
      <c r="B70" s="6"/>
      <c r="C70" s="6"/>
      <c r="D70" s="6"/>
      <c r="E70" s="6"/>
      <c r="F70" s="6"/>
    </row>
    <row r="71" spans="1:6" ht="12.75">
      <c r="A71" s="32" t="s">
        <v>152</v>
      </c>
      <c r="B71" s="32"/>
      <c r="C71" s="32"/>
      <c r="D71" s="2"/>
      <c r="E71" s="2"/>
      <c r="F71" s="6"/>
    </row>
    <row r="72" spans="1:6" ht="12.75">
      <c r="A72" s="33" t="s">
        <v>54</v>
      </c>
      <c r="B72" s="33"/>
      <c r="C72" s="33"/>
      <c r="D72" s="2">
        <f>+F69</f>
        <v>689161.1043926141</v>
      </c>
      <c r="E72" s="2" t="s">
        <v>40</v>
      </c>
      <c r="F72" s="6"/>
    </row>
    <row r="73" spans="1:6" ht="12.75">
      <c r="A73" s="2" t="s">
        <v>55</v>
      </c>
      <c r="B73" s="2"/>
      <c r="C73" s="2"/>
      <c r="D73" s="2">
        <v>6500</v>
      </c>
      <c r="E73" s="2" t="s">
        <v>56</v>
      </c>
      <c r="F73" s="6"/>
    </row>
    <row r="74" spans="1:6" ht="12.75">
      <c r="A74" s="2" t="s">
        <v>57</v>
      </c>
      <c r="B74" s="2"/>
      <c r="C74" s="2"/>
      <c r="D74" s="2">
        <f>ROUND(D72/D73,2)</f>
        <v>106.02</v>
      </c>
      <c r="E74" s="2" t="s">
        <v>92</v>
      </c>
      <c r="F74" s="1"/>
    </row>
    <row r="75" ht="12.75">
      <c r="J75" s="227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96" r:id="rId1"/>
  <headerFooter alignWithMargins="0">
    <oddHeader>&amp;C&amp;A</oddHeader>
  </headerFooter>
  <rowBreaks count="1" manualBreakCount="1">
    <brk id="5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52">
      <selection activeCell="D63" sqref="D63"/>
    </sheetView>
  </sheetViews>
  <sheetFormatPr defaultColWidth="12" defaultRowHeight="12.75"/>
  <cols>
    <col min="1" max="1" width="43.83203125" style="15" customWidth="1"/>
    <col min="2" max="2" width="6.16015625" style="15" customWidth="1"/>
    <col min="3" max="3" width="5.83203125" style="15" customWidth="1"/>
    <col min="4" max="4" width="17.33203125" style="15" customWidth="1"/>
    <col min="5" max="5" width="17.83203125" style="15" customWidth="1"/>
    <col min="6" max="6" width="16" style="15" bestFit="1" customWidth="1"/>
    <col min="7" max="7" width="17" style="15" customWidth="1"/>
    <col min="8" max="8" width="14.33203125" style="1" bestFit="1" customWidth="1"/>
    <col min="9" max="16384" width="12" style="1" customWidth="1"/>
  </cols>
  <sheetData>
    <row r="1" spans="1:7" ht="18">
      <c r="A1" s="12" t="s">
        <v>248</v>
      </c>
      <c r="B1" s="12"/>
      <c r="C1" s="12"/>
      <c r="D1" s="13"/>
      <c r="E1" s="13"/>
      <c r="F1" s="13"/>
      <c r="G1" s="13"/>
    </row>
    <row r="2" spans="1:7" ht="18">
      <c r="A2" s="13"/>
      <c r="B2" s="13"/>
      <c r="C2" s="13"/>
      <c r="D2" s="14"/>
      <c r="E2" s="14"/>
      <c r="F2" s="14"/>
      <c r="G2" s="14"/>
    </row>
    <row r="4" ht="12.75">
      <c r="A4" s="14"/>
    </row>
    <row r="5" ht="12.75">
      <c r="A5" s="1"/>
    </row>
    <row r="6" spans="1:7" ht="12.75">
      <c r="A6" s="16" t="s">
        <v>0</v>
      </c>
      <c r="B6" s="16"/>
      <c r="C6" s="16"/>
      <c r="D6" s="16"/>
      <c r="E6" s="16"/>
      <c r="F6" s="16"/>
      <c r="G6" s="1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17" t="s">
        <v>212</v>
      </c>
      <c r="B8" s="17"/>
      <c r="C8" s="17"/>
      <c r="D8" s="2"/>
      <c r="E8" s="2"/>
      <c r="F8" s="2"/>
      <c r="G8" s="2"/>
    </row>
    <row r="9" spans="1:7" ht="12.75">
      <c r="A9" s="17"/>
      <c r="B9" s="17"/>
      <c r="C9" s="17"/>
      <c r="D9" s="2"/>
      <c r="E9" s="2"/>
      <c r="F9" s="2"/>
      <c r="G9" s="2"/>
    </row>
    <row r="10" spans="1:7" ht="12.75">
      <c r="A10" s="18" t="s">
        <v>35</v>
      </c>
      <c r="B10" s="34"/>
      <c r="C10" s="34"/>
      <c r="D10" s="2">
        <f>ROUND(+D16+D22+D28+F16+F22+F28,2)</f>
        <v>153509.43</v>
      </c>
      <c r="E10" s="6"/>
      <c r="F10" s="6"/>
      <c r="G10" s="6"/>
    </row>
    <row r="11" spans="1:7" ht="12.75">
      <c r="A11" s="6"/>
      <c r="B11" s="6"/>
      <c r="C11" s="6"/>
      <c r="D11" s="69" t="s">
        <v>208</v>
      </c>
      <c r="E11" s="19"/>
      <c r="F11" s="69" t="s">
        <v>209</v>
      </c>
      <c r="G11" s="6"/>
    </row>
    <row r="12" spans="1:6" ht="12.75">
      <c r="A12" s="20" t="s">
        <v>95</v>
      </c>
      <c r="C12" s="20"/>
      <c r="D12" s="6">
        <v>27</v>
      </c>
      <c r="E12" s="6" t="s">
        <v>36</v>
      </c>
      <c r="F12" s="6">
        <v>24</v>
      </c>
    </row>
    <row r="13" spans="1:6" ht="12.75">
      <c r="A13" s="21" t="s">
        <v>58</v>
      </c>
      <c r="B13" s="21"/>
      <c r="C13" s="21"/>
      <c r="D13" s="6">
        <f>COLETOR!B27</f>
        <v>1598.8171601651918</v>
      </c>
      <c r="E13" s="21" t="s">
        <v>38</v>
      </c>
      <c r="F13" s="6">
        <f>+COLETOR!B54</f>
        <v>1702.7671601651916</v>
      </c>
    </row>
    <row r="14" spans="1:6" ht="12.75">
      <c r="A14" s="21" t="s">
        <v>98</v>
      </c>
      <c r="B14" s="21"/>
      <c r="C14" s="21"/>
      <c r="D14" s="6">
        <f>ROUND(+D13*D12,2)</f>
        <v>43168.06</v>
      </c>
      <c r="E14" s="6" t="s">
        <v>40</v>
      </c>
      <c r="F14" s="6">
        <f>ROUND(+F13*F12,2)</f>
        <v>40866.41</v>
      </c>
    </row>
    <row r="15" spans="1:6" ht="12.75">
      <c r="A15" s="21" t="s">
        <v>145</v>
      </c>
      <c r="B15" s="21"/>
      <c r="C15" s="21"/>
      <c r="D15" s="6">
        <f>ROUND(((D12*((D13/220)*2)*4.5*4)+(D12*((D13/220)*2)*6*1)),2)</f>
        <v>9418.49</v>
      </c>
      <c r="E15" s="6" t="s">
        <v>40</v>
      </c>
      <c r="F15" s="6">
        <f>ROUND(((F12*((F13/220)*2)*4.5*4)+(F12*((F13/220)*2)*6*1)),2)</f>
        <v>8916.31</v>
      </c>
    </row>
    <row r="16" spans="1:6" ht="12.75">
      <c r="A16" s="20" t="s">
        <v>99</v>
      </c>
      <c r="B16" s="20"/>
      <c r="C16" s="20"/>
      <c r="D16" s="6">
        <f>ROUND(SUM(D14:D15),2)</f>
        <v>52586.55</v>
      </c>
      <c r="E16" s="6" t="s">
        <v>50</v>
      </c>
      <c r="F16" s="6">
        <f>ROUND(SUM(F14:F15),2)</f>
        <v>49782.72</v>
      </c>
    </row>
    <row r="17" spans="1:5" ht="12.75">
      <c r="A17" s="21"/>
      <c r="B17" s="21"/>
      <c r="C17" s="21"/>
      <c r="D17" s="6"/>
      <c r="E17" s="6"/>
    </row>
    <row r="18" spans="1:6" ht="12.75">
      <c r="A18" s="21" t="s">
        <v>41</v>
      </c>
      <c r="B18" s="21"/>
      <c r="C18" s="21"/>
      <c r="D18" s="6">
        <v>1</v>
      </c>
      <c r="E18" s="6" t="s">
        <v>36</v>
      </c>
      <c r="F18" s="6">
        <v>1</v>
      </c>
    </row>
    <row r="19" spans="1:6" ht="12.75">
      <c r="A19" s="6" t="s">
        <v>42</v>
      </c>
      <c r="B19" s="6"/>
      <c r="C19" s="6"/>
      <c r="D19" s="6">
        <f>FISCAL!B29</f>
        <v>5041.9794999999995</v>
      </c>
      <c r="E19" s="6" t="s">
        <v>38</v>
      </c>
      <c r="F19" s="6">
        <f>+FISCAL!B57</f>
        <v>0</v>
      </c>
    </row>
    <row r="20" spans="1:6" ht="12.75">
      <c r="A20" s="6" t="s">
        <v>43</v>
      </c>
      <c r="B20" s="6"/>
      <c r="C20" s="6"/>
      <c r="D20" s="6">
        <f>ROUND(+D19*D18,2)</f>
        <v>5041.98</v>
      </c>
      <c r="E20" s="6" t="s">
        <v>40</v>
      </c>
      <c r="F20" s="6">
        <f>ROUND(+F19*F18,2)</f>
        <v>0</v>
      </c>
    </row>
    <row r="21" spans="1:6" ht="12.75">
      <c r="A21" s="21" t="s">
        <v>145</v>
      </c>
      <c r="B21" s="21"/>
      <c r="C21" s="21"/>
      <c r="D21" s="6">
        <f>ROUND(((1*((D19/220)*2)*4*4)+(1*((D19/220)*2)*6*1)),2)</f>
        <v>1008.4</v>
      </c>
      <c r="E21" s="6" t="s">
        <v>40</v>
      </c>
      <c r="F21" s="6">
        <f>ROUND(((1*((F19/220)*2)*4*4)+(1*((F19/220)*2)*6*1)),2)</f>
        <v>0</v>
      </c>
    </row>
    <row r="22" spans="1:6" ht="12.75">
      <c r="A22" s="6" t="s">
        <v>59</v>
      </c>
      <c r="B22" s="6"/>
      <c r="C22" s="6"/>
      <c r="D22" s="6">
        <f>ROUND(SUM(D20:D21),2)</f>
        <v>6050.38</v>
      </c>
      <c r="E22" s="6" t="s">
        <v>50</v>
      </c>
      <c r="F22" s="6">
        <f>ROUND(SUM(F20:F21),2)</f>
        <v>0</v>
      </c>
    </row>
    <row r="23" spans="1:6" ht="12.75">
      <c r="A23" s="6"/>
      <c r="B23" s="6"/>
      <c r="C23" s="6"/>
      <c r="D23" s="6"/>
      <c r="E23" s="6"/>
      <c r="F23" s="69" t="s">
        <v>209</v>
      </c>
    </row>
    <row r="24" spans="1:7" ht="12.75">
      <c r="A24" s="21" t="s">
        <v>60</v>
      </c>
      <c r="B24" s="21"/>
      <c r="C24" s="21"/>
      <c r="D24" s="6">
        <v>9</v>
      </c>
      <c r="E24" s="6" t="s">
        <v>36</v>
      </c>
      <c r="F24" s="6">
        <v>8</v>
      </c>
      <c r="G24" s="6"/>
    </row>
    <row r="25" spans="1:6" ht="12.75">
      <c r="A25" s="21" t="s">
        <v>61</v>
      </c>
      <c r="B25" s="21"/>
      <c r="C25" s="21"/>
      <c r="D25" s="6">
        <f>MOTORISTA!B29</f>
        <v>4679.127399999999</v>
      </c>
      <c r="E25" s="6" t="s">
        <v>38</v>
      </c>
      <c r="F25" s="6">
        <f>+MOTORISTA!B55</f>
        <v>0</v>
      </c>
    </row>
    <row r="26" spans="1:6" ht="12.75">
      <c r="A26" s="21" t="s">
        <v>62</v>
      </c>
      <c r="B26" s="21"/>
      <c r="C26" s="21"/>
      <c r="D26" s="6">
        <f>ROUND(+D25*D24,2)</f>
        <v>42112.15</v>
      </c>
      <c r="E26" s="6" t="s">
        <v>40</v>
      </c>
      <c r="F26" s="6">
        <f>ROUND(+F25*F24,2)</f>
        <v>0</v>
      </c>
    </row>
    <row r="27" spans="1:6" ht="12.75">
      <c r="A27" s="21" t="s">
        <v>145</v>
      </c>
      <c r="B27" s="21"/>
      <c r="C27" s="21"/>
      <c r="D27" s="6">
        <f>ROUND(((1*((D25/220)*2)*4*4)+(D24*((D25/220)*2)*6*1)),2)</f>
        <v>2977.63</v>
      </c>
      <c r="E27" s="6" t="s">
        <v>40</v>
      </c>
      <c r="F27" s="6">
        <f>ROUND(((1*((F25/220)*2)*4*4)+(F24*((F25/220)*2)*6*1)),2)</f>
        <v>0</v>
      </c>
    </row>
    <row r="28" spans="1:6" ht="12.75">
      <c r="A28" s="20" t="s">
        <v>63</v>
      </c>
      <c r="B28" s="20"/>
      <c r="C28" s="20"/>
      <c r="D28" s="6">
        <f>ROUND(SUM(D26:D27),2)</f>
        <v>45089.78</v>
      </c>
      <c r="E28" s="6" t="s">
        <v>50</v>
      </c>
      <c r="F28" s="6">
        <f>ROUND(SUM(F26:F27),2)</f>
        <v>0</v>
      </c>
    </row>
    <row r="29" spans="1:7" ht="12.75">
      <c r="A29" s="6"/>
      <c r="B29" s="6"/>
      <c r="C29" s="6"/>
      <c r="D29" s="6"/>
      <c r="E29" s="6"/>
      <c r="G29" s="6"/>
    </row>
    <row r="30" spans="1:7" ht="12.75">
      <c r="A30" s="22" t="s">
        <v>94</v>
      </c>
      <c r="B30" s="22"/>
      <c r="C30" s="22"/>
      <c r="D30" s="2">
        <f>ROUND(+D35+D38+F35,2)</f>
        <v>232326.85</v>
      </c>
      <c r="E30" s="6"/>
      <c r="F30" s="6"/>
      <c r="G30" s="6"/>
    </row>
    <row r="31" spans="1:7" ht="12.75">
      <c r="A31" s="22"/>
      <c r="B31" s="22"/>
      <c r="C31" s="22"/>
      <c r="D31" s="2"/>
      <c r="E31" s="6"/>
      <c r="F31" s="6"/>
      <c r="G31" s="6"/>
    </row>
    <row r="32" spans="1:7" ht="12.75">
      <c r="A32" s="21"/>
      <c r="B32" s="21"/>
      <c r="C32" s="21"/>
      <c r="D32" s="69" t="s">
        <v>208</v>
      </c>
      <c r="E32" s="69"/>
      <c r="F32" s="69" t="s">
        <v>209</v>
      </c>
      <c r="G32" s="6"/>
    </row>
    <row r="33" spans="1:7" ht="12.75">
      <c r="A33" s="20" t="s">
        <v>199</v>
      </c>
      <c r="B33" s="20"/>
      <c r="C33" s="20"/>
      <c r="D33" s="6">
        <v>10</v>
      </c>
      <c r="E33" s="6" t="s">
        <v>36</v>
      </c>
      <c r="F33" s="10">
        <v>7</v>
      </c>
      <c r="G33" s="6"/>
    </row>
    <row r="34" spans="1:7" ht="12.75">
      <c r="A34" s="6" t="s">
        <v>64</v>
      </c>
      <c r="B34" s="6"/>
      <c r="C34" s="6"/>
      <c r="D34" s="6">
        <f>'COMPACTADOR 15m³'!B61</f>
        <v>14337.072245614036</v>
      </c>
      <c r="E34" s="6" t="s">
        <v>38</v>
      </c>
      <c r="F34" s="6">
        <f>+D37</f>
        <v>12708.018233333332</v>
      </c>
      <c r="G34" s="6"/>
    </row>
    <row r="35" spans="1:7" ht="12.75">
      <c r="A35" s="20" t="s">
        <v>100</v>
      </c>
      <c r="B35" s="20"/>
      <c r="C35" s="20"/>
      <c r="D35" s="6">
        <f>ROUND(D34*D33,2)</f>
        <v>143370.72</v>
      </c>
      <c r="E35" s="6" t="s">
        <v>40</v>
      </c>
      <c r="F35" s="6">
        <f>ROUND(F34*F33,2)</f>
        <v>88956.13</v>
      </c>
      <c r="G35" s="6"/>
    </row>
    <row r="36" spans="1:7" ht="12.75">
      <c r="A36" s="20" t="s">
        <v>210</v>
      </c>
      <c r="B36" s="20"/>
      <c r="C36" s="20"/>
      <c r="D36" s="10">
        <v>0</v>
      </c>
      <c r="E36" s="6"/>
      <c r="F36" s="6"/>
      <c r="G36" s="6"/>
    </row>
    <row r="37" spans="1:7" ht="12.75">
      <c r="A37" s="6" t="s">
        <v>64</v>
      </c>
      <c r="B37" s="20"/>
      <c r="C37" s="20"/>
      <c r="D37" s="6">
        <f>+CARROCERIA!B62</f>
        <v>12708.018233333332</v>
      </c>
      <c r="E37" s="6"/>
      <c r="F37" s="6"/>
      <c r="G37" s="6"/>
    </row>
    <row r="38" spans="1:7" ht="12.75">
      <c r="A38" s="20" t="s">
        <v>207</v>
      </c>
      <c r="B38" s="20"/>
      <c r="C38" s="20"/>
      <c r="D38" s="6">
        <f>ROUND(D37*D36,2)</f>
        <v>0</v>
      </c>
      <c r="E38" s="6"/>
      <c r="F38" s="6"/>
      <c r="G38" s="6"/>
    </row>
    <row r="39" spans="1:7" ht="12.75">
      <c r="A39" s="20"/>
      <c r="B39" s="20"/>
      <c r="C39" s="20"/>
      <c r="D39" s="6"/>
      <c r="E39" s="6"/>
      <c r="F39" s="6"/>
      <c r="G39" s="6"/>
    </row>
    <row r="40" spans="1:7" ht="12.75">
      <c r="A40" s="22" t="s">
        <v>167</v>
      </c>
      <c r="B40" s="22"/>
      <c r="C40" s="22"/>
      <c r="D40" s="23">
        <f>ROUND(D50+D52+D53,2)</f>
        <v>1391.26</v>
      </c>
      <c r="E40" s="6"/>
      <c r="F40" s="6"/>
      <c r="G40" s="1"/>
    </row>
    <row r="41" spans="1:7" ht="12.75">
      <c r="A41" s="22"/>
      <c r="B41" s="22"/>
      <c r="C41" s="22"/>
      <c r="D41" s="23"/>
      <c r="E41" s="6"/>
      <c r="F41" s="6"/>
      <c r="G41" s="1"/>
    </row>
    <row r="42" spans="1:7" ht="12.75">
      <c r="A42" s="24" t="s">
        <v>129</v>
      </c>
      <c r="B42" s="25">
        <f>16*4</f>
        <v>64</v>
      </c>
      <c r="C42" s="26" t="s">
        <v>130</v>
      </c>
      <c r="D42" s="6">
        <f>ROUND(B42*PREÇOS!C10,2)</f>
        <v>1280</v>
      </c>
      <c r="E42" s="6" t="s">
        <v>40</v>
      </c>
      <c r="F42" s="6"/>
      <c r="G42" s="6"/>
    </row>
    <row r="43" spans="1:7" ht="12.75">
      <c r="A43" s="6" t="s">
        <v>110</v>
      </c>
      <c r="B43" s="27">
        <f>+B42*2</f>
        <v>128</v>
      </c>
      <c r="C43" s="26" t="s">
        <v>130</v>
      </c>
      <c r="D43" s="6">
        <f>ROUND(B43*PREÇOS!C9,2)</f>
        <v>9600</v>
      </c>
      <c r="E43" s="6" t="s">
        <v>40</v>
      </c>
      <c r="F43" s="6"/>
      <c r="G43" s="6"/>
    </row>
    <row r="44" spans="1:7" ht="12.75">
      <c r="A44" s="6" t="s">
        <v>113</v>
      </c>
      <c r="B44" s="27">
        <f>16*12</f>
        <v>192</v>
      </c>
      <c r="C44" s="26" t="s">
        <v>130</v>
      </c>
      <c r="D44" s="6">
        <f>ROUND(B44*PREÇOS!C12,2)</f>
        <v>2304</v>
      </c>
      <c r="E44" s="6" t="s">
        <v>40</v>
      </c>
      <c r="F44" s="6"/>
      <c r="G44" s="6"/>
    </row>
    <row r="45" spans="1:7" ht="12.75">
      <c r="A45" s="6" t="s">
        <v>133</v>
      </c>
      <c r="B45" s="27">
        <f>+B42</f>
        <v>64</v>
      </c>
      <c r="C45" s="26" t="s">
        <v>130</v>
      </c>
      <c r="D45" s="6">
        <f>ROUND(B45*PREÇOS!C11,2)</f>
        <v>1152</v>
      </c>
      <c r="E45" s="6" t="s">
        <v>40</v>
      </c>
      <c r="F45" s="6"/>
      <c r="G45" s="6"/>
    </row>
    <row r="46" spans="1:7" ht="12.75">
      <c r="A46" s="6" t="s">
        <v>115</v>
      </c>
      <c r="B46" s="27">
        <f>16*2</f>
        <v>32</v>
      </c>
      <c r="C46" s="26" t="s">
        <v>130</v>
      </c>
      <c r="D46" s="6">
        <f>ROUND(B46*PREÇOS!C16,2)</f>
        <v>800</v>
      </c>
      <c r="E46" s="6" t="s">
        <v>40</v>
      </c>
      <c r="F46" s="6"/>
      <c r="G46" s="6"/>
    </row>
    <row r="47" spans="1:7" ht="12.75">
      <c r="A47" s="6" t="s">
        <v>140</v>
      </c>
      <c r="B47" s="27">
        <f>+B42</f>
        <v>64</v>
      </c>
      <c r="C47" s="26" t="s">
        <v>130</v>
      </c>
      <c r="D47" s="6">
        <f>ROUND(B47*PREÇOS!C18,2)</f>
        <v>1152</v>
      </c>
      <c r="E47" s="6" t="s">
        <v>40</v>
      </c>
      <c r="F47" s="6"/>
      <c r="G47" s="6"/>
    </row>
    <row r="48" spans="1:7" ht="12.75">
      <c r="A48" s="6" t="s">
        <v>75</v>
      </c>
      <c r="B48" s="6"/>
      <c r="C48" s="6"/>
      <c r="D48" s="6">
        <f>ROUND(SUM(D42:D47),2)</f>
        <v>16288</v>
      </c>
      <c r="E48" s="6" t="s">
        <v>40</v>
      </c>
      <c r="F48" s="6"/>
      <c r="G48" s="6"/>
    </row>
    <row r="49" spans="1:7" ht="12.75">
      <c r="A49" s="6" t="s">
        <v>76</v>
      </c>
      <c r="B49" s="6"/>
      <c r="C49" s="6"/>
      <c r="D49" s="6">
        <v>12</v>
      </c>
      <c r="E49" s="6" t="s">
        <v>65</v>
      </c>
      <c r="F49" s="6"/>
      <c r="G49" s="6"/>
    </row>
    <row r="50" spans="1:7" ht="12.75">
      <c r="A50" s="6" t="s">
        <v>66</v>
      </c>
      <c r="B50" s="6"/>
      <c r="C50" s="6"/>
      <c r="D50" s="6">
        <f>ROUND(+D48/+D49,2)</f>
        <v>1357.33</v>
      </c>
      <c r="E50" s="6" t="s">
        <v>77</v>
      </c>
      <c r="F50" s="6"/>
      <c r="G50" s="6"/>
    </row>
    <row r="51" spans="1:7" ht="12.75">
      <c r="A51" s="6" t="s">
        <v>78</v>
      </c>
      <c r="B51" s="6"/>
      <c r="C51" s="6"/>
      <c r="D51" s="28">
        <v>0.025</v>
      </c>
      <c r="E51" s="6"/>
      <c r="F51" s="6"/>
      <c r="G51" s="6"/>
    </row>
    <row r="52" spans="1:7" ht="12.75">
      <c r="A52" s="6" t="s">
        <v>67</v>
      </c>
      <c r="B52" s="6"/>
      <c r="C52" s="6"/>
      <c r="D52" s="6">
        <f>ROUND(D51*D50,2)</f>
        <v>33.93</v>
      </c>
      <c r="E52" s="6" t="s">
        <v>77</v>
      </c>
      <c r="F52" s="6"/>
      <c r="G52" s="6"/>
    </row>
    <row r="53" spans="1:7" ht="12.75">
      <c r="A53" s="6"/>
      <c r="B53" s="27"/>
      <c r="C53" s="2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30" t="s">
        <v>69</v>
      </c>
      <c r="B55" s="30"/>
      <c r="C55" s="30"/>
      <c r="D55" s="6"/>
      <c r="E55" s="6"/>
      <c r="F55" s="6"/>
      <c r="G55" s="6"/>
    </row>
    <row r="56" spans="1:7" ht="12.75">
      <c r="A56" s="6" t="s">
        <v>74</v>
      </c>
      <c r="B56" s="6"/>
      <c r="C56" s="6"/>
      <c r="D56" s="6">
        <f>+D10</f>
        <v>153509.43</v>
      </c>
      <c r="E56" s="6" t="s">
        <v>40</v>
      </c>
      <c r="F56" s="6"/>
      <c r="G56" s="6"/>
    </row>
    <row r="57" spans="1:7" ht="12.75">
      <c r="A57" s="6" t="s">
        <v>68</v>
      </c>
      <c r="B57" s="6"/>
      <c r="C57" s="6"/>
      <c r="D57" s="6">
        <f>+D30</f>
        <v>232326.85</v>
      </c>
      <c r="E57" s="6" t="s">
        <v>40</v>
      </c>
      <c r="F57" s="6"/>
      <c r="G57" s="6"/>
    </row>
    <row r="58" spans="1:7" ht="12.75">
      <c r="A58" s="6" t="s">
        <v>70</v>
      </c>
      <c r="B58" s="6"/>
      <c r="C58" s="6"/>
      <c r="D58" s="6">
        <f>D40</f>
        <v>1391.26</v>
      </c>
      <c r="E58" s="6" t="s">
        <v>40</v>
      </c>
      <c r="F58" s="6"/>
      <c r="G58" s="6"/>
    </row>
    <row r="59" spans="1:7" ht="12.75">
      <c r="A59" s="6" t="s">
        <v>51</v>
      </c>
      <c r="B59" s="6"/>
      <c r="C59" s="6"/>
      <c r="D59" s="6">
        <f>SUM(D56:D58)</f>
        <v>387227.54000000004</v>
      </c>
      <c r="E59" s="6" t="s">
        <v>40</v>
      </c>
      <c r="F59" s="6"/>
      <c r="G59" s="6"/>
    </row>
    <row r="60" spans="1:7" ht="12.75">
      <c r="A60" s="6"/>
      <c r="B60" s="6"/>
      <c r="C60" s="6"/>
      <c r="D60" s="6" t="s">
        <v>8</v>
      </c>
      <c r="E60" s="6"/>
      <c r="F60" s="6"/>
      <c r="G60" s="6"/>
    </row>
    <row r="61" spans="1:7" ht="12.75">
      <c r="A61" s="22" t="s">
        <v>71</v>
      </c>
      <c r="B61" s="22"/>
      <c r="C61" s="22"/>
      <c r="D61" s="6" t="s">
        <v>8</v>
      </c>
      <c r="E61" s="6"/>
      <c r="F61" s="6"/>
      <c r="G61" s="6"/>
    </row>
    <row r="62" spans="1:7" ht="12.75">
      <c r="A62" s="21" t="s">
        <v>168</v>
      </c>
      <c r="B62" s="21"/>
      <c r="C62" s="21"/>
      <c r="D62" s="11">
        <v>0.44</v>
      </c>
      <c r="E62" s="6" t="s">
        <v>8</v>
      </c>
      <c r="F62" s="29">
        <f>ROUND(D62*ADM!B37,2)</f>
        <v>12775.62</v>
      </c>
      <c r="G62" s="6"/>
    </row>
    <row r="63" spans="1:7" ht="12.75">
      <c r="A63" s="6"/>
      <c r="B63" s="6"/>
      <c r="C63" s="6"/>
      <c r="D63" s="6"/>
      <c r="E63" s="6"/>
      <c r="F63" s="29"/>
      <c r="G63" s="6"/>
    </row>
    <row r="64" spans="1:7" ht="12.75">
      <c r="A64" s="18" t="s">
        <v>239</v>
      </c>
      <c r="B64" s="6"/>
      <c r="C64" s="6"/>
      <c r="D64" s="6"/>
      <c r="E64" s="6"/>
      <c r="F64" s="29"/>
      <c r="G64" s="6"/>
    </row>
    <row r="65" spans="1:8" ht="12.75">
      <c r="A65" s="6" t="s">
        <v>53</v>
      </c>
      <c r="B65" s="6"/>
      <c r="C65" s="6"/>
      <c r="D65" s="31">
        <v>0.15</v>
      </c>
      <c r="E65" s="6" t="s">
        <v>8</v>
      </c>
      <c r="F65" s="29">
        <f>ROUND((+D59+F62)*D65,2)</f>
        <v>60000.47</v>
      </c>
      <c r="G65" s="6"/>
      <c r="H65" s="90"/>
    </row>
    <row r="66" spans="1:8" ht="12.75">
      <c r="A66" s="6"/>
      <c r="B66" s="6"/>
      <c r="C66" s="6"/>
      <c r="D66" s="6"/>
      <c r="E66" s="6"/>
      <c r="F66" s="29"/>
      <c r="G66" s="6"/>
      <c r="H66" s="90"/>
    </row>
    <row r="67" spans="1:7" ht="12.75">
      <c r="A67" s="22" t="s">
        <v>72</v>
      </c>
      <c r="B67" s="22"/>
      <c r="C67" s="22"/>
      <c r="D67" s="6"/>
      <c r="E67" s="6"/>
      <c r="F67" s="29">
        <f>ROUND(+F65+F62+D59,2)</f>
        <v>460003.63</v>
      </c>
      <c r="G67" s="6"/>
    </row>
    <row r="68" spans="1:7" ht="12.75">
      <c r="A68" s="6"/>
      <c r="B68" s="6"/>
      <c r="C68" s="6"/>
      <c r="D68" s="6"/>
      <c r="E68" s="6"/>
      <c r="F68" s="29"/>
      <c r="G68" s="6"/>
    </row>
    <row r="69" spans="1:7" ht="12.75">
      <c r="A69" s="22" t="s">
        <v>238</v>
      </c>
      <c r="B69" s="6"/>
      <c r="C69" s="6"/>
      <c r="D69" s="6"/>
      <c r="E69" s="6"/>
      <c r="F69" s="29"/>
      <c r="G69" s="6"/>
    </row>
    <row r="70" spans="1:7" ht="12.75">
      <c r="A70" s="6" t="s">
        <v>53</v>
      </c>
      <c r="B70" s="6"/>
      <c r="C70" s="6"/>
      <c r="D70" s="11">
        <v>0.1425</v>
      </c>
      <c r="E70" s="6" t="s">
        <v>8</v>
      </c>
      <c r="F70" s="6">
        <f>+F67/0.8575</f>
        <v>536447.3819241982</v>
      </c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3.5" customHeight="1">
      <c r="A72" s="70" t="s">
        <v>73</v>
      </c>
      <c r="B72" s="70"/>
      <c r="C72" s="70"/>
      <c r="D72" s="2"/>
      <c r="E72" s="2"/>
      <c r="F72" s="6"/>
      <c r="G72" s="6"/>
    </row>
    <row r="73" spans="1:7" ht="12.75" customHeight="1">
      <c r="A73" s="33" t="s">
        <v>54</v>
      </c>
      <c r="B73" s="33"/>
      <c r="C73" s="33"/>
      <c r="D73" s="2">
        <f>+F70</f>
        <v>536447.3819241982</v>
      </c>
      <c r="E73" s="2" t="s">
        <v>40</v>
      </c>
      <c r="F73" s="6"/>
      <c r="G73" s="6"/>
    </row>
    <row r="74" spans="1:7" ht="12.75" customHeight="1">
      <c r="A74" s="2" t="s">
        <v>55</v>
      </c>
      <c r="B74" s="2"/>
      <c r="C74" s="2"/>
      <c r="D74" s="2">
        <v>4700</v>
      </c>
      <c r="E74" s="2"/>
      <c r="F74" s="6"/>
      <c r="G74" s="6"/>
    </row>
    <row r="75" spans="1:7" ht="14.25" customHeight="1">
      <c r="A75" s="2" t="s">
        <v>57</v>
      </c>
      <c r="B75" s="2"/>
      <c r="C75" s="2"/>
      <c r="D75" s="2">
        <f>ROUND(D73/D74,2)</f>
        <v>114.14</v>
      </c>
      <c r="E75" s="33" t="s">
        <v>201</v>
      </c>
      <c r="F75" s="1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40"/>
      <c r="B77" s="40"/>
      <c r="C77" s="40"/>
      <c r="G77" s="6"/>
    </row>
    <row r="78" ht="12.75">
      <c r="G78" s="6"/>
    </row>
    <row r="79" ht="12.75">
      <c r="G79" s="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67" sqref="F67"/>
    </sheetView>
  </sheetViews>
  <sheetFormatPr defaultColWidth="9.33203125" defaultRowHeight="12.75"/>
  <cols>
    <col min="1" max="1" width="38.66015625" style="15" customWidth="1"/>
    <col min="2" max="2" width="9" style="15" customWidth="1"/>
    <col min="3" max="3" width="7.5" style="15" customWidth="1"/>
    <col min="4" max="4" width="12.83203125" style="15" customWidth="1"/>
    <col min="5" max="5" width="12.66015625" style="15" customWidth="1"/>
    <col min="6" max="6" width="14.5" style="15" customWidth="1"/>
    <col min="7" max="7" width="11.83203125" style="1" bestFit="1" customWidth="1"/>
    <col min="8" max="16384" width="9.33203125" style="1" customWidth="1"/>
  </cols>
  <sheetData>
    <row r="1" spans="1:6" ht="18">
      <c r="A1" s="12" t="s">
        <v>248</v>
      </c>
      <c r="B1" s="16"/>
      <c r="C1" s="16"/>
      <c r="D1" s="16"/>
      <c r="E1" s="16"/>
      <c r="F1" s="16"/>
    </row>
    <row r="2" spans="1:6" ht="18">
      <c r="A2" s="13"/>
      <c r="B2" s="16"/>
      <c r="C2" s="16"/>
      <c r="D2" s="16"/>
      <c r="E2" s="16"/>
      <c r="F2" s="16"/>
    </row>
    <row r="3" spans="2:6" ht="12.75">
      <c r="B3" s="16"/>
      <c r="C3" s="16"/>
      <c r="D3" s="16"/>
      <c r="E3" s="16"/>
      <c r="F3" s="16"/>
    </row>
    <row r="4" spans="2:6" ht="12.75">
      <c r="B4" s="16"/>
      <c r="C4" s="16"/>
      <c r="D4" s="16"/>
      <c r="E4" s="16"/>
      <c r="F4" s="16"/>
    </row>
    <row r="5" spans="1:6" ht="12.75">
      <c r="A5" s="1"/>
      <c r="B5" s="16"/>
      <c r="C5" s="16"/>
      <c r="D5" s="16"/>
      <c r="E5" s="16"/>
      <c r="F5" s="16"/>
    </row>
    <row r="6" spans="1:6" ht="12.75">
      <c r="A6" s="16" t="s">
        <v>0</v>
      </c>
      <c r="B6" s="16"/>
      <c r="C6" s="16"/>
      <c r="D6" s="16"/>
      <c r="E6" s="16"/>
      <c r="F6" s="16"/>
    </row>
    <row r="7" spans="1:6" ht="12.75">
      <c r="A7" s="6"/>
      <c r="B7" s="6"/>
      <c r="C7" s="6"/>
      <c r="D7" s="6"/>
      <c r="E7" s="6"/>
      <c r="F7" s="6"/>
    </row>
    <row r="8" spans="1:6" ht="12.75">
      <c r="A8" s="17" t="s">
        <v>235</v>
      </c>
      <c r="B8" s="17"/>
      <c r="C8" s="17"/>
      <c r="D8" s="2"/>
      <c r="E8" s="2"/>
      <c r="F8" s="2"/>
    </row>
    <row r="9" spans="1:6" ht="12.75">
      <c r="A9" s="6"/>
      <c r="B9" s="6"/>
      <c r="C9" s="6"/>
      <c r="D9" s="6"/>
      <c r="E9" s="6"/>
      <c r="F9" s="6"/>
    </row>
    <row r="10" spans="1:6" ht="12.75">
      <c r="A10" s="18" t="s">
        <v>35</v>
      </c>
      <c r="B10" s="18"/>
      <c r="C10" s="18"/>
      <c r="D10" s="6">
        <f>+D14+D18</f>
        <v>69517.2675</v>
      </c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6" ht="12.75">
      <c r="A12" s="20" t="s">
        <v>178</v>
      </c>
      <c r="B12" s="20"/>
      <c r="C12" s="20"/>
      <c r="D12" s="6">
        <v>20</v>
      </c>
      <c r="E12" s="6" t="s">
        <v>36</v>
      </c>
      <c r="F12" s="6"/>
    </row>
    <row r="13" spans="1:6" ht="12.75">
      <c r="A13" s="21" t="s">
        <v>224</v>
      </c>
      <c r="B13" s="21"/>
      <c r="C13" s="21"/>
      <c r="D13" s="6">
        <f>+VARREDOR!B28</f>
        <v>3223.7644</v>
      </c>
      <c r="E13" s="21" t="s">
        <v>38</v>
      </c>
      <c r="F13" s="6"/>
    </row>
    <row r="14" spans="1:6" ht="12.75">
      <c r="A14" s="20" t="s">
        <v>225</v>
      </c>
      <c r="B14" s="20"/>
      <c r="C14" s="20"/>
      <c r="D14" s="6">
        <f>+D13*D12</f>
        <v>64475.288</v>
      </c>
      <c r="E14" s="6" t="s">
        <v>40</v>
      </c>
      <c r="F14" s="6"/>
    </row>
    <row r="15" spans="1:6" ht="12.75">
      <c r="A15" s="20"/>
      <c r="B15" s="20"/>
      <c r="C15" s="20"/>
      <c r="D15" s="6"/>
      <c r="E15" s="6"/>
      <c r="F15" s="6"/>
    </row>
    <row r="16" spans="1:6" ht="12.75">
      <c r="A16" s="21" t="s">
        <v>41</v>
      </c>
      <c r="B16" s="21"/>
      <c r="C16" s="21"/>
      <c r="D16" s="6">
        <v>1</v>
      </c>
      <c r="E16" s="6" t="s">
        <v>36</v>
      </c>
      <c r="F16" s="6"/>
    </row>
    <row r="17" spans="1:6" ht="12.75">
      <c r="A17" s="6" t="s">
        <v>42</v>
      </c>
      <c r="B17" s="6"/>
      <c r="C17" s="6"/>
      <c r="D17" s="6">
        <f>+FISCAL!B29</f>
        <v>5041.9794999999995</v>
      </c>
      <c r="E17" s="6" t="s">
        <v>38</v>
      </c>
      <c r="F17" s="6"/>
    </row>
    <row r="18" spans="1:6" ht="12.75">
      <c r="A18" s="6" t="s">
        <v>43</v>
      </c>
      <c r="B18" s="6"/>
      <c r="C18" s="6"/>
      <c r="D18" s="6">
        <f>+D17*D16</f>
        <v>5041.9794999999995</v>
      </c>
      <c r="E18" s="6" t="s">
        <v>40</v>
      </c>
      <c r="F18" s="6"/>
    </row>
    <row r="19" spans="1:6" ht="12.75">
      <c r="A19" s="6"/>
      <c r="B19" s="6"/>
      <c r="C19" s="6"/>
      <c r="D19" s="6"/>
      <c r="E19" s="6"/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30" t="s">
        <v>96</v>
      </c>
      <c r="B21" s="30"/>
      <c r="C21" s="30"/>
      <c r="D21" s="23">
        <f>D36+D38+D40</f>
        <v>2905.1104166666664</v>
      </c>
      <c r="E21" s="6"/>
      <c r="F21" s="6"/>
    </row>
    <row r="22" spans="1:8" ht="12.75">
      <c r="A22" s="22"/>
      <c r="B22" s="22"/>
      <c r="C22" s="22"/>
      <c r="D22" s="23"/>
      <c r="E22" s="6"/>
      <c r="G22" s="6"/>
      <c r="H22" s="35"/>
    </row>
    <row r="23" spans="1:7" ht="12.75">
      <c r="A23" s="24" t="s">
        <v>129</v>
      </c>
      <c r="B23" s="25">
        <f>5*4</f>
        <v>20</v>
      </c>
      <c r="C23" s="26" t="s">
        <v>130</v>
      </c>
      <c r="D23" s="6">
        <f>B23*'[4]PREÇOS'!C6</f>
        <v>300</v>
      </c>
      <c r="E23" s="6" t="s">
        <v>40</v>
      </c>
      <c r="G23" s="6"/>
    </row>
    <row r="24" spans="1:7" ht="12.75">
      <c r="A24" s="6" t="s">
        <v>131</v>
      </c>
      <c r="B24" s="25">
        <f>+B23</f>
        <v>20</v>
      </c>
      <c r="C24" s="26" t="s">
        <v>130</v>
      </c>
      <c r="D24" s="6">
        <f>B24*'[4]PREÇOS'!C5</f>
        <v>1200</v>
      </c>
      <c r="E24" s="6" t="s">
        <v>40</v>
      </c>
      <c r="G24" s="6"/>
    </row>
    <row r="25" spans="1:7" ht="12.75">
      <c r="A25" s="6" t="s">
        <v>132</v>
      </c>
      <c r="B25" s="27">
        <f>10*12</f>
        <v>120</v>
      </c>
      <c r="C25" s="26" t="s">
        <v>130</v>
      </c>
      <c r="D25" s="6">
        <f>B25*'[4]PREÇOS'!C8</f>
        <v>600</v>
      </c>
      <c r="E25" s="6" t="s">
        <v>40</v>
      </c>
      <c r="G25" s="6"/>
    </row>
    <row r="26" spans="1:7" ht="12.75">
      <c r="A26" s="6" t="s">
        <v>133</v>
      </c>
      <c r="B26" s="27">
        <f>+B23</f>
        <v>20</v>
      </c>
      <c r="C26" s="26" t="s">
        <v>130</v>
      </c>
      <c r="D26" s="6">
        <f>B26*'[4]PREÇOS'!C7</f>
        <v>240</v>
      </c>
      <c r="E26" s="6" t="s">
        <v>40</v>
      </c>
      <c r="G26" s="6"/>
    </row>
    <row r="27" spans="1:7" ht="12.75">
      <c r="A27" s="6" t="s">
        <v>134</v>
      </c>
      <c r="B27" s="27">
        <f>20*4</f>
        <v>80</v>
      </c>
      <c r="C27" s="26" t="s">
        <v>130</v>
      </c>
      <c r="D27" s="6">
        <f>B27*'[4]PREÇOS'!C9</f>
        <v>960</v>
      </c>
      <c r="E27" s="6" t="s">
        <v>40</v>
      </c>
      <c r="G27" s="6"/>
    </row>
    <row r="28" spans="1:7" ht="12.75">
      <c r="A28" s="6" t="s">
        <v>135</v>
      </c>
      <c r="B28" s="27">
        <f>5*3</f>
        <v>15</v>
      </c>
      <c r="C28" s="26" t="s">
        <v>130</v>
      </c>
      <c r="D28" s="6">
        <f>B28*'[4]PREÇOS'!C10</f>
        <v>825</v>
      </c>
      <c r="E28" s="6" t="s">
        <v>40</v>
      </c>
      <c r="G28" s="6"/>
    </row>
    <row r="29" spans="1:7" ht="12.75">
      <c r="A29" s="6" t="s">
        <v>226</v>
      </c>
      <c r="B29" s="27">
        <v>4</v>
      </c>
      <c r="C29" s="26" t="s">
        <v>130</v>
      </c>
      <c r="D29" s="6">
        <f>B29*'[4]PREÇOS'!C15</f>
        <v>100</v>
      </c>
      <c r="E29" s="6" t="s">
        <v>40</v>
      </c>
      <c r="G29" s="6"/>
    </row>
    <row r="30" spans="1:7" ht="12.75">
      <c r="A30" s="6" t="s">
        <v>117</v>
      </c>
      <c r="B30" s="27">
        <f>4*4</f>
        <v>16</v>
      </c>
      <c r="C30" s="26" t="s">
        <v>130</v>
      </c>
      <c r="D30" s="6">
        <f>B30*'[4]PREÇOS'!C14</f>
        <v>208</v>
      </c>
      <c r="E30" s="6" t="s">
        <v>40</v>
      </c>
      <c r="G30" s="6"/>
    </row>
    <row r="31" spans="1:7" ht="12.75">
      <c r="A31" s="6" t="s">
        <v>136</v>
      </c>
      <c r="B31" s="27">
        <f>4*4</f>
        <v>16</v>
      </c>
      <c r="C31" s="26" t="str">
        <f>+C32</f>
        <v>unid</v>
      </c>
      <c r="D31" s="6">
        <f>B31*'[4]PREÇOS'!C16</f>
        <v>192</v>
      </c>
      <c r="E31" s="6" t="s">
        <v>40</v>
      </c>
      <c r="G31" s="6"/>
    </row>
    <row r="32" spans="1:7" ht="12.75">
      <c r="A32" s="6" t="s">
        <v>137</v>
      </c>
      <c r="B32" s="27">
        <f>+B31</f>
        <v>16</v>
      </c>
      <c r="C32" s="26" t="s">
        <v>130</v>
      </c>
      <c r="D32" s="6">
        <f>B32*'[4]PREÇOS'!C17</f>
        <v>208</v>
      </c>
      <c r="E32" s="6" t="s">
        <v>40</v>
      </c>
      <c r="G32" s="6"/>
    </row>
    <row r="33" spans="1:7" ht="12.75">
      <c r="A33" s="6" t="s">
        <v>223</v>
      </c>
      <c r="B33" s="27">
        <v>15</v>
      </c>
      <c r="C33" s="26" t="s">
        <v>130</v>
      </c>
      <c r="D33" s="6">
        <f>B33*'[4]PREÇOS'!C12</f>
        <v>300</v>
      </c>
      <c r="E33" s="6" t="s">
        <v>40</v>
      </c>
      <c r="G33" s="6"/>
    </row>
    <row r="34" spans="1:7" ht="12.75">
      <c r="A34" s="6" t="s">
        <v>75</v>
      </c>
      <c r="B34" s="6"/>
      <c r="C34" s="6"/>
      <c r="D34" s="6">
        <f>SUM(D23:D33)</f>
        <v>5133</v>
      </c>
      <c r="E34" s="6" t="s">
        <v>40</v>
      </c>
      <c r="G34" s="6"/>
    </row>
    <row r="35" spans="1:7" ht="12.75">
      <c r="A35" s="6" t="s">
        <v>76</v>
      </c>
      <c r="B35" s="6"/>
      <c r="C35" s="6"/>
      <c r="D35" s="6">
        <v>12</v>
      </c>
      <c r="E35" s="6" t="s">
        <v>65</v>
      </c>
      <c r="G35" s="6"/>
    </row>
    <row r="36" spans="1:7" ht="12.75">
      <c r="A36" s="6" t="s">
        <v>66</v>
      </c>
      <c r="B36" s="6"/>
      <c r="C36" s="6"/>
      <c r="D36" s="6">
        <f>+D34/+D35</f>
        <v>427.75</v>
      </c>
      <c r="E36" s="6" t="s">
        <v>77</v>
      </c>
      <c r="G36" s="6"/>
    </row>
    <row r="37" spans="1:7" ht="12.75">
      <c r="A37" s="6" t="s">
        <v>78</v>
      </c>
      <c r="B37" s="6"/>
      <c r="C37" s="6"/>
      <c r="D37" s="28">
        <v>0.025</v>
      </c>
      <c r="E37" s="6"/>
      <c r="G37" s="6"/>
    </row>
    <row r="38" spans="1:7" ht="12.75">
      <c r="A38" s="6" t="s">
        <v>67</v>
      </c>
      <c r="B38" s="6"/>
      <c r="C38" s="6"/>
      <c r="D38" s="6">
        <f>D37*D36</f>
        <v>10.693750000000001</v>
      </c>
      <c r="E38" s="6" t="s">
        <v>77</v>
      </c>
      <c r="G38" s="6"/>
    </row>
    <row r="39" spans="1:7" ht="12.75">
      <c r="A39" s="6"/>
      <c r="B39" s="6"/>
      <c r="C39" s="6"/>
      <c r="D39" s="6"/>
      <c r="E39" s="6"/>
      <c r="G39" s="6"/>
    </row>
    <row r="40" spans="1:7" ht="12.75">
      <c r="A40" s="30" t="s">
        <v>231</v>
      </c>
      <c r="B40" s="30"/>
      <c r="C40" s="30"/>
      <c r="D40" s="6">
        <f>D47</f>
        <v>2466.6666666666665</v>
      </c>
      <c r="E40" s="6"/>
      <c r="G40" s="6"/>
    </row>
    <row r="41" spans="1:7" ht="12.75">
      <c r="A41" s="6"/>
      <c r="B41" s="6"/>
      <c r="C41" s="6"/>
      <c r="D41" s="6"/>
      <c r="E41" s="6"/>
      <c r="G41" s="6"/>
    </row>
    <row r="42" spans="1:7" ht="12.75">
      <c r="A42" s="6" t="s">
        <v>179</v>
      </c>
      <c r="B42" s="6"/>
      <c r="C42" s="6"/>
      <c r="D42" s="6">
        <f>PREÇOS!C22</f>
        <v>2600</v>
      </c>
      <c r="E42" s="6" t="s">
        <v>40</v>
      </c>
      <c r="G42" s="6"/>
    </row>
    <row r="43" spans="1:7" ht="12.75">
      <c r="A43" s="6" t="s">
        <v>45</v>
      </c>
      <c r="B43" s="6"/>
      <c r="C43" s="6"/>
      <c r="D43" s="6">
        <v>10</v>
      </c>
      <c r="E43" s="6" t="s">
        <v>36</v>
      </c>
      <c r="G43" s="6"/>
    </row>
    <row r="44" spans="1:7" ht="12.75">
      <c r="A44" s="6" t="s">
        <v>46</v>
      </c>
      <c r="B44" s="20"/>
      <c r="C44" s="20"/>
      <c r="D44" s="6">
        <f>+D43*D42</f>
        <v>26000</v>
      </c>
      <c r="E44" s="6" t="s">
        <v>40</v>
      </c>
      <c r="G44" s="6"/>
    </row>
    <row r="45" spans="1:7" ht="12.75">
      <c r="A45" s="6" t="s">
        <v>47</v>
      </c>
      <c r="B45" s="21"/>
      <c r="C45" s="21"/>
      <c r="D45" s="6">
        <v>12</v>
      </c>
      <c r="E45" s="6" t="s">
        <v>48</v>
      </c>
      <c r="G45" s="6"/>
    </row>
    <row r="46" spans="1:7" ht="12.75">
      <c r="A46" s="6" t="s">
        <v>232</v>
      </c>
      <c r="B46" s="6"/>
      <c r="C46" s="6"/>
      <c r="D46" s="6">
        <v>300</v>
      </c>
      <c r="E46" s="6" t="s">
        <v>50</v>
      </c>
      <c r="G46" s="6"/>
    </row>
    <row r="47" spans="1:7" ht="12.75">
      <c r="A47" s="6" t="s">
        <v>233</v>
      </c>
      <c r="B47" s="27"/>
      <c r="C47" s="19" t="s">
        <v>130</v>
      </c>
      <c r="D47" s="6">
        <f>+D44/D45+D46</f>
        <v>2466.6666666666665</v>
      </c>
      <c r="E47" s="6" t="s">
        <v>50</v>
      </c>
      <c r="G47" s="6"/>
    </row>
    <row r="48" spans="1:7" ht="12.75">
      <c r="A48" s="6"/>
      <c r="B48" s="6"/>
      <c r="C48" s="6"/>
      <c r="D48" s="6"/>
      <c r="E48" s="6"/>
      <c r="G48" s="6"/>
    </row>
    <row r="49" spans="1:7" ht="12.75">
      <c r="A49" s="18" t="s">
        <v>227</v>
      </c>
      <c r="B49" s="18"/>
      <c r="C49" s="18"/>
      <c r="D49" s="6"/>
      <c r="E49" s="6"/>
      <c r="G49" s="6"/>
    </row>
    <row r="50" spans="1:6" ht="12.75">
      <c r="A50" s="6" t="s">
        <v>74</v>
      </c>
      <c r="B50" s="6"/>
      <c r="C50" s="6"/>
      <c r="D50" s="6">
        <f>D10</f>
        <v>69517.2675</v>
      </c>
      <c r="E50" s="6" t="s">
        <v>40</v>
      </c>
      <c r="F50" s="6"/>
    </row>
    <row r="51" spans="1:6" ht="12.75">
      <c r="A51" s="6" t="s">
        <v>70</v>
      </c>
      <c r="B51" s="6"/>
      <c r="C51" s="6"/>
      <c r="D51" s="6">
        <f>D21</f>
        <v>2905.1104166666664</v>
      </c>
      <c r="E51" s="6" t="s">
        <v>40</v>
      </c>
      <c r="F51" s="6"/>
    </row>
    <row r="52" spans="1:6" ht="12.75">
      <c r="A52" s="6" t="s">
        <v>51</v>
      </c>
      <c r="B52" s="6"/>
      <c r="C52" s="6"/>
      <c r="D52" s="6">
        <f>SUM(D50:D51)</f>
        <v>72422.37791666666</v>
      </c>
      <c r="E52" s="6" t="s">
        <v>40</v>
      </c>
      <c r="F52" s="6"/>
    </row>
    <row r="53" spans="1:6" ht="12.75">
      <c r="A53" s="6"/>
      <c r="B53" s="6"/>
      <c r="C53" s="6"/>
      <c r="D53" s="6" t="s">
        <v>8</v>
      </c>
      <c r="E53" s="6"/>
      <c r="F53" s="6"/>
    </row>
    <row r="54" spans="1:6" ht="12.75">
      <c r="A54" s="18" t="s">
        <v>228</v>
      </c>
      <c r="B54" s="6"/>
      <c r="C54" s="6"/>
      <c r="D54" s="6" t="s">
        <v>8</v>
      </c>
      <c r="E54" s="6"/>
      <c r="F54" s="6"/>
    </row>
    <row r="55" spans="1:6" ht="12.75">
      <c r="A55" s="21" t="s">
        <v>52</v>
      </c>
      <c r="B55" s="21"/>
      <c r="C55" s="21"/>
      <c r="D55" s="11">
        <v>0.1494</v>
      </c>
      <c r="E55" s="6" t="s">
        <v>8</v>
      </c>
      <c r="F55" s="29">
        <f>D55*ADM!B37</f>
        <v>4337.9037</v>
      </c>
    </row>
    <row r="56" spans="1:6" ht="12.75">
      <c r="A56" s="6"/>
      <c r="B56" s="6"/>
      <c r="C56" s="6"/>
      <c r="D56" s="6"/>
      <c r="E56" s="6"/>
      <c r="F56" s="6"/>
    </row>
    <row r="57" spans="1:6" ht="12.75">
      <c r="A57" s="18" t="s">
        <v>239</v>
      </c>
      <c r="B57" s="6"/>
      <c r="C57" s="6"/>
      <c r="D57" s="6"/>
      <c r="E57" s="6"/>
      <c r="F57" s="6"/>
    </row>
    <row r="58" spans="1:6" ht="12.75">
      <c r="A58" s="6" t="s">
        <v>53</v>
      </c>
      <c r="B58" s="6"/>
      <c r="C58" s="6"/>
      <c r="D58" s="31">
        <v>0.15</v>
      </c>
      <c r="E58" s="6" t="s">
        <v>8</v>
      </c>
      <c r="F58" s="6">
        <f>D58*(D52+F55)</f>
        <v>11514.042242499998</v>
      </c>
    </row>
    <row r="59" spans="1:6" ht="12.75">
      <c r="A59" s="6"/>
      <c r="B59" s="6"/>
      <c r="C59" s="6"/>
      <c r="D59" s="6"/>
      <c r="E59" s="6"/>
      <c r="F59" s="6"/>
    </row>
    <row r="60" spans="1:6" ht="12.75">
      <c r="A60" s="18" t="s">
        <v>229</v>
      </c>
      <c r="B60" s="18"/>
      <c r="C60" s="18"/>
      <c r="D60" s="6"/>
      <c r="E60" s="6"/>
      <c r="F60" s="6">
        <f>F58+F55+D52</f>
        <v>88274.32385916666</v>
      </c>
    </row>
    <row r="61" spans="1:6" ht="12.75">
      <c r="A61" s="18"/>
      <c r="B61" s="18"/>
      <c r="C61" s="18"/>
      <c r="D61" s="6"/>
      <c r="E61" s="6"/>
      <c r="F61" s="6"/>
    </row>
    <row r="62" spans="1:6" ht="12.75">
      <c r="A62" s="22" t="s">
        <v>238</v>
      </c>
      <c r="B62" s="6"/>
      <c r="C62" s="6"/>
      <c r="D62" s="6"/>
      <c r="E62" s="6"/>
      <c r="F62" s="6"/>
    </row>
    <row r="63" spans="1:6" ht="12.75">
      <c r="A63" s="6" t="s">
        <v>53</v>
      </c>
      <c r="B63" s="6"/>
      <c r="C63" s="6"/>
      <c r="D63" s="11">
        <v>0.1425</v>
      </c>
      <c r="E63" s="6" t="s">
        <v>8</v>
      </c>
      <c r="F63" s="6">
        <f>+F60/0.8575</f>
        <v>102943.81791156462</v>
      </c>
    </row>
    <row r="64" spans="1:6" ht="12.75">
      <c r="A64" s="6"/>
      <c r="B64" s="6"/>
      <c r="C64" s="6"/>
      <c r="D64" s="6"/>
      <c r="E64" s="6"/>
      <c r="F64" s="6"/>
    </row>
    <row r="65" spans="1:6" ht="12.75">
      <c r="A65" s="32" t="s">
        <v>230</v>
      </c>
      <c r="B65" s="32"/>
      <c r="C65" s="32"/>
      <c r="D65" s="2"/>
      <c r="E65" s="2"/>
      <c r="F65" s="6"/>
    </row>
    <row r="66" spans="1:6" ht="12.75">
      <c r="A66" s="33" t="s">
        <v>54</v>
      </c>
      <c r="B66" s="33"/>
      <c r="C66" s="33"/>
      <c r="D66" s="2">
        <f>+F63</f>
        <v>102943.81791156462</v>
      </c>
      <c r="E66" s="2" t="s">
        <v>40</v>
      </c>
      <c r="F66" s="6"/>
    </row>
    <row r="67" spans="1:6" ht="12.75">
      <c r="A67" s="2" t="s">
        <v>55</v>
      </c>
      <c r="B67" s="2"/>
      <c r="C67" s="2"/>
      <c r="D67" s="2">
        <v>70</v>
      </c>
      <c r="E67" s="2" t="s">
        <v>56</v>
      </c>
      <c r="F67" s="6" t="s">
        <v>411</v>
      </c>
    </row>
    <row r="68" spans="1:6" ht="12.75">
      <c r="A68" s="2" t="s">
        <v>57</v>
      </c>
      <c r="B68" s="2"/>
      <c r="C68" s="2"/>
      <c r="D68" s="2">
        <f>ROUND(D66/D67,2)</f>
        <v>1470.63</v>
      </c>
      <c r="E68" s="2" t="s">
        <v>92</v>
      </c>
      <c r="F68" s="1"/>
    </row>
  </sheetData>
  <sheetProtection/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82" r:id="rId1"/>
  <headerFooter alignWithMargins="0">
    <oddHeader>&amp;C&amp;A</oddHeader>
  </headerFooter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D13" sqref="D13"/>
    </sheetView>
  </sheetViews>
  <sheetFormatPr defaultColWidth="12" defaultRowHeight="12.75"/>
  <cols>
    <col min="1" max="1" width="48" style="15" customWidth="1"/>
    <col min="2" max="2" width="8.5" style="15" customWidth="1"/>
    <col min="3" max="3" width="6" style="15" customWidth="1"/>
    <col min="4" max="4" width="12.83203125" style="15" customWidth="1"/>
    <col min="5" max="5" width="10.16015625" style="15" customWidth="1"/>
    <col min="6" max="6" width="15.33203125" style="15" customWidth="1"/>
    <col min="7" max="7" width="6.66015625" style="15" customWidth="1"/>
    <col min="8" max="16384" width="12" style="1" customWidth="1"/>
  </cols>
  <sheetData>
    <row r="1" spans="1:7" ht="18">
      <c r="A1" s="12" t="s">
        <v>248</v>
      </c>
      <c r="B1" s="16"/>
      <c r="C1" s="16"/>
      <c r="D1" s="16"/>
      <c r="E1" s="16"/>
      <c r="F1" s="16"/>
      <c r="G1" s="16"/>
    </row>
    <row r="2" spans="1:7" ht="18">
      <c r="A2" s="13"/>
      <c r="B2" s="16"/>
      <c r="C2" s="16"/>
      <c r="D2" s="16"/>
      <c r="E2" s="16"/>
      <c r="F2" s="16"/>
      <c r="G2" s="16"/>
    </row>
    <row r="3" spans="2:7" ht="12.75">
      <c r="B3" s="16"/>
      <c r="C3" s="16"/>
      <c r="D3" s="16"/>
      <c r="E3" s="16"/>
      <c r="F3" s="16"/>
      <c r="G3" s="16"/>
    </row>
    <row r="4" spans="2:7" ht="12.75">
      <c r="B4" s="16"/>
      <c r="C4" s="16"/>
      <c r="D4" s="16"/>
      <c r="E4" s="16"/>
      <c r="F4" s="16"/>
      <c r="G4" s="16"/>
    </row>
    <row r="5" spans="1:7" ht="12.75">
      <c r="A5" s="1"/>
      <c r="B5" s="16"/>
      <c r="C5" s="16"/>
      <c r="D5" s="16"/>
      <c r="E5" s="16"/>
      <c r="F5" s="16"/>
      <c r="G5" s="16"/>
    </row>
    <row r="6" spans="1:7" ht="12.75">
      <c r="A6" s="16" t="s">
        <v>0</v>
      </c>
      <c r="B6" s="16"/>
      <c r="C6" s="16"/>
      <c r="D6" s="16"/>
      <c r="E6" s="16"/>
      <c r="F6" s="16"/>
      <c r="G6" s="1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17" t="s">
        <v>236</v>
      </c>
      <c r="B8" s="17"/>
      <c r="C8" s="17"/>
      <c r="D8" s="2"/>
      <c r="E8" s="2"/>
      <c r="F8" s="2"/>
      <c r="G8" s="2"/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18" t="s">
        <v>35</v>
      </c>
      <c r="B10" s="18"/>
      <c r="C10" s="18"/>
      <c r="D10" s="2">
        <f>D15+D20</f>
        <v>12895.0576</v>
      </c>
      <c r="E10" s="6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20" t="s">
        <v>412</v>
      </c>
      <c r="B12" s="20"/>
      <c r="C12" s="20"/>
      <c r="D12" s="6">
        <v>4</v>
      </c>
      <c r="E12" s="6" t="s">
        <v>36</v>
      </c>
      <c r="F12" s="6"/>
      <c r="G12" s="6"/>
    </row>
    <row r="13" spans="1:7" ht="12.75">
      <c r="A13" s="21" t="s">
        <v>93</v>
      </c>
      <c r="B13" s="21"/>
      <c r="C13" s="21"/>
      <c r="D13" s="6">
        <f>+VARREDOR!B28</f>
        <v>3223.7644</v>
      </c>
      <c r="E13" s="21" t="s">
        <v>38</v>
      </c>
      <c r="F13" s="6"/>
      <c r="G13" s="6"/>
    </row>
    <row r="14" spans="1:7" ht="12.75">
      <c r="A14" s="20" t="s">
        <v>46</v>
      </c>
      <c r="B14" s="20"/>
      <c r="C14" s="20"/>
      <c r="D14" s="6">
        <f>D13*D12</f>
        <v>12895.0576</v>
      </c>
      <c r="E14" s="6" t="s">
        <v>40</v>
      </c>
      <c r="F14" s="6"/>
      <c r="G14" s="6"/>
    </row>
    <row r="15" spans="1:7" ht="12.75">
      <c r="A15" s="20" t="s">
        <v>39</v>
      </c>
      <c r="B15" s="20"/>
      <c r="C15" s="20"/>
      <c r="D15" s="6">
        <f>D14</f>
        <v>12895.0576</v>
      </c>
      <c r="E15" s="6" t="s">
        <v>40</v>
      </c>
      <c r="F15" s="6"/>
      <c r="G15" s="6"/>
    </row>
    <row r="16" spans="1:7" ht="35.25" customHeight="1">
      <c r="A16" s="20"/>
      <c r="B16" s="20"/>
      <c r="C16" s="20"/>
      <c r="D16" s="6"/>
      <c r="E16" s="6"/>
      <c r="F16" s="6"/>
      <c r="G16" s="6"/>
    </row>
    <row r="17" spans="1:7" ht="12.75">
      <c r="A17" s="21" t="s">
        <v>41</v>
      </c>
      <c r="B17" s="21"/>
      <c r="C17" s="21"/>
      <c r="D17" s="6">
        <v>0</v>
      </c>
      <c r="E17" s="6" t="s">
        <v>36</v>
      </c>
      <c r="F17" s="6"/>
      <c r="G17" s="6"/>
    </row>
    <row r="18" spans="1:7" ht="12.75">
      <c r="A18" s="6" t="s">
        <v>42</v>
      </c>
      <c r="B18" s="6"/>
      <c r="C18" s="6"/>
      <c r="D18" s="6">
        <f>+FISCAL!B29</f>
        <v>5041.9794999999995</v>
      </c>
      <c r="E18" s="6" t="s">
        <v>38</v>
      </c>
      <c r="F18" s="6"/>
      <c r="G18" s="6"/>
    </row>
    <row r="19" spans="1:7" ht="12.75">
      <c r="A19" s="20" t="s">
        <v>46</v>
      </c>
      <c r="B19" s="20"/>
      <c r="C19" s="20"/>
      <c r="D19" s="6">
        <f>+D18*D17</f>
        <v>0</v>
      </c>
      <c r="E19" s="6" t="s">
        <v>40</v>
      </c>
      <c r="F19" s="6"/>
      <c r="G19" s="6"/>
    </row>
    <row r="20" spans="1:7" ht="12.75">
      <c r="A20" s="6" t="s">
        <v>59</v>
      </c>
      <c r="B20" s="6"/>
      <c r="C20" s="6"/>
      <c r="D20" s="6">
        <f>D19</f>
        <v>0</v>
      </c>
      <c r="E20" s="6" t="s">
        <v>50</v>
      </c>
      <c r="F20" s="6"/>
      <c r="G20" s="6"/>
    </row>
    <row r="21" spans="1:7" ht="12.75">
      <c r="A21" s="20"/>
      <c r="B21" s="20"/>
      <c r="C21" s="20"/>
      <c r="D21" s="6"/>
      <c r="E21" s="6"/>
      <c r="F21" s="6"/>
      <c r="G21" s="6"/>
    </row>
    <row r="22" spans="1:7" ht="12.75">
      <c r="A22" s="22" t="s">
        <v>94</v>
      </c>
      <c r="B22" s="22"/>
      <c r="C22" s="22"/>
      <c r="D22" s="6">
        <f>D25+F25</f>
        <v>12879.051566666665</v>
      </c>
      <c r="E22" s="6"/>
      <c r="F22" s="6"/>
      <c r="G22" s="6"/>
    </row>
    <row r="23" spans="1:7" ht="12.75">
      <c r="A23" s="20" t="s">
        <v>220</v>
      </c>
      <c r="B23" s="20"/>
      <c r="C23" s="20"/>
      <c r="D23" s="6">
        <v>1</v>
      </c>
      <c r="E23" s="6" t="s">
        <v>36</v>
      </c>
      <c r="F23" s="6"/>
      <c r="G23" s="6"/>
    </row>
    <row r="24" spans="1:7" ht="12.75">
      <c r="A24" s="6" t="s">
        <v>64</v>
      </c>
      <c r="B24" s="6"/>
      <c r="C24" s="6"/>
      <c r="D24" s="6">
        <f>BASCULANTE!B64</f>
        <v>12879.051566666665</v>
      </c>
      <c r="E24" s="6" t="s">
        <v>38</v>
      </c>
      <c r="F24" s="6"/>
      <c r="G24" s="6"/>
    </row>
    <row r="25" spans="1:7" ht="12.75">
      <c r="A25" s="21" t="s">
        <v>221</v>
      </c>
      <c r="B25" s="21"/>
      <c r="C25" s="21"/>
      <c r="D25" s="6">
        <f>+D24*D23</f>
        <v>12879.051566666665</v>
      </c>
      <c r="E25" s="6" t="s">
        <v>40</v>
      </c>
      <c r="F25" s="6"/>
      <c r="G25" s="6"/>
    </row>
    <row r="26" spans="1:7" ht="12.75">
      <c r="A26" s="20"/>
      <c r="B26" s="20"/>
      <c r="C26" s="20"/>
      <c r="D26" s="6"/>
      <c r="E26" s="6"/>
      <c r="F26" s="6"/>
      <c r="G26" s="6"/>
    </row>
    <row r="27" spans="1:7" ht="12.75">
      <c r="A27" s="30" t="s">
        <v>90</v>
      </c>
      <c r="B27" s="30"/>
      <c r="C27" s="30"/>
      <c r="D27" s="23">
        <f>D43+D45</f>
        <v>1855.25</v>
      </c>
      <c r="E27" s="6"/>
      <c r="F27" s="6"/>
      <c r="G27" s="1"/>
    </row>
    <row r="28" spans="1:7" ht="12.75">
      <c r="A28" s="22"/>
      <c r="B28" s="22"/>
      <c r="C28" s="22"/>
      <c r="D28" s="23"/>
      <c r="E28" s="6"/>
      <c r="F28" s="6"/>
      <c r="G28" s="1"/>
    </row>
    <row r="29" spans="1:7" ht="12.75">
      <c r="A29" s="24" t="s">
        <v>129</v>
      </c>
      <c r="B29" s="25">
        <f>3*4</f>
        <v>12</v>
      </c>
      <c r="C29" s="35" t="s">
        <v>130</v>
      </c>
      <c r="D29" s="6">
        <f>B29*'[4]PREÇOS'!C6</f>
        <v>180</v>
      </c>
      <c r="E29" s="6" t="s">
        <v>40</v>
      </c>
      <c r="F29" s="25"/>
      <c r="G29" s="6"/>
    </row>
    <row r="30" spans="1:7" ht="12.75">
      <c r="A30" s="6" t="s">
        <v>131</v>
      </c>
      <c r="B30" s="25">
        <v>0</v>
      </c>
      <c r="C30" s="35" t="s">
        <v>130</v>
      </c>
      <c r="D30" s="6">
        <f>B30*'[4]PREÇOS'!C5</f>
        <v>0</v>
      </c>
      <c r="E30" s="6" t="s">
        <v>40</v>
      </c>
      <c r="F30" s="25"/>
      <c r="G30" s="6"/>
    </row>
    <row r="31" spans="1:7" ht="12.75">
      <c r="A31" s="6" t="s">
        <v>132</v>
      </c>
      <c r="B31" s="25">
        <f>3*12</f>
        <v>36</v>
      </c>
      <c r="C31" s="35" t="s">
        <v>130</v>
      </c>
      <c r="D31" s="6">
        <f>B31*'[4]PREÇOS'!C8</f>
        <v>180</v>
      </c>
      <c r="E31" s="6" t="s">
        <v>40</v>
      </c>
      <c r="F31" s="27"/>
      <c r="G31" s="6"/>
    </row>
    <row r="32" spans="1:7" ht="12.75">
      <c r="A32" s="6" t="s">
        <v>133</v>
      </c>
      <c r="B32" s="25">
        <v>0</v>
      </c>
      <c r="C32" s="35" t="s">
        <v>130</v>
      </c>
      <c r="D32" s="6">
        <f>B32*'[4]PREÇOS'!C7</f>
        <v>0</v>
      </c>
      <c r="E32" s="6" t="s">
        <v>40</v>
      </c>
      <c r="F32" s="27"/>
      <c r="G32" s="6"/>
    </row>
    <row r="33" spans="1:7" ht="12.75">
      <c r="A33" s="6" t="s">
        <v>134</v>
      </c>
      <c r="B33" s="25">
        <v>0</v>
      </c>
      <c r="C33" s="35" t="s">
        <v>130</v>
      </c>
      <c r="D33" s="6">
        <f>B33*'[4]PREÇOS'!C9</f>
        <v>0</v>
      </c>
      <c r="E33" s="6" t="s">
        <v>40</v>
      </c>
      <c r="F33" s="27"/>
      <c r="G33" s="6"/>
    </row>
    <row r="34" spans="1:7" ht="12.75">
      <c r="A34" s="6" t="s">
        <v>135</v>
      </c>
      <c r="B34" s="25">
        <v>0</v>
      </c>
      <c r="C34" s="35" t="s">
        <v>130</v>
      </c>
      <c r="D34" s="6">
        <f>B34*'[4]PREÇOS'!C10</f>
        <v>0</v>
      </c>
      <c r="E34" s="6" t="s">
        <v>40</v>
      </c>
      <c r="F34" s="27"/>
      <c r="G34" s="6"/>
    </row>
    <row r="35" spans="1:7" ht="12.75">
      <c r="A35" s="6" t="s">
        <v>115</v>
      </c>
      <c r="B35" s="25">
        <v>0</v>
      </c>
      <c r="C35" s="35"/>
      <c r="D35" s="6">
        <f>B35*'[4]PREÇOS'!C12</f>
        <v>0</v>
      </c>
      <c r="E35" s="6" t="s">
        <v>40</v>
      </c>
      <c r="F35" s="27"/>
      <c r="G35" s="6"/>
    </row>
    <row r="36" spans="1:7" ht="12.75">
      <c r="A36" s="6" t="s">
        <v>137</v>
      </c>
      <c r="B36" s="25">
        <v>0</v>
      </c>
      <c r="C36" s="35" t="s">
        <v>130</v>
      </c>
      <c r="D36" s="6">
        <f>B36*'[4]PREÇOS'!C17</f>
        <v>0</v>
      </c>
      <c r="E36" s="6" t="s">
        <v>40</v>
      </c>
      <c r="F36" s="27"/>
      <c r="G36" s="6"/>
    </row>
    <row r="37" spans="1:7" ht="12.75">
      <c r="A37" s="6" t="s">
        <v>136</v>
      </c>
      <c r="B37" s="25">
        <v>0</v>
      </c>
      <c r="C37" s="35" t="s">
        <v>130</v>
      </c>
      <c r="D37" s="6">
        <f>B37*'[4]PREÇOS'!C16</f>
        <v>0</v>
      </c>
      <c r="E37" s="6" t="s">
        <v>40</v>
      </c>
      <c r="F37" s="27"/>
      <c r="G37" s="6"/>
    </row>
    <row r="38" spans="1:7" ht="12.75">
      <c r="A38" s="6" t="s">
        <v>181</v>
      </c>
      <c r="B38" s="25">
        <v>0</v>
      </c>
      <c r="C38" s="35" t="s">
        <v>130</v>
      </c>
      <c r="D38" s="6">
        <f>+B38*'[4]PREÇOS'!C19</f>
        <v>0</v>
      </c>
      <c r="E38" s="6" t="str">
        <f>+E37</f>
        <v>R$</v>
      </c>
      <c r="F38" s="27"/>
      <c r="G38" s="6"/>
    </row>
    <row r="39" spans="1:7" ht="12.75">
      <c r="A39" s="6" t="s">
        <v>142</v>
      </c>
      <c r="B39" s="25">
        <f>3*12</f>
        <v>36</v>
      </c>
      <c r="C39" s="35" t="s">
        <v>130</v>
      </c>
      <c r="D39" s="6">
        <f>B39*'[4]PREÇOS'!C13</f>
        <v>360</v>
      </c>
      <c r="E39" s="6" t="s">
        <v>40</v>
      </c>
      <c r="F39" s="27"/>
      <c r="G39" s="6"/>
    </row>
    <row r="40" spans="1:7" ht="12.75">
      <c r="A40" s="6" t="s">
        <v>143</v>
      </c>
      <c r="B40" s="27">
        <f>2500*12</f>
        <v>30000</v>
      </c>
      <c r="C40" s="19" t="s">
        <v>141</v>
      </c>
      <c r="D40" s="6">
        <f>B40*'[4]PREÇOS'!C20</f>
        <v>21000</v>
      </c>
      <c r="E40" s="6" t="s">
        <v>40</v>
      </c>
      <c r="F40" s="27"/>
      <c r="G40" s="6"/>
    </row>
    <row r="41" spans="1:7" ht="12.75">
      <c r="A41" s="6" t="s">
        <v>75</v>
      </c>
      <c r="B41" s="6"/>
      <c r="C41" s="6"/>
      <c r="D41" s="6">
        <f>SUM(D29:D40)</f>
        <v>21720</v>
      </c>
      <c r="E41" s="6" t="s">
        <v>40</v>
      </c>
      <c r="F41" s="27"/>
      <c r="G41" s="6"/>
    </row>
    <row r="42" spans="1:7" ht="12.75">
      <c r="A42" s="6" t="s">
        <v>76</v>
      </c>
      <c r="B42" s="6"/>
      <c r="C42" s="6"/>
      <c r="D42" s="6">
        <v>12</v>
      </c>
      <c r="E42" s="6" t="s">
        <v>65</v>
      </c>
      <c r="F42" s="27"/>
      <c r="G42" s="6"/>
    </row>
    <row r="43" spans="1:7" ht="12.75">
      <c r="A43" s="6" t="s">
        <v>66</v>
      </c>
      <c r="B43" s="6"/>
      <c r="C43" s="6"/>
      <c r="D43" s="6">
        <f>+D41/+D42</f>
        <v>1810</v>
      </c>
      <c r="E43" s="6" t="s">
        <v>77</v>
      </c>
      <c r="F43" s="6"/>
      <c r="G43" s="6"/>
    </row>
    <row r="44" spans="1:7" ht="12.75">
      <c r="A44" s="6" t="s">
        <v>78</v>
      </c>
      <c r="B44" s="6"/>
      <c r="C44" s="6"/>
      <c r="D44" s="28">
        <v>0.025</v>
      </c>
      <c r="E44" s="6"/>
      <c r="F44" s="6"/>
      <c r="G44" s="6"/>
    </row>
    <row r="45" spans="1:7" ht="12.75">
      <c r="A45" s="6" t="s">
        <v>67</v>
      </c>
      <c r="B45" s="6"/>
      <c r="C45" s="6"/>
      <c r="D45" s="6">
        <f>D44*D43</f>
        <v>45.25</v>
      </c>
      <c r="E45" s="6" t="s">
        <v>77</v>
      </c>
      <c r="F45" s="6"/>
      <c r="G45" s="6"/>
    </row>
    <row r="46" spans="1:7" ht="12.75">
      <c r="A46" s="20"/>
      <c r="B46" s="20"/>
      <c r="C46" s="20"/>
      <c r="D46" s="6"/>
      <c r="E46" s="6"/>
      <c r="F46" s="6"/>
      <c r="G46" s="6"/>
    </row>
    <row r="47" spans="1:7" ht="12.75">
      <c r="A47" s="20"/>
      <c r="B47" s="20"/>
      <c r="C47" s="20"/>
      <c r="D47" s="6"/>
      <c r="E47" s="6"/>
      <c r="F47" s="6"/>
      <c r="G47" s="6"/>
    </row>
    <row r="48" spans="1:7" ht="12.75">
      <c r="A48" s="18" t="s">
        <v>69</v>
      </c>
      <c r="B48" s="18"/>
      <c r="C48" s="18"/>
      <c r="D48" s="6"/>
      <c r="E48" s="6"/>
      <c r="F48" s="6"/>
      <c r="G48" s="6"/>
    </row>
    <row r="49" spans="1:7" ht="12.75">
      <c r="A49" s="6" t="s">
        <v>74</v>
      </c>
      <c r="B49" s="6"/>
      <c r="C49" s="6"/>
      <c r="D49" s="6">
        <f>D10</f>
        <v>12895.0576</v>
      </c>
      <c r="E49" s="6" t="s">
        <v>40</v>
      </c>
      <c r="F49" s="6"/>
      <c r="G49" s="6"/>
    </row>
    <row r="50" spans="1:7" ht="12.75">
      <c r="A50" s="6" t="s">
        <v>70</v>
      </c>
      <c r="B50" s="6"/>
      <c r="C50" s="6"/>
      <c r="D50" s="6">
        <f>D27</f>
        <v>1855.25</v>
      </c>
      <c r="E50" s="6" t="s">
        <v>40</v>
      </c>
      <c r="F50" s="6"/>
      <c r="G50" s="6"/>
    </row>
    <row r="51" spans="1:7" ht="12.75">
      <c r="A51" s="6" t="s">
        <v>51</v>
      </c>
      <c r="B51" s="6"/>
      <c r="C51" s="6"/>
      <c r="D51" s="6">
        <f>SUM(D49:D50)</f>
        <v>14750.3076</v>
      </c>
      <c r="E51" s="6" t="s">
        <v>40</v>
      </c>
      <c r="F51" s="6"/>
      <c r="G51" s="6"/>
    </row>
    <row r="52" spans="1:7" ht="12.75">
      <c r="A52" s="6"/>
      <c r="B52" s="6"/>
      <c r="C52" s="6"/>
      <c r="D52" s="6" t="s">
        <v>8</v>
      </c>
      <c r="E52" s="6"/>
      <c r="F52" s="6"/>
      <c r="G52" s="6"/>
    </row>
    <row r="53" spans="1:7" ht="12.75">
      <c r="A53" s="18" t="s">
        <v>71</v>
      </c>
      <c r="B53" s="18"/>
      <c r="C53" s="18"/>
      <c r="D53" s="6" t="s">
        <v>8</v>
      </c>
      <c r="E53" s="6"/>
      <c r="F53" s="6"/>
      <c r="G53" s="6"/>
    </row>
    <row r="54" spans="1:7" ht="12.75">
      <c r="A54" s="6"/>
      <c r="B54" s="6"/>
      <c r="C54" s="6"/>
      <c r="D54" s="6" t="s">
        <v>8</v>
      </c>
      <c r="E54" s="6"/>
      <c r="F54" s="6"/>
      <c r="G54" s="6"/>
    </row>
    <row r="55" spans="1:7" ht="12.75">
      <c r="A55" s="21" t="s">
        <v>52</v>
      </c>
      <c r="B55" s="21"/>
      <c r="C55" s="21"/>
      <c r="D55" s="11">
        <v>0.0267</v>
      </c>
      <c r="E55" s="6" t="s">
        <v>8</v>
      </c>
      <c r="F55" s="29">
        <f>ROUND(D55*ADM!$B$37,2)</f>
        <v>775.25</v>
      </c>
      <c r="G55" s="6"/>
    </row>
    <row r="56" spans="1:7" ht="12.75">
      <c r="A56" s="6"/>
      <c r="B56" s="6"/>
      <c r="C56" s="6"/>
      <c r="D56" s="6"/>
      <c r="E56" s="6"/>
      <c r="F56" s="29"/>
      <c r="G56" s="6"/>
    </row>
    <row r="57" spans="1:7" ht="12.75">
      <c r="A57" s="18" t="s">
        <v>239</v>
      </c>
      <c r="B57" s="6"/>
      <c r="C57" s="6"/>
      <c r="D57" s="6"/>
      <c r="E57" s="6"/>
      <c r="F57" s="29"/>
      <c r="G57" s="6"/>
    </row>
    <row r="58" spans="1:7" ht="12.75">
      <c r="A58" s="6" t="s">
        <v>53</v>
      </c>
      <c r="B58" s="6"/>
      <c r="C58" s="6"/>
      <c r="D58" s="31">
        <v>0.15</v>
      </c>
      <c r="E58" s="6" t="s">
        <v>8</v>
      </c>
      <c r="F58" s="29">
        <f>+(D51+F55)*D58</f>
        <v>2328.83364</v>
      </c>
      <c r="G58" s="6"/>
    </row>
    <row r="59" spans="1:7" ht="12.75">
      <c r="A59" s="6"/>
      <c r="B59" s="6"/>
      <c r="C59" s="6"/>
      <c r="D59" s="6"/>
      <c r="E59" s="6"/>
      <c r="F59" s="29"/>
      <c r="G59" s="6"/>
    </row>
    <row r="60" spans="1:7" ht="12.75">
      <c r="A60" s="18" t="s">
        <v>72</v>
      </c>
      <c r="B60" s="18"/>
      <c r="C60" s="18"/>
      <c r="D60" s="6"/>
      <c r="E60" s="6"/>
      <c r="F60" s="29">
        <f>+F58+F55+D51</f>
        <v>17854.39124</v>
      </c>
      <c r="G60" s="6"/>
    </row>
    <row r="61" spans="1:7" ht="12.75">
      <c r="A61" s="6"/>
      <c r="B61" s="6"/>
      <c r="C61" s="6"/>
      <c r="D61" s="6"/>
      <c r="E61" s="6"/>
      <c r="F61" s="29"/>
      <c r="G61" s="6"/>
    </row>
    <row r="62" spans="1:7" ht="12.75">
      <c r="A62" s="22" t="s">
        <v>238</v>
      </c>
      <c r="B62" s="6"/>
      <c r="C62" s="6"/>
      <c r="D62" s="6"/>
      <c r="E62" s="6"/>
      <c r="F62" s="29"/>
      <c r="G62" s="6"/>
    </row>
    <row r="63" spans="1:7" ht="12.75">
      <c r="A63" s="6" t="s">
        <v>53</v>
      </c>
      <c r="B63" s="6"/>
      <c r="C63" s="6"/>
      <c r="D63" s="11">
        <v>0.1425</v>
      </c>
      <c r="E63" s="6" t="s">
        <v>8</v>
      </c>
      <c r="F63" s="6">
        <f>+F60/0.8575</f>
        <v>20821.44751020408</v>
      </c>
      <c r="G63" s="6"/>
    </row>
    <row r="64" ht="12.75">
      <c r="G64" s="6"/>
    </row>
    <row r="65" spans="1:7" ht="12.75">
      <c r="A65" s="34" t="s">
        <v>73</v>
      </c>
      <c r="B65" s="34"/>
      <c r="C65" s="34"/>
      <c r="D65" s="2"/>
      <c r="E65" s="2"/>
      <c r="F65" s="6"/>
      <c r="G65" s="6"/>
    </row>
    <row r="66" spans="1:7" ht="12.75">
      <c r="A66" s="2"/>
      <c r="B66" s="2"/>
      <c r="C66" s="2"/>
      <c r="D66" s="2"/>
      <c r="E66" s="2"/>
      <c r="F66" s="6"/>
      <c r="G66" s="6" t="s">
        <v>8</v>
      </c>
    </row>
    <row r="67" spans="1:7" ht="12.75">
      <c r="A67" s="33" t="s">
        <v>54</v>
      </c>
      <c r="B67" s="33"/>
      <c r="C67" s="33"/>
      <c r="D67" s="2">
        <f>+F63</f>
        <v>20821.44751020408</v>
      </c>
      <c r="E67" s="2" t="s">
        <v>40</v>
      </c>
      <c r="F67" s="6"/>
      <c r="G67" s="6"/>
    </row>
    <row r="68" spans="1:7" ht="12.75">
      <c r="A68" s="2" t="s">
        <v>55</v>
      </c>
      <c r="B68" s="2"/>
      <c r="C68" s="2"/>
      <c r="D68" s="2">
        <f>CAPINAÇÃO!D67</f>
        <v>70</v>
      </c>
      <c r="E68" s="2" t="s">
        <v>56</v>
      </c>
      <c r="F68" s="6"/>
      <c r="G68" s="6"/>
    </row>
    <row r="69" spans="1:7" ht="12.75">
      <c r="A69" s="2" t="s">
        <v>57</v>
      </c>
      <c r="B69" s="2"/>
      <c r="C69" s="2"/>
      <c r="D69" s="2">
        <f>ROUND(D67/D68,2)</f>
        <v>297.45</v>
      </c>
      <c r="E69" s="2" t="s">
        <v>92</v>
      </c>
      <c r="F69" s="1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ht="12.75">
      <c r="G71" s="6"/>
    </row>
    <row r="72" ht="12.75">
      <c r="G72" s="6"/>
    </row>
    <row r="73" ht="12.75">
      <c r="G73" s="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1">
      <selection activeCell="D55" sqref="D55"/>
    </sheetView>
  </sheetViews>
  <sheetFormatPr defaultColWidth="12" defaultRowHeight="12.75"/>
  <cols>
    <col min="1" max="1" width="43.33203125" style="15" customWidth="1"/>
    <col min="2" max="3" width="7.83203125" style="15" customWidth="1"/>
    <col min="4" max="4" width="16.66015625" style="15" customWidth="1"/>
    <col min="5" max="5" width="12" style="15" bestFit="1" customWidth="1"/>
    <col min="6" max="6" width="16.66015625" style="15" customWidth="1"/>
    <col min="7" max="7" width="9.5" style="15" bestFit="1" customWidth="1"/>
    <col min="8" max="16384" width="12" style="1" customWidth="1"/>
  </cols>
  <sheetData>
    <row r="1" spans="1:7" ht="18">
      <c r="A1" s="12" t="s">
        <v>248</v>
      </c>
      <c r="B1" s="16"/>
      <c r="C1" s="16"/>
      <c r="D1" s="16"/>
      <c r="E1" s="16"/>
      <c r="F1" s="16"/>
      <c r="G1" s="16"/>
    </row>
    <row r="2" spans="1:7" ht="18">
      <c r="A2" s="13"/>
      <c r="B2" s="16"/>
      <c r="C2" s="16"/>
      <c r="D2" s="16"/>
      <c r="E2" s="16"/>
      <c r="F2" s="16"/>
      <c r="G2" s="16"/>
    </row>
    <row r="3" spans="2:7" ht="12.75">
      <c r="B3" s="16"/>
      <c r="C3" s="16"/>
      <c r="D3" s="16"/>
      <c r="E3" s="16"/>
      <c r="F3" s="16"/>
      <c r="G3" s="16"/>
    </row>
    <row r="4" spans="1:7" ht="12.75">
      <c r="A4" s="14"/>
      <c r="B4" s="16"/>
      <c r="C4" s="16"/>
      <c r="D4" s="16"/>
      <c r="E4" s="16"/>
      <c r="F4" s="16"/>
      <c r="G4" s="16"/>
    </row>
    <row r="5" spans="1:7" ht="12.75">
      <c r="A5" s="1"/>
      <c r="B5" s="16"/>
      <c r="C5" s="16"/>
      <c r="D5" s="16"/>
      <c r="E5" s="16"/>
      <c r="F5" s="16"/>
      <c r="G5" s="16"/>
    </row>
    <row r="6" spans="1:7" ht="12.75">
      <c r="A6" s="16" t="s">
        <v>0</v>
      </c>
      <c r="B6" s="6"/>
      <c r="C6" s="6"/>
      <c r="D6" s="6"/>
      <c r="E6" s="6"/>
      <c r="F6" s="6"/>
      <c r="G6" s="6"/>
    </row>
    <row r="7" spans="2:7" ht="12.75">
      <c r="B7" s="17"/>
      <c r="C7" s="17"/>
      <c r="D7" s="2"/>
      <c r="E7" s="2"/>
      <c r="F7" s="2"/>
      <c r="G7" s="2"/>
    </row>
    <row r="8" spans="1:7" ht="12.75">
      <c r="A8" s="17" t="s">
        <v>270</v>
      </c>
      <c r="B8" s="17"/>
      <c r="C8" s="17"/>
      <c r="D8" s="2"/>
      <c r="E8" s="2"/>
      <c r="F8" s="2"/>
      <c r="G8" s="2"/>
    </row>
    <row r="9" spans="1:7" ht="12.75">
      <c r="A9" s="17"/>
      <c r="B9" s="17"/>
      <c r="C9" s="17"/>
      <c r="D9" s="2"/>
      <c r="E9" s="2"/>
      <c r="F9" s="2"/>
      <c r="G9" s="2"/>
    </row>
    <row r="10" spans="1:5" ht="12.75">
      <c r="A10" s="18" t="s">
        <v>35</v>
      </c>
      <c r="B10" s="18"/>
      <c r="C10" s="18"/>
      <c r="D10" s="2">
        <f>+D15+D20+D25+F15+F20+F25</f>
        <v>19431.333941486726</v>
      </c>
      <c r="E10" s="6"/>
    </row>
    <row r="11" spans="1:5" ht="12.75">
      <c r="A11" s="6"/>
      <c r="B11" s="6"/>
      <c r="C11" s="6"/>
      <c r="D11" s="19" t="s">
        <v>217</v>
      </c>
      <c r="E11" s="6"/>
    </row>
    <row r="12" spans="1:7" ht="12.75">
      <c r="A12" s="20" t="s">
        <v>95</v>
      </c>
      <c r="B12" s="20"/>
      <c r="C12" s="20"/>
      <c r="D12" s="39">
        <v>9</v>
      </c>
      <c r="E12" s="6" t="s">
        <v>36</v>
      </c>
      <c r="F12" s="6">
        <v>0</v>
      </c>
      <c r="G12" s="6"/>
    </row>
    <row r="13" spans="1:7" ht="12.75">
      <c r="A13" s="21" t="s">
        <v>58</v>
      </c>
      <c r="B13" s="21"/>
      <c r="C13" s="21"/>
      <c r="D13" s="6">
        <f>+COLETOR!B27</f>
        <v>1598.8171601651918</v>
      </c>
      <c r="E13" s="21" t="s">
        <v>38</v>
      </c>
      <c r="F13" s="6">
        <f>+COLETOR!B85</f>
        <v>0</v>
      </c>
      <c r="G13" s="21"/>
    </row>
    <row r="14" spans="1:7" ht="12.75">
      <c r="A14" s="20" t="s">
        <v>46</v>
      </c>
      <c r="B14" s="20"/>
      <c r="C14" s="20"/>
      <c r="D14" s="6">
        <f>+D13*D12</f>
        <v>14389.354441486727</v>
      </c>
      <c r="E14" s="6" t="s">
        <v>40</v>
      </c>
      <c r="F14" s="6">
        <f>ROUND(+F13*F12,2)</f>
        <v>0</v>
      </c>
      <c r="G14" s="6"/>
    </row>
    <row r="15" spans="1:7" ht="35.25" customHeight="1">
      <c r="A15" s="20" t="s">
        <v>218</v>
      </c>
      <c r="B15" s="20"/>
      <c r="C15" s="20"/>
      <c r="D15" s="6">
        <f>D14</f>
        <v>14389.354441486727</v>
      </c>
      <c r="E15" s="6" t="s">
        <v>50</v>
      </c>
      <c r="F15" s="6">
        <f>ROUND(SUM(F14:F14),2)</f>
        <v>0</v>
      </c>
      <c r="G15" s="6"/>
    </row>
    <row r="16" spans="1:5" ht="12.75">
      <c r="A16" s="21"/>
      <c r="B16" s="21"/>
      <c r="C16" s="21"/>
      <c r="D16" s="6"/>
      <c r="E16" s="6"/>
    </row>
    <row r="17" spans="1:6" ht="12.75">
      <c r="A17" s="21" t="s">
        <v>41</v>
      </c>
      <c r="B17" s="21"/>
      <c r="C17" s="21"/>
      <c r="D17" s="6">
        <v>1</v>
      </c>
      <c r="E17" s="6" t="s">
        <v>36</v>
      </c>
      <c r="F17" s="6"/>
    </row>
    <row r="18" spans="1:6" ht="12.75">
      <c r="A18" s="6" t="s">
        <v>42</v>
      </c>
      <c r="B18" s="6"/>
      <c r="C18" s="6"/>
      <c r="D18" s="6">
        <f>+FISCAL!B29</f>
        <v>5041.9794999999995</v>
      </c>
      <c r="E18" s="6" t="s">
        <v>38</v>
      </c>
      <c r="F18" s="6"/>
    </row>
    <row r="19" spans="1:6" ht="12.75">
      <c r="A19" s="20" t="s">
        <v>46</v>
      </c>
      <c r="B19" s="20"/>
      <c r="C19" s="20"/>
      <c r="D19" s="6">
        <f>+D18*D17</f>
        <v>5041.9794999999995</v>
      </c>
      <c r="E19" s="6" t="s">
        <v>40</v>
      </c>
      <c r="F19" s="6"/>
    </row>
    <row r="20" spans="1:6" ht="12.75">
      <c r="A20" s="6" t="s">
        <v>59</v>
      </c>
      <c r="B20" s="6"/>
      <c r="C20" s="6"/>
      <c r="D20" s="6">
        <f>D19</f>
        <v>5041.9794999999995</v>
      </c>
      <c r="E20" s="6" t="s">
        <v>50</v>
      </c>
      <c r="F20" s="6"/>
    </row>
    <row r="21" spans="1:6" ht="12.75">
      <c r="A21" s="6"/>
      <c r="B21" s="6"/>
      <c r="C21" s="6"/>
      <c r="D21" s="6"/>
      <c r="E21" s="6"/>
      <c r="F21" s="6"/>
    </row>
    <row r="22" spans="1:7" ht="12.75">
      <c r="A22" s="21" t="s">
        <v>60</v>
      </c>
      <c r="B22" s="21"/>
      <c r="C22" s="21"/>
      <c r="D22" s="6">
        <v>2</v>
      </c>
      <c r="E22" s="6" t="s">
        <v>36</v>
      </c>
      <c r="F22" s="6">
        <v>0</v>
      </c>
      <c r="G22" s="6"/>
    </row>
    <row r="23" spans="1:7" ht="12.75">
      <c r="A23" s="21" t="s">
        <v>61</v>
      </c>
      <c r="B23" s="21"/>
      <c r="C23" s="21"/>
      <c r="D23" s="6">
        <f>+MOTORISTA!B29</f>
        <v>4679.127399999999</v>
      </c>
      <c r="E23" s="6" t="s">
        <v>38</v>
      </c>
      <c r="F23" s="6">
        <f>+MOTORISTA!B55</f>
        <v>0</v>
      </c>
      <c r="G23" s="6"/>
    </row>
    <row r="24" spans="1:7" ht="12.75">
      <c r="A24" s="20" t="s">
        <v>46</v>
      </c>
      <c r="B24" s="20"/>
      <c r="C24" s="20"/>
      <c r="D24" s="6">
        <f>+F23*D22</f>
        <v>0</v>
      </c>
      <c r="E24" s="6" t="s">
        <v>40</v>
      </c>
      <c r="F24" s="6">
        <f>ROUND(+D23*F22,2)</f>
        <v>0</v>
      </c>
      <c r="G24" s="6"/>
    </row>
    <row r="25" spans="1:7" ht="12.75">
      <c r="A25" s="20" t="s">
        <v>63</v>
      </c>
      <c r="B25" s="20"/>
      <c r="C25" s="20"/>
      <c r="D25" s="6">
        <f>D24</f>
        <v>0</v>
      </c>
      <c r="E25" s="6" t="s">
        <v>50</v>
      </c>
      <c r="F25" s="6">
        <f>+F24</f>
        <v>0</v>
      </c>
      <c r="G25" s="6"/>
    </row>
    <row r="26" spans="1:5" ht="12.75">
      <c r="A26" s="6"/>
      <c r="B26" s="6"/>
      <c r="C26" s="6"/>
      <c r="D26" s="6"/>
      <c r="E26" s="6"/>
    </row>
    <row r="27" spans="1:5" ht="12.75">
      <c r="A27" s="22" t="s">
        <v>94</v>
      </c>
      <c r="B27" s="22"/>
      <c r="C27" s="22"/>
      <c r="D27" s="6">
        <f>D31+F31</f>
        <v>14205.848333333333</v>
      </c>
      <c r="E27" s="6"/>
    </row>
    <row r="28" spans="1:7" ht="12.75">
      <c r="A28" s="6"/>
      <c r="B28" s="6"/>
      <c r="C28" s="6"/>
      <c r="D28" s="6"/>
      <c r="E28" s="6"/>
      <c r="F28" s="19" t="s">
        <v>219</v>
      </c>
      <c r="G28" s="6"/>
    </row>
    <row r="29" spans="1:7" ht="12.75">
      <c r="A29" s="20" t="s">
        <v>252</v>
      </c>
      <c r="B29" s="20"/>
      <c r="C29" s="20"/>
      <c r="D29" s="6">
        <f>2</f>
        <v>2</v>
      </c>
      <c r="E29" s="6" t="s">
        <v>36</v>
      </c>
      <c r="F29" s="6">
        <v>0</v>
      </c>
      <c r="G29" s="6"/>
    </row>
    <row r="30" spans="1:6" ht="12.75">
      <c r="A30" s="6" t="s">
        <v>246</v>
      </c>
      <c r="B30" s="6"/>
      <c r="C30" s="6"/>
      <c r="D30" s="6">
        <f>BAÚ!B61</f>
        <v>7102.924166666667</v>
      </c>
      <c r="E30" s="6" t="s">
        <v>38</v>
      </c>
      <c r="F30" s="6">
        <v>0</v>
      </c>
    </row>
    <row r="31" spans="1:7" ht="12.75">
      <c r="A31" s="21" t="s">
        <v>247</v>
      </c>
      <c r="B31" s="21"/>
      <c r="C31" s="21"/>
      <c r="D31" s="6">
        <f>+D30*D29</f>
        <v>14205.848333333333</v>
      </c>
      <c r="E31" s="6" t="s">
        <v>40</v>
      </c>
      <c r="F31" s="6">
        <f>ROUND(F30*F29,2)</f>
        <v>0</v>
      </c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22" t="s">
        <v>90</v>
      </c>
      <c r="B33" s="22"/>
      <c r="C33" s="22"/>
      <c r="D33" s="23">
        <f>D44+D46</f>
        <v>27.675</v>
      </c>
      <c r="E33" s="6"/>
      <c r="F33" s="6"/>
      <c r="G33" s="1"/>
    </row>
    <row r="34" spans="1:7" ht="12.75">
      <c r="A34" s="22"/>
      <c r="B34" s="22"/>
      <c r="C34" s="22"/>
      <c r="D34" s="23"/>
      <c r="E34" s="6"/>
      <c r="F34" s="6"/>
      <c r="G34" s="1"/>
    </row>
    <row r="35" spans="1:7" ht="12.75">
      <c r="A35" s="24" t="s">
        <v>222</v>
      </c>
      <c r="B35" s="25">
        <f>1*4</f>
        <v>4</v>
      </c>
      <c r="C35" s="26" t="s">
        <v>130</v>
      </c>
      <c r="D35" s="6">
        <f>B35*PREÇOS!C10</f>
        <v>80</v>
      </c>
      <c r="E35" s="6" t="s">
        <v>40</v>
      </c>
      <c r="F35" s="25"/>
      <c r="G35" s="6"/>
    </row>
    <row r="36" spans="1:7" ht="12.75">
      <c r="A36" s="6" t="s">
        <v>131</v>
      </c>
      <c r="B36" s="27">
        <v>0</v>
      </c>
      <c r="C36" s="26" t="s">
        <v>130</v>
      </c>
      <c r="D36" s="6">
        <f>B36*PREÇOS!C9</f>
        <v>0</v>
      </c>
      <c r="E36" s="6" t="s">
        <v>40</v>
      </c>
      <c r="F36" s="27"/>
      <c r="G36" s="6"/>
    </row>
    <row r="37" spans="1:7" ht="12.75">
      <c r="A37" s="6" t="s">
        <v>132</v>
      </c>
      <c r="B37" s="27">
        <f>1*12</f>
        <v>12</v>
      </c>
      <c r="C37" s="26" t="s">
        <v>130</v>
      </c>
      <c r="D37" s="6">
        <f>+B37*PREÇOS!C12</f>
        <v>144</v>
      </c>
      <c r="E37" s="6" t="s">
        <v>40</v>
      </c>
      <c r="F37" s="27"/>
      <c r="G37" s="6"/>
    </row>
    <row r="38" spans="1:7" ht="12.75">
      <c r="A38" s="6" t="s">
        <v>133</v>
      </c>
      <c r="B38" s="27">
        <v>0</v>
      </c>
      <c r="C38" s="26" t="s">
        <v>130</v>
      </c>
      <c r="D38" s="6">
        <f>+B38*PREÇOS!C11</f>
        <v>0</v>
      </c>
      <c r="E38" s="6" t="s">
        <v>40</v>
      </c>
      <c r="F38" s="27"/>
      <c r="G38" s="6"/>
    </row>
    <row r="39" spans="1:7" ht="12.75">
      <c r="A39" s="6" t="s">
        <v>134</v>
      </c>
      <c r="B39" s="27">
        <f>+B38</f>
        <v>0</v>
      </c>
      <c r="C39" s="26" t="s">
        <v>130</v>
      </c>
      <c r="D39" s="6">
        <f>B39*PREÇOS!C13</f>
        <v>0</v>
      </c>
      <c r="E39" s="6" t="s">
        <v>40</v>
      </c>
      <c r="F39" s="27"/>
      <c r="G39" s="6"/>
    </row>
    <row r="40" spans="1:7" ht="12.75">
      <c r="A40" s="6" t="s">
        <v>223</v>
      </c>
      <c r="B40" s="27">
        <v>4</v>
      </c>
      <c r="C40" s="26" t="s">
        <v>130</v>
      </c>
      <c r="D40" s="6">
        <f>B40*PREÇOS!C16</f>
        <v>100</v>
      </c>
      <c r="E40" s="6" t="s">
        <v>40</v>
      </c>
      <c r="F40" s="27"/>
      <c r="G40" s="6"/>
    </row>
    <row r="41" spans="1:7" ht="12.75">
      <c r="A41" s="6" t="s">
        <v>117</v>
      </c>
      <c r="B41" s="27">
        <f>+B39</f>
        <v>0</v>
      </c>
      <c r="C41" s="26" t="s">
        <v>130</v>
      </c>
      <c r="D41" s="6">
        <f>+B41*PREÇOS!C18</f>
        <v>0</v>
      </c>
      <c r="E41" s="6" t="s">
        <v>40</v>
      </c>
      <c r="F41" s="27"/>
      <c r="G41" s="6"/>
    </row>
    <row r="42" spans="1:7" ht="12.75">
      <c r="A42" s="6" t="s">
        <v>75</v>
      </c>
      <c r="B42" s="6"/>
      <c r="C42" s="6"/>
      <c r="D42" s="6">
        <f>SUM(D35:D41)</f>
        <v>324</v>
      </c>
      <c r="E42" s="6" t="s">
        <v>40</v>
      </c>
      <c r="F42" s="6"/>
      <c r="G42" s="6"/>
    </row>
    <row r="43" spans="1:7" ht="12.75">
      <c r="A43" s="6" t="s">
        <v>76</v>
      </c>
      <c r="B43" s="6"/>
      <c r="C43" s="6"/>
      <c r="D43" s="6">
        <v>12</v>
      </c>
      <c r="E43" s="6" t="s">
        <v>65</v>
      </c>
      <c r="F43" s="6"/>
      <c r="G43" s="6"/>
    </row>
    <row r="44" spans="1:7" ht="12.75">
      <c r="A44" s="6" t="s">
        <v>66</v>
      </c>
      <c r="B44" s="6"/>
      <c r="C44" s="6"/>
      <c r="D44" s="6">
        <f>+D42/+D43</f>
        <v>27</v>
      </c>
      <c r="E44" s="6" t="s">
        <v>77</v>
      </c>
      <c r="F44" s="6"/>
      <c r="G44" s="6"/>
    </row>
    <row r="45" spans="1:7" ht="12.75">
      <c r="A45" s="6" t="s">
        <v>78</v>
      </c>
      <c r="B45" s="6"/>
      <c r="C45" s="6"/>
      <c r="D45" s="28">
        <v>0.025</v>
      </c>
      <c r="E45" s="6"/>
      <c r="F45" s="6"/>
      <c r="G45" s="6"/>
    </row>
    <row r="46" spans="1:7" ht="12.75">
      <c r="A46" s="6" t="s">
        <v>67</v>
      </c>
      <c r="B46" s="6"/>
      <c r="C46" s="6"/>
      <c r="D46" s="6">
        <f>D45*D44</f>
        <v>0.675</v>
      </c>
      <c r="E46" s="6" t="s">
        <v>77</v>
      </c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22" t="s">
        <v>69</v>
      </c>
      <c r="B48" s="22"/>
      <c r="C48" s="22"/>
      <c r="D48" s="6"/>
      <c r="E48" s="6"/>
      <c r="F48" s="6"/>
      <c r="G48" s="6"/>
    </row>
    <row r="49" spans="1:7" ht="12.75">
      <c r="A49" s="6" t="s">
        <v>74</v>
      </c>
      <c r="B49" s="6"/>
      <c r="C49" s="6"/>
      <c r="D49" s="6">
        <f>+D10</f>
        <v>19431.333941486726</v>
      </c>
      <c r="E49" s="6" t="s">
        <v>40</v>
      </c>
      <c r="F49" s="6"/>
      <c r="G49" s="6"/>
    </row>
    <row r="50" spans="1:7" ht="12.75">
      <c r="A50" s="6" t="s">
        <v>68</v>
      </c>
      <c r="B50" s="6"/>
      <c r="C50" s="6"/>
      <c r="D50" s="6">
        <f>+D27</f>
        <v>14205.848333333333</v>
      </c>
      <c r="E50" s="6" t="s">
        <v>40</v>
      </c>
      <c r="F50" s="6"/>
      <c r="G50" s="6"/>
    </row>
    <row r="51" spans="1:7" ht="12.75">
      <c r="A51" s="6" t="s">
        <v>70</v>
      </c>
      <c r="B51" s="6"/>
      <c r="C51" s="6"/>
      <c r="D51" s="39">
        <f>D33</f>
        <v>27.675</v>
      </c>
      <c r="E51" s="6" t="s">
        <v>40</v>
      </c>
      <c r="F51" s="6"/>
      <c r="G51" s="6"/>
    </row>
    <row r="52" spans="1:7" ht="12.75">
      <c r="A52" s="6" t="s">
        <v>51</v>
      </c>
      <c r="B52" s="6"/>
      <c r="C52" s="6"/>
      <c r="D52" s="6">
        <f>SUM(D49:D51)</f>
        <v>33664.85727482006</v>
      </c>
      <c r="E52" s="6" t="s">
        <v>40</v>
      </c>
      <c r="F52" s="6"/>
      <c r="G52" s="6"/>
    </row>
    <row r="53" spans="1:7" ht="12.75">
      <c r="A53" s="6"/>
      <c r="B53" s="6"/>
      <c r="C53" s="6"/>
      <c r="D53" s="6" t="s">
        <v>8</v>
      </c>
      <c r="E53" s="6"/>
      <c r="F53" s="6"/>
      <c r="G53" s="6"/>
    </row>
    <row r="54" spans="1:7" ht="12.75">
      <c r="A54" s="22" t="s">
        <v>71</v>
      </c>
      <c r="B54" s="22"/>
      <c r="C54" s="22"/>
      <c r="D54" s="6" t="s">
        <v>8</v>
      </c>
      <c r="E54" s="6"/>
      <c r="F54" s="6"/>
      <c r="G54" s="6"/>
    </row>
    <row r="55" spans="1:7" ht="12.75">
      <c r="A55" s="21" t="s">
        <v>52</v>
      </c>
      <c r="B55" s="21"/>
      <c r="C55" s="21"/>
      <c r="D55" s="11">
        <v>0.05</v>
      </c>
      <c r="E55" s="6" t="s">
        <v>8</v>
      </c>
      <c r="F55" s="29">
        <f>D55*ADM!B37</f>
        <v>1451.775</v>
      </c>
      <c r="G55" s="6"/>
    </row>
    <row r="56" spans="1:7" ht="12.75">
      <c r="A56" s="6"/>
      <c r="B56" s="6"/>
      <c r="C56" s="6"/>
      <c r="D56" s="6"/>
      <c r="E56" s="6"/>
      <c r="F56" s="29"/>
      <c r="G56" s="6"/>
    </row>
    <row r="57" spans="1:7" ht="12.75">
      <c r="A57" s="18" t="s">
        <v>239</v>
      </c>
      <c r="B57" s="6"/>
      <c r="C57" s="6"/>
      <c r="D57" s="6"/>
      <c r="E57" s="6"/>
      <c r="F57" s="29"/>
      <c r="G57" s="6"/>
    </row>
    <row r="58" spans="1:7" ht="12.75">
      <c r="A58" s="6" t="s">
        <v>53</v>
      </c>
      <c r="B58" s="6"/>
      <c r="C58" s="6"/>
      <c r="D58" s="31">
        <v>0.15</v>
      </c>
      <c r="E58" s="6" t="s">
        <v>8</v>
      </c>
      <c r="F58" s="29">
        <f>+(D52+F55)*D58</f>
        <v>5267.494841223009</v>
      </c>
      <c r="G58" s="6"/>
    </row>
    <row r="59" spans="1:7" ht="12.75">
      <c r="A59" s="6"/>
      <c r="B59" s="6"/>
      <c r="C59" s="6"/>
      <c r="D59" s="6"/>
      <c r="E59" s="6"/>
      <c r="F59" s="29"/>
      <c r="G59" s="6"/>
    </row>
    <row r="60" spans="1:7" ht="12.75">
      <c r="A60" s="22" t="s">
        <v>72</v>
      </c>
      <c r="B60" s="22"/>
      <c r="C60" s="22"/>
      <c r="D60" s="6"/>
      <c r="E60" s="6"/>
      <c r="F60" s="29">
        <f>+F58+F55+D52</f>
        <v>40384.12711604307</v>
      </c>
      <c r="G60" s="6"/>
    </row>
    <row r="61" spans="1:7" ht="12.75">
      <c r="A61" s="6"/>
      <c r="B61" s="6"/>
      <c r="C61" s="6"/>
      <c r="D61" s="6"/>
      <c r="E61" s="6"/>
      <c r="F61" s="29"/>
      <c r="G61" s="6"/>
    </row>
    <row r="62" spans="1:7" ht="12.75">
      <c r="A62" s="22" t="s">
        <v>238</v>
      </c>
      <c r="B62" s="6"/>
      <c r="C62" s="6"/>
      <c r="D62" s="6"/>
      <c r="E62" s="6"/>
      <c r="F62" s="29"/>
      <c r="G62" s="6"/>
    </row>
    <row r="63" spans="1:7" ht="12.75">
      <c r="A63" s="6" t="s">
        <v>53</v>
      </c>
      <c r="B63" s="6"/>
      <c r="C63" s="6"/>
      <c r="D63" s="11">
        <v>0.1425</v>
      </c>
      <c r="E63" s="6" t="s">
        <v>8</v>
      </c>
      <c r="F63" s="6">
        <f>+F60/0.8575</f>
        <v>47095.19197206189</v>
      </c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3.5" customHeight="1">
      <c r="A65" s="32" t="s">
        <v>73</v>
      </c>
      <c r="B65" s="32"/>
      <c r="C65" s="32"/>
      <c r="D65" s="2"/>
      <c r="E65" s="2"/>
      <c r="F65" s="6"/>
      <c r="G65" s="6"/>
    </row>
    <row r="66" spans="1:7" ht="12.75" customHeight="1">
      <c r="A66" s="33" t="s">
        <v>54</v>
      </c>
      <c r="B66" s="33"/>
      <c r="C66" s="33"/>
      <c r="D66" s="2">
        <f>+F63</f>
        <v>47095.19197206189</v>
      </c>
      <c r="E66" s="2" t="s">
        <v>40</v>
      </c>
      <c r="F66" s="6"/>
      <c r="G66" s="6"/>
    </row>
    <row r="67" spans="1:7" ht="12.75" customHeight="1">
      <c r="A67" s="2" t="s">
        <v>55</v>
      </c>
      <c r="B67" s="2"/>
      <c r="C67" s="2"/>
      <c r="D67" s="2">
        <v>2</v>
      </c>
      <c r="E67" s="2" t="s">
        <v>254</v>
      </c>
      <c r="F67" s="6"/>
      <c r="G67" s="6"/>
    </row>
    <row r="68" spans="1:7" ht="14.25" customHeight="1">
      <c r="A68" s="2" t="s">
        <v>57</v>
      </c>
      <c r="B68" s="2"/>
      <c r="C68" s="2"/>
      <c r="D68" s="2">
        <f>ROUND(D66/D67,2)</f>
        <v>23547.6</v>
      </c>
      <c r="E68" s="33" t="s">
        <v>253</v>
      </c>
      <c r="F68" s="1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40"/>
      <c r="B70" s="40"/>
      <c r="C70" s="40"/>
      <c r="G70" s="6"/>
    </row>
    <row r="71" ht="12.75">
      <c r="G71" s="6"/>
    </row>
    <row r="72" ht="12.75">
      <c r="G72" s="6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B12" sqref="B12"/>
    </sheetView>
  </sheetViews>
  <sheetFormatPr defaultColWidth="12" defaultRowHeight="12.75"/>
  <cols>
    <col min="1" max="1" width="65" style="1" customWidth="1"/>
    <col min="2" max="3" width="12" style="1" customWidth="1"/>
    <col min="4" max="4" width="15.66015625" style="1" bestFit="1" customWidth="1"/>
    <col min="5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2:5" ht="12.75">
      <c r="B2" s="15"/>
      <c r="C2" s="15"/>
      <c r="D2" s="15"/>
      <c r="E2" s="15"/>
    </row>
    <row r="3" spans="1:5" ht="12.75">
      <c r="A3" s="16" t="s">
        <v>0</v>
      </c>
      <c r="B3" s="16"/>
      <c r="C3" s="16"/>
      <c r="D3" s="16"/>
      <c r="E3" s="16"/>
    </row>
    <row r="4" spans="1:4" ht="12.75">
      <c r="A4" s="6"/>
      <c r="B4" s="6"/>
      <c r="C4" s="6"/>
      <c r="D4" s="6"/>
    </row>
    <row r="5" spans="1:4" ht="12.75">
      <c r="A5" s="33" t="s">
        <v>375</v>
      </c>
      <c r="B5" s="2"/>
      <c r="C5" s="2"/>
      <c r="D5" s="2"/>
    </row>
    <row r="7" spans="1:4" ht="12.75">
      <c r="A7" s="45" t="s">
        <v>1</v>
      </c>
      <c r="D7" s="159">
        <f>724/678</f>
        <v>1.0678466076696165</v>
      </c>
    </row>
    <row r="9" spans="1:2" ht="12.75">
      <c r="A9" s="45" t="s">
        <v>2</v>
      </c>
      <c r="B9" s="10">
        <f>'[1]COLETOR'!$B$10</f>
        <v>346.78400000000005</v>
      </c>
    </row>
    <row r="10" spans="1:2" ht="12.75">
      <c r="A10" s="45" t="s">
        <v>3</v>
      </c>
      <c r="B10" s="10">
        <f>+B9*0.4</f>
        <v>138.7136</v>
      </c>
    </row>
    <row r="11" spans="1:2" ht="12.75">
      <c r="A11" s="24" t="s">
        <v>4</v>
      </c>
      <c r="B11" s="10">
        <f>SUM(B9:B10)</f>
        <v>485.49760000000003</v>
      </c>
    </row>
    <row r="12" spans="1:2" ht="12.75">
      <c r="A12" s="45" t="s">
        <v>5</v>
      </c>
      <c r="B12" s="46">
        <v>0.95</v>
      </c>
    </row>
    <row r="13" spans="1:2" ht="12.75">
      <c r="A13" s="47" t="s">
        <v>6</v>
      </c>
      <c r="B13" s="48">
        <f>+B11+(B11*B12)</f>
        <v>946.7203200000001</v>
      </c>
    </row>
    <row r="15" ht="12.75">
      <c r="A15" s="45" t="s">
        <v>97</v>
      </c>
    </row>
    <row r="16" spans="1:4" ht="12.75">
      <c r="A16" s="1" t="s">
        <v>7</v>
      </c>
      <c r="C16" s="6"/>
      <c r="D16" s="6"/>
    </row>
    <row r="17" spans="1:4" ht="12.75">
      <c r="A17" s="45" t="s">
        <v>128</v>
      </c>
      <c r="B17" s="10">
        <f>ROUND((((B18+B19)*4)+(B20*6)+(B21*1))/12,2)</f>
        <v>57.83</v>
      </c>
      <c r="C17" s="6"/>
      <c r="D17" s="6"/>
    </row>
    <row r="18" spans="1:4" ht="12.75">
      <c r="A18" s="45" t="s">
        <v>163</v>
      </c>
      <c r="B18" s="10">
        <v>60</v>
      </c>
      <c r="C18" s="6"/>
      <c r="D18" s="6"/>
    </row>
    <row r="19" spans="1:4" ht="12.75">
      <c r="A19" s="45" t="s">
        <v>164</v>
      </c>
      <c r="B19" s="10">
        <f>'[2]PREÇOS'!C28</f>
        <v>24</v>
      </c>
      <c r="C19" s="6"/>
      <c r="D19" s="6"/>
    </row>
    <row r="20" spans="1:4" ht="12.75">
      <c r="A20" s="24" t="s">
        <v>165</v>
      </c>
      <c r="B20" s="10">
        <f>'[2]PREÇOS'!C27</f>
        <v>56</v>
      </c>
      <c r="C20" s="6"/>
      <c r="D20" s="6"/>
    </row>
    <row r="21" spans="1:4" ht="12.75">
      <c r="A21" s="24" t="s">
        <v>166</v>
      </c>
      <c r="B21" s="10">
        <f>'[2]PREÇOS'!C25</f>
        <v>22</v>
      </c>
      <c r="C21" s="6"/>
      <c r="D21" s="6"/>
    </row>
    <row r="22" spans="1:3" ht="12.75">
      <c r="A22" s="24" t="s">
        <v>177</v>
      </c>
      <c r="B22" s="38">
        <f>(85+2*26)*D7</f>
        <v>146.29498525073745</v>
      </c>
      <c r="C22" s="1" t="s">
        <v>370</v>
      </c>
    </row>
    <row r="23" spans="1:3" ht="12.75">
      <c r="A23" s="24" t="s">
        <v>273</v>
      </c>
      <c r="B23" s="38">
        <f>D7*298.64+C23</f>
        <v>437.9718549144543</v>
      </c>
      <c r="C23" s="10">
        <f>2.85*52-0.06*B11</f>
        <v>119.07014400000001</v>
      </c>
    </row>
    <row r="24" spans="1:2" ht="12.75">
      <c r="A24" s="24" t="s">
        <v>249</v>
      </c>
      <c r="B24" s="38">
        <v>10</v>
      </c>
    </row>
    <row r="25" spans="1:2" ht="12.75">
      <c r="A25" s="49" t="s">
        <v>250</v>
      </c>
      <c r="B25" s="50">
        <f>B22+B17+B23+B24</f>
        <v>652.0968401651917</v>
      </c>
    </row>
    <row r="27" spans="1:2" ht="12.75">
      <c r="A27" s="51" t="s">
        <v>9</v>
      </c>
      <c r="B27" s="52">
        <f>B25+B13</f>
        <v>1598.8171601651918</v>
      </c>
    </row>
    <row r="30" spans="1:2" ht="12.75">
      <c r="A30" s="33" t="s">
        <v>158</v>
      </c>
      <c r="B30" s="2"/>
    </row>
    <row r="31" spans="1:2" ht="12.75">
      <c r="A31" s="6"/>
      <c r="B31" s="6"/>
    </row>
    <row r="33" ht="12.75">
      <c r="A33" s="45" t="s">
        <v>1</v>
      </c>
    </row>
    <row r="35" spans="1:2" ht="12.75">
      <c r="A35" s="45" t="s">
        <v>2</v>
      </c>
      <c r="B35" s="10">
        <f>+B9</f>
        <v>346.78400000000005</v>
      </c>
    </row>
    <row r="36" spans="1:3" ht="12.75">
      <c r="A36" s="45" t="s">
        <v>3</v>
      </c>
      <c r="B36" s="10">
        <f>+B10</f>
        <v>138.7136</v>
      </c>
      <c r="C36" s="38"/>
    </row>
    <row r="37" spans="1:3" ht="12.75">
      <c r="A37" s="45" t="s">
        <v>162</v>
      </c>
      <c r="B37" s="10">
        <v>55</v>
      </c>
      <c r="C37" s="38"/>
    </row>
    <row r="38" spans="1:2" ht="12.75" customHeight="1">
      <c r="A38" s="24" t="s">
        <v>159</v>
      </c>
      <c r="B38" s="10">
        <f>SUM(B35:B37)</f>
        <v>540.4976</v>
      </c>
    </row>
    <row r="39" spans="1:2" ht="12.75" customHeight="1">
      <c r="A39" s="45" t="s">
        <v>160</v>
      </c>
      <c r="B39" s="46">
        <f>+B12</f>
        <v>0.95</v>
      </c>
    </row>
    <row r="40" spans="1:2" ht="12.75" customHeight="1">
      <c r="A40" s="47" t="s">
        <v>161</v>
      </c>
      <c r="B40" s="48">
        <f>+B38+(B38*B39)</f>
        <v>1053.97032</v>
      </c>
    </row>
    <row r="42" ht="12.75">
      <c r="A42" s="45" t="s">
        <v>97</v>
      </c>
    </row>
    <row r="43" ht="12.75">
      <c r="A43" s="1" t="s">
        <v>7</v>
      </c>
    </row>
    <row r="44" spans="1:2" ht="12.75">
      <c r="A44" s="45" t="s">
        <v>128</v>
      </c>
      <c r="B44" s="10">
        <f>ROUND((((B45+B46)*4)+(B47*6)+(B48*1))/12,2)</f>
        <v>57.83</v>
      </c>
    </row>
    <row r="45" spans="1:2" ht="12.75">
      <c r="A45" s="45" t="s">
        <v>163</v>
      </c>
      <c r="B45" s="10">
        <f>+B18</f>
        <v>60</v>
      </c>
    </row>
    <row r="46" spans="1:2" ht="12.75">
      <c r="A46" s="45" t="s">
        <v>164</v>
      </c>
      <c r="B46" s="10">
        <f>+B19</f>
        <v>24</v>
      </c>
    </row>
    <row r="47" spans="1:2" ht="12.75">
      <c r="A47" s="24" t="s">
        <v>165</v>
      </c>
      <c r="B47" s="10">
        <f>+B20</f>
        <v>56</v>
      </c>
    </row>
    <row r="48" spans="1:2" ht="12.75">
      <c r="A48" s="24" t="s">
        <v>166</v>
      </c>
      <c r="B48" s="10">
        <f>+B21</f>
        <v>22</v>
      </c>
    </row>
    <row r="49" spans="1:3" ht="12.75">
      <c r="A49" s="24" t="s">
        <v>177</v>
      </c>
      <c r="B49" s="38">
        <f>+B22</f>
        <v>146.29498525073745</v>
      </c>
      <c r="C49" s="1" t="str">
        <f>+C22</f>
        <v>vale transporte</v>
      </c>
    </row>
    <row r="50" spans="1:3" ht="12.75">
      <c r="A50" s="24" t="s">
        <v>273</v>
      </c>
      <c r="B50" s="38">
        <f>298.64*D7+C50</f>
        <v>434.6718549144543</v>
      </c>
      <c r="C50" s="10">
        <f>2.85*52-0.06*B38</f>
        <v>115.77014400000002</v>
      </c>
    </row>
    <row r="51" spans="1:2" ht="12.75">
      <c r="A51" s="24" t="s">
        <v>249</v>
      </c>
      <c r="B51" s="38">
        <v>10</v>
      </c>
    </row>
    <row r="52" spans="1:2" ht="12.75">
      <c r="A52" s="49" t="s">
        <v>250</v>
      </c>
      <c r="B52" s="50">
        <f>B49+B44+B50+B51</f>
        <v>648.7968401651917</v>
      </c>
    </row>
    <row r="54" spans="1:2" ht="12.75">
      <c r="A54" s="51" t="s">
        <v>9</v>
      </c>
      <c r="B54" s="52">
        <f>B52+B40</f>
        <v>1702.7671601651916</v>
      </c>
    </row>
    <row r="55" spans="1:2" ht="12.75">
      <c r="A55" s="49"/>
      <c r="B55" s="50"/>
    </row>
    <row r="56" spans="1:2" ht="12.75">
      <c r="A56" s="49"/>
      <c r="B56" s="50"/>
    </row>
    <row r="57" spans="1:2" ht="12.75">
      <c r="A57" s="49"/>
      <c r="B57" s="50"/>
    </row>
    <row r="58" spans="1:2" ht="12.75">
      <c r="A58" s="49"/>
      <c r="B58" s="50"/>
    </row>
    <row r="59" spans="1:2" ht="12.75">
      <c r="A59" s="49"/>
      <c r="B59" s="50"/>
    </row>
    <row r="60" spans="1:2" ht="12.75">
      <c r="A60" s="49"/>
      <c r="B60" s="50"/>
    </row>
    <row r="61" spans="1:2" ht="12.75">
      <c r="A61" s="49"/>
      <c r="B61" s="50"/>
    </row>
    <row r="62" spans="1:2" ht="12.75">
      <c r="A62" s="49"/>
      <c r="B62" s="50"/>
    </row>
    <row r="63" spans="1:2" ht="12.75">
      <c r="A63" s="49"/>
      <c r="B63" s="50"/>
    </row>
    <row r="64" spans="1:2" ht="12.75">
      <c r="A64" s="49"/>
      <c r="B64" s="50"/>
    </row>
    <row r="65" spans="1:2" ht="12.75">
      <c r="A65" s="49"/>
      <c r="B65" s="50"/>
    </row>
    <row r="66" spans="1:2" ht="12.75">
      <c r="A66" s="49"/>
      <c r="B66" s="50"/>
    </row>
    <row r="67" spans="1:2" ht="12.75">
      <c r="A67" s="49"/>
      <c r="B67" s="50"/>
    </row>
    <row r="68" spans="1:2" ht="12.75">
      <c r="A68" s="49"/>
      <c r="B68" s="50"/>
    </row>
    <row r="69" spans="1:2" ht="12.75">
      <c r="A69" s="49"/>
      <c r="B69" s="50"/>
    </row>
    <row r="70" spans="1:2" ht="12.75">
      <c r="A70" s="49"/>
      <c r="B70" s="50"/>
    </row>
    <row r="71" spans="1:2" ht="12.75">
      <c r="A71" s="49"/>
      <c r="B71" s="50"/>
    </row>
    <row r="72" spans="1:2" ht="12.75">
      <c r="A72" s="49"/>
      <c r="B72" s="50"/>
    </row>
    <row r="73" ht="12.75">
      <c r="A73" s="45"/>
    </row>
    <row r="74" spans="3:4" ht="12.75">
      <c r="C74" s="6"/>
      <c r="D74" s="6"/>
    </row>
    <row r="75" spans="1:4" ht="12.75">
      <c r="A75" s="45"/>
      <c r="B75" s="10"/>
      <c r="C75" s="6"/>
      <c r="D75" s="6"/>
    </row>
    <row r="76" spans="1:4" ht="12.75">
      <c r="A76" s="45"/>
      <c r="B76" s="10"/>
      <c r="C76" s="6"/>
      <c r="D76" s="6"/>
    </row>
    <row r="77" spans="1:4" ht="12.75">
      <c r="A77" s="45"/>
      <c r="B77" s="10"/>
      <c r="C77" s="6"/>
      <c r="D77" s="6"/>
    </row>
    <row r="78" spans="1:4" ht="12.75">
      <c r="A78" s="24"/>
      <c r="B78" s="10"/>
      <c r="C78" s="6"/>
      <c r="D78" s="6"/>
    </row>
    <row r="79" spans="1:4" ht="12.75">
      <c r="A79" s="24"/>
      <c r="B79" s="10"/>
      <c r="C79" s="6"/>
      <c r="D79" s="6"/>
    </row>
    <row r="80" spans="1:2" ht="12.75">
      <c r="A80" s="24"/>
      <c r="B80" s="38"/>
    </row>
    <row r="81" spans="1:2" ht="12.75">
      <c r="A81" s="24"/>
      <c r="B81" s="38"/>
    </row>
    <row r="82" spans="1:2" ht="12.75">
      <c r="A82" s="24"/>
      <c r="B82" s="38"/>
    </row>
    <row r="83" spans="1:2" ht="12.75">
      <c r="A83" s="49"/>
      <c r="B83" s="50"/>
    </row>
    <row r="84" spans="1:2" ht="12.75">
      <c r="A84" s="53"/>
      <c r="B84" s="53"/>
    </row>
    <row r="85" spans="1:2" ht="12.75">
      <c r="A85" s="51"/>
      <c r="B85" s="5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5">
      <selection activeCell="A23" sqref="A23"/>
    </sheetView>
  </sheetViews>
  <sheetFormatPr defaultColWidth="12" defaultRowHeight="12.75"/>
  <cols>
    <col min="1" max="1" width="43.33203125" style="15" customWidth="1"/>
    <col min="2" max="3" width="7.83203125" style="15" customWidth="1"/>
    <col min="4" max="4" width="16.66015625" style="15" customWidth="1"/>
    <col min="5" max="5" width="12" style="15" bestFit="1" customWidth="1"/>
    <col min="6" max="6" width="16.66015625" style="15" customWidth="1"/>
    <col min="7" max="7" width="9.5" style="15" bestFit="1" customWidth="1"/>
    <col min="8" max="16384" width="12" style="1" customWidth="1"/>
  </cols>
  <sheetData>
    <row r="1" spans="1:7" ht="18">
      <c r="A1" s="12" t="str">
        <f>SELETIVA!A1</f>
        <v>PREFEITURA MUNICIPAL DE VARZEA GRANDE</v>
      </c>
      <c r="B1" s="16"/>
      <c r="C1" s="16"/>
      <c r="D1" s="16"/>
      <c r="E1" s="16"/>
      <c r="F1" s="16"/>
      <c r="G1" s="16"/>
    </row>
    <row r="2" spans="1:7" ht="18">
      <c r="A2" s="13"/>
      <c r="B2" s="16"/>
      <c r="C2" s="16"/>
      <c r="D2" s="16"/>
      <c r="E2" s="16"/>
      <c r="F2" s="16"/>
      <c r="G2" s="16"/>
    </row>
    <row r="3" spans="2:7" ht="12.75">
      <c r="B3" s="16"/>
      <c r="C3" s="16"/>
      <c r="D3" s="16"/>
      <c r="E3" s="16"/>
      <c r="F3" s="16"/>
      <c r="G3" s="16"/>
    </row>
    <row r="4" spans="1:7" ht="12.75">
      <c r="A4" s="14"/>
      <c r="B4" s="16"/>
      <c r="C4" s="16"/>
      <c r="D4" s="16"/>
      <c r="E4" s="16"/>
      <c r="F4" s="16"/>
      <c r="G4" s="16"/>
    </row>
    <row r="5" spans="1:7" ht="12.75">
      <c r="A5" s="1"/>
      <c r="B5" s="16"/>
      <c r="C5" s="16"/>
      <c r="D5" s="16"/>
      <c r="E5" s="16"/>
      <c r="F5" s="16"/>
      <c r="G5" s="16"/>
    </row>
    <row r="6" spans="1:7" ht="12.75">
      <c r="A6" s="16" t="s">
        <v>0</v>
      </c>
      <c r="B6" s="6"/>
      <c r="C6" s="6"/>
      <c r="D6" s="6"/>
      <c r="E6" s="6"/>
      <c r="F6" s="6"/>
      <c r="G6" s="6"/>
    </row>
    <row r="7" spans="2:7" ht="12.75">
      <c r="B7" s="17"/>
      <c r="C7" s="17"/>
      <c r="D7" s="2"/>
      <c r="E7" s="2"/>
      <c r="F7" s="2"/>
      <c r="G7" s="2"/>
    </row>
    <row r="8" spans="1:7" ht="12.75">
      <c r="A8" s="17" t="s">
        <v>269</v>
      </c>
      <c r="B8" s="17"/>
      <c r="C8" s="17"/>
      <c r="D8" s="2"/>
      <c r="E8" s="2"/>
      <c r="F8" s="2"/>
      <c r="G8" s="2"/>
    </row>
    <row r="9" spans="1:7" ht="12.75">
      <c r="A9" s="17"/>
      <c r="B9" s="17"/>
      <c r="C9" s="17"/>
      <c r="D9" s="2"/>
      <c r="E9" s="2"/>
      <c r="F9" s="2"/>
      <c r="G9" s="2"/>
    </row>
    <row r="10" spans="1:5" ht="12.75">
      <c r="A10" s="18" t="s">
        <v>35</v>
      </c>
      <c r="B10" s="18"/>
      <c r="C10" s="18"/>
      <c r="D10" s="2">
        <f>+D15+D20+D25+F15+F20+F25</f>
        <v>12675.7532</v>
      </c>
      <c r="E10" s="6"/>
    </row>
    <row r="11" spans="1:5" ht="12.75">
      <c r="A11" s="6"/>
      <c r="B11" s="6"/>
      <c r="C11" s="6"/>
      <c r="D11" s="19" t="s">
        <v>217</v>
      </c>
      <c r="E11" s="6"/>
    </row>
    <row r="12" spans="1:7" ht="12.75">
      <c r="A12" s="20" t="s">
        <v>343</v>
      </c>
      <c r="B12" s="20"/>
      <c r="C12" s="20"/>
      <c r="D12" s="39">
        <v>3</v>
      </c>
      <c r="E12" s="6" t="s">
        <v>36</v>
      </c>
      <c r="F12" s="6">
        <v>0</v>
      </c>
      <c r="G12" s="6"/>
    </row>
    <row r="13" spans="1:7" ht="12.75">
      <c r="A13" s="21" t="s">
        <v>344</v>
      </c>
      <c r="B13" s="21"/>
      <c r="C13" s="21"/>
      <c r="D13" s="6">
        <f>VARREDOR!B28</f>
        <v>3223.7644</v>
      </c>
      <c r="E13" s="21" t="s">
        <v>38</v>
      </c>
      <c r="F13" s="6">
        <f>+'[5]COLETOR'!B85</f>
        <v>0</v>
      </c>
      <c r="G13" s="21"/>
    </row>
    <row r="14" spans="1:7" ht="12.75">
      <c r="A14" s="20" t="s">
        <v>46</v>
      </c>
      <c r="B14" s="20"/>
      <c r="C14" s="20"/>
      <c r="D14" s="6">
        <f>+D13*D12</f>
        <v>9671.2932</v>
      </c>
      <c r="E14" s="6" t="s">
        <v>40</v>
      </c>
      <c r="F14" s="6">
        <f>ROUND(+F13*F12,2)</f>
        <v>0</v>
      </c>
      <c r="G14" s="6"/>
    </row>
    <row r="15" spans="1:7" ht="12.75">
      <c r="A15" s="20" t="s">
        <v>218</v>
      </c>
      <c r="B15" s="20"/>
      <c r="C15" s="20"/>
      <c r="D15" s="6">
        <f>D14</f>
        <v>9671.2932</v>
      </c>
      <c r="E15" s="6" t="s">
        <v>50</v>
      </c>
      <c r="F15" s="6">
        <f>ROUND(SUM(F14:F14),2)</f>
        <v>0</v>
      </c>
      <c r="G15" s="6"/>
    </row>
    <row r="16" spans="1:5" ht="12.75">
      <c r="A16" s="21"/>
      <c r="B16" s="21"/>
      <c r="C16" s="21"/>
      <c r="D16" s="6"/>
      <c r="E16" s="6"/>
    </row>
    <row r="17" spans="1:6" ht="12.75">
      <c r="A17" s="21" t="s">
        <v>345</v>
      </c>
      <c r="B17" s="21"/>
      <c r="C17" s="21"/>
      <c r="D17" s="6">
        <v>1</v>
      </c>
      <c r="E17" s="6" t="s">
        <v>36</v>
      </c>
      <c r="F17" s="6"/>
    </row>
    <row r="18" spans="1:6" ht="12.75">
      <c r="A18" s="6" t="s">
        <v>346</v>
      </c>
      <c r="B18" s="6"/>
      <c r="C18" s="6"/>
      <c r="D18" s="6">
        <f>FISCAL!B57</f>
        <v>0</v>
      </c>
      <c r="E18" s="6" t="s">
        <v>38</v>
      </c>
      <c r="F18" s="6"/>
    </row>
    <row r="19" spans="1:6" ht="12.75">
      <c r="A19" s="20" t="s">
        <v>46</v>
      </c>
      <c r="B19" s="20"/>
      <c r="C19" s="20"/>
      <c r="D19" s="6">
        <f>+D18*D17</f>
        <v>0</v>
      </c>
      <c r="E19" s="6" t="s">
        <v>40</v>
      </c>
      <c r="F19" s="6"/>
    </row>
    <row r="20" spans="1:6" ht="12.75">
      <c r="A20" s="6" t="s">
        <v>59</v>
      </c>
      <c r="B20" s="6"/>
      <c r="C20" s="6"/>
      <c r="D20" s="6">
        <f>D19</f>
        <v>0</v>
      </c>
      <c r="E20" s="6" t="s">
        <v>50</v>
      </c>
      <c r="F20" s="6"/>
    </row>
    <row r="21" spans="1:6" ht="12.75">
      <c r="A21" s="6"/>
      <c r="B21" s="6"/>
      <c r="C21" s="6"/>
      <c r="D21" s="6"/>
      <c r="E21" s="6"/>
      <c r="F21" s="6"/>
    </row>
    <row r="22" spans="1:7" ht="12.75">
      <c r="A22" s="21" t="s">
        <v>60</v>
      </c>
      <c r="B22" s="21"/>
      <c r="C22" s="21"/>
      <c r="D22" s="6">
        <v>1</v>
      </c>
      <c r="E22" s="6" t="s">
        <v>36</v>
      </c>
      <c r="F22" s="6">
        <v>0</v>
      </c>
      <c r="G22" s="6"/>
    </row>
    <row r="23" spans="1:7" ht="12.75">
      <c r="A23" s="21" t="s">
        <v>61</v>
      </c>
      <c r="B23" s="21"/>
      <c r="C23" s="21"/>
      <c r="D23" s="6">
        <f>MOTORISTA!B29</f>
        <v>4679.127399999999</v>
      </c>
      <c r="E23" s="6" t="s">
        <v>38</v>
      </c>
      <c r="F23" s="6">
        <f>+'[5]MOTORISTA'!B57</f>
        <v>3004.46</v>
      </c>
      <c r="G23" s="6"/>
    </row>
    <row r="24" spans="1:7" ht="12.75">
      <c r="A24" s="20" t="s">
        <v>46</v>
      </c>
      <c r="B24" s="20"/>
      <c r="C24" s="20"/>
      <c r="D24" s="6">
        <f>+F23*D22</f>
        <v>3004.46</v>
      </c>
      <c r="E24" s="6" t="s">
        <v>40</v>
      </c>
      <c r="F24" s="6">
        <f>ROUND(+D23*F22,2)</f>
        <v>0</v>
      </c>
      <c r="G24" s="6"/>
    </row>
    <row r="25" spans="1:7" ht="12.75">
      <c r="A25" s="20" t="s">
        <v>63</v>
      </c>
      <c r="B25" s="20"/>
      <c r="C25" s="20"/>
      <c r="D25" s="6">
        <f>D24</f>
        <v>3004.46</v>
      </c>
      <c r="E25" s="6" t="s">
        <v>50</v>
      </c>
      <c r="F25" s="6">
        <f>+F24</f>
        <v>0</v>
      </c>
      <c r="G25" s="6"/>
    </row>
    <row r="26" spans="1:5" ht="12.75">
      <c r="A26" s="6"/>
      <c r="B26" s="6"/>
      <c r="C26" s="6"/>
      <c r="D26" s="6"/>
      <c r="E26" s="6"/>
    </row>
    <row r="27" spans="1:5" ht="12.75">
      <c r="A27" s="22" t="s">
        <v>94</v>
      </c>
      <c r="B27" s="22"/>
      <c r="C27" s="22"/>
      <c r="D27" s="6">
        <f>D31+F31</f>
        <v>5100</v>
      </c>
      <c r="E27" s="6"/>
    </row>
    <row r="28" spans="1:7" ht="12.75">
      <c r="A28" s="6"/>
      <c r="B28" s="6"/>
      <c r="C28" s="6"/>
      <c r="D28" s="6"/>
      <c r="E28" s="6"/>
      <c r="F28" s="19" t="s">
        <v>219</v>
      </c>
      <c r="G28" s="6"/>
    </row>
    <row r="29" spans="1:7" ht="12.75">
      <c r="A29" s="20" t="s">
        <v>347</v>
      </c>
      <c r="B29" s="20"/>
      <c r="C29" s="20"/>
      <c r="D29" s="6">
        <v>1</v>
      </c>
      <c r="E29" s="6" t="s">
        <v>36</v>
      </c>
      <c r="F29" s="6">
        <v>0</v>
      </c>
      <c r="G29" s="6"/>
    </row>
    <row r="30" spans="1:6" ht="12.75">
      <c r="A30" s="6" t="s">
        <v>348</v>
      </c>
      <c r="B30" s="6"/>
      <c r="C30" s="6"/>
      <c r="D30" s="6">
        <f>30*170</f>
        <v>5100</v>
      </c>
      <c r="E30" s="6" t="s">
        <v>38</v>
      </c>
      <c r="F30" s="6">
        <v>0</v>
      </c>
    </row>
    <row r="31" spans="1:7" ht="12.75">
      <c r="A31" s="21" t="s">
        <v>247</v>
      </c>
      <c r="B31" s="21"/>
      <c r="C31" s="21"/>
      <c r="D31" s="6">
        <f>+D30*D29</f>
        <v>5100</v>
      </c>
      <c r="E31" s="6" t="s">
        <v>40</v>
      </c>
      <c r="F31" s="6">
        <f>ROUND(F30*F29,2)</f>
        <v>0</v>
      </c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22" t="s">
        <v>90</v>
      </c>
      <c r="B33" s="22"/>
      <c r="C33" s="22"/>
      <c r="D33" s="23">
        <f>D44+D46</f>
        <v>0</v>
      </c>
      <c r="E33" s="6"/>
      <c r="F33" s="6"/>
      <c r="G33" s="1"/>
    </row>
    <row r="34" spans="1:7" ht="12.75">
      <c r="A34" s="22"/>
      <c r="B34" s="22"/>
      <c r="C34" s="22"/>
      <c r="D34" s="23"/>
      <c r="E34" s="6"/>
      <c r="F34" s="6"/>
      <c r="G34" s="1"/>
    </row>
    <row r="35" spans="1:7" ht="12.75">
      <c r="A35" s="24" t="s">
        <v>222</v>
      </c>
      <c r="B35" s="25">
        <v>0</v>
      </c>
      <c r="C35" s="26" t="s">
        <v>130</v>
      </c>
      <c r="D35" s="6">
        <f>B35*'[6]PREÇOS'!C10</f>
        <v>0</v>
      </c>
      <c r="E35" s="6" t="s">
        <v>40</v>
      </c>
      <c r="F35" s="25"/>
      <c r="G35" s="6"/>
    </row>
    <row r="36" spans="1:7" ht="12.75">
      <c r="A36" s="6" t="s">
        <v>131</v>
      </c>
      <c r="B36" s="27">
        <v>0</v>
      </c>
      <c r="C36" s="26" t="s">
        <v>130</v>
      </c>
      <c r="D36" s="6">
        <f>B36*'[6]PREÇOS'!C11</f>
        <v>0</v>
      </c>
      <c r="E36" s="6" t="s">
        <v>40</v>
      </c>
      <c r="F36" s="27"/>
      <c r="G36" s="6"/>
    </row>
    <row r="37" spans="1:7" ht="12.75">
      <c r="A37" s="6" t="s">
        <v>132</v>
      </c>
      <c r="B37" s="27">
        <v>0</v>
      </c>
      <c r="C37" s="26" t="s">
        <v>130</v>
      </c>
      <c r="D37" s="6">
        <f>B37*'[6]PREÇOS'!C12</f>
        <v>0</v>
      </c>
      <c r="E37" s="6" t="s">
        <v>40</v>
      </c>
      <c r="F37" s="27"/>
      <c r="G37" s="6"/>
    </row>
    <row r="38" spans="1:7" ht="12.75">
      <c r="A38" s="6" t="s">
        <v>133</v>
      </c>
      <c r="B38" s="27">
        <v>0</v>
      </c>
      <c r="C38" s="26" t="s">
        <v>130</v>
      </c>
      <c r="D38" s="6">
        <f>B38*'[6]PREÇOS'!C13</f>
        <v>0</v>
      </c>
      <c r="E38" s="6" t="s">
        <v>40</v>
      </c>
      <c r="F38" s="27"/>
      <c r="G38" s="6"/>
    </row>
    <row r="39" spans="1:7" ht="12.75">
      <c r="A39" s="6" t="s">
        <v>134</v>
      </c>
      <c r="B39" s="27">
        <f>+B38</f>
        <v>0</v>
      </c>
      <c r="C39" s="26" t="s">
        <v>130</v>
      </c>
      <c r="D39" s="6">
        <f>B39*'[6]PREÇOS'!C14</f>
        <v>0</v>
      </c>
      <c r="E39" s="6" t="s">
        <v>40</v>
      </c>
      <c r="F39" s="27"/>
      <c r="G39" s="6"/>
    </row>
    <row r="40" spans="1:7" ht="12.75">
      <c r="A40" s="6" t="s">
        <v>223</v>
      </c>
      <c r="B40" s="27">
        <v>0</v>
      </c>
      <c r="C40" s="26" t="s">
        <v>130</v>
      </c>
      <c r="D40" s="6">
        <f>B40*'[6]PREÇOS'!C16</f>
        <v>0</v>
      </c>
      <c r="E40" s="6" t="s">
        <v>40</v>
      </c>
      <c r="F40" s="27"/>
      <c r="G40" s="6"/>
    </row>
    <row r="41" spans="1:7" ht="12.75">
      <c r="A41" s="6" t="s">
        <v>117</v>
      </c>
      <c r="B41" s="27">
        <f>+B39</f>
        <v>0</v>
      </c>
      <c r="C41" s="26" t="s">
        <v>130</v>
      </c>
      <c r="D41" s="6">
        <f>B41*'[6]PREÇOS'!C16</f>
        <v>0</v>
      </c>
      <c r="E41" s="6" t="s">
        <v>40</v>
      </c>
      <c r="F41" s="27"/>
      <c r="G41" s="6"/>
    </row>
    <row r="42" spans="1:7" ht="12.75">
      <c r="A42" s="6" t="s">
        <v>75</v>
      </c>
      <c r="B42" s="6"/>
      <c r="C42" s="6"/>
      <c r="D42" s="6">
        <f>SUM(D35:D41)</f>
        <v>0</v>
      </c>
      <c r="E42" s="6" t="s">
        <v>40</v>
      </c>
      <c r="F42" s="6"/>
      <c r="G42" s="6"/>
    </row>
    <row r="43" spans="1:7" ht="12.75">
      <c r="A43" s="6" t="s">
        <v>76</v>
      </c>
      <c r="B43" s="6"/>
      <c r="C43" s="6"/>
      <c r="D43" s="6">
        <v>12</v>
      </c>
      <c r="E43" s="6" t="s">
        <v>65</v>
      </c>
      <c r="F43" s="6"/>
      <c r="G43" s="6"/>
    </row>
    <row r="44" spans="1:7" ht="12.75">
      <c r="A44" s="6" t="s">
        <v>66</v>
      </c>
      <c r="B44" s="6"/>
      <c r="C44" s="6"/>
      <c r="D44" s="6">
        <f>+D42/+D43</f>
        <v>0</v>
      </c>
      <c r="E44" s="6" t="s">
        <v>77</v>
      </c>
      <c r="F44" s="6"/>
      <c r="G44" s="6"/>
    </row>
    <row r="45" spans="1:7" ht="12.75">
      <c r="A45" s="6" t="s">
        <v>78</v>
      </c>
      <c r="B45" s="6"/>
      <c r="C45" s="6"/>
      <c r="D45" s="28">
        <v>0.025</v>
      </c>
      <c r="E45" s="6"/>
      <c r="F45" s="6"/>
      <c r="G45" s="6"/>
    </row>
    <row r="46" spans="1:7" ht="12.75">
      <c r="A46" s="6" t="s">
        <v>67</v>
      </c>
      <c r="B46" s="6"/>
      <c r="C46" s="6"/>
      <c r="D46" s="6">
        <f>D45*D44</f>
        <v>0</v>
      </c>
      <c r="E46" s="6" t="s">
        <v>77</v>
      </c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22" t="s">
        <v>69</v>
      </c>
      <c r="B48" s="22"/>
      <c r="C48" s="22"/>
      <c r="D48" s="6"/>
      <c r="E48" s="6"/>
      <c r="F48" s="6"/>
      <c r="G48" s="6"/>
    </row>
    <row r="49" spans="1:7" ht="12.75">
      <c r="A49" s="6" t="s">
        <v>74</v>
      </c>
      <c r="B49" s="6"/>
      <c r="C49" s="6"/>
      <c r="D49" s="6">
        <f>+D10</f>
        <v>12675.7532</v>
      </c>
      <c r="E49" s="6" t="s">
        <v>40</v>
      </c>
      <c r="F49" s="6"/>
      <c r="G49" s="6"/>
    </row>
    <row r="50" spans="1:7" ht="12.75">
      <c r="A50" s="6" t="s">
        <v>68</v>
      </c>
      <c r="B50" s="6"/>
      <c r="C50" s="6"/>
      <c r="D50" s="6">
        <f>+D27</f>
        <v>5100</v>
      </c>
      <c r="E50" s="6" t="s">
        <v>40</v>
      </c>
      <c r="F50" s="6"/>
      <c r="G50" s="6"/>
    </row>
    <row r="51" spans="1:7" ht="12.75">
      <c r="A51" s="6" t="s">
        <v>70</v>
      </c>
      <c r="B51" s="6"/>
      <c r="C51" s="6"/>
      <c r="D51" s="39">
        <f>D33</f>
        <v>0</v>
      </c>
      <c r="E51" s="6" t="s">
        <v>40</v>
      </c>
      <c r="F51" s="6"/>
      <c r="G51" s="6"/>
    </row>
    <row r="52" spans="1:7" ht="12.75">
      <c r="A52" s="6" t="s">
        <v>51</v>
      </c>
      <c r="B52" s="6"/>
      <c r="C52" s="6"/>
      <c r="D52" s="6">
        <f>SUM(D49:D51)</f>
        <v>17775.7532</v>
      </c>
      <c r="E52" s="6" t="s">
        <v>40</v>
      </c>
      <c r="F52" s="6"/>
      <c r="G52" s="6"/>
    </row>
    <row r="53" spans="1:7" ht="12.75">
      <c r="A53" s="6"/>
      <c r="B53" s="6"/>
      <c r="C53" s="6"/>
      <c r="D53" s="6" t="s">
        <v>8</v>
      </c>
      <c r="E53" s="6"/>
      <c r="F53" s="6"/>
      <c r="G53" s="6"/>
    </row>
    <row r="54" spans="1:7" ht="12.75">
      <c r="A54" s="22" t="s">
        <v>71</v>
      </c>
      <c r="B54" s="22"/>
      <c r="C54" s="22"/>
      <c r="D54" s="6" t="s">
        <v>8</v>
      </c>
      <c r="E54" s="6"/>
      <c r="F54" s="6"/>
      <c r="G54" s="6"/>
    </row>
    <row r="55" spans="1:7" ht="12.75">
      <c r="A55" s="21" t="s">
        <v>52</v>
      </c>
      <c r="B55" s="21"/>
      <c r="C55" s="21"/>
      <c r="D55" s="112">
        <v>0.02</v>
      </c>
      <c r="E55" s="6" t="s">
        <v>8</v>
      </c>
      <c r="F55" s="113">
        <f>D55*'[5]ADM'!B37</f>
        <v>576.793</v>
      </c>
      <c r="G55" s="6"/>
    </row>
    <row r="56" spans="1:7" ht="12.75">
      <c r="A56" s="6"/>
      <c r="B56" s="6"/>
      <c r="C56" s="6"/>
      <c r="D56" s="6"/>
      <c r="E56" s="6"/>
      <c r="F56" s="113"/>
      <c r="G56" s="6"/>
    </row>
    <row r="57" spans="1:7" ht="12.75">
      <c r="A57" s="18" t="s">
        <v>239</v>
      </c>
      <c r="B57" s="6"/>
      <c r="C57" s="6"/>
      <c r="D57" s="6"/>
      <c r="E57" s="6"/>
      <c r="F57" s="113"/>
      <c r="G57" s="6"/>
    </row>
    <row r="58" spans="1:7" ht="12.75">
      <c r="A58" s="6" t="s">
        <v>53</v>
      </c>
      <c r="B58" s="6"/>
      <c r="C58" s="6"/>
      <c r="D58" s="114">
        <v>0.15</v>
      </c>
      <c r="E58" s="6" t="s">
        <v>8</v>
      </c>
      <c r="F58" s="113">
        <f>+(D52+F55)*D58</f>
        <v>2752.88193</v>
      </c>
      <c r="G58" s="6"/>
    </row>
    <row r="59" spans="1:7" ht="12.75">
      <c r="A59" s="6"/>
      <c r="B59" s="6"/>
      <c r="C59" s="6"/>
      <c r="D59" s="6"/>
      <c r="E59" s="6"/>
      <c r="F59" s="113"/>
      <c r="G59" s="6"/>
    </row>
    <row r="60" spans="1:7" ht="12.75">
      <c r="A60" s="22" t="s">
        <v>72</v>
      </c>
      <c r="B60" s="22"/>
      <c r="C60" s="22"/>
      <c r="D60" s="6"/>
      <c r="E60" s="6"/>
      <c r="F60" s="113">
        <f>+F58+F55+D52</f>
        <v>21105.42813</v>
      </c>
      <c r="G60" s="6"/>
    </row>
    <row r="61" spans="1:7" ht="12.75">
      <c r="A61" s="6"/>
      <c r="B61" s="6"/>
      <c r="C61" s="6"/>
      <c r="D61" s="6"/>
      <c r="E61" s="6"/>
      <c r="F61" s="113"/>
      <c r="G61" s="6"/>
    </row>
    <row r="62" spans="1:7" ht="12.75">
      <c r="A62" s="22" t="s">
        <v>238</v>
      </c>
      <c r="B62" s="6"/>
      <c r="C62" s="6"/>
      <c r="D62" s="6"/>
      <c r="E62" s="6"/>
      <c r="F62" s="113"/>
      <c r="G62" s="6"/>
    </row>
    <row r="63" spans="1:7" ht="12.75">
      <c r="A63" s="6" t="s">
        <v>53</v>
      </c>
      <c r="B63" s="6"/>
      <c r="C63" s="6"/>
      <c r="D63" s="112">
        <v>0.1425</v>
      </c>
      <c r="E63" s="6" t="s">
        <v>8</v>
      </c>
      <c r="F63" s="6">
        <f>+F60/0.8575</f>
        <v>24612.744174927113</v>
      </c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3.5" customHeight="1">
      <c r="A65" s="32" t="s">
        <v>73</v>
      </c>
      <c r="B65" s="32"/>
      <c r="C65" s="32"/>
      <c r="D65" s="2"/>
      <c r="E65" s="2"/>
      <c r="F65" s="6"/>
      <c r="G65" s="6"/>
    </row>
    <row r="66" spans="1:7" ht="12.75" customHeight="1">
      <c r="A66" s="33" t="s">
        <v>54</v>
      </c>
      <c r="B66" s="33"/>
      <c r="C66" s="33"/>
      <c r="D66" s="2">
        <f>+F63</f>
        <v>24612.744174927113</v>
      </c>
      <c r="E66" s="2" t="s">
        <v>40</v>
      </c>
      <c r="F66" s="6"/>
      <c r="G66" s="6"/>
    </row>
    <row r="67" spans="1:7" ht="12.75" customHeight="1">
      <c r="A67" s="2" t="s">
        <v>55</v>
      </c>
      <c r="B67" s="2"/>
      <c r="C67" s="2"/>
      <c r="D67" s="2">
        <v>1</v>
      </c>
      <c r="E67" s="2" t="s">
        <v>254</v>
      </c>
      <c r="F67" s="6"/>
      <c r="G67" s="6"/>
    </row>
    <row r="68" spans="1:7" ht="14.25" customHeight="1">
      <c r="A68" s="2" t="s">
        <v>57</v>
      </c>
      <c r="B68" s="2"/>
      <c r="C68" s="2"/>
      <c r="D68" s="2">
        <f>ROUND(D66/D67,2)</f>
        <v>24612.74</v>
      </c>
      <c r="E68" s="33" t="s">
        <v>253</v>
      </c>
      <c r="F68" s="1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40"/>
      <c r="B70" s="40"/>
      <c r="C70" s="40"/>
      <c r="G70" s="6"/>
    </row>
    <row r="71" ht="12.75">
      <c r="G71" s="6"/>
    </row>
    <row r="72" ht="12.75">
      <c r="G72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SheetLayoutView="100" zoomScalePageLayoutView="0" workbookViewId="0" topLeftCell="A50">
      <selection activeCell="D39" sqref="D39"/>
    </sheetView>
  </sheetViews>
  <sheetFormatPr defaultColWidth="12" defaultRowHeight="12.75"/>
  <cols>
    <col min="1" max="1" width="67.16015625" style="15" customWidth="1"/>
    <col min="2" max="2" width="11.16015625" style="15" bestFit="1" customWidth="1"/>
    <col min="3" max="3" width="7.83203125" style="15" customWidth="1"/>
    <col min="4" max="4" width="16.66015625" style="15" customWidth="1"/>
    <col min="5" max="5" width="13.33203125" style="15" customWidth="1"/>
    <col min="6" max="6" width="16.66015625" style="6" customWidth="1"/>
    <col min="7" max="7" width="6.66015625" style="15" customWidth="1"/>
    <col min="8" max="16384" width="12" style="1" customWidth="1"/>
  </cols>
  <sheetData>
    <row r="1" spans="1:7" ht="18" hidden="1">
      <c r="A1" s="233" t="s">
        <v>349</v>
      </c>
      <c r="B1" s="233"/>
      <c r="C1" s="233"/>
      <c r="D1" s="233"/>
      <c r="E1" s="233"/>
      <c r="F1" s="13"/>
      <c r="G1" s="1"/>
    </row>
    <row r="2" spans="1:7" ht="18" customHeight="1" hidden="1">
      <c r="A2" s="233"/>
      <c r="B2" s="233"/>
      <c r="C2" s="233"/>
      <c r="D2" s="233"/>
      <c r="E2" s="233"/>
      <c r="F2" s="14"/>
      <c r="G2" s="1"/>
    </row>
    <row r="3" spans="6:7" ht="12.75" hidden="1">
      <c r="F3" s="15"/>
      <c r="G3" s="1"/>
    </row>
    <row r="4" spans="6:7" ht="12.75" hidden="1">
      <c r="F4" s="15"/>
      <c r="G4" s="1"/>
    </row>
    <row r="5" spans="1:7" ht="12.75" hidden="1">
      <c r="A5" s="115" t="s">
        <v>350</v>
      </c>
      <c r="D5" s="115" t="s">
        <v>351</v>
      </c>
      <c r="F5" s="15"/>
      <c r="G5" s="1"/>
    </row>
    <row r="6" spans="1:7" ht="18">
      <c r="A6" s="116" t="str">
        <f>'[7]EDUCAÇÃO'!A1</f>
        <v>PREFEITURA MUNICIPAL DE VARZEA GRANDE</v>
      </c>
      <c r="D6" s="115"/>
      <c r="F6" s="15"/>
      <c r="G6" s="1"/>
    </row>
    <row r="7" spans="1:7" ht="12.75">
      <c r="A7" s="115"/>
      <c r="D7" s="115"/>
      <c r="F7" s="15"/>
      <c r="G7" s="1"/>
    </row>
    <row r="8" spans="1:7" ht="12.75">
      <c r="A8" s="115"/>
      <c r="D8" s="115"/>
      <c r="F8" s="15"/>
      <c r="G8" s="1"/>
    </row>
    <row r="9" spans="1:7" ht="12.75">
      <c r="A9" s="115"/>
      <c r="D9" s="115"/>
      <c r="F9" s="15"/>
      <c r="G9" s="1"/>
    </row>
    <row r="10" spans="1:7" ht="12.75">
      <c r="A10" s="115"/>
      <c r="D10" s="115"/>
      <c r="F10" s="15"/>
      <c r="G10" s="1"/>
    </row>
    <row r="11" spans="1:7" ht="12.75">
      <c r="A11" s="16" t="str">
        <f>'[7]EDUCAÇÃO'!A6</f>
        <v>COMPOSIÇÃO DE PREÇOS UNITÁRIOS</v>
      </c>
      <c r="F11" s="15"/>
      <c r="G11" s="1"/>
    </row>
    <row r="12" spans="1:7" ht="12.75">
      <c r="A12" s="234"/>
      <c r="B12" s="234"/>
      <c r="C12" s="234"/>
      <c r="D12" s="234"/>
      <c r="E12" s="234"/>
      <c r="F12" s="16"/>
      <c r="G12" s="1"/>
    </row>
    <row r="13" spans="1:7" ht="12.75">
      <c r="A13" s="2" t="s">
        <v>352</v>
      </c>
      <c r="B13" s="6"/>
      <c r="C13" s="6"/>
      <c r="D13" s="6"/>
      <c r="E13" s="6"/>
      <c r="G13" s="6"/>
    </row>
    <row r="14" spans="1:7" ht="12.75">
      <c r="A14" s="17"/>
      <c r="B14" s="17"/>
      <c r="C14" s="17"/>
      <c r="D14" s="2"/>
      <c r="E14" s="2"/>
      <c r="F14" s="2"/>
      <c r="G14" s="2"/>
    </row>
    <row r="15" spans="1:7" ht="12.75">
      <c r="A15" s="17"/>
      <c r="B15" s="17"/>
      <c r="C15" s="17"/>
      <c r="D15" s="2"/>
      <c r="E15" s="2"/>
      <c r="F15" s="2"/>
      <c r="G15" s="2"/>
    </row>
    <row r="16" spans="1:7" ht="12.75">
      <c r="A16" s="6" t="s">
        <v>35</v>
      </c>
      <c r="B16" s="18"/>
      <c r="C16" s="18"/>
      <c r="D16" s="6"/>
      <c r="E16" s="6"/>
      <c r="G16" s="6"/>
    </row>
    <row r="17" spans="1:7" ht="12.75">
      <c r="A17" s="6"/>
      <c r="B17" s="6"/>
      <c r="C17" s="6"/>
      <c r="D17" s="6"/>
      <c r="E17" s="6"/>
      <c r="G17" s="6"/>
    </row>
    <row r="18" spans="1:7" ht="12.75">
      <c r="A18" s="20" t="s">
        <v>95</v>
      </c>
      <c r="B18" s="20"/>
      <c r="C18" s="20"/>
      <c r="D18" s="39">
        <v>1</v>
      </c>
      <c r="E18" s="6" t="s">
        <v>36</v>
      </c>
      <c r="G18" s="6"/>
    </row>
    <row r="19" spans="1:7" ht="12.75">
      <c r="A19" s="21" t="s">
        <v>58</v>
      </c>
      <c r="B19" s="21"/>
      <c r="C19" s="21"/>
      <c r="D19" s="6">
        <f>'[7]COLETOR'!B27</f>
        <v>2763.78658</v>
      </c>
      <c r="E19" s="21" t="s">
        <v>38</v>
      </c>
      <c r="G19" s="6"/>
    </row>
    <row r="20" spans="1:7" ht="12.75">
      <c r="A20" s="20" t="s">
        <v>46</v>
      </c>
      <c r="B20" s="20"/>
      <c r="C20" s="20"/>
      <c r="D20" s="6">
        <f>+D19*D18</f>
        <v>2763.78658</v>
      </c>
      <c r="E20" s="6" t="s">
        <v>40</v>
      </c>
      <c r="G20" s="6"/>
    </row>
    <row r="21" spans="1:7" ht="12.75">
      <c r="A21" s="20" t="s">
        <v>218</v>
      </c>
      <c r="B21" s="20"/>
      <c r="C21" s="20"/>
      <c r="D21" s="6">
        <f>D20</f>
        <v>2763.78658</v>
      </c>
      <c r="E21" s="6" t="s">
        <v>50</v>
      </c>
      <c r="G21" s="6"/>
    </row>
    <row r="22" spans="1:7" ht="12.75">
      <c r="A22" s="21"/>
      <c r="B22" s="21"/>
      <c r="C22" s="21"/>
      <c r="D22" s="6"/>
      <c r="E22" s="6"/>
      <c r="G22" s="6"/>
    </row>
    <row r="23" spans="1:7" ht="12.75">
      <c r="A23" s="21" t="s">
        <v>41</v>
      </c>
      <c r="B23" s="21"/>
      <c r="C23" s="21"/>
      <c r="D23" s="6">
        <v>0</v>
      </c>
      <c r="E23" s="6" t="s">
        <v>36</v>
      </c>
      <c r="G23" s="6"/>
    </row>
    <row r="24" spans="1:7" ht="12.75">
      <c r="A24" s="6" t="s">
        <v>42</v>
      </c>
      <c r="B24" s="6"/>
      <c r="C24" s="6"/>
      <c r="D24" s="6">
        <f>'[8]FISCAL'!B31</f>
        <v>1522.4018559533015</v>
      </c>
      <c r="E24" s="6" t="s">
        <v>38</v>
      </c>
      <c r="G24" s="6"/>
    </row>
    <row r="25" spans="1:7" ht="12.75">
      <c r="A25" s="20" t="s">
        <v>46</v>
      </c>
      <c r="B25" s="20"/>
      <c r="C25" s="20"/>
      <c r="D25" s="6">
        <f>+D24*D23</f>
        <v>0</v>
      </c>
      <c r="E25" s="6" t="s">
        <v>40</v>
      </c>
      <c r="G25" s="6"/>
    </row>
    <row r="26" spans="1:7" ht="12.75">
      <c r="A26" s="6" t="s">
        <v>59</v>
      </c>
      <c r="B26" s="6"/>
      <c r="C26" s="6"/>
      <c r="D26" s="6">
        <f>D25</f>
        <v>0</v>
      </c>
      <c r="E26" s="6" t="s">
        <v>50</v>
      </c>
      <c r="G26" s="6"/>
    </row>
    <row r="27" spans="1:7" ht="12.75">
      <c r="A27" s="6"/>
      <c r="B27" s="6"/>
      <c r="C27" s="6"/>
      <c r="D27" s="6"/>
      <c r="E27" s="6"/>
      <c r="G27" s="6"/>
    </row>
    <row r="28" spans="1:7" ht="12.75">
      <c r="A28" s="21" t="s">
        <v>60</v>
      </c>
      <c r="B28" s="21"/>
      <c r="C28" s="21"/>
      <c r="D28" s="6">
        <v>1</v>
      </c>
      <c r="E28" s="6" t="s">
        <v>36</v>
      </c>
      <c r="G28" s="6"/>
    </row>
    <row r="29" spans="1:7" ht="12.75">
      <c r="A29" s="21" t="s">
        <v>61</v>
      </c>
      <c r="B29" s="21"/>
      <c r="C29" s="21"/>
      <c r="D29" s="6">
        <f>'[7]MOTORISTA'!B31</f>
        <v>3842.1760000000004</v>
      </c>
      <c r="E29" s="6" t="s">
        <v>38</v>
      </c>
      <c r="G29" s="6"/>
    </row>
    <row r="30" spans="1:7" ht="12.75">
      <c r="A30" s="20" t="s">
        <v>46</v>
      </c>
      <c r="B30" s="20"/>
      <c r="C30" s="20"/>
      <c r="D30" s="6">
        <f>+D29*D28</f>
        <v>3842.1760000000004</v>
      </c>
      <c r="E30" s="6" t="s">
        <v>40</v>
      </c>
      <c r="G30" s="6"/>
    </row>
    <row r="31" spans="1:7" ht="12.75">
      <c r="A31" s="20" t="s">
        <v>63</v>
      </c>
      <c r="B31" s="20"/>
      <c r="C31" s="20"/>
      <c r="D31" s="6">
        <f>D30</f>
        <v>3842.1760000000004</v>
      </c>
      <c r="E31" s="6" t="s">
        <v>50</v>
      </c>
      <c r="G31" s="6"/>
    </row>
    <row r="32" spans="1:7" ht="12.75">
      <c r="A32" s="6"/>
      <c r="B32" s="6"/>
      <c r="C32" s="6"/>
      <c r="D32" s="6"/>
      <c r="E32" s="6"/>
      <c r="G32" s="6"/>
    </row>
    <row r="33" spans="1:7" ht="12.75">
      <c r="A33" s="2" t="s">
        <v>353</v>
      </c>
      <c r="B33" s="2"/>
      <c r="C33" s="2"/>
      <c r="D33" s="2">
        <f>D21+D26+D31</f>
        <v>6605.96258</v>
      </c>
      <c r="E33" s="2" t="s">
        <v>354</v>
      </c>
      <c r="G33" s="6"/>
    </row>
    <row r="34" spans="1:7" ht="12.75">
      <c r="A34" s="6"/>
      <c r="B34" s="6"/>
      <c r="C34" s="6"/>
      <c r="D34" s="6"/>
      <c r="E34" s="6"/>
      <c r="G34" s="6"/>
    </row>
    <row r="35" spans="1:7" ht="12.75">
      <c r="A35" s="70" t="s">
        <v>94</v>
      </c>
      <c r="B35" s="22"/>
      <c r="C35" s="22"/>
      <c r="D35" s="6"/>
      <c r="E35" s="6"/>
      <c r="G35" s="6"/>
    </row>
    <row r="36" spans="1:7" ht="12.75">
      <c r="A36" s="6"/>
      <c r="B36" s="6"/>
      <c r="C36" s="6"/>
      <c r="D36" s="6"/>
      <c r="E36" s="6"/>
      <c r="G36" s="6"/>
    </row>
    <row r="37" spans="1:7" ht="12.75">
      <c r="A37" s="20" t="s">
        <v>368</v>
      </c>
      <c r="B37" s="20"/>
      <c r="C37" s="20"/>
      <c r="D37" s="6">
        <v>1</v>
      </c>
      <c r="E37" s="6" t="s">
        <v>36</v>
      </c>
      <c r="G37" s="6"/>
    </row>
    <row r="38" spans="1:7" ht="12.75">
      <c r="A38" s="6" t="s">
        <v>369</v>
      </c>
      <c r="B38" s="6"/>
      <c r="C38" s="6"/>
      <c r="D38" s="6">
        <f>30*245</f>
        <v>7350</v>
      </c>
      <c r="E38" s="6" t="s">
        <v>38</v>
      </c>
      <c r="G38" s="6"/>
    </row>
    <row r="39" spans="1:7" ht="12.75">
      <c r="A39" s="21" t="s">
        <v>355</v>
      </c>
      <c r="B39" s="21"/>
      <c r="C39" s="21"/>
      <c r="D39" s="6">
        <f>+D38*D37</f>
        <v>7350</v>
      </c>
      <c r="E39" s="6" t="s">
        <v>40</v>
      </c>
      <c r="G39" s="6"/>
    </row>
    <row r="40" spans="1:7" ht="12.75">
      <c r="A40" s="6"/>
      <c r="B40" s="6"/>
      <c r="C40" s="6"/>
      <c r="D40" s="6"/>
      <c r="E40" s="6"/>
      <c r="G40" s="6"/>
    </row>
    <row r="41" spans="1:7" ht="12.75">
      <c r="A41" s="2" t="s">
        <v>356</v>
      </c>
      <c r="B41" s="2"/>
      <c r="C41" s="2"/>
      <c r="D41" s="2">
        <f>D39</f>
        <v>7350</v>
      </c>
      <c r="E41" s="2" t="s">
        <v>354</v>
      </c>
      <c r="G41" s="6"/>
    </row>
    <row r="42" spans="1:7" ht="12.75">
      <c r="A42" s="6"/>
      <c r="B42" s="6"/>
      <c r="C42" s="6"/>
      <c r="D42" s="6"/>
      <c r="E42" s="6"/>
      <c r="G42" s="6"/>
    </row>
    <row r="43" spans="1:7" ht="12.75" hidden="1">
      <c r="A43" s="70" t="s">
        <v>357</v>
      </c>
      <c r="B43" s="22"/>
      <c r="C43" s="22"/>
      <c r="D43" s="23"/>
      <c r="E43" s="6"/>
      <c r="G43" s="1"/>
    </row>
    <row r="44" spans="1:7" ht="12.75" hidden="1">
      <c r="A44" s="22"/>
      <c r="B44" s="22"/>
      <c r="C44" s="22"/>
      <c r="D44" s="23"/>
      <c r="E44" s="6"/>
      <c r="G44" s="1"/>
    </row>
    <row r="45" spans="1:7" ht="12.75" hidden="1">
      <c r="A45" s="24" t="s">
        <v>358</v>
      </c>
      <c r="B45" s="117"/>
      <c r="C45" s="26" t="s">
        <v>359</v>
      </c>
      <c r="D45" s="6">
        <v>2100</v>
      </c>
      <c r="E45" s="6" t="s">
        <v>360</v>
      </c>
      <c r="F45" s="117"/>
      <c r="G45" s="6"/>
    </row>
    <row r="46" spans="1:7" ht="12.75" hidden="1">
      <c r="A46" s="6" t="s">
        <v>271</v>
      </c>
      <c r="B46" s="27"/>
      <c r="C46" s="26"/>
      <c r="D46" s="6">
        <f>B45*D45</f>
        <v>0</v>
      </c>
      <c r="E46" s="6" t="s">
        <v>354</v>
      </c>
      <c r="F46" s="19"/>
      <c r="G46" s="6"/>
    </row>
    <row r="47" spans="1:7" ht="12.75" hidden="1">
      <c r="A47" s="6"/>
      <c r="B47" s="6"/>
      <c r="C47" s="6"/>
      <c r="D47" s="6"/>
      <c r="E47" s="6"/>
      <c r="G47" s="6"/>
    </row>
    <row r="48" spans="1:7" ht="12.75" hidden="1">
      <c r="A48" s="2" t="s">
        <v>356</v>
      </c>
      <c r="B48" s="2"/>
      <c r="C48" s="2"/>
      <c r="D48" s="2">
        <f>D46</f>
        <v>0</v>
      </c>
      <c r="E48" s="2" t="s">
        <v>354</v>
      </c>
      <c r="G48" s="6"/>
    </row>
    <row r="49" spans="1:7" ht="12.75" hidden="1">
      <c r="A49" s="6"/>
      <c r="B49" s="6"/>
      <c r="C49" s="6"/>
      <c r="D49" s="6"/>
      <c r="E49" s="6"/>
      <c r="G49" s="6"/>
    </row>
    <row r="50" spans="1:7" ht="12.75">
      <c r="A50" s="70" t="s">
        <v>227</v>
      </c>
      <c r="B50" s="22"/>
      <c r="C50" s="22"/>
      <c r="D50" s="6"/>
      <c r="E50" s="6"/>
      <c r="G50" s="6"/>
    </row>
    <row r="51" spans="1:7" ht="12.75">
      <c r="A51" s="22"/>
      <c r="B51" s="22"/>
      <c r="C51" s="22"/>
      <c r="D51" s="6"/>
      <c r="E51" s="6"/>
      <c r="G51" s="6"/>
    </row>
    <row r="52" spans="1:8" ht="12.75">
      <c r="A52" s="6" t="s">
        <v>74</v>
      </c>
      <c r="B52" s="6"/>
      <c r="C52" s="6"/>
      <c r="D52" s="6">
        <f>+D33</f>
        <v>6605.96258</v>
      </c>
      <c r="E52" s="6" t="s">
        <v>40</v>
      </c>
      <c r="G52" s="6"/>
      <c r="H52" s="41"/>
    </row>
    <row r="53" spans="1:8" ht="12.75">
      <c r="A53" s="6" t="s">
        <v>68</v>
      </c>
      <c r="B53" s="6"/>
      <c r="C53" s="6"/>
      <c r="D53" s="6">
        <f>+D41</f>
        <v>7350</v>
      </c>
      <c r="E53" s="6" t="s">
        <v>40</v>
      </c>
      <c r="G53" s="6"/>
      <c r="H53" s="41"/>
    </row>
    <row r="54" spans="1:8" ht="12.75" hidden="1">
      <c r="A54" s="6" t="s">
        <v>361</v>
      </c>
      <c r="B54" s="6"/>
      <c r="C54" s="6"/>
      <c r="D54" s="39">
        <f>D48</f>
        <v>0</v>
      </c>
      <c r="E54" s="6" t="s">
        <v>40</v>
      </c>
      <c r="G54" s="6"/>
      <c r="H54" s="41"/>
    </row>
    <row r="55" spans="1:8" ht="12.75">
      <c r="A55" s="6" t="s">
        <v>367</v>
      </c>
      <c r="B55" s="6"/>
      <c r="C55" s="6"/>
      <c r="D55" s="39">
        <v>6850</v>
      </c>
      <c r="E55" s="6" t="s">
        <v>40</v>
      </c>
      <c r="G55" s="6"/>
      <c r="H55" s="41"/>
    </row>
    <row r="56" spans="1:8" ht="12.75">
      <c r="A56" s="6"/>
      <c r="B56" s="6"/>
      <c r="C56" s="6"/>
      <c r="D56" s="39"/>
      <c r="E56" s="6"/>
      <c r="G56" s="6"/>
      <c r="H56" s="41"/>
    </row>
    <row r="57" spans="1:5" ht="12.75">
      <c r="A57" s="2" t="s">
        <v>362</v>
      </c>
      <c r="B57" s="2"/>
      <c r="C57" s="2"/>
      <c r="D57" s="2">
        <f>SUM(D52:D55)</f>
        <v>20805.96258</v>
      </c>
      <c r="E57" s="2" t="s">
        <v>354</v>
      </c>
    </row>
    <row r="58" spans="1:5" ht="12.75">
      <c r="A58" s="2"/>
      <c r="B58" s="2"/>
      <c r="C58" s="2"/>
      <c r="D58" s="2"/>
      <c r="E58" s="2"/>
    </row>
    <row r="59" spans="1:8" ht="12.75">
      <c r="A59" s="22" t="s">
        <v>363</v>
      </c>
      <c r="B59" s="22"/>
      <c r="C59" s="22"/>
      <c r="D59" s="6" t="s">
        <v>8</v>
      </c>
      <c r="E59" s="6"/>
      <c r="G59" s="6"/>
      <c r="H59" s="41"/>
    </row>
    <row r="60" spans="1:8" ht="12.75">
      <c r="A60" s="21" t="s">
        <v>52</v>
      </c>
      <c r="B60" s="11">
        <v>0.02</v>
      </c>
      <c r="C60" s="21"/>
      <c r="D60" s="118">
        <f>D57*B60</f>
        <v>416.1192516</v>
      </c>
      <c r="E60" s="6" t="str">
        <f>E62</f>
        <v>R$/mês</v>
      </c>
      <c r="F60" s="29"/>
      <c r="G60" s="6"/>
      <c r="H60" s="41"/>
    </row>
    <row r="61" spans="1:8" ht="12.75">
      <c r="A61" s="21"/>
      <c r="B61" s="11"/>
      <c r="C61" s="21"/>
      <c r="D61" s="118"/>
      <c r="E61" s="6"/>
      <c r="F61" s="29"/>
      <c r="G61" s="6"/>
      <c r="H61" s="41"/>
    </row>
    <row r="62" spans="1:7" ht="12.75">
      <c r="A62" s="18" t="s">
        <v>364</v>
      </c>
      <c r="B62" s="11">
        <v>0.15</v>
      </c>
      <c r="C62" s="21"/>
      <c r="D62" s="119">
        <f>B62*D57</f>
        <v>3120.894387</v>
      </c>
      <c r="E62" s="6" t="s">
        <v>354</v>
      </c>
      <c r="G62" s="6"/>
    </row>
    <row r="63" spans="1:7" ht="12.75">
      <c r="A63" s="6" t="s">
        <v>53</v>
      </c>
      <c r="B63" s="6"/>
      <c r="C63" s="6"/>
      <c r="D63" s="119"/>
      <c r="E63" s="6"/>
      <c r="G63" s="6"/>
    </row>
    <row r="64" spans="1:7" ht="12.75">
      <c r="A64" s="6"/>
      <c r="B64" s="11"/>
      <c r="C64" s="6"/>
      <c r="D64" s="119"/>
      <c r="E64" s="6"/>
      <c r="G64" s="6"/>
    </row>
    <row r="65" spans="1:7" ht="12.75">
      <c r="A65" s="22" t="s">
        <v>229</v>
      </c>
      <c r="B65" s="6"/>
      <c r="C65" s="6"/>
      <c r="D65" s="119">
        <f>+D64+D62+D60+D57</f>
        <v>24342.9762186</v>
      </c>
      <c r="E65" s="6" t="s">
        <v>354</v>
      </c>
      <c r="G65" s="6"/>
    </row>
    <row r="66" spans="1:7" ht="12.75">
      <c r="A66" s="6"/>
      <c r="B66" s="6"/>
      <c r="C66" s="21"/>
      <c r="D66" s="1"/>
      <c r="E66" s="1"/>
      <c r="G66" s="6"/>
    </row>
    <row r="67" spans="1:7" ht="12.75">
      <c r="A67" s="22" t="s">
        <v>365</v>
      </c>
      <c r="B67" s="6"/>
      <c r="C67" s="6"/>
      <c r="D67" s="119"/>
      <c r="E67" s="6"/>
      <c r="G67" s="6"/>
    </row>
    <row r="68" spans="1:7" ht="12.75">
      <c r="A68" s="6" t="s">
        <v>53</v>
      </c>
      <c r="B68" s="112">
        <v>0.1425</v>
      </c>
      <c r="C68" s="6" t="s">
        <v>8</v>
      </c>
      <c r="D68" s="6">
        <f>ROUND(D65/0.8575,2)</f>
        <v>28388.31</v>
      </c>
      <c r="E68" s="6" t="s">
        <v>354</v>
      </c>
      <c r="G68" s="6"/>
    </row>
    <row r="69" spans="1:7" ht="12.75">
      <c r="A69" s="6"/>
      <c r="B69" s="11"/>
      <c r="C69" s="6"/>
      <c r="D69" s="119"/>
      <c r="E69" s="6"/>
      <c r="G69" s="6"/>
    </row>
    <row r="70" spans="1:7" ht="12.75">
      <c r="A70" s="32" t="s">
        <v>366</v>
      </c>
      <c r="B70" s="6"/>
      <c r="C70" s="6"/>
      <c r="D70" s="6"/>
      <c r="E70" s="6"/>
      <c r="G70" s="6"/>
    </row>
    <row r="71" spans="1:7" ht="12.75">
      <c r="A71" s="33" t="s">
        <v>54</v>
      </c>
      <c r="B71" s="33"/>
      <c r="C71" s="33"/>
      <c r="D71" s="2">
        <f>D68</f>
        <v>28388.31</v>
      </c>
      <c r="E71" s="2" t="s">
        <v>40</v>
      </c>
      <c r="G71" s="6"/>
    </row>
    <row r="72" spans="1:7" ht="12.75" customHeight="1">
      <c r="A72" s="2" t="s">
        <v>55</v>
      </c>
      <c r="B72" s="2"/>
      <c r="C72" s="2"/>
      <c r="D72" s="2">
        <v>26</v>
      </c>
      <c r="E72" s="2" t="s">
        <v>268</v>
      </c>
      <c r="G72" s="6"/>
    </row>
    <row r="73" spans="1:7" ht="12.75" customHeight="1">
      <c r="A73" s="2" t="s">
        <v>57</v>
      </c>
      <c r="B73" s="2"/>
      <c r="C73" s="2"/>
      <c r="D73" s="2">
        <f>ROUND(D71/D72,2)</f>
        <v>1091.86</v>
      </c>
      <c r="E73" s="33" t="s">
        <v>264</v>
      </c>
      <c r="G73" s="6"/>
    </row>
    <row r="74" spans="1:7" ht="14.25" customHeight="1">
      <c r="A74" s="1"/>
      <c r="B74" s="1"/>
      <c r="C74" s="1"/>
      <c r="D74" s="1"/>
      <c r="E74" s="1"/>
      <c r="F74" s="41"/>
      <c r="G74" s="6"/>
    </row>
    <row r="75" spans="1:7" ht="12.75">
      <c r="A75" s="6"/>
      <c r="B75" s="6"/>
      <c r="C75" s="6"/>
      <c r="D75" s="6"/>
      <c r="E75" s="6"/>
      <c r="G75" s="6"/>
    </row>
    <row r="76" spans="1:7" ht="12.75">
      <c r="A76" s="40"/>
      <c r="B76" s="40"/>
      <c r="C76" s="40"/>
      <c r="G76" s="6"/>
    </row>
    <row r="77" ht="12.75">
      <c r="G77" s="6"/>
    </row>
    <row r="78" ht="12.75">
      <c r="G78" s="6"/>
    </row>
  </sheetData>
  <sheetProtection/>
  <mergeCells count="3">
    <mergeCell ref="A1:E1"/>
    <mergeCell ref="A2:E2"/>
    <mergeCell ref="A12:E12"/>
  </mergeCells>
  <printOptions/>
  <pageMargins left="0.984251968503937" right="0.7874015748031497" top="1.3779527559055118" bottom="0.984251968503937" header="0.5118110236220472" footer="0.5118110236220472"/>
  <pageSetup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3">
      <selection activeCell="H27" sqref="H27"/>
    </sheetView>
  </sheetViews>
  <sheetFormatPr defaultColWidth="8.83203125" defaultRowHeight="12.75"/>
  <cols>
    <col min="1" max="1" width="5.16015625" style="101" customWidth="1"/>
    <col min="2" max="2" width="39.5" style="101" customWidth="1"/>
    <col min="3" max="3" width="14.33203125" style="101" customWidth="1"/>
    <col min="4" max="4" width="9.66015625" style="101" customWidth="1"/>
    <col min="5" max="5" width="11.33203125" style="101" customWidth="1"/>
    <col min="6" max="6" width="14" style="101" customWidth="1"/>
    <col min="7" max="7" width="10.33203125" style="100" customWidth="1"/>
    <col min="8" max="8" width="9.5" style="101" bestFit="1" customWidth="1"/>
    <col min="9" max="9" width="21.66015625" style="101" customWidth="1"/>
    <col min="10" max="16384" width="8.83203125" style="101" customWidth="1"/>
  </cols>
  <sheetData>
    <row r="1" spans="1:7" ht="15.75">
      <c r="A1" s="236" t="s">
        <v>275</v>
      </c>
      <c r="B1" s="237"/>
      <c r="C1" s="237"/>
      <c r="D1" s="237"/>
      <c r="E1" s="237"/>
      <c r="F1" s="238"/>
      <c r="G1" s="123"/>
    </row>
    <row r="2" spans="1:7" ht="15.75" thickBot="1">
      <c r="A2" s="239" t="s">
        <v>276</v>
      </c>
      <c r="B2" s="240"/>
      <c r="C2" s="240"/>
      <c r="D2" s="240"/>
      <c r="E2" s="240"/>
      <c r="F2" s="241"/>
      <c r="G2" s="123"/>
    </row>
    <row r="3" spans="1:7" ht="15">
      <c r="A3" s="242" t="s">
        <v>277</v>
      </c>
      <c r="B3" s="243"/>
      <c r="C3" s="243"/>
      <c r="D3" s="243"/>
      <c r="E3" s="243"/>
      <c r="F3" s="244"/>
      <c r="G3" s="123"/>
    </row>
    <row r="4" spans="1:7" ht="15">
      <c r="A4" s="124"/>
      <c r="B4" s="125"/>
      <c r="C4" s="125"/>
      <c r="D4" s="125"/>
      <c r="E4" s="245" t="s">
        <v>278</v>
      </c>
      <c r="F4" s="246"/>
      <c r="G4" s="126">
        <v>1.2</v>
      </c>
    </row>
    <row r="5" spans="1:7" ht="15">
      <c r="A5" s="102" t="s">
        <v>279</v>
      </c>
      <c r="B5" s="120" t="s">
        <v>280</v>
      </c>
      <c r="C5" s="120" t="s">
        <v>281</v>
      </c>
      <c r="D5" s="120" t="s">
        <v>282</v>
      </c>
      <c r="E5" s="120" t="s">
        <v>283</v>
      </c>
      <c r="F5" s="121" t="s">
        <v>284</v>
      </c>
      <c r="G5" s="123"/>
    </row>
    <row r="6" spans="1:7" ht="15">
      <c r="A6" s="102">
        <v>1</v>
      </c>
      <c r="B6" s="247" t="s">
        <v>272</v>
      </c>
      <c r="C6" s="247"/>
      <c r="D6" s="247"/>
      <c r="E6" s="247"/>
      <c r="F6" s="248"/>
      <c r="G6" s="123"/>
    </row>
    <row r="7" spans="1:9" ht="15">
      <c r="A7" s="127" t="s">
        <v>285</v>
      </c>
      <c r="B7" s="128" t="s">
        <v>286</v>
      </c>
      <c r="C7" s="129" t="s">
        <v>287</v>
      </c>
      <c r="D7" s="130">
        <f>0.25*220</f>
        <v>55</v>
      </c>
      <c r="E7" s="130">
        <f>ROUND(104.68*1.2,2)*1.0678</f>
        <v>134.13703600000002</v>
      </c>
      <c r="F7" s="131">
        <f aca="true" t="shared" si="0" ref="F7:F12">ROUND(D7*E7,2)</f>
        <v>7377.54</v>
      </c>
      <c r="G7" s="132" t="s">
        <v>288</v>
      </c>
      <c r="I7" s="103"/>
    </row>
    <row r="8" spans="1:9" ht="15">
      <c r="A8" s="127" t="s">
        <v>289</v>
      </c>
      <c r="B8" s="128" t="s">
        <v>290</v>
      </c>
      <c r="C8" s="129" t="s">
        <v>287</v>
      </c>
      <c r="D8" s="130">
        <v>220</v>
      </c>
      <c r="E8" s="130">
        <f>ROUND(21.11*1.2,2)*1.0678</f>
        <v>27.047374</v>
      </c>
      <c r="F8" s="131">
        <f t="shared" si="0"/>
        <v>5950.42</v>
      </c>
      <c r="G8" s="132" t="s">
        <v>291</v>
      </c>
      <c r="I8" s="103"/>
    </row>
    <row r="9" spans="1:9" ht="15">
      <c r="A9" s="127" t="s">
        <v>292</v>
      </c>
      <c r="B9" s="128" t="s">
        <v>293</v>
      </c>
      <c r="C9" s="129" t="s">
        <v>287</v>
      </c>
      <c r="D9" s="130">
        <v>220</v>
      </c>
      <c r="E9" s="130">
        <f>ROUND(8.75*1.2,2)*1.0678</f>
        <v>11.2119</v>
      </c>
      <c r="F9" s="131">
        <f t="shared" si="0"/>
        <v>2466.62</v>
      </c>
      <c r="G9" s="132" t="s">
        <v>288</v>
      </c>
      <c r="I9" s="103"/>
    </row>
    <row r="10" spans="1:9" ht="15">
      <c r="A10" s="127" t="s">
        <v>294</v>
      </c>
      <c r="B10" s="128" t="s">
        <v>295</v>
      </c>
      <c r="C10" s="129" t="s">
        <v>287</v>
      </c>
      <c r="D10" s="130">
        <f>10*220</f>
        <v>2200</v>
      </c>
      <c r="E10" s="130">
        <f>ROUND(7.33*1.2,2)*1.0678</f>
        <v>9.396640000000001</v>
      </c>
      <c r="F10" s="131">
        <f t="shared" si="0"/>
        <v>20672.61</v>
      </c>
      <c r="G10" s="132" t="s">
        <v>288</v>
      </c>
      <c r="I10" s="103"/>
    </row>
    <row r="11" spans="1:9" ht="15">
      <c r="A11" s="127" t="s">
        <v>296</v>
      </c>
      <c r="B11" s="128" t="s">
        <v>297</v>
      </c>
      <c r="C11" s="129" t="s">
        <v>287</v>
      </c>
      <c r="D11" s="130">
        <f>0.2*220</f>
        <v>44</v>
      </c>
      <c r="E11" s="130">
        <f>ROUND(9.89*1.2,2)*1.0678</f>
        <v>12.674786000000001</v>
      </c>
      <c r="F11" s="131">
        <f t="shared" si="0"/>
        <v>557.69</v>
      </c>
      <c r="G11" s="132" t="s">
        <v>288</v>
      </c>
      <c r="I11" s="103"/>
    </row>
    <row r="12" spans="1:9" ht="15">
      <c r="A12" s="127" t="s">
        <v>298</v>
      </c>
      <c r="B12" s="128" t="s">
        <v>299</v>
      </c>
      <c r="C12" s="129" t="s">
        <v>287</v>
      </c>
      <c r="D12" s="130">
        <f>4*220</f>
        <v>880</v>
      </c>
      <c r="E12" s="130">
        <f>ROUND(7.99*1.2,2)*1.0678</f>
        <v>10.240202</v>
      </c>
      <c r="F12" s="131">
        <f t="shared" si="0"/>
        <v>9011.38</v>
      </c>
      <c r="G12" s="132" t="s">
        <v>288</v>
      </c>
      <c r="I12" s="103"/>
    </row>
    <row r="13" spans="1:9" ht="15">
      <c r="A13" s="127"/>
      <c r="B13" s="235" t="s">
        <v>300</v>
      </c>
      <c r="C13" s="235"/>
      <c r="D13" s="235"/>
      <c r="E13" s="235"/>
      <c r="F13" s="104">
        <f>SUM(F7:F12)</f>
        <v>46036.26</v>
      </c>
      <c r="G13" s="133"/>
      <c r="I13" s="105"/>
    </row>
    <row r="14" spans="1:9" ht="15">
      <c r="A14" s="253"/>
      <c r="B14" s="254"/>
      <c r="C14" s="254"/>
      <c r="D14" s="254"/>
      <c r="E14" s="254"/>
      <c r="F14" s="255"/>
      <c r="G14" s="133"/>
      <c r="I14" s="105"/>
    </row>
    <row r="15" spans="1:9" ht="15">
      <c r="A15" s="102">
        <v>2</v>
      </c>
      <c r="B15" s="247" t="s">
        <v>301</v>
      </c>
      <c r="C15" s="247"/>
      <c r="D15" s="247"/>
      <c r="E15" s="247"/>
      <c r="F15" s="248"/>
      <c r="G15" s="133"/>
      <c r="I15" s="105"/>
    </row>
    <row r="16" spans="1:9" ht="42.75">
      <c r="A16" s="134" t="s">
        <v>302</v>
      </c>
      <c r="B16" s="135" t="s">
        <v>303</v>
      </c>
      <c r="C16" s="129" t="s">
        <v>304</v>
      </c>
      <c r="D16" s="130">
        <v>200</v>
      </c>
      <c r="E16" s="130">
        <f>ROUND(148.38*1.2,2)</f>
        <v>178.06</v>
      </c>
      <c r="F16" s="131">
        <f>ROUND(D16*E16,2)</f>
        <v>35612</v>
      </c>
      <c r="G16" s="136" t="s">
        <v>291</v>
      </c>
      <c r="I16" s="106"/>
    </row>
    <row r="17" spans="1:9" ht="42.75">
      <c r="A17" s="134" t="s">
        <v>305</v>
      </c>
      <c r="B17" s="135" t="s">
        <v>306</v>
      </c>
      <c r="C17" s="129" t="s">
        <v>304</v>
      </c>
      <c r="D17" s="130">
        <v>360</v>
      </c>
      <c r="E17" s="130">
        <f>ROUND(177.63*1.2,2)</f>
        <v>213.16</v>
      </c>
      <c r="F17" s="131">
        <f>ROUND(D17*E17,2)</f>
        <v>76737.6</v>
      </c>
      <c r="G17" s="136" t="s">
        <v>291</v>
      </c>
      <c r="I17" s="106"/>
    </row>
    <row r="18" spans="1:9" ht="57">
      <c r="A18" s="134" t="s">
        <v>307</v>
      </c>
      <c r="B18" s="137" t="s">
        <v>308</v>
      </c>
      <c r="C18" s="129" t="s">
        <v>304</v>
      </c>
      <c r="D18" s="130">
        <v>200</v>
      </c>
      <c r="E18" s="130">
        <f>ROUND(93.9*1.2,2)</f>
        <v>112.68</v>
      </c>
      <c r="F18" s="131">
        <f>ROUND(D18*E18,2)</f>
        <v>22536</v>
      </c>
      <c r="G18" s="136" t="s">
        <v>291</v>
      </c>
      <c r="I18" s="106"/>
    </row>
    <row r="19" spans="1:9" ht="15">
      <c r="A19" s="127"/>
      <c r="B19" s="235" t="s">
        <v>309</v>
      </c>
      <c r="C19" s="235"/>
      <c r="D19" s="235"/>
      <c r="E19" s="235"/>
      <c r="F19" s="107">
        <f>SUM(F16:F18)</f>
        <v>134885.6</v>
      </c>
      <c r="G19" s="133"/>
      <c r="I19" s="105"/>
    </row>
    <row r="20" spans="1:9" ht="15">
      <c r="A20" s="127"/>
      <c r="B20" s="256" t="s">
        <v>310</v>
      </c>
      <c r="C20" s="257"/>
      <c r="D20" s="257"/>
      <c r="E20" s="258"/>
      <c r="F20" s="107">
        <f>F19+F13</f>
        <v>180921.86000000002</v>
      </c>
      <c r="G20" s="133"/>
      <c r="I20" s="105"/>
    </row>
    <row r="21" spans="1:9" ht="15">
      <c r="A21" s="127"/>
      <c r="B21" s="256" t="s">
        <v>311</v>
      </c>
      <c r="C21" s="257"/>
      <c r="D21" s="257"/>
      <c r="E21" s="258"/>
      <c r="F21" s="107">
        <v>4700</v>
      </c>
      <c r="G21" s="133"/>
      <c r="I21" s="105"/>
    </row>
    <row r="22" spans="1:9" ht="15">
      <c r="A22" s="127"/>
      <c r="B22" s="256" t="s">
        <v>312</v>
      </c>
      <c r="C22" s="257"/>
      <c r="D22" s="257"/>
      <c r="E22" s="258"/>
      <c r="F22" s="107">
        <f>ROUND(F20/F21,2)</f>
        <v>38.49</v>
      </c>
      <c r="G22" s="133"/>
      <c r="H22" s="108"/>
      <c r="I22" s="105"/>
    </row>
    <row r="23" spans="1:9" ht="15">
      <c r="A23" s="249"/>
      <c r="B23" s="250"/>
      <c r="C23" s="250"/>
      <c r="D23" s="250"/>
      <c r="E23" s="250"/>
      <c r="F23" s="251"/>
      <c r="G23" s="133"/>
      <c r="I23" s="105"/>
    </row>
    <row r="24" spans="1:9" ht="15">
      <c r="A24" s="102">
        <v>3</v>
      </c>
      <c r="B24" s="247" t="s">
        <v>313</v>
      </c>
      <c r="C24" s="247"/>
      <c r="D24" s="247"/>
      <c r="E24" s="247"/>
      <c r="F24" s="248"/>
      <c r="G24" s="133"/>
      <c r="I24" s="105"/>
    </row>
    <row r="25" spans="1:9" ht="63.75">
      <c r="A25" s="134" t="s">
        <v>314</v>
      </c>
      <c r="B25" s="109" t="s">
        <v>315</v>
      </c>
      <c r="C25" s="138" t="s">
        <v>316</v>
      </c>
      <c r="D25" s="139">
        <v>100</v>
      </c>
      <c r="E25" s="139">
        <v>728.75</v>
      </c>
      <c r="F25" s="140">
        <f aca="true" t="shared" si="1" ref="F25:F30">ROUND(D25*E25,2)</f>
        <v>72875</v>
      </c>
      <c r="G25" s="136"/>
      <c r="I25" s="110"/>
    </row>
    <row r="26" spans="1:9" ht="44.25" customHeight="1">
      <c r="A26" s="134" t="s">
        <v>317</v>
      </c>
      <c r="B26" s="109" t="s">
        <v>377</v>
      </c>
      <c r="C26" s="138" t="s">
        <v>318</v>
      </c>
      <c r="D26" s="139">
        <v>1</v>
      </c>
      <c r="E26" s="130">
        <f>ROUND(150*104.68*1.2,2)</f>
        <v>18842.4</v>
      </c>
      <c r="F26" s="140">
        <f t="shared" si="1"/>
        <v>18842.4</v>
      </c>
      <c r="G26" s="141" t="s">
        <v>319</v>
      </c>
      <c r="I26" s="110"/>
    </row>
    <row r="27" spans="1:9" ht="114.75">
      <c r="A27" s="134" t="s">
        <v>320</v>
      </c>
      <c r="B27" s="109" t="s">
        <v>321</v>
      </c>
      <c r="C27" s="138" t="s">
        <v>48</v>
      </c>
      <c r="D27" s="139">
        <v>1200</v>
      </c>
      <c r="E27" s="130">
        <f>'3.30'!D6</f>
        <v>32.879999999999995</v>
      </c>
      <c r="F27" s="140">
        <f t="shared" si="1"/>
        <v>39456</v>
      </c>
      <c r="G27" s="132" t="s">
        <v>288</v>
      </c>
      <c r="I27" s="106"/>
    </row>
    <row r="28" spans="1:9" ht="89.25">
      <c r="A28" s="134" t="s">
        <v>322</v>
      </c>
      <c r="B28" s="109" t="s">
        <v>323</v>
      </c>
      <c r="C28" s="138" t="s">
        <v>48</v>
      </c>
      <c r="D28" s="139">
        <f>6*7</f>
        <v>42</v>
      </c>
      <c r="E28" s="130">
        <f>'3.40'!D7</f>
        <v>650.0023428571428</v>
      </c>
      <c r="F28" s="140">
        <f t="shared" si="1"/>
        <v>27300.1</v>
      </c>
      <c r="G28" s="132" t="s">
        <v>288</v>
      </c>
      <c r="I28" s="106"/>
    </row>
    <row r="29" spans="1:9" ht="63.75">
      <c r="A29" s="134" t="s">
        <v>324</v>
      </c>
      <c r="B29" s="109" t="s">
        <v>325</v>
      </c>
      <c r="C29" s="138" t="s">
        <v>48</v>
      </c>
      <c r="D29" s="139">
        <v>800</v>
      </c>
      <c r="E29" s="130">
        <f>ROUND(1.2*29.22,2)</f>
        <v>35.06</v>
      </c>
      <c r="F29" s="140">
        <f t="shared" si="1"/>
        <v>28048</v>
      </c>
      <c r="G29" s="132" t="s">
        <v>288</v>
      </c>
      <c r="I29" s="106"/>
    </row>
    <row r="30" spans="1:9" ht="85.5">
      <c r="A30" s="134" t="s">
        <v>326</v>
      </c>
      <c r="B30" s="142" t="s">
        <v>327</v>
      </c>
      <c r="C30" s="138" t="s">
        <v>328</v>
      </c>
      <c r="D30" s="139">
        <f>(2+4.3+24+4.3+2)^2</f>
        <v>1339.5600000000002</v>
      </c>
      <c r="E30" s="130">
        <f>ROUND(1.2*15.01,2)</f>
        <v>18.01</v>
      </c>
      <c r="F30" s="140">
        <f t="shared" si="1"/>
        <v>24125.48</v>
      </c>
      <c r="G30" s="132" t="s">
        <v>288</v>
      </c>
      <c r="I30" s="106"/>
    </row>
    <row r="31" spans="1:7" ht="15">
      <c r="A31" s="124"/>
      <c r="B31" s="247" t="s">
        <v>329</v>
      </c>
      <c r="C31" s="247"/>
      <c r="D31" s="247"/>
      <c r="E31" s="247"/>
      <c r="F31" s="104">
        <f>SUM(F25:F30)</f>
        <v>210646.98</v>
      </c>
      <c r="G31" s="123"/>
    </row>
    <row r="32" spans="1:7" ht="15.75" thickBot="1">
      <c r="A32" s="143"/>
      <c r="B32" s="252" t="s">
        <v>330</v>
      </c>
      <c r="C32" s="252"/>
      <c r="D32" s="252"/>
      <c r="E32" s="252"/>
      <c r="F32" s="111">
        <f>F20*12+F31</f>
        <v>2381709.3000000003</v>
      </c>
      <c r="G32" s="123"/>
    </row>
  </sheetData>
  <sheetProtection/>
  <mergeCells count="16">
    <mergeCell ref="A23:F23"/>
    <mergeCell ref="B24:F24"/>
    <mergeCell ref="B31:E31"/>
    <mergeCell ref="B32:E32"/>
    <mergeCell ref="A14:F14"/>
    <mergeCell ref="B15:F15"/>
    <mergeCell ref="B19:E19"/>
    <mergeCell ref="B20:E20"/>
    <mergeCell ref="B21:E21"/>
    <mergeCell ref="B22:E22"/>
    <mergeCell ref="B13:E13"/>
    <mergeCell ref="A1:F1"/>
    <mergeCell ref="A2:F2"/>
    <mergeCell ref="A3:F3"/>
    <mergeCell ref="E4:F4"/>
    <mergeCell ref="B6:F6"/>
  </mergeCells>
  <printOptions/>
  <pageMargins left="0.31496062992125984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2" sqref="L2"/>
    </sheetView>
  </sheetViews>
  <sheetFormatPr defaultColWidth="8.83203125" defaultRowHeight="12.75"/>
  <cols>
    <col min="1" max="1" width="18.33203125" style="101" customWidth="1"/>
    <col min="2" max="2" width="8.83203125" style="101" customWidth="1"/>
    <col min="3" max="4" width="10.5" style="101" bestFit="1" customWidth="1"/>
    <col min="5" max="16384" width="8.83203125" style="101" customWidth="1"/>
  </cols>
  <sheetData>
    <row r="1" spans="1:7" ht="103.5" customHeight="1">
      <c r="A1" s="259" t="s">
        <v>321</v>
      </c>
      <c r="B1" s="259"/>
      <c r="C1" s="259"/>
      <c r="D1" s="259"/>
      <c r="E1" s="144"/>
      <c r="F1" s="145"/>
      <c r="G1" s="145"/>
    </row>
    <row r="2" spans="1:7" ht="15">
      <c r="A2" s="260" t="s">
        <v>331</v>
      </c>
      <c r="B2" s="260"/>
      <c r="C2" s="260"/>
      <c r="D2" s="260"/>
      <c r="E2" s="145"/>
      <c r="F2" s="145"/>
      <c r="G2" s="145"/>
    </row>
    <row r="3" spans="1:7" ht="15">
      <c r="A3" s="146" t="s">
        <v>332</v>
      </c>
      <c r="B3" s="147" t="s">
        <v>333</v>
      </c>
      <c r="C3" s="147" t="s">
        <v>334</v>
      </c>
      <c r="D3" s="148" t="s">
        <v>335</v>
      </c>
      <c r="E3" s="145"/>
      <c r="F3" s="145"/>
      <c r="G3" s="145"/>
    </row>
    <row r="4" spans="1:7" ht="15">
      <c r="A4" s="149" t="s">
        <v>336</v>
      </c>
      <c r="B4" s="150">
        <f>0.5*0.5</f>
        <v>0.25</v>
      </c>
      <c r="C4" s="151">
        <f>ROUND(1.2*77.27,2)</f>
        <v>92.72</v>
      </c>
      <c r="D4" s="152">
        <f>B4*C4</f>
        <v>23.18</v>
      </c>
      <c r="E4" s="145"/>
      <c r="F4" s="145"/>
      <c r="G4" s="145"/>
    </row>
    <row r="5" spans="1:7" ht="15">
      <c r="A5" s="153" t="s">
        <v>337</v>
      </c>
      <c r="B5" s="154">
        <f>4*0.5</f>
        <v>2</v>
      </c>
      <c r="C5" s="155">
        <f>ROUND(4.04*1.2,2)</f>
        <v>4.85</v>
      </c>
      <c r="D5" s="156">
        <f>B5*C5</f>
        <v>9.7</v>
      </c>
      <c r="E5" s="145"/>
      <c r="F5" s="145"/>
      <c r="G5" s="145"/>
    </row>
    <row r="6" spans="1:7" ht="15">
      <c r="A6" s="145"/>
      <c r="B6" s="145"/>
      <c r="C6" s="157" t="s">
        <v>271</v>
      </c>
      <c r="D6" s="158">
        <f>SUM(D4:D5)</f>
        <v>32.879999999999995</v>
      </c>
      <c r="E6" s="145"/>
      <c r="F6" s="145"/>
      <c r="G6" s="145"/>
    </row>
    <row r="7" spans="1:7" ht="15">
      <c r="A7" s="145"/>
      <c r="B7" s="145"/>
      <c r="C7" s="145"/>
      <c r="D7" s="145"/>
      <c r="E7" s="145"/>
      <c r="F7" s="145"/>
      <c r="G7" s="145"/>
    </row>
    <row r="8" spans="1:7" ht="15">
      <c r="A8" s="145"/>
      <c r="B8" s="145"/>
      <c r="C8" s="145"/>
      <c r="D8" s="145"/>
      <c r="E8" s="145"/>
      <c r="F8" s="145"/>
      <c r="G8" s="145"/>
    </row>
    <row r="9" spans="1:7" ht="15">
      <c r="A9" s="145"/>
      <c r="B9" s="145"/>
      <c r="C9" s="145"/>
      <c r="D9" s="145"/>
      <c r="E9" s="145"/>
      <c r="F9" s="145"/>
      <c r="G9" s="145"/>
    </row>
    <row r="10" spans="1:7" ht="15">
      <c r="A10" s="145"/>
      <c r="B10" s="145"/>
      <c r="C10" s="145"/>
      <c r="D10" s="145"/>
      <c r="E10" s="145"/>
      <c r="F10" s="145"/>
      <c r="G10" s="145"/>
    </row>
    <row r="11" spans="1:7" ht="15">
      <c r="A11" s="145"/>
      <c r="B11" s="145"/>
      <c r="C11" s="145"/>
      <c r="D11" s="145"/>
      <c r="E11" s="145"/>
      <c r="F11" s="145"/>
      <c r="G11" s="145"/>
    </row>
    <row r="12" spans="1:7" ht="15">
      <c r="A12" s="145"/>
      <c r="B12" s="145"/>
      <c r="C12" s="145"/>
      <c r="D12" s="145"/>
      <c r="E12" s="145"/>
      <c r="F12" s="145"/>
      <c r="G12" s="145"/>
    </row>
    <row r="13" spans="1:7" ht="15">
      <c r="A13" s="145"/>
      <c r="B13" s="145"/>
      <c r="C13" s="145"/>
      <c r="D13" s="145"/>
      <c r="E13" s="145"/>
      <c r="F13" s="145"/>
      <c r="G13" s="145"/>
    </row>
    <row r="14" spans="1:7" ht="15">
      <c r="A14" s="145"/>
      <c r="B14" s="145"/>
      <c r="C14" s="145"/>
      <c r="D14" s="145"/>
      <c r="E14" s="145"/>
      <c r="F14" s="145"/>
      <c r="G14" s="145"/>
    </row>
    <row r="15" spans="1:7" ht="15">
      <c r="A15" s="145"/>
      <c r="B15" s="145"/>
      <c r="C15" s="145"/>
      <c r="D15" s="145"/>
      <c r="E15" s="145"/>
      <c r="F15" s="145"/>
      <c r="G15" s="145"/>
    </row>
    <row r="16" spans="1:7" ht="15">
      <c r="A16" s="145"/>
      <c r="B16" s="145"/>
      <c r="C16" s="145"/>
      <c r="D16" s="145"/>
      <c r="E16" s="145"/>
      <c r="F16" s="145"/>
      <c r="G16" s="145"/>
    </row>
    <row r="17" spans="1:7" ht="15">
      <c r="A17" s="145"/>
      <c r="B17" s="145"/>
      <c r="C17" s="145"/>
      <c r="D17" s="145"/>
      <c r="E17" s="145"/>
      <c r="F17" s="145"/>
      <c r="G17" s="145"/>
    </row>
    <row r="18" spans="1:7" ht="15">
      <c r="A18" s="145"/>
      <c r="B18" s="145"/>
      <c r="C18" s="145"/>
      <c r="D18" s="145"/>
      <c r="E18" s="145"/>
      <c r="F18" s="145"/>
      <c r="G18" s="145"/>
    </row>
    <row r="19" spans="1:7" ht="15">
      <c r="A19" s="145"/>
      <c r="B19" s="145"/>
      <c r="C19" s="145"/>
      <c r="D19" s="145"/>
      <c r="E19" s="145"/>
      <c r="F19" s="145"/>
      <c r="G19" s="145"/>
    </row>
    <row r="20" spans="1:7" ht="15">
      <c r="A20" s="145"/>
      <c r="B20" s="145"/>
      <c r="C20" s="145"/>
      <c r="D20" s="145"/>
      <c r="E20" s="145"/>
      <c r="F20" s="145"/>
      <c r="G20" s="145"/>
    </row>
    <row r="21" spans="1:7" ht="15">
      <c r="A21" s="145"/>
      <c r="B21" s="145"/>
      <c r="C21" s="145"/>
      <c r="D21" s="145"/>
      <c r="E21" s="145"/>
      <c r="F21" s="145"/>
      <c r="G21" s="145"/>
    </row>
    <row r="22" spans="1:7" ht="15">
      <c r="A22" s="145"/>
      <c r="B22" s="145"/>
      <c r="C22" s="145"/>
      <c r="D22" s="145"/>
      <c r="E22" s="145"/>
      <c r="F22" s="145"/>
      <c r="G22" s="145"/>
    </row>
    <row r="23" spans="1:7" ht="15">
      <c r="A23" s="145"/>
      <c r="B23" s="145"/>
      <c r="C23" s="145"/>
      <c r="D23" s="145"/>
      <c r="E23" s="145"/>
      <c r="F23" s="145"/>
      <c r="G23" s="145"/>
    </row>
    <row r="24" spans="1:7" ht="15">
      <c r="A24" s="145"/>
      <c r="B24" s="145"/>
      <c r="C24" s="145"/>
      <c r="D24" s="145"/>
      <c r="E24" s="145"/>
      <c r="F24" s="145"/>
      <c r="G24" s="145"/>
    </row>
    <row r="25" spans="1:7" ht="15">
      <c r="A25" s="145"/>
      <c r="B25" s="145"/>
      <c r="C25" s="145"/>
      <c r="D25" s="145"/>
      <c r="E25" s="145"/>
      <c r="F25" s="145"/>
      <c r="G25" s="145"/>
    </row>
    <row r="26" spans="1:7" ht="15">
      <c r="A26" s="145"/>
      <c r="B26" s="145"/>
      <c r="C26" s="145"/>
      <c r="D26" s="145"/>
      <c r="E26" s="145"/>
      <c r="F26" s="145"/>
      <c r="G26" s="145"/>
    </row>
    <row r="27" spans="1:7" ht="15">
      <c r="A27" s="145"/>
      <c r="B27" s="145"/>
      <c r="C27" s="145"/>
      <c r="D27" s="145"/>
      <c r="E27" s="145"/>
      <c r="F27" s="145"/>
      <c r="G27" s="145"/>
    </row>
    <row r="28" spans="1:7" ht="15">
      <c r="A28" s="145"/>
      <c r="B28" s="145"/>
      <c r="C28" s="145"/>
      <c r="D28" s="145"/>
      <c r="E28" s="145"/>
      <c r="F28" s="145"/>
      <c r="G28" s="145"/>
    </row>
    <row r="29" spans="1:7" ht="15">
      <c r="A29" s="145"/>
      <c r="B29" s="145"/>
      <c r="C29" s="145"/>
      <c r="D29" s="145"/>
      <c r="E29" s="145"/>
      <c r="F29" s="145"/>
      <c r="G29" s="145"/>
    </row>
    <row r="30" spans="1:7" ht="15">
      <c r="A30" s="145"/>
      <c r="B30" s="145"/>
      <c r="C30" s="145"/>
      <c r="D30" s="145"/>
      <c r="E30" s="145"/>
      <c r="F30" s="145"/>
      <c r="G30" s="145"/>
    </row>
    <row r="31" spans="1:7" ht="15">
      <c r="A31" s="145"/>
      <c r="B31" s="145"/>
      <c r="C31" s="145"/>
      <c r="D31" s="145"/>
      <c r="E31" s="145"/>
      <c r="F31" s="145"/>
      <c r="G31" s="145"/>
    </row>
    <row r="32" spans="1:7" ht="15">
      <c r="A32" s="145"/>
      <c r="B32" s="145"/>
      <c r="C32" s="145"/>
      <c r="D32" s="145"/>
      <c r="E32" s="145"/>
      <c r="F32" s="145"/>
      <c r="G32" s="145"/>
    </row>
  </sheetData>
  <sheetProtection/>
  <mergeCells count="2">
    <mergeCell ref="A1:D1"/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2" sqref="L2"/>
    </sheetView>
  </sheetViews>
  <sheetFormatPr defaultColWidth="8.83203125" defaultRowHeight="12.75"/>
  <cols>
    <col min="1" max="1" width="18.33203125" style="101" customWidth="1"/>
    <col min="2" max="2" width="8.83203125" style="101" customWidth="1"/>
    <col min="3" max="4" width="10.5" style="101" bestFit="1" customWidth="1"/>
    <col min="5" max="16384" width="8.83203125" style="101" customWidth="1"/>
  </cols>
  <sheetData>
    <row r="1" spans="1:7" ht="73.5" customHeight="1">
      <c r="A1" s="259" t="s">
        <v>323</v>
      </c>
      <c r="B1" s="259"/>
      <c r="C1" s="259"/>
      <c r="D1" s="259"/>
      <c r="E1" s="144"/>
      <c r="F1" s="145"/>
      <c r="G1" s="145"/>
    </row>
    <row r="2" spans="1:7" ht="15">
      <c r="A2" s="260" t="s">
        <v>331</v>
      </c>
      <c r="B2" s="260"/>
      <c r="C2" s="260"/>
      <c r="D2" s="260"/>
      <c r="E2" s="145"/>
      <c r="F2" s="145"/>
      <c r="G2" s="145"/>
    </row>
    <row r="3" spans="1:7" ht="15">
      <c r="A3" s="146" t="s">
        <v>332</v>
      </c>
      <c r="B3" s="147" t="s">
        <v>333</v>
      </c>
      <c r="C3" s="147" t="s">
        <v>334</v>
      </c>
      <c r="D3" s="148" t="s">
        <v>335</v>
      </c>
      <c r="E3" s="145"/>
      <c r="F3" s="145"/>
      <c r="G3" s="145"/>
    </row>
    <row r="4" spans="1:7" ht="15">
      <c r="A4" s="149" t="s">
        <v>336</v>
      </c>
      <c r="B4" s="150">
        <f>(3.14*1*1)/4</f>
        <v>0.785</v>
      </c>
      <c r="C4" s="151">
        <f>ROUND(77.27*1.2,2)</f>
        <v>92.72</v>
      </c>
      <c r="D4" s="152">
        <f>B4*C4</f>
        <v>72.7852</v>
      </c>
      <c r="E4" s="145"/>
      <c r="F4" s="145"/>
      <c r="G4" s="145"/>
    </row>
    <row r="5" spans="1:7" ht="15">
      <c r="A5" s="149" t="s">
        <v>338</v>
      </c>
      <c r="B5" s="150">
        <f>1/42</f>
        <v>0.023809523809523808</v>
      </c>
      <c r="C5" s="151">
        <f>ROUND(5000*1.2,2)</f>
        <v>6000</v>
      </c>
      <c r="D5" s="152">
        <f>B5*C5</f>
        <v>142.85714285714286</v>
      </c>
      <c r="E5" s="145"/>
      <c r="F5" s="145"/>
      <c r="G5" s="145"/>
    </row>
    <row r="6" spans="1:7" ht="15">
      <c r="A6" s="153" t="s">
        <v>339</v>
      </c>
      <c r="B6" s="154">
        <v>1</v>
      </c>
      <c r="C6" s="155">
        <f>ROUND(361.97*1.2,2)</f>
        <v>434.36</v>
      </c>
      <c r="D6" s="156">
        <f>B6*C6</f>
        <v>434.36</v>
      </c>
      <c r="E6" s="145"/>
      <c r="F6" s="145"/>
      <c r="G6" s="145"/>
    </row>
    <row r="7" spans="1:7" ht="15">
      <c r="A7" s="145"/>
      <c r="B7" s="145"/>
      <c r="C7" s="157" t="s">
        <v>271</v>
      </c>
      <c r="D7" s="158">
        <f>SUM(D4:D6)</f>
        <v>650.0023428571428</v>
      </c>
      <c r="E7" s="145"/>
      <c r="F7" s="145"/>
      <c r="G7" s="145"/>
    </row>
    <row r="8" spans="1:7" ht="15">
      <c r="A8" s="145"/>
      <c r="B8" s="145"/>
      <c r="C8" s="145"/>
      <c r="D8" s="145"/>
      <c r="E8" s="145"/>
      <c r="F8" s="145"/>
      <c r="G8" s="145"/>
    </row>
    <row r="9" spans="1:7" ht="15">
      <c r="A9" s="145"/>
      <c r="B9" s="145"/>
      <c r="C9" s="145"/>
      <c r="D9" s="145"/>
      <c r="E9" s="145"/>
      <c r="F9" s="145"/>
      <c r="G9" s="145"/>
    </row>
    <row r="10" spans="1:7" ht="15">
      <c r="A10" s="145"/>
      <c r="B10" s="145"/>
      <c r="C10" s="145"/>
      <c r="D10" s="145"/>
      <c r="E10" s="145"/>
      <c r="F10" s="145"/>
      <c r="G10" s="145"/>
    </row>
    <row r="11" spans="1:7" ht="15">
      <c r="A11" s="145"/>
      <c r="B11" s="145"/>
      <c r="C11" s="145"/>
      <c r="D11" s="145"/>
      <c r="E11" s="145"/>
      <c r="F11" s="145"/>
      <c r="G11" s="145"/>
    </row>
    <row r="12" spans="1:7" ht="15">
      <c r="A12" s="145"/>
      <c r="B12" s="145"/>
      <c r="C12" s="145"/>
      <c r="D12" s="145"/>
      <c r="E12" s="145"/>
      <c r="F12" s="145"/>
      <c r="G12" s="145"/>
    </row>
    <row r="13" spans="1:7" ht="15">
      <c r="A13" s="145"/>
      <c r="B13" s="145"/>
      <c r="C13" s="145"/>
      <c r="D13" s="145"/>
      <c r="E13" s="145"/>
      <c r="F13" s="145"/>
      <c r="G13" s="145"/>
    </row>
    <row r="14" spans="1:7" ht="15">
      <c r="A14" s="145"/>
      <c r="B14" s="145"/>
      <c r="C14" s="145"/>
      <c r="D14" s="145"/>
      <c r="E14" s="145"/>
      <c r="F14" s="145"/>
      <c r="G14" s="145"/>
    </row>
    <row r="15" spans="1:7" ht="15">
      <c r="A15" s="145"/>
      <c r="B15" s="145"/>
      <c r="C15" s="145"/>
      <c r="D15" s="145"/>
      <c r="E15" s="145"/>
      <c r="F15" s="145"/>
      <c r="G15" s="145"/>
    </row>
    <row r="16" spans="1:7" ht="15">
      <c r="A16" s="145"/>
      <c r="B16" s="145"/>
      <c r="C16" s="145"/>
      <c r="D16" s="145"/>
      <c r="E16" s="145"/>
      <c r="F16" s="145"/>
      <c r="G16" s="145"/>
    </row>
    <row r="17" spans="1:7" ht="15">
      <c r="A17" s="145"/>
      <c r="B17" s="145"/>
      <c r="C17" s="145"/>
      <c r="D17" s="145"/>
      <c r="E17" s="145"/>
      <c r="F17" s="145"/>
      <c r="G17" s="145"/>
    </row>
    <row r="18" spans="1:7" ht="15">
      <c r="A18" s="145"/>
      <c r="B18" s="145"/>
      <c r="C18" s="145"/>
      <c r="D18" s="145"/>
      <c r="E18" s="145"/>
      <c r="F18" s="145"/>
      <c r="G18" s="145"/>
    </row>
    <row r="19" spans="1:7" ht="15">
      <c r="A19" s="145"/>
      <c r="B19" s="145"/>
      <c r="C19" s="145"/>
      <c r="D19" s="145"/>
      <c r="E19" s="145"/>
      <c r="F19" s="145"/>
      <c r="G19" s="145"/>
    </row>
    <row r="20" spans="1:7" ht="15">
      <c r="A20" s="145"/>
      <c r="B20" s="145"/>
      <c r="C20" s="145"/>
      <c r="D20" s="145"/>
      <c r="E20" s="145"/>
      <c r="F20" s="145"/>
      <c r="G20" s="145"/>
    </row>
    <row r="21" spans="1:7" ht="15">
      <c r="A21" s="145"/>
      <c r="B21" s="145"/>
      <c r="C21" s="145"/>
      <c r="D21" s="145"/>
      <c r="E21" s="145"/>
      <c r="F21" s="145"/>
      <c r="G21" s="145"/>
    </row>
    <row r="22" spans="1:7" ht="15">
      <c r="A22" s="145"/>
      <c r="B22" s="145"/>
      <c r="C22" s="145"/>
      <c r="D22" s="145"/>
      <c r="E22" s="145"/>
      <c r="F22" s="145"/>
      <c r="G22" s="145"/>
    </row>
    <row r="23" spans="1:7" ht="15">
      <c r="A23" s="145"/>
      <c r="B23" s="145"/>
      <c r="C23" s="145"/>
      <c r="D23" s="145"/>
      <c r="E23" s="145"/>
      <c r="F23" s="145"/>
      <c r="G23" s="145"/>
    </row>
    <row r="24" spans="1:7" ht="15">
      <c r="A24" s="145"/>
      <c r="B24" s="145"/>
      <c r="C24" s="145"/>
      <c r="D24" s="145"/>
      <c r="E24" s="145"/>
      <c r="F24" s="145"/>
      <c r="G24" s="145"/>
    </row>
    <row r="25" spans="1:7" ht="15">
      <c r="A25" s="145"/>
      <c r="B25" s="145"/>
      <c r="C25" s="145"/>
      <c r="D25" s="145"/>
      <c r="E25" s="145"/>
      <c r="F25" s="145"/>
      <c r="G25" s="145"/>
    </row>
    <row r="26" spans="1:7" ht="15">
      <c r="A26" s="145"/>
      <c r="B26" s="145"/>
      <c r="C26" s="145"/>
      <c r="D26" s="145"/>
      <c r="E26" s="145"/>
      <c r="F26" s="145"/>
      <c r="G26" s="145"/>
    </row>
    <row r="27" spans="1:7" ht="15">
      <c r="A27" s="145"/>
      <c r="B27" s="145"/>
      <c r="C27" s="145"/>
      <c r="D27" s="145"/>
      <c r="E27" s="145"/>
      <c r="F27" s="145"/>
      <c r="G27" s="145"/>
    </row>
    <row r="28" spans="1:7" ht="15">
      <c r="A28" s="145"/>
      <c r="B28" s="145"/>
      <c r="C28" s="145"/>
      <c r="D28" s="145"/>
      <c r="E28" s="145"/>
      <c r="F28" s="145"/>
      <c r="G28" s="145"/>
    </row>
    <row r="29" spans="1:7" ht="15">
      <c r="A29" s="145"/>
      <c r="B29" s="145"/>
      <c r="C29" s="145"/>
      <c r="D29" s="145"/>
      <c r="E29" s="145"/>
      <c r="F29" s="145"/>
      <c r="G29" s="145"/>
    </row>
    <row r="30" spans="1:7" ht="15">
      <c r="A30" s="145"/>
      <c r="B30" s="145"/>
      <c r="C30" s="145"/>
      <c r="D30" s="145"/>
      <c r="E30" s="145"/>
      <c r="F30" s="145"/>
      <c r="G30" s="145"/>
    </row>
    <row r="31" spans="1:7" ht="15">
      <c r="A31" s="145"/>
      <c r="B31" s="145"/>
      <c r="C31" s="145"/>
      <c r="D31" s="145"/>
      <c r="E31" s="145"/>
      <c r="F31" s="145"/>
      <c r="G31" s="145"/>
    </row>
    <row r="32" spans="1:7" ht="15">
      <c r="A32" s="145"/>
      <c r="B32" s="145"/>
      <c r="C32" s="145"/>
      <c r="D32" s="145"/>
      <c r="E32" s="145"/>
      <c r="F32" s="145"/>
      <c r="G32" s="145"/>
    </row>
  </sheetData>
  <sheetProtection/>
  <mergeCells count="2">
    <mergeCell ref="A1:D1"/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73" sqref="E73"/>
    </sheetView>
  </sheetViews>
  <sheetFormatPr defaultColWidth="9.33203125" defaultRowHeight="12.75"/>
  <cols>
    <col min="1" max="1" width="38.66015625" style="15" customWidth="1"/>
    <col min="2" max="2" width="9" style="15" customWidth="1"/>
    <col min="3" max="3" width="7.5" style="15" customWidth="1"/>
    <col min="4" max="4" width="12.83203125" style="15" customWidth="1"/>
    <col min="5" max="5" width="12.66015625" style="15" customWidth="1"/>
    <col min="6" max="6" width="14.5" style="15" customWidth="1"/>
    <col min="7" max="7" width="11.83203125" style="1" bestFit="1" customWidth="1"/>
    <col min="8" max="16384" width="9.33203125" style="1" customWidth="1"/>
  </cols>
  <sheetData>
    <row r="1" spans="1:6" ht="18">
      <c r="A1" s="12" t="s">
        <v>248</v>
      </c>
      <c r="B1" s="16"/>
      <c r="C1" s="16"/>
      <c r="D1" s="16"/>
      <c r="E1" s="16"/>
      <c r="F1" s="16"/>
    </row>
    <row r="2" spans="1:6" ht="18">
      <c r="A2" s="13"/>
      <c r="B2" s="16"/>
      <c r="C2" s="16"/>
      <c r="D2" s="16"/>
      <c r="E2" s="16"/>
      <c r="F2" s="16"/>
    </row>
    <row r="3" spans="2:6" ht="12.75">
      <c r="B3" s="16"/>
      <c r="C3" s="16"/>
      <c r="D3" s="16"/>
      <c r="E3" s="16"/>
      <c r="F3" s="16"/>
    </row>
    <row r="4" spans="2:6" ht="12.75">
      <c r="B4" s="16"/>
      <c r="C4" s="16"/>
      <c r="D4" s="16"/>
      <c r="E4" s="16"/>
      <c r="F4" s="16"/>
    </row>
    <row r="5" spans="1:6" ht="12.75">
      <c r="A5" s="1"/>
      <c r="B5" s="16"/>
      <c r="C5" s="16"/>
      <c r="D5" s="16"/>
      <c r="E5" s="16"/>
      <c r="F5" s="16"/>
    </row>
    <row r="6" spans="1:6" ht="12.75">
      <c r="A6" s="16" t="s">
        <v>0</v>
      </c>
      <c r="B6" s="16"/>
      <c r="C6" s="16"/>
      <c r="D6" s="16"/>
      <c r="E6" s="16"/>
      <c r="F6" s="16"/>
    </row>
    <row r="7" spans="1:6" ht="12.75">
      <c r="A7" s="6"/>
      <c r="B7" s="6"/>
      <c r="C7" s="6"/>
      <c r="D7" s="6"/>
      <c r="E7" s="6"/>
      <c r="F7" s="6"/>
    </row>
    <row r="8" spans="1:6" ht="12.75">
      <c r="A8" s="17" t="s">
        <v>402</v>
      </c>
      <c r="B8" s="17"/>
      <c r="C8" s="17"/>
      <c r="D8" s="2"/>
      <c r="E8" s="2"/>
      <c r="F8" s="2"/>
    </row>
    <row r="9" spans="1:6" ht="12.75">
      <c r="A9" s="6"/>
      <c r="B9" s="6"/>
      <c r="C9" s="6"/>
      <c r="D9" s="6"/>
      <c r="E9" s="6"/>
      <c r="F9" s="6"/>
    </row>
    <row r="10" spans="1:6" ht="12.75">
      <c r="A10" s="18" t="s">
        <v>35</v>
      </c>
      <c r="B10" s="18"/>
      <c r="C10" s="18"/>
      <c r="D10" s="6">
        <f>+D14+D18</f>
        <v>27608.3303</v>
      </c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6" ht="12.75">
      <c r="A12" s="20" t="s">
        <v>403</v>
      </c>
      <c r="B12" s="20"/>
      <c r="C12" s="20"/>
      <c r="D12" s="6">
        <v>7</v>
      </c>
      <c r="E12" s="6" t="s">
        <v>36</v>
      </c>
      <c r="F12" s="6"/>
    </row>
    <row r="13" spans="1:6" ht="12.75">
      <c r="A13" s="21" t="s">
        <v>404</v>
      </c>
      <c r="B13" s="21"/>
      <c r="C13" s="21"/>
      <c r="D13" s="6">
        <f>+VARREDOR!B28</f>
        <v>3223.7644</v>
      </c>
      <c r="E13" s="21" t="s">
        <v>38</v>
      </c>
      <c r="F13" s="6"/>
    </row>
    <row r="14" spans="1:6" ht="12.75">
      <c r="A14" s="20" t="s">
        <v>405</v>
      </c>
      <c r="B14" s="20"/>
      <c r="C14" s="20"/>
      <c r="D14" s="6">
        <f>+D13*D12</f>
        <v>22566.3508</v>
      </c>
      <c r="E14" s="6" t="s">
        <v>40</v>
      </c>
      <c r="F14" s="6"/>
    </row>
    <row r="15" spans="1:6" ht="12.75">
      <c r="A15" s="20"/>
      <c r="B15" s="20"/>
      <c r="C15" s="20"/>
      <c r="D15" s="6"/>
      <c r="E15" s="6"/>
      <c r="F15" s="6"/>
    </row>
    <row r="16" spans="1:6" ht="12.75">
      <c r="A16" s="21" t="s">
        <v>41</v>
      </c>
      <c r="B16" s="21"/>
      <c r="C16" s="21"/>
      <c r="D16" s="6">
        <v>1</v>
      </c>
      <c r="E16" s="6" t="s">
        <v>36</v>
      </c>
      <c r="F16" s="6"/>
    </row>
    <row r="17" spans="1:6" ht="12.75">
      <c r="A17" s="6" t="s">
        <v>42</v>
      </c>
      <c r="B17" s="6"/>
      <c r="C17" s="6"/>
      <c r="D17" s="6">
        <f>+FISCAL!B29</f>
        <v>5041.9794999999995</v>
      </c>
      <c r="E17" s="6" t="s">
        <v>38</v>
      </c>
      <c r="F17" s="6"/>
    </row>
    <row r="18" spans="1:6" ht="12.75">
      <c r="A18" s="6" t="s">
        <v>43</v>
      </c>
      <c r="B18" s="6"/>
      <c r="C18" s="6"/>
      <c r="D18" s="6">
        <f>+D17*D16</f>
        <v>5041.9794999999995</v>
      </c>
      <c r="E18" s="6" t="s">
        <v>40</v>
      </c>
      <c r="F18" s="6"/>
    </row>
    <row r="19" spans="1:6" ht="12.75">
      <c r="A19" s="6"/>
      <c r="B19" s="6"/>
      <c r="C19" s="6"/>
      <c r="D19" s="6"/>
      <c r="E19" s="6"/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70" t="s">
        <v>94</v>
      </c>
      <c r="B21" s="70"/>
      <c r="C21" s="70"/>
      <c r="D21" s="2">
        <f>D25+D29</f>
        <v>25219.986466666665</v>
      </c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20" t="s">
        <v>220</v>
      </c>
      <c r="B23" s="20"/>
      <c r="C23" s="20"/>
      <c r="D23" s="6">
        <v>1</v>
      </c>
      <c r="E23" s="6" t="s">
        <v>36</v>
      </c>
      <c r="F23" s="6"/>
    </row>
    <row r="24" spans="1:6" ht="12.75">
      <c r="A24" s="6" t="s">
        <v>64</v>
      </c>
      <c r="B24" s="6"/>
      <c r="C24" s="6"/>
      <c r="D24" s="6">
        <f>+CARROCERIA!B62</f>
        <v>12708.018233333332</v>
      </c>
      <c r="E24" s="6" t="s">
        <v>38</v>
      </c>
      <c r="F24" s="6"/>
    </row>
    <row r="25" spans="1:6" ht="12.75">
      <c r="A25" s="21" t="s">
        <v>221</v>
      </c>
      <c r="B25" s="21"/>
      <c r="C25" s="21"/>
      <c r="D25" s="6">
        <f>+D24*D23</f>
        <v>12708.018233333332</v>
      </c>
      <c r="E25" s="6" t="s">
        <v>40</v>
      </c>
      <c r="F25" s="6"/>
    </row>
    <row r="26" spans="1:6" ht="12.75">
      <c r="A26" s="21"/>
      <c r="B26" s="21"/>
      <c r="C26" s="21"/>
      <c r="D26" s="6"/>
      <c r="E26" s="6"/>
      <c r="F26" s="6"/>
    </row>
    <row r="27" spans="1:6" ht="12.75">
      <c r="A27" s="20" t="s">
        <v>414</v>
      </c>
      <c r="B27" s="20"/>
      <c r="C27" s="20"/>
      <c r="D27" s="6">
        <v>1</v>
      </c>
      <c r="E27" s="6" t="s">
        <v>36</v>
      </c>
      <c r="F27" s="6"/>
    </row>
    <row r="28" spans="1:6" ht="12.75">
      <c r="A28" s="6" t="s">
        <v>64</v>
      </c>
      <c r="B28" s="6"/>
      <c r="C28" s="6"/>
      <c r="D28" s="6">
        <f>'caminhão pipa'!B64</f>
        <v>12511.968233333333</v>
      </c>
      <c r="E28" s="6" t="s">
        <v>38</v>
      </c>
      <c r="F28" s="6"/>
    </row>
    <row r="29" spans="1:6" ht="12.75">
      <c r="A29" s="21" t="s">
        <v>221</v>
      </c>
      <c r="B29" s="21"/>
      <c r="C29" s="21"/>
      <c r="D29" s="6">
        <f>+D28*D27</f>
        <v>12511.968233333333</v>
      </c>
      <c r="E29" s="6" t="s">
        <v>40</v>
      </c>
      <c r="F29" s="6"/>
    </row>
    <row r="30" spans="1:6" ht="12.75">
      <c r="A30" s="21"/>
      <c r="B30" s="21"/>
      <c r="C30" s="21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32" t="s">
        <v>90</v>
      </c>
      <c r="B32" s="32"/>
      <c r="C32" s="32"/>
      <c r="D32" s="223">
        <f>D47+D49</f>
        <v>144.525</v>
      </c>
      <c r="E32" s="6"/>
      <c r="F32" s="6"/>
    </row>
    <row r="33" spans="1:8" ht="12.75">
      <c r="A33" s="22"/>
      <c r="B33" s="22"/>
      <c r="C33" s="22"/>
      <c r="D33" s="23"/>
      <c r="E33" s="6"/>
      <c r="G33" s="6"/>
      <c r="H33" s="35"/>
    </row>
    <row r="34" spans="1:7" ht="12.75">
      <c r="A34" s="24" t="s">
        <v>129</v>
      </c>
      <c r="B34" s="25">
        <f>2*4</f>
        <v>8</v>
      </c>
      <c r="C34" s="26" t="s">
        <v>130</v>
      </c>
      <c r="D34" s="6">
        <f>B34*'[4]PREÇOS'!C6</f>
        <v>120</v>
      </c>
      <c r="E34" s="6" t="s">
        <v>40</v>
      </c>
      <c r="G34" s="6"/>
    </row>
    <row r="35" spans="1:7" ht="12.75">
      <c r="A35" s="6" t="s">
        <v>131</v>
      </c>
      <c r="B35" s="25">
        <f>+B34</f>
        <v>8</v>
      </c>
      <c r="C35" s="26" t="s">
        <v>130</v>
      </c>
      <c r="D35" s="6">
        <f>B35*'[4]PREÇOS'!C5</f>
        <v>480</v>
      </c>
      <c r="E35" s="6" t="s">
        <v>40</v>
      </c>
      <c r="G35" s="6"/>
    </row>
    <row r="36" spans="1:7" ht="12.75">
      <c r="A36" s="6" t="s">
        <v>132</v>
      </c>
      <c r="B36" s="27">
        <f>4*12</f>
        <v>48</v>
      </c>
      <c r="C36" s="26" t="s">
        <v>130</v>
      </c>
      <c r="D36" s="6">
        <f>B36*'[4]PREÇOS'!C8</f>
        <v>240</v>
      </c>
      <c r="E36" s="6" t="s">
        <v>40</v>
      </c>
      <c r="G36" s="6"/>
    </row>
    <row r="37" spans="1:7" ht="12.75">
      <c r="A37" s="6" t="s">
        <v>133</v>
      </c>
      <c r="B37" s="27">
        <f>+B34</f>
        <v>8</v>
      </c>
      <c r="C37" s="26" t="s">
        <v>130</v>
      </c>
      <c r="D37" s="6">
        <f>B37*'[4]PREÇOS'!C7</f>
        <v>96</v>
      </c>
      <c r="E37" s="6" t="s">
        <v>40</v>
      </c>
      <c r="G37" s="6"/>
    </row>
    <row r="38" spans="1:7" ht="12.75">
      <c r="A38" s="6" t="s">
        <v>134</v>
      </c>
      <c r="B38" s="27">
        <v>0</v>
      </c>
      <c r="C38" s="26" t="s">
        <v>130</v>
      </c>
      <c r="D38" s="6">
        <f>B38*'[4]PREÇOS'!C9</f>
        <v>0</v>
      </c>
      <c r="E38" s="6" t="s">
        <v>40</v>
      </c>
      <c r="G38" s="6"/>
    </row>
    <row r="39" spans="1:7" ht="12.75">
      <c r="A39" s="6" t="s">
        <v>135</v>
      </c>
      <c r="B39" s="27">
        <v>0</v>
      </c>
      <c r="C39" s="26" t="s">
        <v>130</v>
      </c>
      <c r="D39" s="6">
        <f>B39*'[4]PREÇOS'!C10</f>
        <v>0</v>
      </c>
      <c r="E39" s="6" t="s">
        <v>40</v>
      </c>
      <c r="G39" s="6"/>
    </row>
    <row r="40" spans="1:7" ht="12.75">
      <c r="A40" s="6" t="s">
        <v>226</v>
      </c>
      <c r="B40" s="27">
        <v>0</v>
      </c>
      <c r="C40" s="26" t="s">
        <v>130</v>
      </c>
      <c r="D40" s="6">
        <f>B40*'[4]PREÇOS'!C15</f>
        <v>0</v>
      </c>
      <c r="E40" s="6" t="s">
        <v>40</v>
      </c>
      <c r="G40" s="6"/>
    </row>
    <row r="41" spans="1:7" ht="12.75">
      <c r="A41" s="6" t="s">
        <v>117</v>
      </c>
      <c r="B41" s="27">
        <f>7*4</f>
        <v>28</v>
      </c>
      <c r="C41" s="26" t="s">
        <v>130</v>
      </c>
      <c r="D41" s="6">
        <f>B41*'[4]PREÇOS'!C14</f>
        <v>364</v>
      </c>
      <c r="E41" s="6" t="s">
        <v>40</v>
      </c>
      <c r="G41" s="6"/>
    </row>
    <row r="42" spans="1:7" ht="12.75">
      <c r="A42" s="6" t="s">
        <v>136</v>
      </c>
      <c r="B42" s="27">
        <f>4*4</f>
        <v>16</v>
      </c>
      <c r="C42" s="26" t="str">
        <f>+C43</f>
        <v>unid</v>
      </c>
      <c r="D42" s="6">
        <f>B42*'[4]PREÇOS'!C16</f>
        <v>192</v>
      </c>
      <c r="E42" s="6" t="s">
        <v>40</v>
      </c>
      <c r="G42" s="6"/>
    </row>
    <row r="43" spans="1:7" ht="12.75">
      <c r="A43" s="6" t="s">
        <v>137</v>
      </c>
      <c r="B43" s="27">
        <v>0</v>
      </c>
      <c r="C43" s="26" t="s">
        <v>130</v>
      </c>
      <c r="D43" s="6">
        <f>B43*'[4]PREÇOS'!C17</f>
        <v>0</v>
      </c>
      <c r="E43" s="6" t="s">
        <v>40</v>
      </c>
      <c r="G43" s="6"/>
    </row>
    <row r="44" spans="1:7" ht="12.75">
      <c r="A44" s="6" t="s">
        <v>223</v>
      </c>
      <c r="B44" s="27">
        <v>10</v>
      </c>
      <c r="C44" s="26" t="s">
        <v>130</v>
      </c>
      <c r="D44" s="6">
        <f>B44*'[4]PREÇOS'!C12</f>
        <v>200</v>
      </c>
      <c r="E44" s="6" t="s">
        <v>40</v>
      </c>
      <c r="G44" s="6"/>
    </row>
    <row r="45" spans="1:7" ht="12.75">
      <c r="A45" s="6" t="s">
        <v>75</v>
      </c>
      <c r="B45" s="6"/>
      <c r="C45" s="6"/>
      <c r="D45" s="6">
        <f>SUM(D34:D44)</f>
        <v>1692</v>
      </c>
      <c r="E45" s="6" t="s">
        <v>40</v>
      </c>
      <c r="G45" s="6"/>
    </row>
    <row r="46" spans="1:7" ht="12.75">
      <c r="A46" s="6" t="s">
        <v>76</v>
      </c>
      <c r="B46" s="6"/>
      <c r="C46" s="6"/>
      <c r="D46" s="6">
        <v>12</v>
      </c>
      <c r="E46" s="6" t="s">
        <v>65</v>
      </c>
      <c r="G46" s="6"/>
    </row>
    <row r="47" spans="1:7" ht="12.75">
      <c r="A47" s="6" t="s">
        <v>66</v>
      </c>
      <c r="B47" s="6"/>
      <c r="C47" s="6"/>
      <c r="D47" s="6">
        <f>+D45/+D46</f>
        <v>141</v>
      </c>
      <c r="E47" s="6" t="s">
        <v>77</v>
      </c>
      <c r="G47" s="6"/>
    </row>
    <row r="48" spans="1:7" ht="12.75">
      <c r="A48" s="6" t="s">
        <v>78</v>
      </c>
      <c r="B48" s="6"/>
      <c r="C48" s="6"/>
      <c r="D48" s="28">
        <v>0.025</v>
      </c>
      <c r="E48" s="6"/>
      <c r="G48" s="6"/>
    </row>
    <row r="49" spans="1:7" ht="12.75">
      <c r="A49" s="6" t="s">
        <v>67</v>
      </c>
      <c r="B49" s="6"/>
      <c r="C49" s="6"/>
      <c r="D49" s="6">
        <f>D48*D47</f>
        <v>3.5250000000000004</v>
      </c>
      <c r="E49" s="6" t="s">
        <v>77</v>
      </c>
      <c r="G49" s="6"/>
    </row>
    <row r="50" spans="1:7" ht="12.75">
      <c r="A50" s="6"/>
      <c r="B50" s="6"/>
      <c r="C50" s="6"/>
      <c r="D50" s="6"/>
      <c r="E50" s="6"/>
      <c r="G50" s="6"/>
    </row>
    <row r="51" spans="1:7" ht="12.75">
      <c r="A51" s="18" t="s">
        <v>227</v>
      </c>
      <c r="B51" s="18"/>
      <c r="C51" s="18"/>
      <c r="D51" s="6"/>
      <c r="E51" s="6"/>
      <c r="G51" s="6"/>
    </row>
    <row r="52" spans="1:6" ht="12.75">
      <c r="A52" s="6" t="s">
        <v>74</v>
      </c>
      <c r="B52" s="6"/>
      <c r="C52" s="6"/>
      <c r="D52" s="6">
        <f>D10</f>
        <v>27608.3303</v>
      </c>
      <c r="E52" s="6" t="s">
        <v>40</v>
      </c>
      <c r="F52" s="6"/>
    </row>
    <row r="53" spans="1:6" ht="12.75">
      <c r="A53" s="6" t="s">
        <v>68</v>
      </c>
      <c r="B53" s="6"/>
      <c r="C53" s="6"/>
      <c r="D53" s="6">
        <f>D21</f>
        <v>25219.986466666665</v>
      </c>
      <c r="E53" s="6"/>
      <c r="F53" s="6"/>
    </row>
    <row r="54" spans="1:6" ht="12.75">
      <c r="A54" s="6" t="s">
        <v>70</v>
      </c>
      <c r="B54" s="6"/>
      <c r="C54" s="6"/>
      <c r="D54" s="6">
        <f>D32</f>
        <v>144.525</v>
      </c>
      <c r="E54" s="6" t="s">
        <v>40</v>
      </c>
      <c r="F54" s="6"/>
    </row>
    <row r="55" spans="1:6" ht="12.75">
      <c r="A55" s="2" t="s">
        <v>51</v>
      </c>
      <c r="B55" s="2"/>
      <c r="C55" s="2"/>
      <c r="D55" s="2">
        <f>SUM(D52:D54)</f>
        <v>52972.84176666667</v>
      </c>
      <c r="E55" s="2" t="s">
        <v>40</v>
      </c>
      <c r="F55" s="6"/>
    </row>
    <row r="56" spans="1:6" ht="12.75">
      <c r="A56" s="6"/>
      <c r="B56" s="6"/>
      <c r="C56" s="6"/>
      <c r="D56" s="6" t="s">
        <v>8</v>
      </c>
      <c r="E56" s="6"/>
      <c r="F56" s="6"/>
    </row>
    <row r="57" spans="1:6" ht="12.75">
      <c r="A57" s="18" t="s">
        <v>228</v>
      </c>
      <c r="B57" s="6"/>
      <c r="C57" s="6"/>
      <c r="D57" s="6" t="s">
        <v>8</v>
      </c>
      <c r="E57" s="6"/>
      <c r="F57" s="6"/>
    </row>
    <row r="58" spans="1:6" ht="12.75">
      <c r="A58" s="21" t="s">
        <v>52</v>
      </c>
      <c r="B58" s="21"/>
      <c r="C58" s="21"/>
      <c r="D58" s="11">
        <v>0.1</v>
      </c>
      <c r="E58" s="6" t="s">
        <v>8</v>
      </c>
      <c r="F58" s="29">
        <f>D58*ADM!B37</f>
        <v>2903.55</v>
      </c>
    </row>
    <row r="59" spans="1:6" ht="12.75">
      <c r="A59" s="6"/>
      <c r="B59" s="6"/>
      <c r="C59" s="6"/>
      <c r="D59" s="6"/>
      <c r="E59" s="6"/>
      <c r="F59" s="6"/>
    </row>
    <row r="60" spans="1:6" ht="12.75">
      <c r="A60" s="18" t="s">
        <v>239</v>
      </c>
      <c r="B60" s="6"/>
      <c r="C60" s="6"/>
      <c r="D60" s="6"/>
      <c r="E60" s="6"/>
      <c r="F60" s="6"/>
    </row>
    <row r="61" spans="1:6" ht="12.75">
      <c r="A61" s="6" t="s">
        <v>53</v>
      </c>
      <c r="B61" s="6"/>
      <c r="C61" s="6"/>
      <c r="D61" s="31">
        <v>0.15</v>
      </c>
      <c r="E61" s="6" t="s">
        <v>8</v>
      </c>
      <c r="F61" s="6">
        <f>D61*(D55+F58)</f>
        <v>8381.458765000001</v>
      </c>
    </row>
    <row r="62" spans="1:6" ht="12.75">
      <c r="A62" s="6"/>
      <c r="B62" s="6"/>
      <c r="C62" s="6"/>
      <c r="D62" s="6"/>
      <c r="E62" s="6"/>
      <c r="F62" s="6"/>
    </row>
    <row r="63" spans="1:6" ht="12.75">
      <c r="A63" s="18" t="s">
        <v>229</v>
      </c>
      <c r="B63" s="18"/>
      <c r="C63" s="18"/>
      <c r="D63" s="6"/>
      <c r="E63" s="6"/>
      <c r="F63" s="6">
        <f>F61+F58+D55</f>
        <v>64257.85053166667</v>
      </c>
    </row>
    <row r="64" spans="1:6" ht="12.75">
      <c r="A64" s="18"/>
      <c r="B64" s="18"/>
      <c r="C64" s="18"/>
      <c r="D64" s="6"/>
      <c r="E64" s="6"/>
      <c r="F64" s="6"/>
    </row>
    <row r="65" spans="1:6" ht="12.75">
      <c r="A65" s="22" t="s">
        <v>238</v>
      </c>
      <c r="B65" s="6"/>
      <c r="C65" s="6"/>
      <c r="D65" s="6"/>
      <c r="E65" s="6"/>
      <c r="F65" s="6"/>
    </row>
    <row r="66" spans="1:6" ht="12.75">
      <c r="A66" s="6" t="s">
        <v>53</v>
      </c>
      <c r="B66" s="6"/>
      <c r="C66" s="6"/>
      <c r="D66" s="11">
        <v>0.1425</v>
      </c>
      <c r="E66" s="6" t="s">
        <v>8</v>
      </c>
      <c r="F66" s="6">
        <f>+F63/0.8575</f>
        <v>74936.26884159379</v>
      </c>
    </row>
    <row r="67" spans="1:6" ht="12.75">
      <c r="A67" s="6"/>
      <c r="B67" s="6"/>
      <c r="C67" s="6"/>
      <c r="D67" s="6"/>
      <c r="E67" s="6"/>
      <c r="F67" s="6"/>
    </row>
    <row r="68" spans="1:6" ht="12.75">
      <c r="A68" s="32" t="s">
        <v>230</v>
      </c>
      <c r="B68" s="32"/>
      <c r="C68" s="32"/>
      <c r="D68" s="2"/>
      <c r="E68" s="2"/>
      <c r="F68" s="6"/>
    </row>
    <row r="69" spans="1:6" ht="12.75">
      <c r="A69" s="33" t="s">
        <v>54</v>
      </c>
      <c r="B69" s="33"/>
      <c r="C69" s="33"/>
      <c r="D69" s="2">
        <f>+F66</f>
        <v>74936.26884159379</v>
      </c>
      <c r="E69" s="2" t="s">
        <v>40</v>
      </c>
      <c r="F69" s="6"/>
    </row>
    <row r="70" spans="1:6" ht="12.75">
      <c r="A70" s="2" t="s">
        <v>55</v>
      </c>
      <c r="B70" s="2"/>
      <c r="C70" s="2"/>
      <c r="D70" s="2">
        <v>1</v>
      </c>
      <c r="E70" s="2" t="s">
        <v>388</v>
      </c>
      <c r="F70" s="6"/>
    </row>
    <row r="71" spans="1:6" ht="12.75">
      <c r="A71" s="2" t="s">
        <v>57</v>
      </c>
      <c r="B71" s="2"/>
      <c r="C71" s="2"/>
      <c r="D71" s="2">
        <f>ROUND(D69/D70,2)</f>
        <v>74936.27</v>
      </c>
      <c r="E71" s="2" t="s">
        <v>253</v>
      </c>
      <c r="F71" s="1"/>
    </row>
  </sheetData>
  <sheetProtection/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4" sqref="C14"/>
    </sheetView>
  </sheetViews>
  <sheetFormatPr defaultColWidth="9.33203125" defaultRowHeight="12.75"/>
  <cols>
    <col min="1" max="1" width="9.33203125" style="1" customWidth="1"/>
    <col min="2" max="2" width="37.5" style="1" customWidth="1"/>
    <col min="3" max="3" width="15.5" style="1" customWidth="1"/>
    <col min="4" max="4" width="22.66015625" style="1" customWidth="1"/>
    <col min="5" max="16384" width="9.33203125" style="1" customWidth="1"/>
  </cols>
  <sheetData>
    <row r="1" ht="18">
      <c r="A1" s="12" t="s">
        <v>248</v>
      </c>
    </row>
    <row r="2" ht="18">
      <c r="A2" s="13"/>
    </row>
    <row r="3" ht="12.75">
      <c r="A3" s="15"/>
    </row>
    <row r="4" ht="12.75">
      <c r="A4" s="14"/>
    </row>
    <row r="6" spans="1:3" ht="12.75">
      <c r="A6" s="261" t="s">
        <v>182</v>
      </c>
      <c r="B6" s="261"/>
      <c r="C6" s="261"/>
    </row>
    <row r="8" spans="1:4" ht="12.75">
      <c r="A8" s="63" t="s">
        <v>107</v>
      </c>
      <c r="B8" s="63" t="s">
        <v>108</v>
      </c>
      <c r="C8" s="63" t="s">
        <v>109</v>
      </c>
      <c r="D8" s="63" t="s">
        <v>144</v>
      </c>
    </row>
    <row r="9" spans="1:4" ht="16.5">
      <c r="A9" s="64">
        <v>1</v>
      </c>
      <c r="B9" s="65" t="s">
        <v>110</v>
      </c>
      <c r="C9" s="66">
        <v>75</v>
      </c>
      <c r="D9" s="67">
        <v>3</v>
      </c>
    </row>
    <row r="10" spans="1:4" ht="16.5">
      <c r="A10" s="64">
        <v>2</v>
      </c>
      <c r="B10" s="65" t="s">
        <v>111</v>
      </c>
      <c r="C10" s="66">
        <v>20</v>
      </c>
      <c r="D10" s="67">
        <v>3</v>
      </c>
    </row>
    <row r="11" spans="1:4" ht="16.5">
      <c r="A11" s="64">
        <v>3</v>
      </c>
      <c r="B11" s="65" t="s">
        <v>112</v>
      </c>
      <c r="C11" s="66">
        <v>18</v>
      </c>
      <c r="D11" s="67">
        <v>3</v>
      </c>
    </row>
    <row r="12" spans="1:4" ht="16.5">
      <c r="A12" s="64">
        <v>4</v>
      </c>
      <c r="B12" s="65" t="s">
        <v>113</v>
      </c>
      <c r="C12" s="66">
        <v>12</v>
      </c>
      <c r="D12" s="67">
        <v>1</v>
      </c>
    </row>
    <row r="13" spans="1:4" ht="16.5">
      <c r="A13" s="64">
        <v>5</v>
      </c>
      <c r="B13" s="65" t="s">
        <v>114</v>
      </c>
      <c r="C13" s="66">
        <v>35</v>
      </c>
      <c r="D13" s="67">
        <v>3</v>
      </c>
    </row>
    <row r="14" spans="1:4" ht="16.5">
      <c r="A14" s="64">
        <v>6</v>
      </c>
      <c r="B14" s="65" t="s">
        <v>126</v>
      </c>
      <c r="C14" s="66">
        <v>75</v>
      </c>
      <c r="D14" s="67">
        <v>4</v>
      </c>
    </row>
    <row r="15" spans="1:4" ht="16.5">
      <c r="A15" s="64">
        <v>7</v>
      </c>
      <c r="B15" s="65" t="s">
        <v>91</v>
      </c>
      <c r="C15" s="66">
        <v>350</v>
      </c>
      <c r="D15" s="67">
        <v>12</v>
      </c>
    </row>
    <row r="16" spans="1:4" ht="16.5">
      <c r="A16" s="64">
        <v>8</v>
      </c>
      <c r="B16" s="65" t="s">
        <v>127</v>
      </c>
      <c r="C16" s="66">
        <v>25</v>
      </c>
      <c r="D16" s="67">
        <v>12</v>
      </c>
    </row>
    <row r="17" spans="1:4" ht="16.5">
      <c r="A17" s="64">
        <v>9</v>
      </c>
      <c r="B17" s="65" t="s">
        <v>116</v>
      </c>
      <c r="C17" s="66">
        <v>12</v>
      </c>
      <c r="D17" s="67">
        <v>1</v>
      </c>
    </row>
    <row r="18" spans="1:4" ht="16.5">
      <c r="A18" s="64">
        <v>10</v>
      </c>
      <c r="B18" s="65" t="s">
        <v>117</v>
      </c>
      <c r="C18" s="66">
        <v>18</v>
      </c>
      <c r="D18" s="67">
        <v>3</v>
      </c>
    </row>
    <row r="19" spans="1:4" ht="16.5">
      <c r="A19" s="64">
        <v>11</v>
      </c>
      <c r="B19" s="65" t="s">
        <v>118</v>
      </c>
      <c r="C19" s="66">
        <v>42</v>
      </c>
      <c r="D19" s="67">
        <v>12</v>
      </c>
    </row>
    <row r="20" spans="1:4" ht="16.5">
      <c r="A20" s="64">
        <v>12</v>
      </c>
      <c r="B20" s="65" t="s">
        <v>119</v>
      </c>
      <c r="C20" s="66">
        <v>19</v>
      </c>
      <c r="D20" s="67">
        <v>3</v>
      </c>
    </row>
    <row r="21" spans="1:4" ht="16.5">
      <c r="A21" s="68" t="s">
        <v>169</v>
      </c>
      <c r="B21" s="65" t="s">
        <v>120</v>
      </c>
      <c r="C21" s="66">
        <v>17</v>
      </c>
      <c r="D21" s="67">
        <v>3</v>
      </c>
    </row>
    <row r="22" spans="1:4" ht="16.5">
      <c r="A22" s="68" t="s">
        <v>170</v>
      </c>
      <c r="B22" s="65" t="s">
        <v>179</v>
      </c>
      <c r="C22" s="66">
        <v>2600</v>
      </c>
      <c r="D22" s="67">
        <v>12</v>
      </c>
    </row>
    <row r="23" spans="1:4" ht="16.5">
      <c r="A23" s="68" t="s">
        <v>171</v>
      </c>
      <c r="B23" s="65" t="s">
        <v>121</v>
      </c>
      <c r="C23" s="66">
        <v>0.13</v>
      </c>
      <c r="D23" s="67" t="s">
        <v>79</v>
      </c>
    </row>
    <row r="24" spans="1:4" ht="16.5">
      <c r="A24" s="68" t="s">
        <v>172</v>
      </c>
      <c r="B24" s="65" t="s">
        <v>138</v>
      </c>
      <c r="C24" s="66">
        <v>0.7</v>
      </c>
      <c r="D24" s="67" t="s">
        <v>79</v>
      </c>
    </row>
    <row r="25" spans="1:4" ht="16.5">
      <c r="A25" s="68" t="s">
        <v>173</v>
      </c>
      <c r="B25" s="65" t="s">
        <v>122</v>
      </c>
      <c r="C25" s="66">
        <v>22</v>
      </c>
      <c r="D25" s="67">
        <v>12</v>
      </c>
    </row>
    <row r="26" spans="1:4" ht="16.5">
      <c r="A26" s="68" t="s">
        <v>174</v>
      </c>
      <c r="B26" s="65" t="s">
        <v>123</v>
      </c>
      <c r="C26" s="66">
        <v>55</v>
      </c>
      <c r="D26" s="67">
        <v>3</v>
      </c>
    </row>
    <row r="27" spans="1:4" ht="16.5">
      <c r="A27" s="68" t="s">
        <v>175</v>
      </c>
      <c r="B27" s="65" t="s">
        <v>124</v>
      </c>
      <c r="C27" s="66">
        <v>5</v>
      </c>
      <c r="D27" s="67">
        <v>2</v>
      </c>
    </row>
    <row r="28" spans="1:4" ht="16.5">
      <c r="A28" s="68" t="s">
        <v>176</v>
      </c>
      <c r="B28" s="65" t="s">
        <v>125</v>
      </c>
      <c r="C28" s="66">
        <v>23</v>
      </c>
      <c r="D28" s="67">
        <v>3</v>
      </c>
    </row>
    <row r="29" spans="1:4" ht="16.5">
      <c r="A29" s="68">
        <v>21</v>
      </c>
      <c r="B29" s="65" t="s">
        <v>200</v>
      </c>
      <c r="C29" s="66">
        <v>400</v>
      </c>
      <c r="D29" s="67">
        <v>12</v>
      </c>
    </row>
  </sheetData>
  <sheetProtection/>
  <mergeCells count="1">
    <mergeCell ref="A6:C6"/>
  </mergeCells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28"/>
  <sheetViews>
    <sheetView zoomScale="115" zoomScaleNormal="115" zoomScalePageLayoutView="0" workbookViewId="0" topLeftCell="A1">
      <selection activeCell="E8" sqref="E8"/>
    </sheetView>
  </sheetViews>
  <sheetFormatPr defaultColWidth="10.66015625" defaultRowHeight="12.75"/>
  <cols>
    <col min="1" max="1" width="8" style="54" customWidth="1"/>
    <col min="2" max="2" width="31.16015625" style="3" customWidth="1"/>
    <col min="3" max="3" width="12.16015625" style="3" customWidth="1"/>
    <col min="4" max="4" width="11.5" style="54" customWidth="1"/>
    <col min="5" max="5" width="15.16015625" style="3" customWidth="1"/>
    <col min="6" max="6" width="19.5" style="3" bestFit="1" customWidth="1"/>
    <col min="7" max="7" width="15.33203125" style="216" bestFit="1" customWidth="1"/>
    <col min="8" max="8" width="14.16015625" style="3" bestFit="1" customWidth="1"/>
    <col min="9" max="16384" width="10.66015625" style="3" customWidth="1"/>
  </cols>
  <sheetData>
    <row r="1" spans="1:6" ht="23.25">
      <c r="A1" s="264" t="str">
        <f>+PREÇOS!A1</f>
        <v>PREFEITURA MUNICIPAL DE VARZEA GRANDE</v>
      </c>
      <c r="B1" s="264"/>
      <c r="C1" s="264"/>
      <c r="D1" s="264"/>
      <c r="E1" s="264"/>
      <c r="F1" s="264"/>
    </row>
    <row r="2" ht="14.25" customHeight="1"/>
    <row r="3" spans="1:6" ht="29.25" customHeight="1">
      <c r="A3" s="265" t="s">
        <v>185</v>
      </c>
      <c r="B3" s="265"/>
      <c r="C3" s="265"/>
      <c r="D3" s="265"/>
      <c r="E3" s="265"/>
      <c r="F3" s="265"/>
    </row>
    <row r="4" spans="1:6" ht="19.5">
      <c r="A4" s="265"/>
      <c r="B4" s="265"/>
      <c r="C4" s="265"/>
      <c r="D4" s="265"/>
      <c r="E4" s="265"/>
      <c r="F4" s="265"/>
    </row>
    <row r="5" ht="13.5" thickBot="1"/>
    <row r="6" spans="1:7" s="4" customFormat="1" ht="12.75">
      <c r="A6" s="262" t="s">
        <v>186</v>
      </c>
      <c r="B6" s="266" t="s">
        <v>187</v>
      </c>
      <c r="C6" s="266" t="s">
        <v>188</v>
      </c>
      <c r="D6" s="266" t="s">
        <v>189</v>
      </c>
      <c r="E6" s="266" t="s">
        <v>190</v>
      </c>
      <c r="F6" s="268" t="s">
        <v>191</v>
      </c>
      <c r="G6" s="217"/>
    </row>
    <row r="7" spans="1:7" s="4" customFormat="1" ht="12.75">
      <c r="A7" s="263"/>
      <c r="B7" s="267"/>
      <c r="C7" s="267"/>
      <c r="D7" s="267"/>
      <c r="E7" s="267"/>
      <c r="F7" s="269"/>
      <c r="G7" s="217"/>
    </row>
    <row r="8" spans="1:8" s="44" customFormat="1" ht="25.5" customHeight="1">
      <c r="A8" s="99" t="s">
        <v>197</v>
      </c>
      <c r="B8" s="42" t="s">
        <v>192</v>
      </c>
      <c r="C8" s="83">
        <f>+VARRIÇÃO!D73</f>
        <v>6500</v>
      </c>
      <c r="D8" s="43" t="s">
        <v>56</v>
      </c>
      <c r="E8" s="83">
        <f>VARRIÇÃO!D74</f>
        <v>106.02</v>
      </c>
      <c r="F8" s="92">
        <f>C8*E8</f>
        <v>689130</v>
      </c>
      <c r="G8" s="218"/>
      <c r="H8" s="8"/>
    </row>
    <row r="9" spans="1:8" s="44" customFormat="1" ht="24.75" customHeight="1">
      <c r="A9" s="99" t="s">
        <v>213</v>
      </c>
      <c r="B9" s="42" t="s">
        <v>215</v>
      </c>
      <c r="C9" s="83">
        <f>+CAPINAÇÃO!D67</f>
        <v>70</v>
      </c>
      <c r="D9" s="43" t="s">
        <v>56</v>
      </c>
      <c r="E9" s="83">
        <f>+CAPINAÇÃO!D68</f>
        <v>1470.63</v>
      </c>
      <c r="F9" s="92">
        <f>C9*E9</f>
        <v>102944.1</v>
      </c>
      <c r="G9" s="218"/>
      <c r="H9" s="8"/>
    </row>
    <row r="10" spans="1:8" s="44" customFormat="1" ht="12" customHeight="1">
      <c r="A10" s="99" t="s">
        <v>257</v>
      </c>
      <c r="B10" s="42" t="s">
        <v>214</v>
      </c>
      <c r="C10" s="83">
        <f>+PINTURA!D68</f>
        <v>70</v>
      </c>
      <c r="D10" s="43" t="s">
        <v>56</v>
      </c>
      <c r="E10" s="83">
        <f>+PINTURA!D69</f>
        <v>297.45</v>
      </c>
      <c r="F10" s="92">
        <f>C10*E10</f>
        <v>20821.5</v>
      </c>
      <c r="G10" s="218"/>
      <c r="H10" s="8"/>
    </row>
    <row r="11" spans="1:8" s="44" customFormat="1" ht="48">
      <c r="A11" s="99" t="s">
        <v>385</v>
      </c>
      <c r="B11" s="214" t="s">
        <v>389</v>
      </c>
      <c r="C11" s="83">
        <f>+PODAÇÃO!D70</f>
        <v>1</v>
      </c>
      <c r="D11" s="215" t="str">
        <f>+PODAÇÃO!E70</f>
        <v>EQUIPE</v>
      </c>
      <c r="E11" s="83">
        <f>+PODAÇÃO!D71</f>
        <v>74936.27</v>
      </c>
      <c r="F11" s="92">
        <f>C11*E11</f>
        <v>74936.27</v>
      </c>
      <c r="G11" s="218"/>
      <c r="H11" s="8"/>
    </row>
    <row r="12" spans="1:15" s="5" customFormat="1" ht="21.75" customHeight="1">
      <c r="A12" s="93" t="s">
        <v>274</v>
      </c>
      <c r="B12" s="91"/>
      <c r="C12" s="91"/>
      <c r="D12" s="91"/>
      <c r="E12" s="56"/>
      <c r="F12" s="94">
        <f>SUM(F8:F11)</f>
        <v>887831.87</v>
      </c>
      <c r="G12" s="9"/>
      <c r="H12" s="9"/>
      <c r="I12" s="160"/>
      <c r="J12" s="161"/>
      <c r="K12" s="161"/>
      <c r="L12" s="161"/>
      <c r="M12" s="161"/>
      <c r="N12" s="161"/>
      <c r="O12" s="161"/>
    </row>
    <row r="13" spans="1:15" s="5" customFormat="1" ht="21.75" customHeight="1" thickBot="1">
      <c r="A13" s="98" t="s">
        <v>383</v>
      </c>
      <c r="B13" s="122"/>
      <c r="C13" s="95"/>
      <c r="D13" s="96"/>
      <c r="E13" s="96"/>
      <c r="F13" s="97">
        <f>F12*12</f>
        <v>10653982.44</v>
      </c>
      <c r="G13" s="9"/>
      <c r="I13" s="160"/>
      <c r="J13" s="161"/>
      <c r="K13" s="161"/>
      <c r="L13" s="161"/>
      <c r="M13" s="161"/>
      <c r="N13" s="161"/>
      <c r="O13" s="161"/>
    </row>
    <row r="14" spans="9:15" ht="12.75">
      <c r="I14" s="58"/>
      <c r="J14" s="58"/>
      <c r="K14" s="58"/>
      <c r="L14" s="58"/>
      <c r="M14" s="58"/>
      <c r="N14" s="58"/>
      <c r="O14" s="58"/>
    </row>
    <row r="15" spans="9:15" ht="12.75">
      <c r="I15" s="58"/>
      <c r="J15" s="58"/>
      <c r="K15" s="58"/>
      <c r="L15" s="58"/>
      <c r="M15" s="58"/>
      <c r="N15" s="58"/>
      <c r="O15" s="58"/>
    </row>
    <row r="16" spans="1:6" ht="12.75">
      <c r="A16" s="57"/>
      <c r="B16" s="58"/>
      <c r="C16" s="58"/>
      <c r="D16" s="59"/>
      <c r="E16" s="58"/>
      <c r="F16" s="7"/>
    </row>
    <row r="17" spans="1:6" ht="12.75">
      <c r="A17" s="57"/>
      <c r="B17" s="60"/>
      <c r="C17" s="58"/>
      <c r="D17" s="59"/>
      <c r="E17" s="58"/>
      <c r="F17" s="58"/>
    </row>
    <row r="18" spans="1:6" ht="12.75">
      <c r="A18" s="57"/>
      <c r="C18" s="58"/>
      <c r="D18" s="59"/>
      <c r="E18" s="58"/>
      <c r="F18" s="58"/>
    </row>
    <row r="19" spans="1:6" ht="12.75">
      <c r="A19" s="57"/>
      <c r="B19" s="58"/>
      <c r="C19" s="7"/>
      <c r="D19" s="59"/>
      <c r="E19" s="58"/>
      <c r="F19" s="58"/>
    </row>
    <row r="20" spans="1:6" ht="12.75">
      <c r="A20" s="59"/>
      <c r="B20" s="58"/>
      <c r="C20" s="61"/>
      <c r="D20" s="59"/>
      <c r="E20" s="58"/>
      <c r="F20" s="58"/>
    </row>
    <row r="21" spans="1:6" ht="12.75">
      <c r="A21" s="59"/>
      <c r="B21" s="62"/>
      <c r="C21" s="7"/>
      <c r="D21" s="59"/>
      <c r="E21" s="58"/>
      <c r="F21" s="58"/>
    </row>
    <row r="22" spans="1:6" ht="12.75">
      <c r="A22" s="59"/>
      <c r="B22" s="62"/>
      <c r="C22" s="7"/>
      <c r="D22" s="59"/>
      <c r="E22" s="58"/>
      <c r="F22" s="58"/>
    </row>
    <row r="23" spans="1:6" ht="12.75">
      <c r="A23" s="59"/>
      <c r="B23" s="62"/>
      <c r="C23" s="58"/>
      <c r="D23" s="59"/>
      <c r="E23" s="58"/>
      <c r="F23" s="58"/>
    </row>
    <row r="24" spans="1:6" ht="12.75">
      <c r="A24" s="59"/>
      <c r="B24" s="62"/>
      <c r="C24" s="58"/>
      <c r="D24" s="59"/>
      <c r="E24" s="58"/>
      <c r="F24" s="58"/>
    </row>
    <row r="25" spans="1:6" ht="12.75">
      <c r="A25" s="59"/>
      <c r="B25" s="62"/>
      <c r="C25" s="58"/>
      <c r="D25" s="59"/>
      <c r="E25" s="58"/>
      <c r="F25" s="58"/>
    </row>
    <row r="26" spans="1:6" ht="12.75">
      <c r="A26" s="59"/>
      <c r="B26" s="62"/>
      <c r="C26" s="58"/>
      <c r="D26" s="59"/>
      <c r="E26" s="58"/>
      <c r="F26" s="58"/>
    </row>
    <row r="27" ht="12.75">
      <c r="B27" s="62"/>
    </row>
    <row r="28" ht="12.75">
      <c r="B28" s="58"/>
    </row>
  </sheetData>
  <sheetProtection/>
  <mergeCells count="9">
    <mergeCell ref="A6:A7"/>
    <mergeCell ref="A1:F1"/>
    <mergeCell ref="A4:F4"/>
    <mergeCell ref="B6:B7"/>
    <mergeCell ref="C6:C7"/>
    <mergeCell ref="D6:D7"/>
    <mergeCell ref="E6:E7"/>
    <mergeCell ref="F6:F7"/>
    <mergeCell ref="A3:F3"/>
  </mergeCells>
  <printOptions/>
  <pageMargins left="0.7874015748031497" right="0.3937007874015748" top="0.5118110236220472" bottom="0.3937007874015748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0"/>
  <sheetViews>
    <sheetView zoomScale="115" zoomScaleNormal="115" zoomScalePageLayoutView="0" workbookViewId="0" topLeftCell="A1">
      <selection activeCell="A1" sqref="A1:F15"/>
    </sheetView>
  </sheetViews>
  <sheetFormatPr defaultColWidth="10.66015625" defaultRowHeight="12.75"/>
  <cols>
    <col min="1" max="1" width="8" style="164" customWidth="1"/>
    <col min="2" max="2" width="28.83203125" style="163" customWidth="1"/>
    <col min="3" max="3" width="13.33203125" style="163" customWidth="1"/>
    <col min="4" max="4" width="11.5" style="164" customWidth="1"/>
    <col min="5" max="5" width="18" style="163" bestFit="1" customWidth="1"/>
    <col min="6" max="6" width="19.5" style="163" bestFit="1" customWidth="1"/>
    <col min="7" max="7" width="15.33203125" style="162" bestFit="1" customWidth="1"/>
    <col min="8" max="8" width="14.16015625" style="163" bestFit="1" customWidth="1"/>
    <col min="9" max="16384" width="10.66015625" style="163" customWidth="1"/>
  </cols>
  <sheetData>
    <row r="1" spans="1:6" ht="23.25">
      <c r="A1" s="270" t="str">
        <f>+PREÇOS!A1</f>
        <v>PREFEITURA MUNICIPAL DE VARZEA GRANDE</v>
      </c>
      <c r="B1" s="270"/>
      <c r="C1" s="270"/>
      <c r="D1" s="270"/>
      <c r="E1" s="270"/>
      <c r="F1" s="270"/>
    </row>
    <row r="2" ht="25.5" customHeight="1"/>
    <row r="3" spans="1:6" ht="19.5">
      <c r="A3" s="271"/>
      <c r="B3" s="271"/>
      <c r="C3" s="271"/>
      <c r="D3" s="271"/>
      <c r="E3" s="271"/>
      <c r="F3" s="271"/>
    </row>
    <row r="4" ht="14.25" customHeight="1"/>
    <row r="5" spans="1:6" ht="19.5">
      <c r="A5" s="265" t="s">
        <v>384</v>
      </c>
      <c r="B5" s="265"/>
      <c r="C5" s="265"/>
      <c r="D5" s="265"/>
      <c r="E5" s="265"/>
      <c r="F5" s="265"/>
    </row>
    <row r="6" spans="1:6" ht="20.25" thickBot="1">
      <c r="A6" s="265"/>
      <c r="B6" s="265"/>
      <c r="C6" s="265"/>
      <c r="D6" s="265"/>
      <c r="E6" s="265"/>
      <c r="F6" s="265"/>
    </row>
    <row r="7" spans="1:7" s="166" customFormat="1" ht="12.75">
      <c r="A7" s="272" t="s">
        <v>186</v>
      </c>
      <c r="B7" s="274" t="s">
        <v>187</v>
      </c>
      <c r="C7" s="274" t="s">
        <v>188</v>
      </c>
      <c r="D7" s="274" t="s">
        <v>189</v>
      </c>
      <c r="E7" s="274" t="s">
        <v>190</v>
      </c>
      <c r="F7" s="276" t="s">
        <v>191</v>
      </c>
      <c r="G7" s="165"/>
    </row>
    <row r="8" spans="1:7" s="166" customFormat="1" ht="12.75">
      <c r="A8" s="273"/>
      <c r="B8" s="275"/>
      <c r="C8" s="275"/>
      <c r="D8" s="275"/>
      <c r="E8" s="275"/>
      <c r="F8" s="277"/>
      <c r="G8" s="165"/>
    </row>
    <row r="9" spans="1:8" s="173" customFormat="1" ht="24">
      <c r="A9" s="167" t="s">
        <v>197</v>
      </c>
      <c r="B9" s="168" t="s">
        <v>192</v>
      </c>
      <c r="C9" s="169">
        <f>+VARRIÇÃO!D73</f>
        <v>6500</v>
      </c>
      <c r="D9" s="170" t="s">
        <v>56</v>
      </c>
      <c r="E9" s="169"/>
      <c r="F9" s="171"/>
      <c r="G9" s="55"/>
      <c r="H9" s="172"/>
    </row>
    <row r="10" spans="1:8" s="173" customFormat="1" ht="27.75" customHeight="1">
      <c r="A10" s="167" t="s">
        <v>213</v>
      </c>
      <c r="B10" s="168" t="s">
        <v>215</v>
      </c>
      <c r="C10" s="169">
        <f>+CAPINAÇÃO!D67</f>
        <v>70</v>
      </c>
      <c r="D10" s="170" t="s">
        <v>56</v>
      </c>
      <c r="E10" s="169"/>
      <c r="F10" s="171"/>
      <c r="G10" s="55"/>
      <c r="H10" s="172"/>
    </row>
    <row r="11" spans="1:8" s="173" customFormat="1" ht="18" customHeight="1">
      <c r="A11" s="167" t="s">
        <v>257</v>
      </c>
      <c r="B11" s="168" t="s">
        <v>214</v>
      </c>
      <c r="C11" s="169">
        <f>+PINTURA!D68</f>
        <v>70</v>
      </c>
      <c r="D11" s="170" t="s">
        <v>56</v>
      </c>
      <c r="E11" s="169"/>
      <c r="F11" s="171"/>
      <c r="G11" s="55"/>
      <c r="H11" s="172"/>
    </row>
    <row r="12" spans="1:8" s="173" customFormat="1" ht="18" customHeight="1">
      <c r="A12" s="167">
        <v>4</v>
      </c>
      <c r="B12" s="168" t="s">
        <v>421</v>
      </c>
      <c r="C12" s="169">
        <v>1</v>
      </c>
      <c r="D12" s="170" t="s">
        <v>388</v>
      </c>
      <c r="E12" s="169"/>
      <c r="F12" s="171"/>
      <c r="G12" s="55"/>
      <c r="H12" s="172"/>
    </row>
    <row r="13" spans="1:8" s="179" customFormat="1" ht="21.75" customHeight="1">
      <c r="A13" s="174" t="s">
        <v>274</v>
      </c>
      <c r="B13" s="175"/>
      <c r="C13" s="175"/>
      <c r="D13" s="175"/>
      <c r="E13" s="176"/>
      <c r="F13" s="177"/>
      <c r="G13" s="178"/>
      <c r="H13" s="178"/>
    </row>
    <row r="14" spans="1:8" s="179" customFormat="1" ht="21.75" customHeight="1">
      <c r="A14" s="209"/>
      <c r="B14" s="210"/>
      <c r="C14" s="211"/>
      <c r="D14" s="211"/>
      <c r="E14" s="212"/>
      <c r="F14" s="213"/>
      <c r="G14" s="178"/>
      <c r="H14" s="178"/>
    </row>
    <row r="15" spans="1:7" s="179" customFormat="1" ht="21.75" customHeight="1" thickBot="1">
      <c r="A15" s="180" t="s">
        <v>383</v>
      </c>
      <c r="B15" s="181"/>
      <c r="C15" s="182"/>
      <c r="D15" s="183"/>
      <c r="E15" s="183"/>
      <c r="F15" s="184"/>
      <c r="G15" s="185"/>
    </row>
    <row r="18" spans="1:6" ht="12.75">
      <c r="A18" s="186"/>
      <c r="B18" s="187"/>
      <c r="C18" s="187"/>
      <c r="D18" s="188"/>
      <c r="E18" s="187"/>
      <c r="F18" s="7"/>
    </row>
    <row r="19" spans="1:6" ht="12.75">
      <c r="A19" s="186"/>
      <c r="B19" s="189"/>
      <c r="C19" s="187"/>
      <c r="D19" s="188"/>
      <c r="E19" s="187"/>
      <c r="F19" s="187"/>
    </row>
    <row r="20" spans="1:6" ht="12.75">
      <c r="A20" s="186"/>
      <c r="C20" s="187"/>
      <c r="D20" s="188"/>
      <c r="E20" s="187"/>
      <c r="F20" s="187"/>
    </row>
    <row r="21" spans="1:6" ht="12.75">
      <c r="A21" s="186"/>
      <c r="B21" s="187"/>
      <c r="C21" s="7"/>
      <c r="D21" s="188"/>
      <c r="E21" s="187"/>
      <c r="F21" s="187"/>
    </row>
    <row r="22" spans="1:6" ht="12.75">
      <c r="A22" s="188"/>
      <c r="B22" s="187"/>
      <c r="C22" s="190"/>
      <c r="D22" s="188"/>
      <c r="E22" s="187"/>
      <c r="F22" s="187"/>
    </row>
    <row r="23" spans="1:6" ht="12.75">
      <c r="A23" s="188"/>
      <c r="B23" s="191"/>
      <c r="C23" s="7"/>
      <c r="D23" s="188"/>
      <c r="E23" s="187"/>
      <c r="F23" s="187"/>
    </row>
    <row r="24" spans="1:6" ht="12.75">
      <c r="A24" s="188"/>
      <c r="B24" s="191"/>
      <c r="C24" s="7"/>
      <c r="D24" s="188"/>
      <c r="E24" s="187"/>
      <c r="F24" s="187"/>
    </row>
    <row r="25" spans="1:6" ht="12.75">
      <c r="A25" s="188"/>
      <c r="B25" s="191"/>
      <c r="C25" s="187"/>
      <c r="D25" s="188"/>
      <c r="E25" s="187"/>
      <c r="F25" s="187"/>
    </row>
    <row r="26" spans="1:6" ht="12.75">
      <c r="A26" s="188"/>
      <c r="B26" s="191"/>
      <c r="C26" s="187"/>
      <c r="D26" s="188"/>
      <c r="E26" s="187"/>
      <c r="F26" s="187"/>
    </row>
    <row r="27" spans="1:6" ht="12.75">
      <c r="A27" s="188"/>
      <c r="B27" s="191"/>
      <c r="C27" s="187"/>
      <c r="D27" s="188"/>
      <c r="E27" s="187"/>
      <c r="F27" s="187"/>
    </row>
    <row r="28" spans="1:6" ht="12.75">
      <c r="A28" s="188"/>
      <c r="B28" s="191"/>
      <c r="C28" s="187"/>
      <c r="D28" s="188"/>
      <c r="E28" s="187"/>
      <c r="F28" s="187"/>
    </row>
    <row r="29" ht="12.75">
      <c r="B29" s="191"/>
    </row>
    <row r="30" ht="12.75">
      <c r="B30" s="187"/>
    </row>
  </sheetData>
  <sheetProtection/>
  <mergeCells count="10">
    <mergeCell ref="A1:F1"/>
    <mergeCell ref="A3:F3"/>
    <mergeCell ref="A5:F5"/>
    <mergeCell ref="A7:A8"/>
    <mergeCell ref="B7:B8"/>
    <mergeCell ref="C7:C8"/>
    <mergeCell ref="D7:D8"/>
    <mergeCell ref="E7:E8"/>
    <mergeCell ref="F7:F8"/>
    <mergeCell ref="A6:F6"/>
  </mergeCells>
  <printOptions/>
  <pageMargins left="0.7874015748031497" right="0.3937007874015748" top="0.5118110236220472" bottom="0.3937007874015748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A1" sqref="A1:I13"/>
    </sheetView>
  </sheetViews>
  <sheetFormatPr defaultColWidth="10.66015625" defaultRowHeight="12.75"/>
  <cols>
    <col min="1" max="1" width="7" style="207" customWidth="1"/>
    <col min="2" max="2" width="43" style="193" customWidth="1"/>
    <col min="3" max="3" width="11.16015625" style="193" customWidth="1"/>
    <col min="4" max="4" width="12.16015625" style="207" customWidth="1"/>
    <col min="5" max="5" width="9.66015625" style="193" customWidth="1"/>
    <col min="6" max="6" width="11.5" style="193" customWidth="1"/>
    <col min="7" max="7" width="15.33203125" style="193" customWidth="1"/>
    <col min="8" max="9" width="18.16015625" style="192" customWidth="1"/>
    <col min="10" max="10" width="14.16015625" style="193" bestFit="1" customWidth="1"/>
    <col min="11" max="11" width="10.66015625" style="193" customWidth="1"/>
    <col min="12" max="16384" width="10.66015625" style="193" customWidth="1"/>
  </cols>
  <sheetData>
    <row r="1" spans="1:7" ht="18">
      <c r="A1" s="278" t="str">
        <f>+'[9]COLETOR'!A1</f>
        <v>PREFEITURA MUNICIPAL DE VARZEA GRANDE</v>
      </c>
      <c r="B1" s="278"/>
      <c r="C1" s="278"/>
      <c r="D1" s="278"/>
      <c r="E1" s="278"/>
      <c r="F1" s="278"/>
      <c r="G1" s="278"/>
    </row>
    <row r="2" spans="1:7" ht="18">
      <c r="A2" s="194"/>
      <c r="B2" s="194"/>
      <c r="C2" s="194"/>
      <c r="D2" s="194"/>
      <c r="E2" s="194"/>
      <c r="F2" s="194"/>
      <c r="G2" s="194"/>
    </row>
    <row r="3" spans="1:9" ht="18">
      <c r="A3" s="279"/>
      <c r="B3" s="279"/>
      <c r="C3" s="279"/>
      <c r="D3" s="279"/>
      <c r="E3" s="279"/>
      <c r="F3" s="279"/>
      <c r="G3" s="279"/>
      <c r="H3" s="279"/>
      <c r="I3" s="229"/>
    </row>
    <row r="5" spans="1:9" ht="19.5">
      <c r="A5" s="271" t="s">
        <v>240</v>
      </c>
      <c r="B5" s="271"/>
      <c r="C5" s="271"/>
      <c r="D5" s="271"/>
      <c r="E5" s="271"/>
      <c r="F5" s="271"/>
      <c r="G5" s="271"/>
      <c r="H5" s="271"/>
      <c r="I5" s="228"/>
    </row>
    <row r="6" spans="1:9" ht="19.5">
      <c r="A6" s="271" t="s">
        <v>382</v>
      </c>
      <c r="B6" s="271"/>
      <c r="C6" s="271"/>
      <c r="D6" s="271"/>
      <c r="E6" s="271"/>
      <c r="F6" s="271"/>
      <c r="G6" s="271"/>
      <c r="H6" s="271"/>
      <c r="I6" s="228"/>
    </row>
    <row r="7" spans="1:9" ht="13.5" thickBot="1">
      <c r="A7" s="164"/>
      <c r="B7" s="163"/>
      <c r="C7" s="163"/>
      <c r="D7" s="164"/>
      <c r="E7" s="163"/>
      <c r="F7" s="163"/>
      <c r="G7" s="163"/>
      <c r="H7" s="162"/>
      <c r="I7" s="162"/>
    </row>
    <row r="8" spans="1:9" s="195" customFormat="1" ht="12.75" customHeight="1">
      <c r="A8" s="272" t="s">
        <v>186</v>
      </c>
      <c r="B8" s="274" t="s">
        <v>187</v>
      </c>
      <c r="C8" s="274" t="s">
        <v>241</v>
      </c>
      <c r="D8" s="282" t="s">
        <v>242</v>
      </c>
      <c r="E8" s="274" t="s">
        <v>256</v>
      </c>
      <c r="F8" s="282" t="s">
        <v>243</v>
      </c>
      <c r="G8" s="286" t="s">
        <v>392</v>
      </c>
      <c r="H8" s="288" t="s">
        <v>415</v>
      </c>
      <c r="I8" s="276" t="s">
        <v>422</v>
      </c>
    </row>
    <row r="9" spans="1:9" s="195" customFormat="1" ht="27.75" customHeight="1" thickBot="1">
      <c r="A9" s="280"/>
      <c r="B9" s="281"/>
      <c r="C9" s="281"/>
      <c r="D9" s="283"/>
      <c r="E9" s="281"/>
      <c r="F9" s="284"/>
      <c r="G9" s="287"/>
      <c r="H9" s="289"/>
      <c r="I9" s="285"/>
    </row>
    <row r="10" spans="1:10" s="200" customFormat="1" ht="25.5">
      <c r="A10" s="196" t="s">
        <v>340</v>
      </c>
      <c r="B10" s="197" t="str">
        <f>+'[10]planilha'!B5</f>
        <v>Varrição manual de vias urbanas pavimentadas</v>
      </c>
      <c r="C10" s="198">
        <v>2</v>
      </c>
      <c r="D10" s="198">
        <v>4</v>
      </c>
      <c r="E10" s="198">
        <v>95</v>
      </c>
      <c r="F10" s="198">
        <v>0</v>
      </c>
      <c r="G10" s="224">
        <v>4</v>
      </c>
      <c r="H10" s="231"/>
      <c r="I10" s="231">
        <v>1</v>
      </c>
      <c r="J10" s="199"/>
    </row>
    <row r="11" spans="1:10" s="200" customFormat="1" ht="12.75">
      <c r="A11" s="201" t="s">
        <v>341</v>
      </c>
      <c r="B11" s="202" t="s">
        <v>244</v>
      </c>
      <c r="C11" s="203">
        <f>+'[9]CAPINAÇÃO'!D16</f>
        <v>1</v>
      </c>
      <c r="D11" s="203"/>
      <c r="E11" s="203">
        <f>+'[9]CAPINAÇÃO'!D12</f>
        <v>20</v>
      </c>
      <c r="F11" s="203">
        <f>'[9]CAPINAÇÃO'!D29</f>
        <v>1</v>
      </c>
      <c r="G11" s="225">
        <v>0</v>
      </c>
      <c r="H11" s="230"/>
      <c r="I11" s="230"/>
      <c r="J11" s="204"/>
    </row>
    <row r="12" spans="1:10" s="200" customFormat="1" ht="12.75">
      <c r="A12" s="201" t="s">
        <v>342</v>
      </c>
      <c r="B12" s="202" t="s">
        <v>245</v>
      </c>
      <c r="C12" s="203">
        <f>+'[9]PINTURA'!D17</f>
        <v>0</v>
      </c>
      <c r="D12" s="203">
        <v>1</v>
      </c>
      <c r="E12" s="203">
        <f>+'[9]PINTURA'!D12</f>
        <v>4</v>
      </c>
      <c r="F12" s="203">
        <v>1</v>
      </c>
      <c r="G12" s="225">
        <v>0</v>
      </c>
      <c r="H12" s="230"/>
      <c r="I12" s="230"/>
      <c r="J12" s="204"/>
    </row>
    <row r="13" spans="1:10" s="200" customFormat="1" ht="13.5" thickBot="1">
      <c r="A13" s="219" t="s">
        <v>390</v>
      </c>
      <c r="B13" s="220" t="s">
        <v>391</v>
      </c>
      <c r="C13" s="221">
        <f>+PODAÇÃO!D16</f>
        <v>1</v>
      </c>
      <c r="D13" s="221">
        <v>2</v>
      </c>
      <c r="E13" s="221">
        <f>+PODAÇÃO!D12</f>
        <v>7</v>
      </c>
      <c r="F13" s="221">
        <v>1</v>
      </c>
      <c r="G13" s="226"/>
      <c r="H13" s="230">
        <v>1</v>
      </c>
      <c r="I13" s="230"/>
      <c r="J13" s="204"/>
    </row>
    <row r="14" spans="1:2" ht="12.75">
      <c r="A14" s="205"/>
      <c r="B14" s="206"/>
    </row>
  </sheetData>
  <sheetProtection/>
  <mergeCells count="13">
    <mergeCell ref="I8:I9"/>
    <mergeCell ref="G8:G9"/>
    <mergeCell ref="A5:H5"/>
    <mergeCell ref="H8:H9"/>
    <mergeCell ref="A1:G1"/>
    <mergeCell ref="A3:H3"/>
    <mergeCell ref="A6:H6"/>
    <mergeCell ref="A8:A9"/>
    <mergeCell ref="B8:B9"/>
    <mergeCell ref="C8:C9"/>
    <mergeCell ref="D8:D9"/>
    <mergeCell ref="E8:E9"/>
    <mergeCell ref="F8:F9"/>
  </mergeCells>
  <printOptions horizontalCentered="1" verticalCentered="1"/>
  <pageMargins left="0.5905511811023623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11" sqref="B11"/>
    </sheetView>
  </sheetViews>
  <sheetFormatPr defaultColWidth="12" defaultRowHeight="12.75"/>
  <cols>
    <col min="1" max="1" width="60.83203125" style="1" customWidth="1"/>
    <col min="2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2:5" ht="12.75">
      <c r="B2" s="15"/>
      <c r="C2" s="15"/>
      <c r="D2" s="15"/>
      <c r="E2" s="15"/>
    </row>
    <row r="3" spans="1:5" ht="12.75">
      <c r="A3" s="16" t="s">
        <v>0</v>
      </c>
      <c r="B3" s="16"/>
      <c r="C3" s="16"/>
      <c r="D3" s="16"/>
      <c r="E3" s="16"/>
    </row>
    <row r="4" spans="1:4" ht="12.75">
      <c r="A4" s="6"/>
      <c r="B4" s="6"/>
      <c r="C4" s="6"/>
      <c r="D4" s="6"/>
    </row>
    <row r="5" spans="1:4" ht="12.75">
      <c r="A5" s="33" t="s">
        <v>157</v>
      </c>
      <c r="B5" s="2"/>
      <c r="C5" s="2"/>
      <c r="D5" s="2"/>
    </row>
    <row r="6" spans="1:4" ht="12.75">
      <c r="A6" s="2" t="s">
        <v>378</v>
      </c>
      <c r="B6" s="6"/>
      <c r="C6" s="6"/>
      <c r="D6" s="6"/>
    </row>
    <row r="8" ht="12.75">
      <c r="A8" s="45" t="s">
        <v>1</v>
      </c>
    </row>
    <row r="10" spans="1:2" ht="12.75">
      <c r="A10" s="45" t="s">
        <v>2</v>
      </c>
      <c r="B10" s="10">
        <v>953.66</v>
      </c>
    </row>
    <row r="11" spans="1:2" ht="12.75">
      <c r="A11" s="45" t="s">
        <v>10</v>
      </c>
      <c r="B11" s="10">
        <f>B10*20%</f>
        <v>190.732</v>
      </c>
    </row>
    <row r="12" spans="1:2" ht="12.75">
      <c r="A12" s="24" t="s">
        <v>4</v>
      </c>
      <c r="B12" s="10">
        <f>SUM(B10:B11)</f>
        <v>1144.392</v>
      </c>
    </row>
    <row r="13" spans="1:2" ht="12.75">
      <c r="A13" s="45" t="s">
        <v>5</v>
      </c>
      <c r="B13" s="46">
        <v>0.95</v>
      </c>
    </row>
    <row r="14" spans="1:2" ht="12.75">
      <c r="A14" s="47" t="s">
        <v>6</v>
      </c>
      <c r="B14" s="48">
        <f>+B12+(B12*B13)</f>
        <v>2231.5644</v>
      </c>
    </row>
    <row r="16" ht="12.75">
      <c r="A16" s="45" t="s">
        <v>97</v>
      </c>
    </row>
    <row r="17" spans="1:4" ht="12.75">
      <c r="A17" s="1" t="s">
        <v>7</v>
      </c>
      <c r="C17" s="6"/>
      <c r="D17" s="6"/>
    </row>
    <row r="18" spans="1:4" ht="12.75">
      <c r="A18" s="45" t="s">
        <v>128</v>
      </c>
      <c r="B18" s="10">
        <f>SUM(B19:B22)</f>
        <v>246</v>
      </c>
      <c r="C18" s="6"/>
      <c r="D18" s="6"/>
    </row>
    <row r="19" spans="1:4" ht="12.75">
      <c r="A19" s="45" t="s">
        <v>163</v>
      </c>
      <c r="B19" s="10">
        <v>90</v>
      </c>
      <c r="C19" s="6"/>
      <c r="D19" s="6"/>
    </row>
    <row r="20" spans="1:4" ht="12.75">
      <c r="A20" s="45" t="s">
        <v>164</v>
      </c>
      <c r="B20" s="10">
        <v>68</v>
      </c>
      <c r="C20" s="6"/>
      <c r="D20" s="6"/>
    </row>
    <row r="21" spans="1:4" ht="12.75">
      <c r="A21" s="24" t="s">
        <v>165</v>
      </c>
      <c r="B21" s="10">
        <v>56</v>
      </c>
      <c r="C21" s="6"/>
      <c r="D21" s="6"/>
    </row>
    <row r="22" spans="1:4" ht="12.75">
      <c r="A22" s="24" t="s">
        <v>166</v>
      </c>
      <c r="B22" s="10">
        <v>32</v>
      </c>
      <c r="C22" s="6"/>
      <c r="D22" s="6"/>
    </row>
    <row r="23" spans="1:2" ht="12.75">
      <c r="A23" s="24" t="s">
        <v>177</v>
      </c>
      <c r="B23" s="38">
        <v>180</v>
      </c>
    </row>
    <row r="24" spans="1:3" ht="12.75">
      <c r="A24" s="24" t="s">
        <v>273</v>
      </c>
      <c r="B24" s="38">
        <v>546.2</v>
      </c>
      <c r="C24" s="10"/>
    </row>
    <row r="25" spans="1:2" ht="12.75">
      <c r="A25" s="24" t="s">
        <v>249</v>
      </c>
      <c r="B25" s="38">
        <v>20</v>
      </c>
    </row>
    <row r="26" spans="1:2" ht="12.75">
      <c r="A26" s="49" t="s">
        <v>250</v>
      </c>
      <c r="B26" s="50">
        <f>B18+B23+B24+B25</f>
        <v>992.2</v>
      </c>
    </row>
    <row r="28" spans="1:3" ht="12.75">
      <c r="A28" s="51" t="s">
        <v>9</v>
      </c>
      <c r="B28" s="52">
        <f>B26+B14</f>
        <v>3223.7644</v>
      </c>
      <c r="C28" s="53"/>
    </row>
    <row r="30" spans="1:2" ht="12.75">
      <c r="A30" s="33"/>
      <c r="B30" s="2"/>
    </row>
    <row r="31" spans="1:2" ht="12.75">
      <c r="A31" s="2"/>
      <c r="B31" s="6"/>
    </row>
    <row r="33" ht="12.75">
      <c r="A33" s="45"/>
    </row>
    <row r="35" spans="1:3" ht="12.75">
      <c r="A35" s="45"/>
      <c r="B35" s="10"/>
      <c r="C35" s="38"/>
    </row>
    <row r="36" spans="1:4" ht="12.75">
      <c r="A36" s="45"/>
      <c r="B36" s="10"/>
      <c r="C36" s="38"/>
      <c r="D36" s="38"/>
    </row>
    <row r="37" spans="1:3" ht="12.75">
      <c r="A37" s="45"/>
      <c r="B37" s="10"/>
      <c r="C37" s="38"/>
    </row>
    <row r="38" spans="1:2" ht="12.75">
      <c r="A38" s="24"/>
      <c r="B38" s="10"/>
    </row>
    <row r="39" spans="1:2" ht="12.75">
      <c r="A39" s="45"/>
      <c r="B39" s="46"/>
    </row>
    <row r="40" spans="1:2" ht="12.75">
      <c r="A40" s="47"/>
      <c r="B40" s="48"/>
    </row>
    <row r="42" ht="12.75">
      <c r="A42" s="45"/>
    </row>
    <row r="44" spans="1:2" ht="12.75">
      <c r="A44" s="45"/>
      <c r="B44" s="10"/>
    </row>
    <row r="45" spans="1:2" ht="12.75">
      <c r="A45" s="45"/>
      <c r="B45" s="10"/>
    </row>
    <row r="46" spans="1:2" ht="12.75">
      <c r="A46" s="45"/>
      <c r="B46" s="10"/>
    </row>
    <row r="47" spans="1:2" ht="12.75">
      <c r="A47" s="24"/>
      <c r="B47" s="10"/>
    </row>
    <row r="48" spans="1:2" ht="12.75">
      <c r="A48" s="24"/>
      <c r="B48" s="10"/>
    </row>
    <row r="49" spans="1:2" ht="12.75">
      <c r="A49" s="24"/>
      <c r="B49" s="38"/>
    </row>
    <row r="50" spans="1:3" ht="12.75">
      <c r="A50" s="24"/>
      <c r="B50" s="38"/>
      <c r="C50" s="10"/>
    </row>
    <row r="51" spans="1:2" ht="12.75">
      <c r="A51" s="24"/>
      <c r="B51" s="38"/>
    </row>
    <row r="52" spans="1:2" ht="12.75">
      <c r="A52" s="49"/>
      <c r="B52" s="50"/>
    </row>
    <row r="53" spans="1:2" ht="12.75">
      <c r="A53" s="53"/>
      <c r="B53" s="53"/>
    </row>
    <row r="54" spans="1:2" ht="12.75">
      <c r="A54" s="51"/>
      <c r="B54" s="52"/>
    </row>
  </sheetData>
  <sheetProtection/>
  <printOptions/>
  <pageMargins left="0.787401575" right="0.787401575" top="0.984251969" bottom="0.984251969" header="0.492125985" footer="0.492125985"/>
  <pageSetup horizontalDpi="360" verticalDpi="36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7">
      <selection activeCell="A49" sqref="A49"/>
    </sheetView>
  </sheetViews>
  <sheetFormatPr defaultColWidth="12" defaultRowHeight="12.75"/>
  <cols>
    <col min="1" max="1" width="62.16015625" style="1" customWidth="1"/>
    <col min="2" max="2" width="13.660156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2:5" ht="12.75">
      <c r="B2" s="15"/>
      <c r="C2" s="15"/>
      <c r="D2" s="15"/>
      <c r="E2" s="15"/>
    </row>
    <row r="3" spans="1:5" ht="12.75">
      <c r="A3" s="16" t="s">
        <v>0</v>
      </c>
      <c r="B3" s="16"/>
      <c r="C3" s="16"/>
      <c r="D3" s="16"/>
      <c r="E3" s="16"/>
    </row>
    <row r="4" spans="1:2" ht="12.75">
      <c r="A4" s="6"/>
      <c r="B4" s="6"/>
    </row>
    <row r="5" spans="1:2" ht="12.75">
      <c r="A5" s="33" t="s">
        <v>406</v>
      </c>
      <c r="B5" s="2"/>
    </row>
    <row r="6" spans="1:2" ht="12.75">
      <c r="A6" s="6"/>
      <c r="B6" s="6"/>
    </row>
    <row r="8" ht="12.75">
      <c r="A8" s="45" t="s">
        <v>1</v>
      </c>
    </row>
    <row r="10" spans="1:2" ht="12.75">
      <c r="A10" s="45" t="s">
        <v>11</v>
      </c>
      <c r="B10" s="10">
        <v>2076.81</v>
      </c>
    </row>
    <row r="11" spans="1:2" ht="12.75">
      <c r="A11" s="45" t="s">
        <v>10</v>
      </c>
      <c r="B11" s="79" t="s">
        <v>79</v>
      </c>
    </row>
    <row r="12" spans="1:2" ht="12.75">
      <c r="A12" s="24" t="s">
        <v>4</v>
      </c>
      <c r="B12" s="10">
        <f>B10</f>
        <v>2076.81</v>
      </c>
    </row>
    <row r="13" spans="1:2" ht="12.75">
      <c r="A13" s="45" t="s">
        <v>5</v>
      </c>
      <c r="B13" s="46">
        <f>COLETOR!B12</f>
        <v>0.95</v>
      </c>
    </row>
    <row r="14" spans="1:2" ht="12.75">
      <c r="A14" s="47" t="s">
        <v>6</v>
      </c>
      <c r="B14" s="48">
        <f>+B12+(B12*B13)</f>
        <v>4049.7794999999996</v>
      </c>
    </row>
    <row r="16" ht="12.75">
      <c r="A16" s="45" t="s">
        <v>97</v>
      </c>
    </row>
    <row r="17" spans="1:4" ht="12.75">
      <c r="A17" s="1" t="s">
        <v>7</v>
      </c>
      <c r="C17" s="6"/>
      <c r="D17" s="6"/>
    </row>
    <row r="18" spans="1:4" ht="12.75">
      <c r="A18" s="45" t="s">
        <v>128</v>
      </c>
      <c r="B18" s="10">
        <f>VARREDOR!B18</f>
        <v>246</v>
      </c>
      <c r="C18" s="6"/>
      <c r="D18" s="6"/>
    </row>
    <row r="19" spans="1:4" ht="12.75">
      <c r="A19" s="45" t="s">
        <v>163</v>
      </c>
      <c r="B19" s="10">
        <f>VARREDOR!B19</f>
        <v>90</v>
      </c>
      <c r="C19" s="6"/>
      <c r="D19" s="6"/>
    </row>
    <row r="20" spans="1:4" ht="12.75">
      <c r="A20" s="45" t="s">
        <v>164</v>
      </c>
      <c r="B20" s="10">
        <f>VARREDOR!B20</f>
        <v>68</v>
      </c>
      <c r="C20" s="6"/>
      <c r="D20" s="6"/>
    </row>
    <row r="21" spans="1:4" ht="12.75">
      <c r="A21" s="24" t="s">
        <v>165</v>
      </c>
      <c r="B21" s="10">
        <f>VARREDOR!B21</f>
        <v>56</v>
      </c>
      <c r="C21" s="6"/>
      <c r="D21" s="6"/>
    </row>
    <row r="22" spans="1:4" ht="12.75">
      <c r="A22" s="24" t="s">
        <v>166</v>
      </c>
      <c r="B22" s="10">
        <f>VARREDOR!B22</f>
        <v>32</v>
      </c>
      <c r="C22" s="6"/>
      <c r="D22" s="6"/>
    </row>
    <row r="23" spans="1:2" ht="12.75">
      <c r="A23" s="24" t="s">
        <v>177</v>
      </c>
      <c r="B23" s="10">
        <f>VARREDOR!B23</f>
        <v>180</v>
      </c>
    </row>
    <row r="24" spans="1:3" ht="12.75">
      <c r="A24" s="24" t="s">
        <v>273</v>
      </c>
      <c r="B24" s="10">
        <f>VARREDOR!B24</f>
        <v>546.2</v>
      </c>
      <c r="C24" s="10"/>
    </row>
    <row r="25" spans="1:2" ht="12.75">
      <c r="A25" s="24" t="s">
        <v>249</v>
      </c>
      <c r="B25" s="10">
        <f>VARREDOR!B25</f>
        <v>20</v>
      </c>
    </row>
    <row r="26" spans="1:2" ht="12.75">
      <c r="A26" s="49" t="s">
        <v>250</v>
      </c>
      <c r="B26" s="50">
        <f>B18+B23+B24+B25</f>
        <v>992.2</v>
      </c>
    </row>
    <row r="27" spans="1:2" ht="12.75">
      <c r="A27" s="49"/>
      <c r="B27" s="50"/>
    </row>
    <row r="28" spans="1:2" ht="12.75">
      <c r="A28" s="53"/>
      <c r="B28" s="53"/>
    </row>
    <row r="29" spans="1:2" ht="12.75">
      <c r="A29" s="51" t="s">
        <v>9</v>
      </c>
      <c r="B29" s="52">
        <f>B26+B14</f>
        <v>5041.9794999999995</v>
      </c>
    </row>
    <row r="30" spans="1:2" ht="12.75">
      <c r="A30" s="80"/>
      <c r="B30" s="76"/>
    </row>
    <row r="31" spans="1:2" ht="12.75">
      <c r="A31" s="16"/>
      <c r="B31" s="16"/>
    </row>
    <row r="32" spans="1:2" ht="12.75">
      <c r="A32" s="6"/>
      <c r="B32" s="6"/>
    </row>
    <row r="33" spans="1:2" ht="12.75">
      <c r="A33" s="33"/>
      <c r="B33" s="2"/>
    </row>
    <row r="35" ht="12.75">
      <c r="A35" s="45"/>
    </row>
    <row r="37" spans="1:2" ht="12.75">
      <c r="A37" s="45"/>
      <c r="B37" s="10"/>
    </row>
    <row r="38" spans="1:2" ht="12.75">
      <c r="A38" s="45"/>
      <c r="B38" s="79"/>
    </row>
    <row r="39" spans="1:2" ht="12.75">
      <c r="A39" s="45"/>
      <c r="B39" s="10"/>
    </row>
    <row r="40" spans="1:2" ht="12.75">
      <c r="A40" s="24"/>
      <c r="B40" s="10"/>
    </row>
    <row r="41" spans="1:2" ht="12.75">
      <c r="A41" s="45"/>
      <c r="B41" s="46"/>
    </row>
    <row r="42" spans="1:2" ht="12.75">
      <c r="A42" s="47"/>
      <c r="B42" s="48"/>
    </row>
    <row r="44" ht="12.75">
      <c r="A44" s="45"/>
    </row>
    <row r="46" spans="1:2" ht="12.75">
      <c r="A46" s="45"/>
      <c r="B46" s="10"/>
    </row>
    <row r="47" spans="1:2" ht="12.75">
      <c r="A47" s="45"/>
      <c r="B47" s="10"/>
    </row>
    <row r="48" spans="1:2" ht="12.75">
      <c r="A48" s="45"/>
      <c r="B48" s="10"/>
    </row>
    <row r="49" spans="1:2" ht="12.75">
      <c r="A49" s="24"/>
      <c r="B49" s="10"/>
    </row>
    <row r="50" spans="1:2" ht="12.75">
      <c r="A50" s="24"/>
      <c r="B50" s="10"/>
    </row>
    <row r="51" spans="1:2" ht="12.75">
      <c r="A51" s="24"/>
      <c r="B51" s="38"/>
    </row>
    <row r="52" spans="1:3" ht="12.75">
      <c r="A52" s="24"/>
      <c r="B52" s="38"/>
      <c r="C52" s="10"/>
    </row>
    <row r="53" spans="1:2" ht="12.75">
      <c r="A53" s="24"/>
      <c r="B53" s="38"/>
    </row>
    <row r="54" spans="1:2" ht="12.75">
      <c r="A54" s="49"/>
      <c r="B54" s="50"/>
    </row>
    <row r="55" spans="1:2" ht="12.75">
      <c r="A55" s="49"/>
      <c r="B55" s="50"/>
    </row>
    <row r="56" spans="1:2" ht="12.75">
      <c r="A56" s="53"/>
      <c r="B56" s="53"/>
    </row>
    <row r="57" spans="1:3" ht="12.75">
      <c r="A57" s="51"/>
      <c r="B57" s="52"/>
      <c r="C57" s="81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9">
      <selection activeCell="A34" sqref="A34"/>
    </sheetView>
  </sheetViews>
  <sheetFormatPr defaultColWidth="12" defaultRowHeight="12.75"/>
  <cols>
    <col min="1" max="1" width="65.33203125" style="1" customWidth="1"/>
    <col min="2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2.75">
      <c r="A2" s="14"/>
      <c r="B2" s="15"/>
      <c r="C2" s="15"/>
      <c r="D2" s="15"/>
      <c r="E2" s="15"/>
    </row>
    <row r="3" spans="2:5" ht="12.75">
      <c r="B3" s="15"/>
      <c r="C3" s="15"/>
      <c r="D3" s="15"/>
      <c r="E3" s="15"/>
    </row>
    <row r="4" spans="1:5" ht="12.75">
      <c r="A4" s="16" t="s">
        <v>0</v>
      </c>
      <c r="B4" s="16"/>
      <c r="C4" s="16"/>
      <c r="D4" s="16"/>
      <c r="E4" s="16"/>
    </row>
    <row r="5" spans="1:2" ht="12.75">
      <c r="A5" s="6"/>
      <c r="B5" s="6"/>
    </row>
    <row r="6" spans="1:2" ht="12.75">
      <c r="A6" s="33" t="s">
        <v>376</v>
      </c>
      <c r="B6" s="2"/>
    </row>
    <row r="7" spans="1:2" ht="12.75">
      <c r="A7" s="6"/>
      <c r="B7" s="6"/>
    </row>
    <row r="9" ht="12.75">
      <c r="A9" s="45" t="s">
        <v>1</v>
      </c>
    </row>
    <row r="11" spans="1:2" ht="12.75">
      <c r="A11" s="45" t="s">
        <v>183</v>
      </c>
      <c r="B11" s="10">
        <v>1575.61</v>
      </c>
    </row>
    <row r="12" spans="1:2" ht="12.75">
      <c r="A12" s="45" t="s">
        <v>10</v>
      </c>
      <c r="B12" s="10">
        <f>B11*0.2</f>
        <v>315.122</v>
      </c>
    </row>
    <row r="13" spans="1:2" ht="12.75">
      <c r="A13" s="24" t="s">
        <v>4</v>
      </c>
      <c r="B13" s="10">
        <f>+B12+B11</f>
        <v>1890.732</v>
      </c>
    </row>
    <row r="14" spans="1:2" ht="12.75">
      <c r="A14" s="45" t="s">
        <v>5</v>
      </c>
      <c r="B14" s="46">
        <f>COLETOR!B12</f>
        <v>0.95</v>
      </c>
    </row>
    <row r="15" spans="1:2" ht="12.75">
      <c r="A15" s="49" t="s">
        <v>6</v>
      </c>
      <c r="B15" s="48">
        <f>+B13+(B13*B14)</f>
        <v>3686.9273999999996</v>
      </c>
    </row>
    <row r="17" ht="12.75">
      <c r="A17" s="45" t="s">
        <v>97</v>
      </c>
    </row>
    <row r="18" spans="1:4" ht="12.75">
      <c r="A18" s="1" t="s">
        <v>7</v>
      </c>
      <c r="C18" s="6"/>
      <c r="D18" s="6"/>
    </row>
    <row r="19" spans="1:4" ht="12.75">
      <c r="A19" s="45" t="s">
        <v>146</v>
      </c>
      <c r="B19" s="10">
        <f>SUM(B20:B23)</f>
        <v>246</v>
      </c>
      <c r="C19" s="6"/>
      <c r="D19" s="6"/>
    </row>
    <row r="20" spans="1:4" ht="12.75">
      <c r="A20" s="45" t="s">
        <v>163</v>
      </c>
      <c r="B20" s="10">
        <f>FISCAL!B19</f>
        <v>90</v>
      </c>
      <c r="C20" s="6"/>
      <c r="D20" s="6"/>
    </row>
    <row r="21" spans="1:4" ht="12.75">
      <c r="A21" s="45" t="s">
        <v>164</v>
      </c>
      <c r="B21" s="10">
        <f>FISCAL!B20</f>
        <v>68</v>
      </c>
      <c r="C21" s="6"/>
      <c r="D21" s="6"/>
    </row>
    <row r="22" spans="1:4" ht="12.75">
      <c r="A22" s="24" t="s">
        <v>165</v>
      </c>
      <c r="B22" s="10">
        <f>FISCAL!B21</f>
        <v>56</v>
      </c>
      <c r="C22" s="6"/>
      <c r="D22" s="6"/>
    </row>
    <row r="23" spans="1:4" ht="12.75">
      <c r="A23" s="24" t="s">
        <v>166</v>
      </c>
      <c r="B23" s="10">
        <f>FISCAL!B22</f>
        <v>32</v>
      </c>
      <c r="C23" s="6"/>
      <c r="D23" s="6"/>
    </row>
    <row r="24" spans="1:2" ht="12.75">
      <c r="A24" s="24" t="s">
        <v>177</v>
      </c>
      <c r="B24" s="10">
        <f>FISCAL!B23</f>
        <v>180</v>
      </c>
    </row>
    <row r="25" spans="1:3" ht="12.75">
      <c r="A25" s="24" t="s">
        <v>273</v>
      </c>
      <c r="B25" s="10">
        <f>FISCAL!B24</f>
        <v>546.2</v>
      </c>
      <c r="C25" s="10"/>
    </row>
    <row r="26" spans="1:2" ht="12.75">
      <c r="A26" s="24" t="s">
        <v>249</v>
      </c>
      <c r="B26" s="10">
        <f>FISCAL!B25</f>
        <v>20</v>
      </c>
    </row>
    <row r="27" spans="1:2" ht="12.75">
      <c r="A27" s="49" t="s">
        <v>250</v>
      </c>
      <c r="B27" s="50">
        <f>B19+B24+B25+B26</f>
        <v>992.2</v>
      </c>
    </row>
    <row r="28" spans="1:2" ht="12.75">
      <c r="A28" s="49"/>
      <c r="B28" s="50"/>
    </row>
    <row r="29" spans="1:2" ht="12.75">
      <c r="A29" s="51" t="s">
        <v>9</v>
      </c>
      <c r="B29" s="52">
        <f>B27+B15</f>
        <v>4679.127399999999</v>
      </c>
    </row>
    <row r="32" spans="1:2" ht="12.75">
      <c r="A32" s="33"/>
      <c r="B32" s="2"/>
    </row>
    <row r="34" ht="12.75">
      <c r="A34" s="45"/>
    </row>
    <row r="36" spans="1:2" ht="12.75">
      <c r="A36" s="45"/>
      <c r="B36" s="10"/>
    </row>
    <row r="37" spans="1:3" ht="12.75">
      <c r="A37" s="45"/>
      <c r="B37" s="10"/>
      <c r="C37" s="38"/>
    </row>
    <row r="38" spans="1:2" ht="12.75">
      <c r="A38" s="45"/>
      <c r="B38" s="10"/>
    </row>
    <row r="39" spans="1:2" ht="12.75">
      <c r="A39" s="24"/>
      <c r="B39" s="10"/>
    </row>
    <row r="40" spans="1:2" ht="12.75">
      <c r="A40" s="45"/>
      <c r="B40" s="46"/>
    </row>
    <row r="41" spans="1:2" ht="12.75">
      <c r="A41" s="45"/>
      <c r="B41" s="10"/>
    </row>
    <row r="43" ht="12.75">
      <c r="A43" s="45"/>
    </row>
    <row r="45" spans="1:2" ht="12.75">
      <c r="A45" s="45"/>
      <c r="B45" s="10"/>
    </row>
    <row r="46" spans="1:2" ht="12.75">
      <c r="A46" s="45"/>
      <c r="B46" s="10"/>
    </row>
    <row r="47" spans="1:2" ht="12.75">
      <c r="A47" s="45"/>
      <c r="B47" s="10"/>
    </row>
    <row r="48" spans="1:2" ht="12.75">
      <c r="A48" s="24"/>
      <c r="B48" s="10"/>
    </row>
    <row r="49" spans="1:2" ht="12.75">
      <c r="A49" s="24"/>
      <c r="B49" s="10"/>
    </row>
    <row r="50" spans="1:2" ht="12.75">
      <c r="A50" s="24"/>
      <c r="B50" s="38"/>
    </row>
    <row r="51" spans="1:3" ht="12.75">
      <c r="A51" s="24"/>
      <c r="B51" s="38"/>
      <c r="C51" s="10"/>
    </row>
    <row r="52" spans="1:2" ht="12.75">
      <c r="A52" s="24"/>
      <c r="B52" s="38"/>
    </row>
    <row r="53" spans="1:2" ht="12.75">
      <c r="A53" s="49"/>
      <c r="B53" s="50"/>
    </row>
    <row r="54" spans="1:2" ht="12.75">
      <c r="A54" s="49"/>
      <c r="B54" s="50"/>
    </row>
    <row r="55" spans="1:2" ht="12.75">
      <c r="A55" s="51"/>
      <c r="B55" s="5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4" sqref="B14"/>
    </sheetView>
  </sheetViews>
  <sheetFormatPr defaultColWidth="13.33203125" defaultRowHeight="12.75"/>
  <cols>
    <col min="1" max="1" width="59.83203125" style="1" customWidth="1"/>
    <col min="2" max="2" width="13.33203125" style="1" customWidth="1"/>
    <col min="3" max="3" width="10.33203125" style="1" customWidth="1"/>
    <col min="4" max="16384" width="13.33203125" style="1" customWidth="1"/>
  </cols>
  <sheetData>
    <row r="1" spans="1:2" ht="18">
      <c r="A1" s="12" t="s">
        <v>248</v>
      </c>
      <c r="B1" s="13"/>
    </row>
    <row r="2" spans="1:2" ht="18">
      <c r="A2" s="13"/>
      <c r="B2" s="77"/>
    </row>
    <row r="3" spans="1:2" ht="12.75">
      <c r="A3" s="15"/>
      <c r="B3" s="14"/>
    </row>
    <row r="4" spans="1:2" ht="12.75">
      <c r="A4" s="14"/>
      <c r="B4" s="15"/>
    </row>
    <row r="5" ht="12.75">
      <c r="B5" s="15"/>
    </row>
    <row r="6" spans="1:2" ht="12.75">
      <c r="A6" s="16" t="s">
        <v>0</v>
      </c>
      <c r="B6" s="16"/>
    </row>
    <row r="7" spans="1:2" ht="12.75">
      <c r="A7" s="6"/>
      <c r="B7" s="6"/>
    </row>
    <row r="8" spans="1:2" ht="12.75">
      <c r="A8" s="33" t="s">
        <v>104</v>
      </c>
      <c r="B8" s="2"/>
    </row>
    <row r="9" spans="1:2" ht="12.75">
      <c r="A9" s="6"/>
      <c r="B9" s="6"/>
    </row>
    <row r="11" ht="12.75">
      <c r="A11" s="45" t="s">
        <v>1</v>
      </c>
    </row>
    <row r="12" ht="12.75">
      <c r="A12" s="45"/>
    </row>
    <row r="13" ht="12.75">
      <c r="A13" s="45"/>
    </row>
    <row r="14" spans="1:2" ht="12.75">
      <c r="A14" s="45" t="s">
        <v>184</v>
      </c>
      <c r="B14" s="10">
        <f>6.5*860</f>
        <v>5590</v>
      </c>
    </row>
    <row r="15" spans="1:2" ht="12.75">
      <c r="A15" s="45" t="s">
        <v>101</v>
      </c>
      <c r="B15" s="10">
        <v>1650</v>
      </c>
    </row>
    <row r="16" spans="1:2" ht="12.75">
      <c r="A16" s="24" t="s">
        <v>12</v>
      </c>
      <c r="B16" s="10">
        <v>2</v>
      </c>
    </row>
    <row r="17" spans="1:2" ht="12.75">
      <c r="A17" s="45" t="s">
        <v>251</v>
      </c>
      <c r="B17" s="10"/>
    </row>
    <row r="18" spans="1:2" ht="12.75">
      <c r="A18" s="45" t="s">
        <v>13</v>
      </c>
      <c r="B18" s="10"/>
    </row>
    <row r="19" spans="1:2" ht="12.75">
      <c r="A19" s="45" t="s">
        <v>102</v>
      </c>
      <c r="B19" s="10"/>
    </row>
    <row r="20" spans="1:2" ht="12.75">
      <c r="A20" s="45" t="s">
        <v>103</v>
      </c>
      <c r="B20" s="10"/>
    </row>
    <row r="21" spans="1:3" ht="12.75">
      <c r="A21" s="45" t="s">
        <v>147</v>
      </c>
      <c r="B21" s="10">
        <f>(+B15*B16)+(B17*B18)+(+B19*B20)+B14</f>
        <v>8890</v>
      </c>
      <c r="C21" s="81"/>
    </row>
    <row r="22" spans="1:2" ht="12.75">
      <c r="A22" s="45" t="s">
        <v>148</v>
      </c>
      <c r="B22" s="46">
        <f>'[1]COLETOR'!B12</f>
        <v>0.95</v>
      </c>
    </row>
    <row r="23" spans="1:2" ht="12.75">
      <c r="A23" s="47" t="s">
        <v>149</v>
      </c>
      <c r="B23" s="48">
        <f>+B21+(+B21*B22)</f>
        <v>17335.5</v>
      </c>
    </row>
    <row r="26" ht="12.75">
      <c r="A26" s="47" t="s">
        <v>193</v>
      </c>
    </row>
    <row r="27" ht="12.75">
      <c r="A27" s="45"/>
    </row>
    <row r="28" ht="12.75">
      <c r="A28" s="45"/>
    </row>
    <row r="29" spans="1:5" ht="12.75">
      <c r="A29" s="45" t="s">
        <v>194</v>
      </c>
      <c r="B29" s="10">
        <v>6500</v>
      </c>
      <c r="E29" s="78"/>
    </row>
    <row r="30" spans="1:5" ht="12.75">
      <c r="A30" s="45" t="s">
        <v>195</v>
      </c>
      <c r="B30" s="10">
        <v>1000</v>
      </c>
      <c r="E30" s="78"/>
    </row>
    <row r="31" spans="1:5" ht="12.75">
      <c r="A31" s="24" t="s">
        <v>204</v>
      </c>
      <c r="B31" s="10">
        <v>4200</v>
      </c>
      <c r="E31" s="78"/>
    </row>
    <row r="32" spans="1:2" ht="12.75">
      <c r="A32" s="47" t="s">
        <v>196</v>
      </c>
      <c r="B32" s="48">
        <f>SUM(B29:B31)</f>
        <v>11700</v>
      </c>
    </row>
    <row r="33" spans="1:2" ht="12.75">
      <c r="A33" s="45"/>
      <c r="B33" s="10"/>
    </row>
    <row r="34" spans="1:2" ht="12.75">
      <c r="A34" s="45"/>
      <c r="B34" s="10"/>
    </row>
    <row r="35" spans="1:2" ht="12.75">
      <c r="A35" s="47"/>
      <c r="B35" s="10"/>
    </row>
    <row r="36" spans="1:2" ht="12.75">
      <c r="A36" s="45"/>
      <c r="B36" s="10"/>
    </row>
    <row r="37" spans="1:3" ht="12.75">
      <c r="A37" s="51" t="s">
        <v>9</v>
      </c>
      <c r="B37" s="82">
        <f>B23+B32</f>
        <v>29035.5</v>
      </c>
      <c r="C37" s="81"/>
    </row>
    <row r="38" spans="1:2" ht="12.75">
      <c r="A38" s="45"/>
      <c r="B38" s="10"/>
    </row>
    <row r="39" spans="1:2" ht="12.75">
      <c r="A39" s="45"/>
      <c r="B39" s="46"/>
    </row>
    <row r="40" spans="1:2" ht="12.75">
      <c r="A40" s="45" t="s">
        <v>379</v>
      </c>
      <c r="B40" s="10">
        <f>B15</f>
        <v>1650</v>
      </c>
    </row>
    <row r="41" spans="1:2" ht="12.75">
      <c r="A41" s="45" t="s">
        <v>380</v>
      </c>
      <c r="B41" s="208">
        <f>B40*B22</f>
        <v>1567.5</v>
      </c>
    </row>
    <row r="42" spans="1:2" ht="12.75">
      <c r="A42" s="1" t="s">
        <v>284</v>
      </c>
      <c r="B42" s="50">
        <f>SUM(B40:B41)</f>
        <v>3217.5</v>
      </c>
    </row>
    <row r="44" spans="1:2" ht="12.75">
      <c r="A44" s="1" t="s">
        <v>381</v>
      </c>
      <c r="B44" s="38">
        <f>B17</f>
        <v>0</v>
      </c>
    </row>
    <row r="45" spans="1:2" ht="12.75">
      <c r="A45" s="45" t="s">
        <v>380</v>
      </c>
      <c r="B45" s="208">
        <f>B44*B22</f>
        <v>0</v>
      </c>
    </row>
    <row r="46" spans="1:2" ht="12.75">
      <c r="A46" s="1" t="s">
        <v>284</v>
      </c>
      <c r="B46" s="50">
        <f>SUM(B44:B45)</f>
        <v>0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55">
      <selection activeCell="A75" sqref="A75"/>
    </sheetView>
  </sheetViews>
  <sheetFormatPr defaultColWidth="12" defaultRowHeight="12.75"/>
  <cols>
    <col min="1" max="1" width="48" style="15" customWidth="1"/>
    <col min="2" max="2" width="8.5" style="15" customWidth="1"/>
    <col min="3" max="3" width="6" style="15" customWidth="1"/>
    <col min="4" max="4" width="12.83203125" style="15" customWidth="1"/>
    <col min="5" max="5" width="10.16015625" style="15" customWidth="1"/>
    <col min="6" max="6" width="15.33203125" style="15" customWidth="1"/>
    <col min="7" max="7" width="6.66015625" style="15" customWidth="1"/>
    <col min="8" max="16384" width="12" style="1" customWidth="1"/>
  </cols>
  <sheetData>
    <row r="1" spans="1:7" ht="18">
      <c r="A1" s="84" t="s">
        <v>248</v>
      </c>
      <c r="B1" s="12"/>
      <c r="C1" s="12"/>
      <c r="D1" s="13"/>
      <c r="E1" s="13"/>
      <c r="F1" s="13"/>
      <c r="G1" s="13"/>
    </row>
    <row r="2" ht="12.75">
      <c r="A2" s="85"/>
    </row>
    <row r="3" spans="1:7" ht="12.75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6"/>
      <c r="B4" s="6"/>
      <c r="C4" s="6"/>
      <c r="D4" s="6"/>
      <c r="E4" s="6"/>
      <c r="F4" s="6"/>
      <c r="G4" s="6"/>
    </row>
    <row r="5" spans="1:7" ht="12.75">
      <c r="A5" s="17" t="s">
        <v>265</v>
      </c>
      <c r="B5" s="17"/>
      <c r="C5" s="17"/>
      <c r="D5" s="2"/>
      <c r="E5" s="2"/>
      <c r="F5" s="2"/>
      <c r="G5" s="2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18" t="s">
        <v>35</v>
      </c>
      <c r="B7" s="18"/>
      <c r="C7" s="18"/>
      <c r="D7" s="2">
        <f>D12+D17</f>
        <v>0</v>
      </c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20" t="s">
        <v>178</v>
      </c>
      <c r="B9" s="20"/>
      <c r="C9" s="20"/>
      <c r="D9" s="6">
        <v>0</v>
      </c>
      <c r="E9" s="6" t="s">
        <v>36</v>
      </c>
      <c r="F9" s="6"/>
      <c r="G9" s="6"/>
    </row>
    <row r="10" spans="1:7" ht="12.75">
      <c r="A10" s="21" t="s">
        <v>93</v>
      </c>
      <c r="B10" s="21"/>
      <c r="C10" s="21"/>
      <c r="D10" s="6">
        <f>+'[3]COLETOR'!B27</f>
        <v>2348.54</v>
      </c>
      <c r="E10" s="21" t="s">
        <v>38</v>
      </c>
      <c r="F10" s="6"/>
      <c r="G10" s="6"/>
    </row>
    <row r="11" spans="1:7" ht="12.75">
      <c r="A11" s="20" t="s">
        <v>46</v>
      </c>
      <c r="B11" s="20"/>
      <c r="C11" s="20"/>
      <c r="D11" s="6">
        <f>D10*D9</f>
        <v>0</v>
      </c>
      <c r="E11" s="6" t="s">
        <v>40</v>
      </c>
      <c r="F11" s="6"/>
      <c r="G11" s="6"/>
    </row>
    <row r="12" spans="1:7" ht="12.75">
      <c r="A12" s="20" t="s">
        <v>39</v>
      </c>
      <c r="B12" s="20"/>
      <c r="C12" s="20"/>
      <c r="D12" s="6">
        <f>D11</f>
        <v>0</v>
      </c>
      <c r="E12" s="6" t="s">
        <v>40</v>
      </c>
      <c r="F12" s="6"/>
      <c r="G12" s="6"/>
    </row>
    <row r="13" spans="1:7" ht="12.75">
      <c r="A13" s="20"/>
      <c r="B13" s="20"/>
      <c r="C13" s="20"/>
      <c r="D13" s="6"/>
      <c r="E13" s="6"/>
      <c r="F13" s="6"/>
      <c r="G13" s="6"/>
    </row>
    <row r="14" spans="1:7" ht="12.75">
      <c r="A14" s="21" t="s">
        <v>41</v>
      </c>
      <c r="B14" s="21"/>
      <c r="C14" s="21"/>
      <c r="D14" s="6">
        <v>0</v>
      </c>
      <c r="E14" s="6" t="s">
        <v>36</v>
      </c>
      <c r="F14" s="6"/>
      <c r="G14" s="6"/>
    </row>
    <row r="15" spans="1:7" ht="12.75">
      <c r="A15" s="6" t="s">
        <v>42</v>
      </c>
      <c r="B15" s="6"/>
      <c r="C15" s="6"/>
      <c r="D15" s="6">
        <f>'[3]FISCAL'!B29</f>
        <v>3322.2905</v>
      </c>
      <c r="E15" s="6" t="s">
        <v>38</v>
      </c>
      <c r="F15" s="6"/>
      <c r="G15" s="6"/>
    </row>
    <row r="16" spans="1:7" ht="12.75">
      <c r="A16" s="20" t="s">
        <v>46</v>
      </c>
      <c r="B16" s="20"/>
      <c r="C16" s="20"/>
      <c r="D16" s="6">
        <f>+D15*D14</f>
        <v>0</v>
      </c>
      <c r="E16" s="6" t="s">
        <v>40</v>
      </c>
      <c r="F16" s="6"/>
      <c r="G16" s="6"/>
    </row>
    <row r="17" spans="1:7" ht="12.75">
      <c r="A17" s="6" t="s">
        <v>59</v>
      </c>
      <c r="B17" s="6"/>
      <c r="C17" s="6"/>
      <c r="D17" s="6">
        <f>D16</f>
        <v>0</v>
      </c>
      <c r="E17" s="6" t="s">
        <v>50</v>
      </c>
      <c r="F17" s="6"/>
      <c r="G17" s="6"/>
    </row>
    <row r="18" spans="1:7" ht="12.75">
      <c r="A18" s="20"/>
      <c r="B18" s="20"/>
      <c r="C18" s="20"/>
      <c r="D18" s="6"/>
      <c r="E18" s="6"/>
      <c r="F18" s="6"/>
      <c r="G18" s="6"/>
    </row>
    <row r="19" spans="1:7" ht="12.75">
      <c r="A19" s="30" t="s">
        <v>96</v>
      </c>
      <c r="B19" s="30"/>
      <c r="C19" s="30"/>
      <c r="D19" s="23">
        <f>D35+D37</f>
        <v>0</v>
      </c>
      <c r="E19" s="6"/>
      <c r="F19" s="6"/>
      <c r="G19" s="1"/>
    </row>
    <row r="20" spans="1:7" ht="12.75">
      <c r="A20" s="22"/>
      <c r="B20" s="22"/>
      <c r="C20" s="22"/>
      <c r="D20" s="23"/>
      <c r="E20" s="6"/>
      <c r="F20" s="6"/>
      <c r="G20" s="1"/>
    </row>
    <row r="21" spans="1:7" ht="12.75">
      <c r="A21" s="24" t="s">
        <v>129</v>
      </c>
      <c r="B21" s="25">
        <v>0</v>
      </c>
      <c r="C21" s="35" t="s">
        <v>130</v>
      </c>
      <c r="D21" s="6">
        <f>B21*'[3]PREÇOS'!C10</f>
        <v>0</v>
      </c>
      <c r="E21" s="6" t="s">
        <v>40</v>
      </c>
      <c r="F21" s="25"/>
      <c r="G21" s="6"/>
    </row>
    <row r="22" spans="1:7" ht="12.75">
      <c r="A22" s="6" t="s">
        <v>131</v>
      </c>
      <c r="B22" s="25">
        <v>0</v>
      </c>
      <c r="C22" s="35" t="s">
        <v>130</v>
      </c>
      <c r="D22" s="6">
        <f>B22*'[3]PREÇOS'!C9</f>
        <v>0</v>
      </c>
      <c r="E22" s="6" t="s">
        <v>40</v>
      </c>
      <c r="F22" s="25"/>
      <c r="G22" s="6"/>
    </row>
    <row r="23" spans="1:7" ht="12.75">
      <c r="A23" s="6" t="s">
        <v>132</v>
      </c>
      <c r="B23" s="25">
        <v>0</v>
      </c>
      <c r="C23" s="35" t="s">
        <v>130</v>
      </c>
      <c r="D23" s="6">
        <f>B23*'[3]PREÇOS'!C12</f>
        <v>0</v>
      </c>
      <c r="E23" s="6" t="s">
        <v>40</v>
      </c>
      <c r="F23" s="27"/>
      <c r="G23" s="6"/>
    </row>
    <row r="24" spans="1:7" ht="12.75">
      <c r="A24" s="6" t="s">
        <v>133</v>
      </c>
      <c r="B24" s="25">
        <v>0</v>
      </c>
      <c r="C24" s="35" t="s">
        <v>130</v>
      </c>
      <c r="D24" s="6">
        <f>B24*'[3]PREÇOS'!C11</f>
        <v>0</v>
      </c>
      <c r="E24" s="6" t="s">
        <v>40</v>
      </c>
      <c r="F24" s="27"/>
      <c r="G24" s="6"/>
    </row>
    <row r="25" spans="1:7" ht="12.75">
      <c r="A25" s="6" t="s">
        <v>134</v>
      </c>
      <c r="B25" s="25">
        <v>0</v>
      </c>
      <c r="C25" s="35" t="s">
        <v>130</v>
      </c>
      <c r="D25" s="6">
        <f>B25*'[3]PREÇOS'!C13</f>
        <v>0</v>
      </c>
      <c r="E25" s="6" t="s">
        <v>40</v>
      </c>
      <c r="F25" s="27"/>
      <c r="G25" s="6"/>
    </row>
    <row r="26" spans="1:7" ht="12.75">
      <c r="A26" s="6" t="s">
        <v>135</v>
      </c>
      <c r="B26" s="25">
        <v>0</v>
      </c>
      <c r="C26" s="35" t="s">
        <v>130</v>
      </c>
      <c r="D26" s="6">
        <f>B26*'[3]PREÇOS'!C14</f>
        <v>0</v>
      </c>
      <c r="E26" s="6" t="s">
        <v>40</v>
      </c>
      <c r="F26" s="27"/>
      <c r="G26" s="6"/>
    </row>
    <row r="27" spans="1:7" ht="12.75">
      <c r="A27" s="6" t="s">
        <v>115</v>
      </c>
      <c r="B27" s="25">
        <v>0</v>
      </c>
      <c r="C27" s="35" t="s">
        <v>130</v>
      </c>
      <c r="D27" s="6">
        <f>B27*'[3]PREÇOS'!C16</f>
        <v>0</v>
      </c>
      <c r="E27" s="6" t="s">
        <v>40</v>
      </c>
      <c r="F27" s="27"/>
      <c r="G27" s="6"/>
    </row>
    <row r="28" spans="1:7" ht="12.75">
      <c r="A28" s="6" t="s">
        <v>137</v>
      </c>
      <c r="B28" s="25">
        <v>0</v>
      </c>
      <c r="C28" s="35" t="s">
        <v>130</v>
      </c>
      <c r="D28" s="6">
        <f>B28*'[3]PREÇOS'!C21</f>
        <v>0</v>
      </c>
      <c r="E28" s="6" t="s">
        <v>40</v>
      </c>
      <c r="F28" s="27"/>
      <c r="G28" s="6"/>
    </row>
    <row r="29" spans="1:7" ht="12.75">
      <c r="A29" s="6" t="s">
        <v>136</v>
      </c>
      <c r="B29" s="25">
        <v>0</v>
      </c>
      <c r="C29" s="35" t="s">
        <v>130</v>
      </c>
      <c r="D29" s="6">
        <f>B29*'[3]PREÇOS'!C20</f>
        <v>0</v>
      </c>
      <c r="E29" s="6" t="s">
        <v>40</v>
      </c>
      <c r="F29" s="27"/>
      <c r="G29" s="6"/>
    </row>
    <row r="30" spans="1:7" ht="12.75">
      <c r="A30" s="6" t="s">
        <v>234</v>
      </c>
      <c r="B30" s="25">
        <v>0</v>
      </c>
      <c r="C30" s="35" t="s">
        <v>130</v>
      </c>
      <c r="D30" s="6">
        <f>B30*'[3]PREÇOS'!C22</f>
        <v>0</v>
      </c>
      <c r="E30" s="6" t="str">
        <f>+E29</f>
        <v>R$</v>
      </c>
      <c r="F30" s="27"/>
      <c r="G30" s="6"/>
    </row>
    <row r="31" spans="1:7" ht="12.75">
      <c r="A31" s="6" t="s">
        <v>142</v>
      </c>
      <c r="B31" s="25">
        <v>0</v>
      </c>
      <c r="C31" s="35" t="s">
        <v>130</v>
      </c>
      <c r="D31" s="6">
        <f>B31*'[3]PREÇOS'!C17</f>
        <v>0</v>
      </c>
      <c r="E31" s="6" t="s">
        <v>40</v>
      </c>
      <c r="F31" s="27"/>
      <c r="G31" s="6"/>
    </row>
    <row r="32" spans="1:7" ht="12.75">
      <c r="A32" s="6" t="s">
        <v>143</v>
      </c>
      <c r="B32" s="27">
        <v>0</v>
      </c>
      <c r="C32" s="19" t="s">
        <v>141</v>
      </c>
      <c r="D32" s="6">
        <f>B32*'[3]PREÇOS'!C24</f>
        <v>0</v>
      </c>
      <c r="E32" s="6" t="s">
        <v>40</v>
      </c>
      <c r="F32" s="27"/>
      <c r="G32" s="6"/>
    </row>
    <row r="33" spans="1:7" ht="12.75">
      <c r="A33" s="6" t="s">
        <v>75</v>
      </c>
      <c r="B33" s="6"/>
      <c r="C33" s="6"/>
      <c r="D33" s="6">
        <f>SUM(D21:D32)</f>
        <v>0</v>
      </c>
      <c r="E33" s="6" t="s">
        <v>40</v>
      </c>
      <c r="F33" s="27"/>
      <c r="G33" s="6"/>
    </row>
    <row r="34" spans="1:7" ht="12.75">
      <c r="A34" s="6" t="s">
        <v>76</v>
      </c>
      <c r="B34" s="6"/>
      <c r="C34" s="6"/>
      <c r="D34" s="6">
        <v>12</v>
      </c>
      <c r="E34" s="6" t="s">
        <v>65</v>
      </c>
      <c r="F34" s="27"/>
      <c r="G34" s="6"/>
    </row>
    <row r="35" spans="1:7" ht="12.75">
      <c r="A35" s="6" t="s">
        <v>66</v>
      </c>
      <c r="B35" s="6"/>
      <c r="C35" s="6"/>
      <c r="D35" s="6">
        <f>+D33/+D34</f>
        <v>0</v>
      </c>
      <c r="E35" s="6" t="s">
        <v>77</v>
      </c>
      <c r="F35" s="6"/>
      <c r="G35" s="6"/>
    </row>
    <row r="36" spans="1:7" ht="12.75">
      <c r="A36" s="6" t="s">
        <v>78</v>
      </c>
      <c r="B36" s="6"/>
      <c r="C36" s="6"/>
      <c r="D36" s="28">
        <v>0.025</v>
      </c>
      <c r="E36" s="6"/>
      <c r="F36" s="6"/>
      <c r="G36" s="6"/>
    </row>
    <row r="37" spans="1:7" ht="12.75">
      <c r="A37" s="6" t="s">
        <v>67</v>
      </c>
      <c r="B37" s="6"/>
      <c r="C37" s="6"/>
      <c r="D37" s="6">
        <f>D36*D35</f>
        <v>0</v>
      </c>
      <c r="E37" s="6" t="s">
        <v>77</v>
      </c>
      <c r="F37" s="6"/>
      <c r="G37" s="6"/>
    </row>
    <row r="38" spans="1:7" ht="12.75">
      <c r="A38" s="20"/>
      <c r="B38" s="20"/>
      <c r="C38" s="20"/>
      <c r="D38" s="6"/>
      <c r="E38" s="6"/>
      <c r="F38" s="6"/>
      <c r="G38" s="6"/>
    </row>
    <row r="39" spans="1:7" ht="12.75">
      <c r="A39" s="30" t="s">
        <v>258</v>
      </c>
      <c r="B39" s="30"/>
      <c r="C39" s="30"/>
      <c r="D39" s="6">
        <f>+D45+D46</f>
        <v>17000</v>
      </c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 t="s">
        <v>259</v>
      </c>
      <c r="B41" s="6">
        <v>0</v>
      </c>
      <c r="C41" s="6" t="s">
        <v>130</v>
      </c>
      <c r="D41" s="6">
        <f>B41*'[3]BASCULANTE'!B61</f>
        <v>0</v>
      </c>
      <c r="E41" s="6" t="s">
        <v>40</v>
      </c>
      <c r="F41" s="6"/>
      <c r="G41" s="6"/>
    </row>
    <row r="42" spans="1:7" ht="12.75">
      <c r="A42" s="6" t="s">
        <v>260</v>
      </c>
      <c r="B42" s="6">
        <v>1</v>
      </c>
      <c r="C42" s="6" t="s">
        <v>130</v>
      </c>
      <c r="D42" s="6">
        <v>17000</v>
      </c>
      <c r="E42" s="6" t="s">
        <v>36</v>
      </c>
      <c r="F42" s="6"/>
      <c r="G42" s="6"/>
    </row>
    <row r="43" spans="1:7" ht="12.75">
      <c r="A43" s="20" t="s">
        <v>261</v>
      </c>
      <c r="B43" s="86">
        <v>0</v>
      </c>
      <c r="C43" s="20" t="s">
        <v>130</v>
      </c>
      <c r="D43" s="6">
        <f>B43*'[3]BAÚ'!B61</f>
        <v>0</v>
      </c>
      <c r="E43" s="6" t="s">
        <v>40</v>
      </c>
      <c r="F43" s="6"/>
      <c r="G43" s="6"/>
    </row>
    <row r="44" spans="1:7" ht="12.75">
      <c r="A44" s="21" t="s">
        <v>262</v>
      </c>
      <c r="B44" s="87">
        <v>0</v>
      </c>
      <c r="C44" s="21" t="s">
        <v>130</v>
      </c>
      <c r="D44" s="6">
        <v>0</v>
      </c>
      <c r="E44" s="6" t="s">
        <v>48</v>
      </c>
      <c r="F44" s="6" t="s">
        <v>8</v>
      </c>
      <c r="G44" s="6"/>
    </row>
    <row r="45" spans="1:7" ht="12.75">
      <c r="A45" s="6" t="s">
        <v>263</v>
      </c>
      <c r="B45" s="6"/>
      <c r="C45" s="6"/>
      <c r="D45" s="6">
        <f>SUM(D41:D44)</f>
        <v>17000</v>
      </c>
      <c r="E45" s="6" t="s">
        <v>50</v>
      </c>
      <c r="F45" s="6"/>
      <c r="G45" s="6"/>
    </row>
    <row r="46" spans="1:7" ht="12.75">
      <c r="A46" s="6"/>
      <c r="B46" s="27"/>
      <c r="C46" s="19"/>
      <c r="D46" s="6"/>
      <c r="E46" s="6"/>
      <c r="F46" s="6"/>
      <c r="G46" s="6"/>
    </row>
    <row r="47" spans="1:7" ht="12.75">
      <c r="A47" s="20"/>
      <c r="B47" s="20"/>
      <c r="C47" s="20"/>
      <c r="D47" s="6"/>
      <c r="E47" s="6"/>
      <c r="F47" s="6"/>
      <c r="G47" s="6"/>
    </row>
    <row r="48" spans="1:7" ht="12.75">
      <c r="A48" s="18" t="s">
        <v>69</v>
      </c>
      <c r="B48" s="18"/>
      <c r="C48" s="18"/>
      <c r="D48" s="6"/>
      <c r="E48" s="6"/>
      <c r="F48" s="6"/>
      <c r="G48" s="6"/>
    </row>
    <row r="49" spans="1:7" ht="12.75">
      <c r="A49" s="6" t="s">
        <v>74</v>
      </c>
      <c r="B49" s="6"/>
      <c r="C49" s="6"/>
      <c r="D49" s="6">
        <f>D7</f>
        <v>0</v>
      </c>
      <c r="E49" s="6" t="s">
        <v>40</v>
      </c>
      <c r="F49" s="6"/>
      <c r="G49" s="6"/>
    </row>
    <row r="50" spans="1:7" ht="12.75">
      <c r="A50" s="6" t="s">
        <v>68</v>
      </c>
      <c r="B50" s="6"/>
      <c r="C50" s="6"/>
      <c r="D50" s="6">
        <f>D39</f>
        <v>17000</v>
      </c>
      <c r="E50" s="6" t="s">
        <v>40</v>
      </c>
      <c r="F50" s="6"/>
      <c r="G50" s="6"/>
    </row>
    <row r="51" spans="1:7" ht="12.75">
      <c r="A51" s="6" t="s">
        <v>70</v>
      </c>
      <c r="B51" s="6"/>
      <c r="C51" s="6"/>
      <c r="D51" s="6">
        <f>D19</f>
        <v>0</v>
      </c>
      <c r="E51" s="6" t="s">
        <v>40</v>
      </c>
      <c r="F51" s="6"/>
      <c r="G51" s="6"/>
    </row>
    <row r="52" spans="1:7" ht="12.75">
      <c r="A52" s="6" t="s">
        <v>51</v>
      </c>
      <c r="B52" s="6"/>
      <c r="C52" s="6"/>
      <c r="D52" s="6">
        <f>SUM(D49:D51)</f>
        <v>17000</v>
      </c>
      <c r="E52" s="6" t="s">
        <v>40</v>
      </c>
      <c r="F52" s="6"/>
      <c r="G52" s="6"/>
    </row>
    <row r="53" spans="1:7" ht="12.75">
      <c r="A53" s="6"/>
      <c r="B53" s="6"/>
      <c r="C53" s="6"/>
      <c r="D53" s="6" t="s">
        <v>8</v>
      </c>
      <c r="E53" s="6"/>
      <c r="F53" s="6"/>
      <c r="G53" s="6"/>
    </row>
    <row r="54" spans="1:7" ht="12.75">
      <c r="A54" s="18" t="s">
        <v>71</v>
      </c>
      <c r="B54" s="18"/>
      <c r="C54" s="18"/>
      <c r="D54" s="6" t="s">
        <v>8</v>
      </c>
      <c r="E54" s="6"/>
      <c r="F54" s="6"/>
      <c r="G54" s="6"/>
    </row>
    <row r="55" spans="1:7" ht="12.75">
      <c r="A55" s="6"/>
      <c r="B55" s="6"/>
      <c r="C55" s="6"/>
      <c r="D55" s="6" t="s">
        <v>8</v>
      </c>
      <c r="E55" s="6"/>
      <c r="F55" s="6"/>
      <c r="G55" s="6"/>
    </row>
    <row r="56" spans="1:7" ht="12.75">
      <c r="A56" s="21" t="s">
        <v>52</v>
      </c>
      <c r="B56" s="21"/>
      <c r="C56" s="21"/>
      <c r="D56" s="11">
        <v>0</v>
      </c>
      <c r="E56" s="6" t="s">
        <v>8</v>
      </c>
      <c r="F56" s="29">
        <f>D56*'[3]ADM'!$B$37</f>
        <v>0</v>
      </c>
      <c r="G56" s="6"/>
    </row>
    <row r="57" spans="1:7" ht="12.75">
      <c r="A57" s="6"/>
      <c r="B57" s="6"/>
      <c r="C57" s="6"/>
      <c r="D57" s="6"/>
      <c r="E57" s="6"/>
      <c r="F57" s="29"/>
      <c r="G57" s="6"/>
    </row>
    <row r="58" spans="1:7" ht="12.75">
      <c r="A58" s="18" t="s">
        <v>239</v>
      </c>
      <c r="B58" s="6"/>
      <c r="C58" s="6"/>
      <c r="D58" s="6"/>
      <c r="E58" s="6"/>
      <c r="F58" s="29"/>
      <c r="G58" s="6"/>
    </row>
    <row r="59" spans="1:7" ht="12.75">
      <c r="A59" s="6" t="s">
        <v>53</v>
      </c>
      <c r="B59" s="6"/>
      <c r="C59" s="6"/>
      <c r="D59" s="31">
        <v>0.15</v>
      </c>
      <c r="E59" s="6" t="s">
        <v>8</v>
      </c>
      <c r="F59" s="29">
        <f>+(D52+F56)*D59</f>
        <v>2550</v>
      </c>
      <c r="G59" s="6"/>
    </row>
    <row r="60" spans="1:7" ht="12.75">
      <c r="A60" s="6"/>
      <c r="B60" s="6"/>
      <c r="C60" s="6"/>
      <c r="D60" s="6"/>
      <c r="E60" s="6"/>
      <c r="F60" s="29"/>
      <c r="G60" s="6"/>
    </row>
    <row r="61" spans="1:7" ht="12.75">
      <c r="A61" s="18" t="s">
        <v>72</v>
      </c>
      <c r="B61" s="18"/>
      <c r="C61" s="18"/>
      <c r="D61" s="6"/>
      <c r="E61" s="6"/>
      <c r="F61" s="29">
        <f>+F59+F56+D52</f>
        <v>19550</v>
      </c>
      <c r="G61" s="6"/>
    </row>
    <row r="62" spans="1:7" ht="12.75">
      <c r="A62" s="6"/>
      <c r="B62" s="6"/>
      <c r="C62" s="6"/>
      <c r="D62" s="6"/>
      <c r="E62" s="6"/>
      <c r="F62" s="29"/>
      <c r="G62" s="6"/>
    </row>
    <row r="63" spans="1:7" ht="12.75">
      <c r="A63" s="22" t="s">
        <v>238</v>
      </c>
      <c r="B63" s="6"/>
      <c r="C63" s="6"/>
      <c r="D63" s="6"/>
      <c r="E63" s="6"/>
      <c r="F63" s="29"/>
      <c r="G63" s="6"/>
    </row>
    <row r="64" spans="1:7" ht="12.75">
      <c r="A64" s="6" t="s">
        <v>53</v>
      </c>
      <c r="B64" s="6"/>
      <c r="C64" s="6"/>
      <c r="D64" s="11">
        <v>0.1425</v>
      </c>
      <c r="E64" s="88" t="s">
        <v>8</v>
      </c>
      <c r="F64" s="6">
        <f>+F61/0.8575</f>
        <v>22798.83381924198</v>
      </c>
      <c r="G64" s="6"/>
    </row>
    <row r="65" spans="4:7" ht="12.75">
      <c r="D65" s="88"/>
      <c r="E65" s="88"/>
      <c r="F65" s="88"/>
      <c r="G65" s="6"/>
    </row>
    <row r="66" spans="1:7" ht="12.75">
      <c r="A66" s="34" t="s">
        <v>73</v>
      </c>
      <c r="B66" s="34"/>
      <c r="C66" s="34"/>
      <c r="D66" s="89"/>
      <c r="E66" s="89"/>
      <c r="F66" s="88"/>
      <c r="G66" s="6"/>
    </row>
    <row r="67" spans="1:7" ht="12.75">
      <c r="A67" s="2"/>
      <c r="B67" s="2"/>
      <c r="C67" s="2"/>
      <c r="D67" s="89"/>
      <c r="E67" s="89"/>
      <c r="F67" s="88"/>
      <c r="G67" s="6" t="s">
        <v>8</v>
      </c>
    </row>
    <row r="68" spans="1:7" ht="12.75">
      <c r="A68" s="33" t="s">
        <v>54</v>
      </c>
      <c r="B68" s="33"/>
      <c r="C68" s="33"/>
      <c r="D68" s="2">
        <f>F64</f>
        <v>22798.83381924198</v>
      </c>
      <c r="E68" s="2" t="s">
        <v>40</v>
      </c>
      <c r="F68" s="6"/>
      <c r="G68" s="6"/>
    </row>
    <row r="69" spans="1:7" ht="12.75">
      <c r="A69" s="2" t="s">
        <v>55</v>
      </c>
      <c r="B69" s="2"/>
      <c r="C69" s="2"/>
      <c r="D69" s="2">
        <v>220</v>
      </c>
      <c r="E69" s="2" t="s">
        <v>266</v>
      </c>
      <c r="F69" s="6"/>
      <c r="G69" s="6"/>
    </row>
    <row r="70" spans="1:7" ht="12.75">
      <c r="A70" s="2" t="s">
        <v>57</v>
      </c>
      <c r="B70" s="2"/>
      <c r="C70" s="2"/>
      <c r="D70" s="2">
        <f>ROUND(D68/D69,2)</f>
        <v>103.63</v>
      </c>
      <c r="E70" s="2" t="s">
        <v>267</v>
      </c>
      <c r="F70" s="1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ht="12.75">
      <c r="G72" s="6"/>
    </row>
    <row r="73" ht="12.75">
      <c r="G73" s="6"/>
    </row>
    <row r="74" ht="12.75">
      <c r="G74" s="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59" sqref="E59"/>
    </sheetView>
  </sheetViews>
  <sheetFormatPr defaultColWidth="12" defaultRowHeight="12.75"/>
  <cols>
    <col min="1" max="1" width="57.33203125" style="1" customWidth="1"/>
    <col min="2" max="2" width="15.160156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spans="1:5" ht="12.75">
      <c r="A4" s="14"/>
      <c r="B4" s="15"/>
      <c r="C4" s="15"/>
      <c r="D4" s="15"/>
      <c r="E4" s="15"/>
    </row>
    <row r="5" spans="2:5" ht="12.75">
      <c r="B5" s="15"/>
      <c r="C5" s="15"/>
      <c r="D5" s="15"/>
      <c r="E5" s="15"/>
    </row>
    <row r="6" spans="1:5" ht="12.75">
      <c r="A6" s="16" t="s">
        <v>0</v>
      </c>
      <c r="B6" s="16"/>
      <c r="C6" s="16"/>
      <c r="D6" s="16"/>
      <c r="E6" s="16"/>
    </row>
    <row r="7" spans="1:4" ht="12.75">
      <c r="A7" s="6"/>
      <c r="B7" s="6"/>
      <c r="C7" s="6"/>
      <c r="D7" s="6"/>
    </row>
    <row r="8" spans="1:4" ht="12.75">
      <c r="A8" s="33" t="s">
        <v>416</v>
      </c>
      <c r="B8" s="2"/>
      <c r="C8" s="2"/>
      <c r="D8" s="2"/>
    </row>
    <row r="9" spans="1:4" ht="12.75">
      <c r="A9" s="6"/>
      <c r="B9" s="6"/>
      <c r="C9" s="6"/>
      <c r="D9" s="6"/>
    </row>
    <row r="11" ht="12.75">
      <c r="A11" s="1" t="s">
        <v>15</v>
      </c>
    </row>
    <row r="13" spans="1:2" ht="12.75">
      <c r="A13" s="45" t="s">
        <v>417</v>
      </c>
      <c r="B13" s="10">
        <v>315000</v>
      </c>
    </row>
    <row r="14" spans="1:2" ht="12.75">
      <c r="A14" s="45" t="s">
        <v>16</v>
      </c>
      <c r="B14" s="10">
        <v>60</v>
      </c>
    </row>
    <row r="15" spans="1:2" ht="12.75">
      <c r="A15" s="45" t="s">
        <v>17</v>
      </c>
      <c r="B15" s="71">
        <v>0.3</v>
      </c>
    </row>
    <row r="16" spans="1:2" ht="12.75">
      <c r="A16" s="1" t="s">
        <v>18</v>
      </c>
      <c r="B16" s="10">
        <f>((+B13)-(+B13*B15))/B14</f>
        <v>3675</v>
      </c>
    </row>
    <row r="18" ht="12.75">
      <c r="A18" s="45" t="s">
        <v>19</v>
      </c>
    </row>
    <row r="20" spans="1:4" ht="12.75">
      <c r="A20" s="21" t="s">
        <v>20</v>
      </c>
      <c r="B20" s="6">
        <f>+B13</f>
        <v>315000</v>
      </c>
      <c r="C20" s="6"/>
      <c r="D20" s="6"/>
    </row>
    <row r="21" spans="1:4" ht="12.75">
      <c r="A21" s="21" t="s">
        <v>21</v>
      </c>
      <c r="B21" s="37">
        <v>0.0195</v>
      </c>
      <c r="C21" s="6"/>
      <c r="D21" s="6"/>
    </row>
    <row r="22" spans="1:4" ht="12.75">
      <c r="A22" s="21" t="s">
        <v>22</v>
      </c>
      <c r="B22" s="6">
        <f>+B20*B21</f>
        <v>6142.5</v>
      </c>
      <c r="C22" s="6"/>
      <c r="D22" s="6"/>
    </row>
    <row r="23" spans="1:4" ht="12.75">
      <c r="A23" s="6" t="s">
        <v>8</v>
      </c>
      <c r="B23" s="6" t="s">
        <v>8</v>
      </c>
      <c r="C23" s="6" t="s">
        <v>8</v>
      </c>
      <c r="D23" s="6"/>
    </row>
    <row r="24" spans="1:4" ht="12.75">
      <c r="A24" s="6" t="s">
        <v>23</v>
      </c>
      <c r="B24" s="6" t="s">
        <v>8</v>
      </c>
      <c r="C24" s="6" t="s">
        <v>8</v>
      </c>
      <c r="D24" s="6" t="s">
        <v>8</v>
      </c>
    </row>
    <row r="26" spans="1:2" ht="12.75">
      <c r="A26" s="45" t="s">
        <v>24</v>
      </c>
      <c r="B26" s="10">
        <v>3.25</v>
      </c>
    </row>
    <row r="27" spans="1:2" ht="12.75">
      <c r="A27" s="45" t="s">
        <v>371</v>
      </c>
      <c r="B27" s="10">
        <v>7800</v>
      </c>
    </row>
    <row r="28" spans="1:2" ht="12.75">
      <c r="A28" s="45" t="s">
        <v>25</v>
      </c>
      <c r="B28" s="10">
        <v>9</v>
      </c>
    </row>
    <row r="29" spans="1:2" ht="12.75">
      <c r="A29" s="24" t="s">
        <v>26</v>
      </c>
      <c r="B29" s="10">
        <f>+B27/B28*B26</f>
        <v>2816.6666666666665</v>
      </c>
    </row>
    <row r="30" spans="1:2" ht="12.75">
      <c r="A30" s="45"/>
      <c r="B30" s="10"/>
    </row>
    <row r="31" spans="1:2" ht="12.75">
      <c r="A31" s="6" t="s">
        <v>27</v>
      </c>
      <c r="B31" s="6" t="s">
        <v>8</v>
      </c>
    </row>
    <row r="33" spans="1:2" ht="12.75">
      <c r="A33" s="45" t="s">
        <v>105</v>
      </c>
      <c r="B33" s="10">
        <v>7500</v>
      </c>
    </row>
    <row r="34" spans="1:2" ht="12.75">
      <c r="A34" s="45" t="s">
        <v>28</v>
      </c>
      <c r="B34" s="10">
        <v>40000</v>
      </c>
    </row>
    <row r="35" spans="1:2" ht="12.75">
      <c r="A35" s="45" t="s">
        <v>372</v>
      </c>
      <c r="B35" s="10">
        <f>B27</f>
        <v>7800</v>
      </c>
    </row>
    <row r="36" spans="1:2" ht="12.75">
      <c r="A36" s="45" t="s">
        <v>29</v>
      </c>
      <c r="B36" s="10">
        <f>+B33*B35/B34</f>
        <v>1462.5</v>
      </c>
    </row>
    <row r="37" spans="1:2" ht="12.75">
      <c r="A37" s="45"/>
      <c r="B37" s="10"/>
    </row>
    <row r="38" ht="12.75">
      <c r="A38" s="45" t="s">
        <v>30</v>
      </c>
    </row>
    <row r="39" ht="12.75">
      <c r="A39" s="45" t="s">
        <v>7</v>
      </c>
    </row>
    <row r="40" spans="1:2" ht="12.75">
      <c r="A40" s="45" t="s">
        <v>31</v>
      </c>
      <c r="B40" s="71">
        <v>0.5</v>
      </c>
    </row>
    <row r="41" spans="1:2" ht="12.75">
      <c r="A41" s="45" t="s">
        <v>32</v>
      </c>
      <c r="B41" s="38">
        <f>+B20</f>
        <v>315000</v>
      </c>
    </row>
    <row r="42" spans="1:2" ht="12.75">
      <c r="A42" s="45" t="s">
        <v>33</v>
      </c>
      <c r="B42" s="10">
        <v>60</v>
      </c>
    </row>
    <row r="43" spans="1:2" ht="12.75">
      <c r="A43" s="45" t="s">
        <v>34</v>
      </c>
      <c r="B43" s="10">
        <f>+B40*B41/B42</f>
        <v>2625</v>
      </c>
    </row>
    <row r="45" spans="1:2" ht="12.75">
      <c r="A45" s="24" t="s">
        <v>80</v>
      </c>
      <c r="B45" s="10"/>
    </row>
    <row r="46" spans="1:2" ht="12.75">
      <c r="A46" s="45"/>
      <c r="B46" s="10"/>
    </row>
    <row r="47" spans="1:2" ht="12.75">
      <c r="A47" s="24" t="s">
        <v>81</v>
      </c>
      <c r="B47" s="72">
        <v>47.5</v>
      </c>
    </row>
    <row r="48" spans="1:2" ht="12.75">
      <c r="A48" s="24" t="s">
        <v>82</v>
      </c>
      <c r="B48" s="10">
        <v>15.66</v>
      </c>
    </row>
    <row r="49" spans="1:2" ht="12.75">
      <c r="A49" s="24" t="s">
        <v>83</v>
      </c>
      <c r="B49" s="10">
        <v>0</v>
      </c>
    </row>
    <row r="50" spans="1:2" ht="12.75">
      <c r="A50" s="24" t="s">
        <v>84</v>
      </c>
      <c r="B50" s="10">
        <f>5.3*1.3</f>
        <v>6.89</v>
      </c>
    </row>
    <row r="51" spans="1:2" ht="12.75">
      <c r="A51" s="24" t="s">
        <v>393</v>
      </c>
      <c r="B51" s="10">
        <f>8*10</f>
        <v>80</v>
      </c>
    </row>
    <row r="52" spans="1:2" ht="12.75">
      <c r="A52" s="24" t="s">
        <v>85</v>
      </c>
      <c r="B52" s="10">
        <f>(+B47+B48+B49+B50)*15%</f>
        <v>10.507499999999999</v>
      </c>
    </row>
    <row r="53" spans="1:2" ht="12.75">
      <c r="A53" s="73" t="s">
        <v>86</v>
      </c>
      <c r="B53" s="74">
        <f>+B47+B48+B49+B50+B51+B52</f>
        <v>160.5575</v>
      </c>
    </row>
    <row r="54" spans="1:2" ht="12.75">
      <c r="A54" s="24"/>
      <c r="B54" s="10"/>
    </row>
    <row r="55" spans="1:2" ht="12.75">
      <c r="A55" s="24" t="s">
        <v>87</v>
      </c>
      <c r="B55" s="10"/>
    </row>
    <row r="56" spans="1:2" ht="12.75">
      <c r="A56" s="24"/>
      <c r="B56" s="10"/>
    </row>
    <row r="57" spans="1:2" ht="12.75">
      <c r="A57" s="24" t="s">
        <v>155</v>
      </c>
      <c r="B57" s="10">
        <f>(+B20*3%)/12</f>
        <v>787.5</v>
      </c>
    </row>
    <row r="58" spans="1:2" ht="12.75">
      <c r="A58" s="24" t="s">
        <v>154</v>
      </c>
      <c r="B58" s="10">
        <f>(+B20*1.5%)/12</f>
        <v>393.75</v>
      </c>
    </row>
    <row r="59" spans="1:2" ht="12.75">
      <c r="A59" s="75" t="s">
        <v>88</v>
      </c>
      <c r="B59" s="76">
        <f>+B57+B58</f>
        <v>1181.25</v>
      </c>
    </row>
    <row r="61" spans="1:2" ht="12.75">
      <c r="A61" s="222" t="s">
        <v>418</v>
      </c>
      <c r="B61" s="52">
        <f>MOTORISTA!B29</f>
        <v>4679.127399999999</v>
      </c>
    </row>
    <row r="64" spans="1:2" ht="12.75">
      <c r="A64" s="51" t="s">
        <v>408</v>
      </c>
      <c r="B64" s="52">
        <f>B59+B53+B43+B36+B29+B22+B16+B61</f>
        <v>22742.601566666664</v>
      </c>
    </row>
    <row r="66" spans="1:2" ht="12.75">
      <c r="A66" s="51"/>
      <c r="B66" s="5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B12" sqref="B12"/>
    </sheetView>
  </sheetViews>
  <sheetFormatPr defaultColWidth="12" defaultRowHeight="12.75"/>
  <cols>
    <col min="1" max="1" width="57.33203125" style="1" customWidth="1"/>
    <col min="2" max="2" width="13.33203125" style="1" bestFit="1" customWidth="1"/>
    <col min="3" max="16384" width="12" style="1" customWidth="1"/>
  </cols>
  <sheetData>
    <row r="1" spans="1:5" ht="18">
      <c r="A1" s="12" t="s">
        <v>248</v>
      </c>
      <c r="B1" s="13"/>
      <c r="C1" s="13"/>
      <c r="D1" s="13"/>
      <c r="E1" s="13"/>
    </row>
    <row r="2" spans="1:5" ht="18">
      <c r="A2" s="13"/>
      <c r="B2" s="14"/>
      <c r="C2" s="14"/>
      <c r="D2" s="14"/>
      <c r="E2" s="14"/>
    </row>
    <row r="3" spans="1:5" ht="12.75">
      <c r="A3" s="14"/>
      <c r="B3" s="15"/>
      <c r="C3" s="15"/>
      <c r="D3" s="15"/>
      <c r="E3" s="15"/>
    </row>
    <row r="4" spans="2:5" ht="12.75">
      <c r="B4" s="15"/>
      <c r="C4" s="15"/>
      <c r="D4" s="15"/>
      <c r="E4" s="15"/>
    </row>
    <row r="5" spans="1:5" ht="12.75">
      <c r="A5" s="16" t="s">
        <v>0</v>
      </c>
      <c r="B5" s="16"/>
      <c r="C5" s="16"/>
      <c r="D5" s="16"/>
      <c r="E5" s="16"/>
    </row>
    <row r="6" spans="1:4" ht="12.75">
      <c r="A6" s="6"/>
      <c r="B6" s="6"/>
      <c r="C6" s="6"/>
      <c r="D6" s="6"/>
    </row>
    <row r="7" spans="1:4" ht="12.75">
      <c r="A7" s="33" t="s">
        <v>386</v>
      </c>
      <c r="B7" s="2"/>
      <c r="C7" s="2"/>
      <c r="D7" s="2"/>
    </row>
    <row r="8" spans="1:4" ht="12.75">
      <c r="A8" s="6"/>
      <c r="B8" s="6"/>
      <c r="C8" s="6"/>
      <c r="D8" s="6"/>
    </row>
    <row r="10" ht="12.75">
      <c r="A10" s="1" t="s">
        <v>15</v>
      </c>
    </row>
    <row r="12" spans="1:2" ht="12.75">
      <c r="A12" s="45" t="s">
        <v>387</v>
      </c>
      <c r="B12" s="10">
        <v>150000</v>
      </c>
    </row>
    <row r="13" spans="1:2" ht="12.75">
      <c r="A13" s="45" t="s">
        <v>16</v>
      </c>
      <c r="B13" s="10">
        <v>60</v>
      </c>
    </row>
    <row r="14" spans="1:2" ht="12.75">
      <c r="A14" s="45" t="s">
        <v>17</v>
      </c>
      <c r="B14" s="71">
        <v>0.3</v>
      </c>
    </row>
    <row r="15" spans="1:2" ht="12.75">
      <c r="A15" s="1" t="s">
        <v>18</v>
      </c>
      <c r="B15" s="10">
        <f>((+B12)-(+B12*B14))/B13</f>
        <v>1750</v>
      </c>
    </row>
    <row r="17" ht="12.75">
      <c r="A17" s="45" t="s">
        <v>19</v>
      </c>
    </row>
    <row r="19" spans="1:4" ht="12.75">
      <c r="A19" s="21" t="s">
        <v>20</v>
      </c>
      <c r="B19" s="6">
        <f>+B12</f>
        <v>150000</v>
      </c>
      <c r="C19" s="6"/>
      <c r="D19" s="6"/>
    </row>
    <row r="20" spans="1:4" ht="12.75">
      <c r="A20" s="21" t="s">
        <v>21</v>
      </c>
      <c r="B20" s="37">
        <v>0.01</v>
      </c>
      <c r="C20" s="6"/>
      <c r="D20" s="6"/>
    </row>
    <row r="21" spans="1:4" ht="12.75">
      <c r="A21" s="21" t="s">
        <v>22</v>
      </c>
      <c r="B21" s="6">
        <f>+B19*B20</f>
        <v>1500</v>
      </c>
      <c r="C21" s="6"/>
      <c r="D21" s="6"/>
    </row>
    <row r="22" spans="1:4" ht="12.75">
      <c r="A22" s="6" t="s">
        <v>8</v>
      </c>
      <c r="B22" s="6" t="s">
        <v>8</v>
      </c>
      <c r="C22" s="6" t="s">
        <v>8</v>
      </c>
      <c r="D22" s="6"/>
    </row>
    <row r="23" spans="1:4" ht="12.75">
      <c r="A23" s="6" t="s">
        <v>23</v>
      </c>
      <c r="B23" s="6" t="s">
        <v>8</v>
      </c>
      <c r="C23" s="6" t="s">
        <v>8</v>
      </c>
      <c r="D23" s="6" t="s">
        <v>8</v>
      </c>
    </row>
    <row r="25" spans="1:2" ht="12.75">
      <c r="A25" s="45" t="s">
        <v>24</v>
      </c>
      <c r="B25" s="10">
        <v>3.25</v>
      </c>
    </row>
    <row r="26" spans="1:2" ht="12.75">
      <c r="A26" s="45" t="s">
        <v>371</v>
      </c>
      <c r="B26" s="10">
        <f>70*26</f>
        <v>1820</v>
      </c>
    </row>
    <row r="27" spans="1:2" ht="12.75">
      <c r="A27" s="45" t="s">
        <v>25</v>
      </c>
      <c r="B27" s="10">
        <v>2.4</v>
      </c>
    </row>
    <row r="28" spans="1:2" ht="12.75">
      <c r="A28" s="24" t="s">
        <v>26</v>
      </c>
      <c r="B28" s="10">
        <f>+B26/B27*B25</f>
        <v>2464.5833333333335</v>
      </c>
    </row>
    <row r="29" spans="1:2" ht="12.75">
      <c r="A29" s="45"/>
      <c r="B29" s="10"/>
    </row>
    <row r="30" spans="1:2" ht="12.75">
      <c r="A30" s="6" t="s">
        <v>27</v>
      </c>
      <c r="B30" s="6" t="s">
        <v>8</v>
      </c>
    </row>
    <row r="32" spans="1:2" ht="12.75">
      <c r="A32" s="45" t="s">
        <v>105</v>
      </c>
      <c r="B32" s="10">
        <f>1250*6</f>
        <v>7500</v>
      </c>
    </row>
    <row r="33" spans="1:2" ht="12.75">
      <c r="A33" s="45" t="s">
        <v>28</v>
      </c>
      <c r="B33" s="10">
        <v>40000</v>
      </c>
    </row>
    <row r="34" spans="1:2" ht="12.75">
      <c r="A34" s="45" t="s">
        <v>372</v>
      </c>
      <c r="B34" s="10">
        <f>B26</f>
        <v>1820</v>
      </c>
    </row>
    <row r="35" spans="1:2" ht="12.75">
      <c r="A35" s="45" t="s">
        <v>29</v>
      </c>
      <c r="B35" s="10">
        <f>+B32*B34/B33</f>
        <v>341.25</v>
      </c>
    </row>
    <row r="36" spans="1:2" ht="12.75">
      <c r="A36" s="45"/>
      <c r="B36" s="10"/>
    </row>
    <row r="37" ht="12.75">
      <c r="A37" s="45" t="s">
        <v>30</v>
      </c>
    </row>
    <row r="38" ht="12.75">
      <c r="A38" s="45" t="s">
        <v>7</v>
      </c>
    </row>
    <row r="39" spans="1:2" ht="12.75">
      <c r="A39" s="45" t="s">
        <v>31</v>
      </c>
      <c r="B39" s="71">
        <v>0.5</v>
      </c>
    </row>
    <row r="40" spans="1:2" ht="12.75">
      <c r="A40" s="45" t="s">
        <v>32</v>
      </c>
      <c r="B40" s="38">
        <f>+B19</f>
        <v>150000</v>
      </c>
    </row>
    <row r="41" spans="1:2" ht="12.75">
      <c r="A41" s="45" t="s">
        <v>33</v>
      </c>
      <c r="B41" s="10">
        <v>60</v>
      </c>
    </row>
    <row r="42" spans="1:2" ht="12.75">
      <c r="A42" s="45" t="s">
        <v>34</v>
      </c>
      <c r="B42" s="10">
        <f>+B39*B40/B41</f>
        <v>1250</v>
      </c>
    </row>
    <row r="44" spans="1:2" ht="12.75">
      <c r="A44" s="24" t="s">
        <v>80</v>
      </c>
      <c r="B44" s="10"/>
    </row>
    <row r="45" spans="1:2" ht="12.75">
      <c r="A45" s="45"/>
      <c r="B45" s="10"/>
    </row>
    <row r="46" spans="1:2" ht="12.75">
      <c r="A46" s="24" t="s">
        <v>81</v>
      </c>
      <c r="B46" s="72">
        <v>47.5</v>
      </c>
    </row>
    <row r="47" spans="1:2" ht="12.75">
      <c r="A47" s="24" t="s">
        <v>82</v>
      </c>
      <c r="B47" s="10">
        <v>15.66</v>
      </c>
    </row>
    <row r="48" spans="1:2" ht="12.75">
      <c r="A48" s="24" t="s">
        <v>83</v>
      </c>
      <c r="B48" s="10">
        <v>0</v>
      </c>
    </row>
    <row r="49" spans="1:2" ht="12.75">
      <c r="A49" s="24" t="s">
        <v>84</v>
      </c>
      <c r="B49" s="10">
        <f>5.3*1.3</f>
        <v>6.89</v>
      </c>
    </row>
    <row r="50" spans="1:2" ht="12.75">
      <c r="A50" s="24" t="s">
        <v>202</v>
      </c>
      <c r="B50" s="10">
        <f>8*10</f>
        <v>80</v>
      </c>
    </row>
    <row r="51" spans="1:2" ht="12.75">
      <c r="A51" s="24" t="s">
        <v>85</v>
      </c>
      <c r="B51" s="10">
        <f>(+B46+B47+B48+B49)*15%</f>
        <v>10.507499999999999</v>
      </c>
    </row>
    <row r="52" spans="1:2" ht="12.75">
      <c r="A52" s="73" t="s">
        <v>86</v>
      </c>
      <c r="B52" s="74">
        <f>+B46+B47+B48+B49+B50+B51</f>
        <v>160.5575</v>
      </c>
    </row>
    <row r="53" spans="1:2" ht="12.75">
      <c r="A53" s="24"/>
      <c r="B53" s="10"/>
    </row>
    <row r="54" spans="1:2" ht="12.75">
      <c r="A54" s="24" t="s">
        <v>87</v>
      </c>
      <c r="B54" s="10"/>
    </row>
    <row r="55" spans="1:2" ht="12.75">
      <c r="A55" s="24"/>
      <c r="B55" s="10"/>
    </row>
    <row r="56" spans="1:2" ht="12.75">
      <c r="A56" s="24" t="s">
        <v>155</v>
      </c>
      <c r="B56" s="10">
        <f>(+B19*3%)/12</f>
        <v>375</v>
      </c>
    </row>
    <row r="57" spans="1:2" ht="12.75">
      <c r="A57" s="24" t="s">
        <v>154</v>
      </c>
      <c r="B57" s="10">
        <f>(+B19*1.5%)/12</f>
        <v>187.5</v>
      </c>
    </row>
    <row r="58" spans="1:2" ht="12.75">
      <c r="A58" s="75" t="s">
        <v>88</v>
      </c>
      <c r="B58" s="76">
        <f>+B56+B57</f>
        <v>562.5</v>
      </c>
    </row>
    <row r="60" spans="1:2" ht="12.75">
      <c r="A60" s="222" t="s">
        <v>407</v>
      </c>
      <c r="B60" s="52">
        <f>MOTORISTA!B29</f>
        <v>4679.127399999999</v>
      </c>
    </row>
    <row r="62" spans="1:2" ht="12.75">
      <c r="A62" s="51" t="s">
        <v>408</v>
      </c>
      <c r="B62" s="52">
        <f>B58+B52+B42+B35+B28+B21+B15+B60</f>
        <v>12708.018233333332</v>
      </c>
    </row>
    <row r="64" spans="1:2" ht="12.75">
      <c r="A64" s="51"/>
      <c r="B64" s="5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dalcynogueira</cp:lastModifiedBy>
  <cp:lastPrinted>2015-07-09T15:43:26Z</cp:lastPrinted>
  <dcterms:created xsi:type="dcterms:W3CDTF">1999-10-15T12:11:47Z</dcterms:created>
  <dcterms:modified xsi:type="dcterms:W3CDTF">2015-09-08T20:21:39Z</dcterms:modified>
  <cp:category/>
  <cp:version/>
  <cp:contentType/>
  <cp:contentStatus/>
</cp:coreProperties>
</file>