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5345" windowHeight="4050" tabRatio="849"/>
  </bookViews>
  <sheets>
    <sheet name="RESUMO" sheetId="9" r:id="rId1"/>
    <sheet name="PLANILHA ORÇAMENTARIA" sheetId="7" r:id="rId2"/>
    <sheet name="ARQ - BLOCO DE SALAS" sheetId="71" state="hidden" r:id="rId3"/>
    <sheet name="HIDROSANITÁRIO" sheetId="70" r:id="rId4"/>
    <sheet name="Orçamento Analítico" sheetId="87" r:id="rId5"/>
    <sheet name="MAPA COTAÇÃO" sheetId="84" r:id="rId6"/>
    <sheet name="REFERENCIAS COMP." sheetId="85" r:id="rId7"/>
    <sheet name="INCÊNDIO (2)" sheetId="83" r:id="rId8"/>
    <sheet name="Quant Bloco Salas 18_03_2017" sheetId="78" r:id="rId9"/>
    <sheet name="DRENAGEM" sheetId="72" r:id="rId10"/>
    <sheet name="EST - QUADRA" sheetId="81" r:id="rId11"/>
    <sheet name="GLP" sheetId="65" r:id="rId12"/>
    <sheet name="SPDA" sheetId="66" r:id="rId13"/>
    <sheet name="ELÉTRICO" sheetId="67" r:id="rId14"/>
    <sheet name="PERGOLADO METÁLICO" sheetId="82" r:id="rId15"/>
    <sheet name="ARQ - QUADRA e VESTIÁRIOS" sheetId="68" r:id="rId16"/>
    <sheet name="ARQ - REFEITÓRIO" sheetId="69" r:id="rId17"/>
    <sheet name="EST - REFEITÓRIO" sheetId="80" r:id="rId18"/>
    <sheet name="EST - BLOCOS 01_02" sheetId="62" r:id="rId19"/>
    <sheet name="CRONOGRAMA" sheetId="8" r:id="rId20"/>
    <sheet name="LÓGICA" sheetId="74" r:id="rId21"/>
    <sheet name="ENCARGOS SOCIAIS" sheetId="60" r:id="rId22"/>
    <sheet name="BDI - Aliquota ISSQN - 5,0%" sheetId="76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1" hidden="1">'PLANILHA ORÇAMENTARIA'!$G$1:$G$850</definedName>
    <definedName name="_xlnm.Print_Area" localSheetId="15">'ARQ - QUADRA e VESTIÁRIOS'!$A$1:$E$77</definedName>
    <definedName name="_xlnm.Print_Area" localSheetId="16">'ARQ - REFEITÓRIO'!$A$1:$E$65</definedName>
    <definedName name="_xlnm.Print_Area" localSheetId="22">'BDI - Aliquota ISSQN - 5,0%'!$A$1:$C$35</definedName>
    <definedName name="_xlnm.Print_Area" localSheetId="13">ELÉTRICO!$A$6:$E$68</definedName>
    <definedName name="_xlnm.Print_Area" localSheetId="21">'ENCARGOS SOCIAIS'!$A$1:$D$38</definedName>
    <definedName name="_xlnm.Print_Area" localSheetId="18">'EST - BLOCOS 01_02'!$L$1:$U$73</definedName>
    <definedName name="_xlnm.Print_Area" localSheetId="10">'EST - QUADRA'!$A$1:$J$101</definedName>
    <definedName name="_xlnm.Print_Area" localSheetId="17">'EST - REFEITÓRIO'!$A$1:$J$69</definedName>
    <definedName name="_xlnm.Print_Area" localSheetId="3">HIDROSANITÁRIO!$A$1:$C$187</definedName>
    <definedName name="_xlnm.Print_Area" localSheetId="7">'INCÊNDIO (2)'!$A$1:$E$78</definedName>
    <definedName name="_xlnm.Print_Area" localSheetId="5">'MAPA COTAÇÃO'!$A$1:$J$246</definedName>
    <definedName name="_xlnm.Print_Area" localSheetId="14">'PERGOLADO METÁLICO'!$A$1:$J$44</definedName>
    <definedName name="_xlnm.Print_Area" localSheetId="1">'PLANILHA ORÇAMENTARIA'!$A$1:$H$847</definedName>
    <definedName name="_xlnm.Print_Area" localSheetId="8">'Quant Bloco Salas 18_03_2017'!$A$1:$F$136</definedName>
    <definedName name="_xlnm.Print_Area" localSheetId="12">SPDA!$A$3:$H$33</definedName>
    <definedName name="BDI">'[1]estimativa de custo IRMA DULCE'!$I$7</definedName>
    <definedName name="COMPOSICAO133">[1]ELÉTRICA!#REF!</definedName>
    <definedName name="COMPOSICAOC138">[1]INFRA!#REF!</definedName>
    <definedName name="COMPOSICAOE131">[1]ELÉTRICA!#REF!</definedName>
    <definedName name="COMPOSICAOE132">[1]ELÉTRICA!#REF!</definedName>
    <definedName name="COMPOSICAOE133">[1]ELÉTRICA!#REF!</definedName>
    <definedName name="COMPOSICAOE134">[1]ELÉTRICA!#REF!</definedName>
    <definedName name="COMPOSICAOE136">[1]ELÉTRICA!$F$25</definedName>
    <definedName name="COMPOSICAOE137">[1]ELÉTRICA!#REF!</definedName>
    <definedName name="COMPOSICAOE139">[1]ELÉTRICA!#REF!</definedName>
    <definedName name="COMPOSICAOE140">[1]ELÉTRICA!#REF!</definedName>
    <definedName name="COMPOSICAOE141">[1]ELÉTRICA!#REF!</definedName>
    <definedName name="COMPOSICAOE142">[1]ELÉTRICA!#REF!</definedName>
    <definedName name="COMPOSICAOE143">[1]ELÉTRICA!#REF!</definedName>
    <definedName name="COMPOSICAOE144">[1]ELÉTRICA!#REF!</definedName>
    <definedName name="COMPOSICAOE145">[1]ELÉTRICA!#REF!</definedName>
    <definedName name="COMPOSICAOE146">[1]ELÉTRICA!#REF!</definedName>
    <definedName name="COMPOSICAOE147">[1]ELÉTRICA!#REF!</definedName>
    <definedName name="COMPOSICAOE148">[1]ELÉTRICA!#REF!</definedName>
    <definedName name="COMPOSICAOE149">[1]ELÉTRICA!#REF!</definedName>
    <definedName name="COMPOSICAOE150">[1]ELÉTRICA!#REF!</definedName>
    <definedName name="COMPOSICAOE151">[1]ELÉTRICA!#REF!</definedName>
    <definedName name="COMPOSICAOE152">[1]ELÉTRICA!#REF!</definedName>
    <definedName name="COMPOSICAOE154">[1]ELÉTRICA!#REF!</definedName>
    <definedName name="COMPOSICAOE19">#REF!</definedName>
    <definedName name="COMPOSICAOE20">#REF!</definedName>
    <definedName name="COMPOSICAOE21">#REF!</definedName>
    <definedName name="COMPOSICAOE22">#REF!</definedName>
    <definedName name="COMPOSICAOE23">#REF!</definedName>
    <definedName name="COMPOSICAOE24">#REF!</definedName>
    <definedName name="COMPOSICAOI1">#REF!</definedName>
    <definedName name="COMPOSICAOI10">#REF!</definedName>
    <definedName name="COMPOSICAOI100">[1]INFRA!$F$80</definedName>
    <definedName name="COMPOSICAOI101">[1]INFRA!$F$98</definedName>
    <definedName name="COMPOSICAOI102">[1]INFRA!$F$116</definedName>
    <definedName name="COMPOSICAOI103">[1]INFRA!$F$134</definedName>
    <definedName name="COMPOSICAOI104">[1]INFRA!$F$152</definedName>
    <definedName name="COMPOSICAOI105">[1]INFRA!$F$170</definedName>
    <definedName name="COMPOSICAOI106">[1]INFRA!$F$188</definedName>
    <definedName name="COMPOSICAOI107">[1]INFRA!$F$206</definedName>
    <definedName name="COMPOSICAOI108">[1]INFRA!$F$224</definedName>
    <definedName name="COMPOSICAOI109">[1]INFRA!#REF!</definedName>
    <definedName name="COMPOSICAOI11">#REF!</definedName>
    <definedName name="COMPOSICAOI110">[1]INFRA!#REF!</definedName>
    <definedName name="COMPOSICAOI111">[1]INFRA!$F$242</definedName>
    <definedName name="COMPOSICAOI112">[1]INFRA!$F$261</definedName>
    <definedName name="COMPOSICAOI113">[1]INFRA!$F$279</definedName>
    <definedName name="COMPOSICAOI114">[1]INFRA!#REF!</definedName>
    <definedName name="COMPOSICAOI115">[1]INFRA!#REF!</definedName>
    <definedName name="COMPOSICAOI116">[1]INFRA!$F$297</definedName>
    <definedName name="COMPOSICAOI117">[1]INFRA!#REF!</definedName>
    <definedName name="COMPOSICAOI118">[1]INFRA!$F$315</definedName>
    <definedName name="COMPOSICAOI119">[1]INFRA!#REF!</definedName>
    <definedName name="COMPOSICAOI12">#REF!</definedName>
    <definedName name="COMPOSICAOI120">[1]INFRA!$F$334</definedName>
    <definedName name="COMPOSICAOI121">[1]INFRA!$F$352</definedName>
    <definedName name="COMPOSICAOI122">[1]INFRA!$F$370</definedName>
    <definedName name="COMPOSICAOI123">[1]INFRA!$F$388</definedName>
    <definedName name="COMPOSICAOI124">[1]INFRA!$F$406</definedName>
    <definedName name="COMPOSICAOI125">[1]INFRA!$F$424</definedName>
    <definedName name="COMPOSICAOI126">[1]INFRA!$F$442</definedName>
    <definedName name="COMPOSICAOI127">[1]INFRA!$F$460</definedName>
    <definedName name="COMPOSICAOI128">[1]INFRA!$F$478</definedName>
    <definedName name="COMPOSICAOI129">[1]INFRA!$F$496</definedName>
    <definedName name="COMPOSICAOI13">#REF!</definedName>
    <definedName name="COMPOSICAOI130">[1]INFRA!$F$514</definedName>
    <definedName name="COMPOSICAOI135">[1]ELÉTRICA!#REF!</definedName>
    <definedName name="COMPOSICAOI14">#REF!</definedName>
    <definedName name="COMPOSICAOI15">#REF!</definedName>
    <definedName name="COMPOSICAOI153">[1]INFRA!#REF!</definedName>
    <definedName name="COMPOSICAOI155">[1]INFRA!#REF!</definedName>
    <definedName name="COMPOSICAOI156">[1]INFRA!#REF!</definedName>
    <definedName name="COMPOSICAOI157">[1]INFRA!#REF!</definedName>
    <definedName name="COMPOSICAOI16">#REF!</definedName>
    <definedName name="COMPOSICAOI17">#REF!</definedName>
    <definedName name="COMPOSICAOI18">#REF!</definedName>
    <definedName name="COMPOSICAOI2">#REF!</definedName>
    <definedName name="COMPOSICAOI200">[1]INFRA!#REF!</definedName>
    <definedName name="COMPOSICAOI202">[1]INFRA!#REF!</definedName>
    <definedName name="COMPOSICAOI203">[1]INFRA!$F$532</definedName>
    <definedName name="COMPOSICAOI204">[1]INFRA!#REF!</definedName>
    <definedName name="COMPOSICAOI3">#REF!</definedName>
    <definedName name="COMPOSICAOI4">#REF!</definedName>
    <definedName name="COMPOSICAOI5">#REF!</definedName>
    <definedName name="COMPOSICAOI6">#REF!</definedName>
    <definedName name="COMPOSICAOI7">#REF!</definedName>
    <definedName name="COMPOSICAOI8">#REF!</definedName>
    <definedName name="COMPOSICAOI87">[1]INFRA!#REF!</definedName>
    <definedName name="COMPOSICAOI88">[1]INFRA!#REF!</definedName>
    <definedName name="COMPOSICAOI89">[1]INFRA!#REF!</definedName>
    <definedName name="COMPOSICAOI9">[1]INFRA!$F$27</definedName>
    <definedName name="COMPOSICAOI90">[1]INFRA!#REF!</definedName>
    <definedName name="COMPOSICAOI91">[1]INFRA!#REF!</definedName>
    <definedName name="COMPOSICAOI92">[1]INFRA!#REF!</definedName>
    <definedName name="COMPOSICAOI93">[1]INFRA!#REF!</definedName>
    <definedName name="COMPOSICAOI94">[1]INFRA!#REF!</definedName>
    <definedName name="COMPOSICAOI95">[1]INFRA!$F$44</definedName>
    <definedName name="COMPOSICAOI96">[1]INFRA!#REF!</definedName>
    <definedName name="COMPOSICAOI97">[1]INFRA!#REF!</definedName>
    <definedName name="COMPOSICAOI98">[1]INFRA!#REF!</definedName>
    <definedName name="COMPOSICAOI99">[1]INFRA!$F$62</definedName>
    <definedName name="COMPOSICAOL64">'[1]LÓGICA 2'!$F$24</definedName>
    <definedName name="COMPOSICAOL65">'[1]LÓGICA 2'!$F$42</definedName>
    <definedName name="COMPOSICAOL67">'[1]LÓGICA 2'!$F$78</definedName>
    <definedName name="COMPOSICAOL68">'[1]LÓGICA 2'!$F$96</definedName>
    <definedName name="COMPOSICAOL69">'[1]LÓGICA 2'!$F$116</definedName>
    <definedName name="COMPOSICAOL70">'[1]LÓGICA 2'!$F$134</definedName>
    <definedName name="COMPOSICAOL71">'[1]LÓGICA 2'!#REF!</definedName>
    <definedName name="COMPOSICAOL72">'[1]LÓGICA 2'!$F$155</definedName>
    <definedName name="COMPOSICAOL73">'[1]LÓGICA 2'!$F$177</definedName>
    <definedName name="COMPOSICAOL74">'[1]LÓGICA 2'!#REF!</definedName>
    <definedName name="COMPOSICAOL75">'[1]LÓGICA 2'!#REF!</definedName>
    <definedName name="COMPOSICAOL76">'[1]LÓGICA 2'!$F$195</definedName>
    <definedName name="COMPOSICAOL77">'[1]LÓGICA 2'!$F$213</definedName>
    <definedName name="COMPOSICAOL78">'[1]LÓGICA 2'!$F$231</definedName>
    <definedName name="COMPOSICAOL79">'[1]LÓGICA 2'!$F$249</definedName>
    <definedName name="COMPOSICAOL80">'[1]LÓGICA 2'!$F$267</definedName>
    <definedName name="COMPOSICAOL81">'[1]LÓGICA 2'!$F$285</definedName>
    <definedName name="COMPOSICAOL82">'[1]LÓGICA 2'!$F$303</definedName>
    <definedName name="COMPOSICAOL83">'[1]LÓGICA 2'!#REF!</definedName>
    <definedName name="COMPOSICAOL84">'[1]LÓGICA 2'!$F$321</definedName>
    <definedName name="COMPOSICAOL85">'[1]LÓGICA 2'!$F$339</definedName>
    <definedName name="COMPOSICAOL86">'[1]LÓGICA 2'!$F$357</definedName>
    <definedName name="COMPOSICAOL87">'[1]LÓGICA 2'!$F$374</definedName>
    <definedName name="eqrrewr">[1]INFRA!#REF!</definedName>
    <definedName name="Serviços">[2]Solum!$A$3:$AD$2430</definedName>
    <definedName name="_xlnm.Print_Titles" localSheetId="5">'MAPA COTAÇÃO'!$1:$2</definedName>
  </definedNames>
  <calcPr calcId="124519"/>
</workbook>
</file>

<file path=xl/calcChain.xml><?xml version="1.0" encoding="utf-8"?>
<calcChain xmlns="http://schemas.openxmlformats.org/spreadsheetml/2006/main">
  <c r="D28" i="9"/>
  <c r="J78" i="84"/>
  <c r="J244" l="1"/>
  <c r="J241"/>
  <c r="J238"/>
  <c r="G843" i="7" l="1"/>
  <c r="G842"/>
  <c r="G801"/>
  <c r="G802"/>
  <c r="G803"/>
  <c r="H803" s="1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H834"/>
  <c r="G835"/>
  <c r="G836"/>
  <c r="G837"/>
  <c r="G838"/>
  <c r="G839"/>
  <c r="G800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78"/>
  <c r="G775"/>
  <c r="G774"/>
  <c r="G769"/>
  <c r="G770"/>
  <c r="G771"/>
  <c r="G768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35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H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668"/>
  <c r="G650"/>
  <c r="G651"/>
  <c r="G652"/>
  <c r="G653"/>
  <c r="G654"/>
  <c r="G655"/>
  <c r="G656"/>
  <c r="G657"/>
  <c r="G658"/>
  <c r="G659"/>
  <c r="G660"/>
  <c r="G661"/>
  <c r="G662"/>
  <c r="G663"/>
  <c r="G649"/>
  <c r="G629"/>
  <c r="G630"/>
  <c r="G631"/>
  <c r="G632"/>
  <c r="G633"/>
  <c r="G634"/>
  <c r="G635"/>
  <c r="G636"/>
  <c r="G637"/>
  <c r="G638"/>
  <c r="G639"/>
  <c r="G640"/>
  <c r="G641"/>
  <c r="G642"/>
  <c r="G643"/>
  <c r="G644"/>
  <c r="G628"/>
  <c r="G623"/>
  <c r="G624"/>
  <c r="G625"/>
  <c r="G622"/>
  <c r="G615"/>
  <c r="G616"/>
  <c r="G617"/>
  <c r="G618"/>
  <c r="G619"/>
  <c r="G61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584"/>
  <c r="G574"/>
  <c r="G575"/>
  <c r="G576"/>
  <c r="G577"/>
  <c r="G578"/>
  <c r="G579"/>
  <c r="G580"/>
  <c r="G581"/>
  <c r="G573"/>
  <c r="G566"/>
  <c r="G567"/>
  <c r="G568"/>
  <c r="G569"/>
  <c r="G570"/>
  <c r="G565"/>
  <c r="G558"/>
  <c r="G559"/>
  <c r="G560"/>
  <c r="G561"/>
  <c r="G562"/>
  <c r="G557"/>
  <c r="G554"/>
  <c r="G553"/>
  <c r="G546"/>
  <c r="G547"/>
  <c r="G548"/>
  <c r="G549"/>
  <c r="G550"/>
  <c r="G545"/>
  <c r="G536"/>
  <c r="G537"/>
  <c r="G538"/>
  <c r="G539"/>
  <c r="G540"/>
  <c r="G541"/>
  <c r="G542"/>
  <c r="G535"/>
  <c r="G526"/>
  <c r="G527"/>
  <c r="G528"/>
  <c r="G529"/>
  <c r="G530"/>
  <c r="G531"/>
  <c r="G532"/>
  <c r="G525"/>
  <c r="G518"/>
  <c r="G519"/>
  <c r="G520"/>
  <c r="G521"/>
  <c r="G522"/>
  <c r="G517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466"/>
  <c r="G449"/>
  <c r="G450"/>
  <c r="G451"/>
  <c r="G452"/>
  <c r="G453"/>
  <c r="G454"/>
  <c r="G455"/>
  <c r="G457"/>
  <c r="G458"/>
  <c r="G459"/>
  <c r="G460"/>
  <c r="G461"/>
  <c r="G462"/>
  <c r="G463"/>
  <c r="G456"/>
  <c r="G448"/>
  <c r="G443"/>
  <c r="G434"/>
  <c r="G435"/>
  <c r="G436"/>
  <c r="G437"/>
  <c r="G438"/>
  <c r="G439"/>
  <c r="G440"/>
  <c r="G433"/>
  <c r="H433" s="1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H430" s="1"/>
  <c r="G413"/>
  <c r="G408"/>
  <c r="H408"/>
  <c r="G409"/>
  <c r="G410"/>
  <c r="G407"/>
  <c r="G402"/>
  <c r="G390"/>
  <c r="G391"/>
  <c r="G392"/>
  <c r="G393"/>
  <c r="G394"/>
  <c r="G395"/>
  <c r="H395" s="1"/>
  <c r="G396"/>
  <c r="G397"/>
  <c r="G398"/>
  <c r="G399"/>
  <c r="G389"/>
  <c r="G386"/>
  <c r="G385"/>
  <c r="G372"/>
  <c r="G373"/>
  <c r="G374"/>
  <c r="H374" s="1"/>
  <c r="G375"/>
  <c r="G376"/>
  <c r="G377"/>
  <c r="G378"/>
  <c r="G379"/>
  <c r="G380"/>
  <c r="G381"/>
  <c r="H381" s="1"/>
  <c r="G382"/>
  <c r="G371"/>
  <c r="G364"/>
  <c r="G365"/>
  <c r="G366"/>
  <c r="G367"/>
  <c r="G368"/>
  <c r="G363"/>
  <c r="G359"/>
  <c r="G360"/>
  <c r="G358"/>
  <c r="G352"/>
  <c r="G353"/>
  <c r="G354"/>
  <c r="G355"/>
  <c r="G351"/>
  <c r="G343"/>
  <c r="G344"/>
  <c r="G345"/>
  <c r="G346"/>
  <c r="G347"/>
  <c r="G348"/>
  <c r="G342"/>
  <c r="G338"/>
  <c r="G339"/>
  <c r="G337"/>
  <c r="G329"/>
  <c r="G330"/>
  <c r="G331"/>
  <c r="G332"/>
  <c r="G333"/>
  <c r="G334"/>
  <c r="G328"/>
  <c r="G321"/>
  <c r="G322"/>
  <c r="G323"/>
  <c r="G324"/>
  <c r="G325"/>
  <c r="G320"/>
  <c r="G309"/>
  <c r="G310"/>
  <c r="G311"/>
  <c r="G312"/>
  <c r="G313"/>
  <c r="G314"/>
  <c r="G315"/>
  <c r="G316"/>
  <c r="G317"/>
  <c r="G308"/>
  <c r="G299"/>
  <c r="G300"/>
  <c r="G301"/>
  <c r="G302"/>
  <c r="G303"/>
  <c r="G304"/>
  <c r="G305"/>
  <c r="G298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77"/>
  <c r="G274"/>
  <c r="G273"/>
  <c r="G268"/>
  <c r="G261"/>
  <c r="G262"/>
  <c r="G263"/>
  <c r="G264"/>
  <c r="G265"/>
  <c r="G260"/>
  <c r="G252"/>
  <c r="G253"/>
  <c r="G254"/>
  <c r="G255"/>
  <c r="G256"/>
  <c r="G257"/>
  <c r="H257" s="1"/>
  <c r="G251"/>
  <c r="G246"/>
  <c r="G247"/>
  <c r="G248"/>
  <c r="G245"/>
  <c r="G241"/>
  <c r="G242"/>
  <c r="G240"/>
  <c r="G232"/>
  <c r="G233"/>
  <c r="G234"/>
  <c r="G235"/>
  <c r="G236"/>
  <c r="G237"/>
  <c r="G231"/>
  <c r="G225"/>
  <c r="G226"/>
  <c r="G227"/>
  <c r="G228"/>
  <c r="G224"/>
  <c r="G217"/>
  <c r="G218"/>
  <c r="G219"/>
  <c r="G220"/>
  <c r="G221"/>
  <c r="G216"/>
  <c r="G210"/>
  <c r="G211"/>
  <c r="G212"/>
  <c r="G213"/>
  <c r="G209"/>
  <c r="G198"/>
  <c r="G199"/>
  <c r="G200"/>
  <c r="G201"/>
  <c r="G202"/>
  <c r="G203"/>
  <c r="G204"/>
  <c r="G205"/>
  <c r="G206"/>
  <c r="G197"/>
  <c r="G192"/>
  <c r="G193"/>
  <c r="G194"/>
  <c r="G191"/>
  <c r="G174"/>
  <c r="G175"/>
  <c r="G176"/>
  <c r="G177"/>
  <c r="G178"/>
  <c r="G179"/>
  <c r="G180"/>
  <c r="G181"/>
  <c r="G182"/>
  <c r="G183"/>
  <c r="G184"/>
  <c r="G185"/>
  <c r="G186"/>
  <c r="G187"/>
  <c r="G188"/>
  <c r="G173"/>
  <c r="G170"/>
  <c r="G169"/>
  <c r="G163"/>
  <c r="G164"/>
  <c r="G162"/>
  <c r="G146"/>
  <c r="G147"/>
  <c r="G148"/>
  <c r="G149"/>
  <c r="G150"/>
  <c r="G151"/>
  <c r="G152"/>
  <c r="G153"/>
  <c r="G154"/>
  <c r="G155"/>
  <c r="G156"/>
  <c r="G157"/>
  <c r="H157"/>
  <c r="G158"/>
  <c r="H158" s="1"/>
  <c r="G159"/>
  <c r="G145"/>
  <c r="G140"/>
  <c r="G141"/>
  <c r="G142"/>
  <c r="G139"/>
  <c r="G136"/>
  <c r="G135"/>
  <c r="G125"/>
  <c r="G126"/>
  <c r="G127"/>
  <c r="G128"/>
  <c r="G129"/>
  <c r="G130"/>
  <c r="G131"/>
  <c r="H131" s="1"/>
  <c r="G132"/>
  <c r="G124"/>
  <c r="G121"/>
  <c r="G120"/>
  <c r="G111"/>
  <c r="G112"/>
  <c r="G113"/>
  <c r="G114"/>
  <c r="G115"/>
  <c r="G116"/>
  <c r="G117"/>
  <c r="G110"/>
  <c r="G103"/>
  <c r="G104"/>
  <c r="G105"/>
  <c r="G106"/>
  <c r="G107"/>
  <c r="G102"/>
  <c r="G92"/>
  <c r="G93"/>
  <c r="G94"/>
  <c r="G95"/>
  <c r="G96"/>
  <c r="G97"/>
  <c r="G98"/>
  <c r="G99"/>
  <c r="G91"/>
  <c r="G81"/>
  <c r="G82"/>
  <c r="G83"/>
  <c r="G84"/>
  <c r="G85"/>
  <c r="G86"/>
  <c r="G87"/>
  <c r="G88"/>
  <c r="G80"/>
  <c r="G74"/>
  <c r="G75"/>
  <c r="G76"/>
  <c r="G77"/>
  <c r="G73"/>
  <c r="G61"/>
  <c r="G62"/>
  <c r="G63"/>
  <c r="G64"/>
  <c r="G65"/>
  <c r="G66"/>
  <c r="G67"/>
  <c r="G68"/>
  <c r="G69"/>
  <c r="G70"/>
  <c r="G60"/>
  <c r="G53"/>
  <c r="G54"/>
  <c r="G55"/>
  <c r="G56"/>
  <c r="G57"/>
  <c r="G52"/>
  <c r="G34"/>
  <c r="G35"/>
  <c r="G36"/>
  <c r="G37"/>
  <c r="G38"/>
  <c r="G39"/>
  <c r="G40"/>
  <c r="G41"/>
  <c r="G42"/>
  <c r="G43"/>
  <c r="G44"/>
  <c r="G45"/>
  <c r="G46"/>
  <c r="G47"/>
  <c r="G48"/>
  <c r="G49"/>
  <c r="G33"/>
  <c r="G30"/>
  <c r="G29"/>
  <c r="G13"/>
  <c r="G14"/>
  <c r="G15"/>
  <c r="G16"/>
  <c r="G17"/>
  <c r="G18"/>
  <c r="G19"/>
  <c r="G20"/>
  <c r="G21"/>
  <c r="G22"/>
  <c r="G23"/>
  <c r="G24"/>
  <c r="G12"/>
  <c r="G9"/>
  <c r="E812"/>
  <c r="E813"/>
  <c r="E814"/>
  <c r="E815"/>
  <c r="E816"/>
  <c r="E817"/>
  <c r="E818"/>
  <c r="H818" s="1"/>
  <c r="E819"/>
  <c r="E820"/>
  <c r="H820" s="1"/>
  <c r="E821"/>
  <c r="E822"/>
  <c r="H822" s="1"/>
  <c r="E823"/>
  <c r="E824"/>
  <c r="E825"/>
  <c r="E826"/>
  <c r="E827"/>
  <c r="E828"/>
  <c r="E829"/>
  <c r="E830"/>
  <c r="E831"/>
  <c r="E832"/>
  <c r="E833"/>
  <c r="E834"/>
  <c r="E835"/>
  <c r="H835" s="1"/>
  <c r="E836"/>
  <c r="E837"/>
  <c r="E838"/>
  <c r="E839"/>
  <c r="E811"/>
  <c r="E808"/>
  <c r="H808" s="1"/>
  <c r="E809"/>
  <c r="E810"/>
  <c r="E807"/>
  <c r="E801"/>
  <c r="E802"/>
  <c r="H802" s="1"/>
  <c r="E803"/>
  <c r="E804"/>
  <c r="E805"/>
  <c r="E806"/>
  <c r="H806" s="1"/>
  <c r="E800"/>
  <c r="H828" l="1"/>
  <c r="H813"/>
  <c r="H804"/>
  <c r="H836"/>
  <c r="H830"/>
  <c r="H823"/>
  <c r="H816"/>
  <c r="H838"/>
  <c r="H829"/>
  <c r="H815"/>
  <c r="H812"/>
  <c r="H811"/>
  <c r="H810"/>
  <c r="H817"/>
  <c r="H800"/>
  <c r="H827"/>
  <c r="H819"/>
  <c r="H807"/>
  <c r="H801"/>
  <c r="H825"/>
  <c r="H842"/>
  <c r="H837"/>
  <c r="H831"/>
  <c r="H824"/>
  <c r="H839"/>
  <c r="H821"/>
  <c r="H805"/>
  <c r="H833"/>
  <c r="H782"/>
  <c r="H832"/>
  <c r="H826"/>
  <c r="H814"/>
  <c r="H809"/>
  <c r="E51" i="68"/>
  <c r="E843" i="7"/>
  <c r="H843" s="1"/>
  <c r="E842"/>
  <c r="E779"/>
  <c r="H779" s="1"/>
  <c r="E780"/>
  <c r="H780" s="1"/>
  <c r="E781"/>
  <c r="H781" s="1"/>
  <c r="E782"/>
  <c r="E783"/>
  <c r="H783" s="1"/>
  <c r="E784"/>
  <c r="H784" s="1"/>
  <c r="E785"/>
  <c r="H785" s="1"/>
  <c r="E786"/>
  <c r="H786" s="1"/>
  <c r="E787"/>
  <c r="H787" s="1"/>
  <c r="E788"/>
  <c r="H788" s="1"/>
  <c r="E789"/>
  <c r="H789" s="1"/>
  <c r="E790"/>
  <c r="H790" s="1"/>
  <c r="E791"/>
  <c r="H791" s="1"/>
  <c r="E792"/>
  <c r="H792" s="1"/>
  <c r="E793"/>
  <c r="H793" s="1"/>
  <c r="E794"/>
  <c r="H794" s="1"/>
  <c r="E795"/>
  <c r="H795" s="1"/>
  <c r="E796"/>
  <c r="H796" s="1"/>
  <c r="E797"/>
  <c r="H797" s="1"/>
  <c r="E778"/>
  <c r="H778" s="1"/>
  <c r="E775"/>
  <c r="H775" s="1"/>
  <c r="E774"/>
  <c r="H774" s="1"/>
  <c r="E769"/>
  <c r="H769" s="1"/>
  <c r="E770"/>
  <c r="H770" s="1"/>
  <c r="E771"/>
  <c r="H771" s="1"/>
  <c r="E768"/>
  <c r="H768" s="1"/>
  <c r="E61" i="83"/>
  <c r="C827" i="7"/>
  <c r="C826"/>
  <c r="C825"/>
  <c r="C811"/>
  <c r="H772" l="1"/>
  <c r="H840"/>
  <c r="H776"/>
  <c r="H798"/>
  <c r="H844"/>
  <c r="E672"/>
  <c r="H672" s="1"/>
  <c r="E673"/>
  <c r="H673" s="1"/>
  <c r="E674"/>
  <c r="H674" s="1"/>
  <c r="E675"/>
  <c r="H675" s="1"/>
  <c r="E676"/>
  <c r="H676" s="1"/>
  <c r="E671"/>
  <c r="H671" s="1"/>
  <c r="E164"/>
  <c r="H164" s="1"/>
  <c r="E156" l="1"/>
  <c r="H156" s="1"/>
  <c r="E155"/>
  <c r="H155" s="1"/>
  <c r="F128" i="78" l="1"/>
  <c r="F127"/>
  <c r="E126"/>
  <c r="F126" s="1"/>
  <c r="E136"/>
  <c r="F136" s="1"/>
  <c r="F98"/>
  <c r="F99"/>
  <c r="F100"/>
  <c r="F101"/>
  <c r="E732" i="7" l="1"/>
  <c r="H732" s="1"/>
  <c r="E644"/>
  <c r="H644" s="1"/>
  <c r="E643"/>
  <c r="H643" s="1"/>
  <c r="E642"/>
  <c r="H642" s="1"/>
  <c r="E641"/>
  <c r="H641" s="1"/>
  <c r="E640"/>
  <c r="H640" s="1"/>
  <c r="E639"/>
  <c r="H639" s="1"/>
  <c r="E635"/>
  <c r="H635" s="1"/>
  <c r="C175" i="70" l="1"/>
  <c r="C174"/>
  <c r="C166"/>
  <c r="C164"/>
  <c r="C163"/>
  <c r="C155"/>
  <c r="C143"/>
  <c r="E456" i="7"/>
  <c r="H456" s="1"/>
  <c r="E519"/>
  <c r="H519" s="1"/>
  <c r="E484"/>
  <c r="H484" s="1"/>
  <c r="E477"/>
  <c r="H477" s="1"/>
  <c r="C67" i="70"/>
  <c r="C60"/>
  <c r="C57"/>
  <c r="C55"/>
  <c r="C54"/>
  <c r="C53"/>
  <c r="C49"/>
  <c r="C48"/>
  <c r="C47"/>
  <c r="C42"/>
  <c r="C39"/>
  <c r="C36"/>
  <c r="C35"/>
  <c r="C33"/>
  <c r="E452" i="7" l="1"/>
  <c r="H452" s="1"/>
  <c r="E463"/>
  <c r="H463" s="1"/>
  <c r="E11" i="65"/>
  <c r="E7"/>
  <c r="F6"/>
  <c r="E731" i="7" l="1"/>
  <c r="H731" s="1"/>
  <c r="E730"/>
  <c r="H730" s="1"/>
  <c r="E728"/>
  <c r="H728" s="1"/>
  <c r="E712"/>
  <c r="H712" s="1"/>
  <c r="E709"/>
  <c r="H709" s="1"/>
  <c r="E707"/>
  <c r="H707" s="1"/>
  <c r="E705"/>
  <c r="H705" s="1"/>
  <c r="E702"/>
  <c r="H702" s="1"/>
  <c r="E701"/>
  <c r="H701" s="1"/>
  <c r="E429" l="1"/>
  <c r="H429" s="1"/>
  <c r="E428"/>
  <c r="H428" s="1"/>
  <c r="E427"/>
  <c r="H427" s="1"/>
  <c r="E420"/>
  <c r="H420" s="1"/>
  <c r="E419"/>
  <c r="H419" s="1"/>
  <c r="E417"/>
  <c r="H417" s="1"/>
  <c r="E416"/>
  <c r="H416" s="1"/>
  <c r="E425"/>
  <c r="H425" s="1"/>
  <c r="E424"/>
  <c r="H424" s="1"/>
  <c r="E422"/>
  <c r="H422" s="1"/>
  <c r="E421"/>
  <c r="H421" s="1"/>
  <c r="E423"/>
  <c r="H423" s="1"/>
  <c r="I12" i="82"/>
  <c r="E415" i="7" s="1"/>
  <c r="H415" s="1"/>
  <c r="E414"/>
  <c r="H414" s="1"/>
  <c r="E413"/>
  <c r="H413" s="1"/>
  <c r="I44" i="82"/>
  <c r="I43"/>
  <c r="I42"/>
  <c r="I38"/>
  <c r="I37"/>
  <c r="I35"/>
  <c r="I36" s="1"/>
  <c r="I34"/>
  <c r="I31"/>
  <c r="I30"/>
  <c r="I28"/>
  <c r="I29" s="1"/>
  <c r="I27"/>
  <c r="I25"/>
  <c r="I24"/>
  <c r="I23"/>
  <c r="I22"/>
  <c r="I21"/>
  <c r="I20"/>
  <c r="I19"/>
  <c r="O11"/>
  <c r="R11" s="1"/>
  <c r="N11"/>
  <c r="M11"/>
  <c r="I9"/>
  <c r="O8"/>
  <c r="S8" s="1"/>
  <c r="S11" l="1"/>
  <c r="I10" s="1"/>
  <c r="R8"/>
  <c r="I6" s="1"/>
  <c r="I8" s="1"/>
  <c r="E410" i="7" l="1"/>
  <c r="H410" s="1"/>
  <c r="E409"/>
  <c r="H409" s="1"/>
  <c r="F17" i="78"/>
  <c r="E364" i="7"/>
  <c r="H364" s="1"/>
  <c r="E365"/>
  <c r="H365" s="1"/>
  <c r="E366"/>
  <c r="H366" s="1"/>
  <c r="E367"/>
  <c r="H367" s="1"/>
  <c r="E368"/>
  <c r="H368" s="1"/>
  <c r="E363"/>
  <c r="H363" s="1"/>
  <c r="E348"/>
  <c r="H348" s="1"/>
  <c r="E344"/>
  <c r="H344" s="1"/>
  <c r="E342"/>
  <c r="H342" s="1"/>
  <c r="E323"/>
  <c r="E322"/>
  <c r="H322" s="1"/>
  <c r="E321"/>
  <c r="H321" s="1"/>
  <c r="I29" i="81"/>
  <c r="L29" s="1"/>
  <c r="I27"/>
  <c r="I26"/>
  <c r="I25"/>
  <c r="E317" i="7"/>
  <c r="H317" s="1"/>
  <c r="E316"/>
  <c r="H316" s="1"/>
  <c r="I84" i="81"/>
  <c r="E315" i="7"/>
  <c r="H315" s="1"/>
  <c r="E314"/>
  <c r="H314" s="1"/>
  <c r="E313"/>
  <c r="H313" s="1"/>
  <c r="E312"/>
  <c r="H312" s="1"/>
  <c r="E309"/>
  <c r="H309" s="1"/>
  <c r="E310"/>
  <c r="H310" s="1"/>
  <c r="E311"/>
  <c r="H311" s="1"/>
  <c r="E308"/>
  <c r="H308" s="1"/>
  <c r="E301"/>
  <c r="H301" s="1"/>
  <c r="E302"/>
  <c r="H302" s="1"/>
  <c r="E303"/>
  <c r="H303" s="1"/>
  <c r="E304"/>
  <c r="H304" s="1"/>
  <c r="E305"/>
  <c r="H305" s="1"/>
  <c r="E300"/>
  <c r="H300" s="1"/>
  <c r="E299"/>
  <c r="H299" s="1"/>
  <c r="E298"/>
  <c r="H298" s="1"/>
  <c r="E289"/>
  <c r="H289" s="1"/>
  <c r="E287"/>
  <c r="H287" s="1"/>
  <c r="E295"/>
  <c r="H295" s="1"/>
  <c r="E293"/>
  <c r="H293" s="1"/>
  <c r="E292"/>
  <c r="H292" s="1"/>
  <c r="E291"/>
  <c r="H291" s="1"/>
  <c r="E290"/>
  <c r="H290" s="1"/>
  <c r="E288"/>
  <c r="H288" s="1"/>
  <c r="E286"/>
  <c r="H286" s="1"/>
  <c r="E285"/>
  <c r="H285" s="1"/>
  <c r="E283"/>
  <c r="E282"/>
  <c r="H282" s="1"/>
  <c r="E281"/>
  <c r="H281" s="1"/>
  <c r="E280"/>
  <c r="H280" s="1"/>
  <c r="E279"/>
  <c r="H279" s="1"/>
  <c r="E278"/>
  <c r="H278" s="1"/>
  <c r="E277"/>
  <c r="H277" s="1"/>
  <c r="E274"/>
  <c r="H274" s="1"/>
  <c r="E273"/>
  <c r="H273" s="1"/>
  <c r="I101" i="81"/>
  <c r="I100"/>
  <c r="I99"/>
  <c r="I97"/>
  <c r="I98" s="1"/>
  <c r="I96"/>
  <c r="I93"/>
  <c r="I92"/>
  <c r="I91"/>
  <c r="I88"/>
  <c r="I87"/>
  <c r="I86"/>
  <c r="I83"/>
  <c r="I81"/>
  <c r="I80"/>
  <c r="I79"/>
  <c r="I77"/>
  <c r="I75"/>
  <c r="I76" s="1"/>
  <c r="I74"/>
  <c r="I72"/>
  <c r="I70"/>
  <c r="I69"/>
  <c r="I68"/>
  <c r="I67"/>
  <c r="I66"/>
  <c r="I64"/>
  <c r="I65" s="1"/>
  <c r="I63"/>
  <c r="I52"/>
  <c r="I42"/>
  <c r="I33"/>
  <c r="I32"/>
  <c r="I31"/>
  <c r="I28"/>
  <c r="I22"/>
  <c r="I21"/>
  <c r="I20"/>
  <c r="I19"/>
  <c r="I18"/>
  <c r="I15"/>
  <c r="I17" s="1"/>
  <c r="I14"/>
  <c r="I16" s="1"/>
  <c r="I13"/>
  <c r="I12"/>
  <c r="I9"/>
  <c r="I6"/>
  <c r="I5"/>
  <c r="I4"/>
  <c r="H318" i="7" l="1"/>
  <c r="E324"/>
  <c r="H324" s="1"/>
  <c r="H323"/>
  <c r="H306"/>
  <c r="H369"/>
  <c r="H275"/>
  <c r="E284"/>
  <c r="H284" s="1"/>
  <c r="H283"/>
  <c r="E320"/>
  <c r="H320" s="1"/>
  <c r="E228" l="1"/>
  <c r="H228" s="1"/>
  <c r="E227"/>
  <c r="H227" s="1"/>
  <c r="E226"/>
  <c r="H226" s="1"/>
  <c r="E224"/>
  <c r="H224" s="1"/>
  <c r="E213"/>
  <c r="H213" s="1"/>
  <c r="E212"/>
  <c r="H212" s="1"/>
  <c r="E211"/>
  <c r="H211" s="1"/>
  <c r="E210"/>
  <c r="H210" s="1"/>
  <c r="E209"/>
  <c r="H209" s="1"/>
  <c r="E206"/>
  <c r="H206" s="1"/>
  <c r="E205"/>
  <c r="H205" s="1"/>
  <c r="E204"/>
  <c r="H204" s="1"/>
  <c r="E203"/>
  <c r="H203" s="1"/>
  <c r="E202"/>
  <c r="H202" s="1"/>
  <c r="E201"/>
  <c r="H201" s="1"/>
  <c r="I64" i="80"/>
  <c r="E200" i="7"/>
  <c r="H200" s="1"/>
  <c r="E198"/>
  <c r="H198" s="1"/>
  <c r="E199"/>
  <c r="H199" s="1"/>
  <c r="E197"/>
  <c r="H197" s="1"/>
  <c r="E194"/>
  <c r="H194" s="1"/>
  <c r="E193"/>
  <c r="H193" s="1"/>
  <c r="E192"/>
  <c r="H192" s="1"/>
  <c r="E191"/>
  <c r="H191" s="1"/>
  <c r="E188"/>
  <c r="H188" s="1"/>
  <c r="E186"/>
  <c r="H186" s="1"/>
  <c r="E185"/>
  <c r="H185" s="1"/>
  <c r="E184"/>
  <c r="H184" s="1"/>
  <c r="E183"/>
  <c r="H183" s="1"/>
  <c r="E182"/>
  <c r="H182" s="1"/>
  <c r="E181"/>
  <c r="H181" s="1"/>
  <c r="E180"/>
  <c r="H180" s="1"/>
  <c r="E178"/>
  <c r="E177"/>
  <c r="H177" s="1"/>
  <c r="I17" i="80"/>
  <c r="I16"/>
  <c r="E176" i="7"/>
  <c r="H176" s="1"/>
  <c r="E175"/>
  <c r="H175" s="1"/>
  <c r="E174"/>
  <c r="H174" s="1"/>
  <c r="E173"/>
  <c r="H173" s="1"/>
  <c r="E170"/>
  <c r="H170" s="1"/>
  <c r="E169"/>
  <c r="H169" s="1"/>
  <c r="I69" i="80"/>
  <c r="I68"/>
  <c r="I67"/>
  <c r="I63"/>
  <c r="I61"/>
  <c r="I60"/>
  <c r="I59"/>
  <c r="I58"/>
  <c r="I56"/>
  <c r="I54"/>
  <c r="I55" s="1"/>
  <c r="I53"/>
  <c r="I51"/>
  <c r="I50"/>
  <c r="I48"/>
  <c r="I49" s="1"/>
  <c r="I47"/>
  <c r="I43"/>
  <c r="I42"/>
  <c r="I41"/>
  <c r="I39"/>
  <c r="I37"/>
  <c r="I38" s="1"/>
  <c r="I36"/>
  <c r="I33"/>
  <c r="I32"/>
  <c r="I31"/>
  <c r="I30"/>
  <c r="I29"/>
  <c r="I28"/>
  <c r="I27"/>
  <c r="I20"/>
  <c r="I23" s="1"/>
  <c r="I24" s="1"/>
  <c r="I19"/>
  <c r="O15"/>
  <c r="S15" s="1"/>
  <c r="I14" s="1"/>
  <c r="I15"/>
  <c r="I13"/>
  <c r="S12"/>
  <c r="R12"/>
  <c r="O12"/>
  <c r="I11"/>
  <c r="I6"/>
  <c r="I5"/>
  <c r="I4"/>
  <c r="H171" i="7" l="1"/>
  <c r="H207"/>
  <c r="H195"/>
  <c r="E179"/>
  <c r="H179" s="1"/>
  <c r="H178"/>
  <c r="H214"/>
  <c r="I25" i="80"/>
  <c r="I18"/>
  <c r="I21"/>
  <c r="R15"/>
  <c r="I10" s="1"/>
  <c r="I12" s="1"/>
  <c r="E53" i="78" l="1"/>
  <c r="F54"/>
  <c r="E142" i="7"/>
  <c r="H142" s="1"/>
  <c r="G36" i="78"/>
  <c r="G39"/>
  <c r="G38"/>
  <c r="G37"/>
  <c r="G35"/>
  <c r="E83" i="7"/>
  <c r="H83" s="1"/>
  <c r="E82"/>
  <c r="H82" s="1"/>
  <c r="E80"/>
  <c r="H80" s="1"/>
  <c r="E77"/>
  <c r="H77" s="1"/>
  <c r="E76"/>
  <c r="H76" s="1"/>
  <c r="E75"/>
  <c r="H75" s="1"/>
  <c r="E74"/>
  <c r="H74" s="1"/>
  <c r="E73"/>
  <c r="H73" s="1"/>
  <c r="E70"/>
  <c r="H70" s="1"/>
  <c r="E69"/>
  <c r="H69" s="1"/>
  <c r="H78" l="1"/>
  <c r="E141"/>
  <c r="H141" s="1"/>
  <c r="E68" l="1"/>
  <c r="H68" s="1"/>
  <c r="E67"/>
  <c r="H67" s="1"/>
  <c r="E66"/>
  <c r="H66" s="1"/>
  <c r="E65"/>
  <c r="H65" s="1"/>
  <c r="E64"/>
  <c r="H64" s="1"/>
  <c r="E63"/>
  <c r="H63" s="1"/>
  <c r="E62"/>
  <c r="H62" s="1"/>
  <c r="E61"/>
  <c r="H61" s="1"/>
  <c r="E60" l="1"/>
  <c r="H60" s="1"/>
  <c r="H71" s="1"/>
  <c r="E57"/>
  <c r="H57" s="1"/>
  <c r="E56"/>
  <c r="H56" s="1"/>
  <c r="E55"/>
  <c r="H55" s="1"/>
  <c r="E54"/>
  <c r="H54" s="1"/>
  <c r="E53"/>
  <c r="H53" s="1"/>
  <c r="E52"/>
  <c r="H52" s="1"/>
  <c r="E49"/>
  <c r="H49" s="1"/>
  <c r="E48"/>
  <c r="H48" s="1"/>
  <c r="E46"/>
  <c r="H46" s="1"/>
  <c r="E45"/>
  <c r="H45" s="1"/>
  <c r="E44"/>
  <c r="H44" s="1"/>
  <c r="E43"/>
  <c r="H43" s="1"/>
  <c r="E42"/>
  <c r="H42" s="1"/>
  <c r="E41"/>
  <c r="H41" s="1"/>
  <c r="E40"/>
  <c r="H40" s="1"/>
  <c r="H58" l="1"/>
  <c r="E38"/>
  <c r="E37"/>
  <c r="H37" s="1"/>
  <c r="E36"/>
  <c r="H36" s="1"/>
  <c r="E35"/>
  <c r="H35" s="1"/>
  <c r="E34"/>
  <c r="H34" s="1"/>
  <c r="E33"/>
  <c r="H33" s="1"/>
  <c r="K5" i="62"/>
  <c r="K6"/>
  <c r="K10"/>
  <c r="K11"/>
  <c r="K12"/>
  <c r="K13"/>
  <c r="K14"/>
  <c r="K15"/>
  <c r="K16"/>
  <c r="K17"/>
  <c r="K18"/>
  <c r="K19"/>
  <c r="K20"/>
  <c r="K21"/>
  <c r="K22"/>
  <c r="K24"/>
  <c r="K25"/>
  <c r="K26"/>
  <c r="K27"/>
  <c r="K28"/>
  <c r="K30"/>
  <c r="K31"/>
  <c r="K32"/>
  <c r="K33"/>
  <c r="K34"/>
  <c r="K35"/>
  <c r="K36"/>
  <c r="K37"/>
  <c r="K41"/>
  <c r="K42"/>
  <c r="K43"/>
  <c r="K44"/>
  <c r="K45"/>
  <c r="K46"/>
  <c r="K47"/>
  <c r="K50"/>
  <c r="K51"/>
  <c r="K52"/>
  <c r="K53"/>
  <c r="K54"/>
  <c r="K55"/>
  <c r="K56"/>
  <c r="K58"/>
  <c r="K59"/>
  <c r="K60"/>
  <c r="K61"/>
  <c r="K62"/>
  <c r="K63"/>
  <c r="K64"/>
  <c r="K65"/>
  <c r="K66"/>
  <c r="K68"/>
  <c r="K69"/>
  <c r="K71"/>
  <c r="K72"/>
  <c r="K73"/>
  <c r="I18"/>
  <c r="E39" i="7" l="1"/>
  <c r="H39" s="1"/>
  <c r="H38"/>
  <c r="T69" i="62"/>
  <c r="T13"/>
  <c r="T65" l="1"/>
  <c r="T64"/>
  <c r="T63"/>
  <c r="T62"/>
  <c r="T61"/>
  <c r="T59"/>
  <c r="T60" s="1"/>
  <c r="T58"/>
  <c r="T55"/>
  <c r="T54"/>
  <c r="T53"/>
  <c r="T51"/>
  <c r="T52" s="1"/>
  <c r="T50"/>
  <c r="T43"/>
  <c r="T31"/>
  <c r="T30"/>
  <c r="T10"/>
  <c r="T28"/>
  <c r="T26"/>
  <c r="T27" s="1"/>
  <c r="T25"/>
  <c r="T24"/>
  <c r="T16"/>
  <c r="T15"/>
  <c r="T19" s="1"/>
  <c r="T5"/>
  <c r="I71"/>
  <c r="I69"/>
  <c r="I66"/>
  <c r="I65"/>
  <c r="I64"/>
  <c r="I63"/>
  <c r="I62"/>
  <c r="I61"/>
  <c r="I59"/>
  <c r="I58"/>
  <c r="I51"/>
  <c r="I50"/>
  <c r="I47"/>
  <c r="I46"/>
  <c r="I45"/>
  <c r="I44"/>
  <c r="I43"/>
  <c r="I32"/>
  <c r="I28"/>
  <c r="I26"/>
  <c r="I25"/>
  <c r="I21"/>
  <c r="I15"/>
  <c r="I14"/>
  <c r="I13"/>
  <c r="I10"/>
  <c r="I5"/>
  <c r="I4"/>
  <c r="I19" l="1"/>
  <c r="I17"/>
  <c r="I60"/>
  <c r="T32"/>
  <c r="T18"/>
  <c r="T17"/>
  <c r="I16"/>
  <c r="I24"/>
  <c r="I6"/>
  <c r="I27"/>
  <c r="I52"/>
  <c r="T20"/>
  <c r="T4"/>
  <c r="E29" i="7" s="1"/>
  <c r="H29" s="1"/>
  <c r="K4" i="62" l="1"/>
  <c r="I20"/>
  <c r="E30" i="7"/>
  <c r="H30" s="1"/>
  <c r="H31" s="1"/>
  <c r="E102" l="1"/>
  <c r="H102" s="1"/>
  <c r="E20"/>
  <c r="H20" s="1"/>
  <c r="E13"/>
  <c r="H13" s="1"/>
  <c r="F133" i="78"/>
  <c r="F130"/>
  <c r="F129"/>
  <c r="F125"/>
  <c r="F124"/>
  <c r="E123"/>
  <c r="F123" s="1"/>
  <c r="E122"/>
  <c r="F119"/>
  <c r="F118"/>
  <c r="E117"/>
  <c r="E434" i="7" s="1"/>
  <c r="H434" s="1"/>
  <c r="F116" i="78"/>
  <c r="F115"/>
  <c r="E113"/>
  <c r="E154" i="7" s="1"/>
  <c r="H154" s="1"/>
  <c r="F112" i="78"/>
  <c r="F111"/>
  <c r="F110"/>
  <c r="F109"/>
  <c r="F108"/>
  <c r="E107"/>
  <c r="F107" s="1"/>
  <c r="F106"/>
  <c r="F105"/>
  <c r="F104"/>
  <c r="F97"/>
  <c r="E93"/>
  <c r="F93" s="1"/>
  <c r="E92"/>
  <c r="F92" s="1"/>
  <c r="F88"/>
  <c r="E86"/>
  <c r="E82"/>
  <c r="E128" i="7" s="1"/>
  <c r="H128" s="1"/>
  <c r="E81" i="78"/>
  <c r="F81" s="1"/>
  <c r="E80"/>
  <c r="F80" s="1"/>
  <c r="F79"/>
  <c r="F78"/>
  <c r="E75"/>
  <c r="E439" i="7" s="1"/>
  <c r="H439" s="1"/>
  <c r="E74" i="78"/>
  <c r="E73"/>
  <c r="E72"/>
  <c r="E436" i="7" s="1"/>
  <c r="H436" s="1"/>
  <c r="E435"/>
  <c r="H435" s="1"/>
  <c r="F70" i="78"/>
  <c r="F69"/>
  <c r="E66"/>
  <c r="F66" s="1"/>
  <c r="E62"/>
  <c r="F62" s="1"/>
  <c r="E58"/>
  <c r="E59" s="1"/>
  <c r="F59" s="1"/>
  <c r="F53"/>
  <c r="E47"/>
  <c r="E50" s="1"/>
  <c r="E46"/>
  <c r="E49" s="1"/>
  <c r="E45"/>
  <c r="F41"/>
  <c r="F40"/>
  <c r="F39"/>
  <c r="F38"/>
  <c r="F37"/>
  <c r="F36"/>
  <c r="F35"/>
  <c r="F34"/>
  <c r="F33"/>
  <c r="F32"/>
  <c r="F31"/>
  <c r="F30"/>
  <c r="F29"/>
  <c r="F28"/>
  <c r="F25"/>
  <c r="F24"/>
  <c r="F23"/>
  <c r="E22"/>
  <c r="F22" s="1"/>
  <c r="F21"/>
  <c r="F16"/>
  <c r="F15"/>
  <c r="E14"/>
  <c r="F14" s="1"/>
  <c r="F13"/>
  <c r="F12"/>
  <c r="F11"/>
  <c r="F10"/>
  <c r="F9"/>
  <c r="F8"/>
  <c r="F7"/>
  <c r="F5"/>
  <c r="F72" l="1"/>
  <c r="F117"/>
  <c r="F73"/>
  <c r="E437" i="7"/>
  <c r="H437" s="1"/>
  <c r="F74" i="78"/>
  <c r="E438" i="7"/>
  <c r="H438" s="1"/>
  <c r="F82" i="78"/>
  <c r="E84"/>
  <c r="F75"/>
  <c r="E14" i="7"/>
  <c r="H14" s="1"/>
  <c r="F71" i="78"/>
  <c r="E117" i="7"/>
  <c r="H117" s="1"/>
  <c r="F86" i="78"/>
  <c r="E130" i="7"/>
  <c r="H130" s="1"/>
  <c r="F122" i="78"/>
  <c r="E139" i="7"/>
  <c r="H139" s="1"/>
  <c r="F58" i="78"/>
  <c r="E129" i="7" l="1"/>
  <c r="H129" s="1"/>
  <c r="F84" i="78"/>
  <c r="E137" i="71"/>
  <c r="E138"/>
  <c r="E12" i="7"/>
  <c r="H12" s="1"/>
  <c r="E15"/>
  <c r="H15" s="1"/>
  <c r="E16"/>
  <c r="H16" s="1"/>
  <c r="E17"/>
  <c r="H17" s="1"/>
  <c r="E18"/>
  <c r="H18" s="1"/>
  <c r="E19"/>
  <c r="H19" s="1"/>
  <c r="E21"/>
  <c r="H21" s="1"/>
  <c r="E22"/>
  <c r="H22" s="1"/>
  <c r="E23"/>
  <c r="H23" s="1"/>
  <c r="E24"/>
  <c r="H24" s="1"/>
  <c r="H25" l="1"/>
  <c r="E455"/>
  <c r="H455" s="1"/>
  <c r="E7" i="68" l="1"/>
  <c r="E729" i="7" l="1"/>
  <c r="H729" s="1"/>
  <c r="E47" i="69"/>
  <c r="E28"/>
  <c r="E7"/>
  <c r="E132" i="71" l="1"/>
  <c r="E126" l="1"/>
  <c r="C20" i="76" l="1"/>
  <c r="C22" s="1"/>
  <c r="C25" s="1"/>
  <c r="C12"/>
  <c r="C8"/>
  <c r="E522" i="7" l="1"/>
  <c r="H522" s="1"/>
  <c r="E521"/>
  <c r="H521" s="1"/>
  <c r="E43" i="71"/>
  <c r="E11" i="68"/>
  <c r="E100" i="71"/>
  <c r="E79"/>
  <c r="E14"/>
  <c r="E65" i="68" l="1"/>
  <c r="E60"/>
  <c r="E265" i="7" l="1"/>
  <c r="H265" s="1"/>
  <c r="F59" i="69"/>
  <c r="E59"/>
  <c r="E31"/>
  <c r="E29"/>
  <c r="E722" i="7" l="1"/>
  <c r="H722" s="1"/>
  <c r="E718"/>
  <c r="H718" s="1"/>
  <c r="E721"/>
  <c r="H721" s="1"/>
  <c r="E680"/>
  <c r="H680" s="1"/>
  <c r="E720"/>
  <c r="H720" s="1"/>
  <c r="E719"/>
  <c r="H719" s="1"/>
  <c r="E717" l="1"/>
  <c r="H717" s="1"/>
  <c r="E140" i="71" l="1"/>
  <c r="E139"/>
  <c r="E147"/>
  <c r="F140" l="1"/>
  <c r="F139"/>
  <c r="F138"/>
  <c r="F137"/>
  <c r="F136"/>
  <c r="E140" i="7" s="1"/>
  <c r="H140" s="1"/>
  <c r="H143" s="1"/>
  <c r="F135" i="71"/>
  <c r="F134"/>
  <c r="F133"/>
  <c r="F132"/>
  <c r="F131"/>
  <c r="F130"/>
  <c r="F43"/>
  <c r="E50" i="68" l="1"/>
  <c r="E35"/>
  <c r="B57" i="9" l="1"/>
  <c r="B51" i="8" s="1"/>
  <c r="B54" i="9"/>
  <c r="B48" i="8" s="1"/>
  <c r="B60" i="9"/>
  <c r="B54" i="8" s="1"/>
  <c r="B62" i="9"/>
  <c r="B61"/>
  <c r="B59"/>
  <c r="B58"/>
  <c r="B56"/>
  <c r="E53" i="69"/>
  <c r="E50"/>
  <c r="E41"/>
  <c r="E40"/>
  <c r="E33"/>
  <c r="E10"/>
  <c r="E55" i="68" l="1"/>
  <c r="E49"/>
  <c r="E48"/>
  <c r="E34"/>
  <c r="E33"/>
  <c r="E10"/>
  <c r="E31" s="1"/>
  <c r="E623" i="7" l="1"/>
  <c r="H623" s="1"/>
  <c r="E632" l="1"/>
  <c r="H632" s="1"/>
  <c r="E638" l="1"/>
  <c r="H638" s="1"/>
  <c r="E637"/>
  <c r="H637" s="1"/>
  <c r="E636"/>
  <c r="H636" s="1"/>
  <c r="E634"/>
  <c r="H634" s="1"/>
  <c r="E633"/>
  <c r="H633" s="1"/>
  <c r="E625" l="1"/>
  <c r="H625" s="1"/>
  <c r="E631" l="1"/>
  <c r="H631" s="1"/>
  <c r="E630"/>
  <c r="H630" s="1"/>
  <c r="E629"/>
  <c r="H629" s="1"/>
  <c r="E628"/>
  <c r="H628" s="1"/>
  <c r="H645" l="1"/>
  <c r="E116"/>
  <c r="H116" s="1"/>
  <c r="E115"/>
  <c r="H115" s="1"/>
  <c r="E113"/>
  <c r="H113" s="1"/>
  <c r="E112"/>
  <c r="H112" s="1"/>
  <c r="E107"/>
  <c r="H107" s="1"/>
  <c r="E106"/>
  <c r="H106" s="1"/>
  <c r="E105"/>
  <c r="H105" s="1"/>
  <c r="E104"/>
  <c r="H104" s="1"/>
  <c r="E103"/>
  <c r="H103" s="1"/>
  <c r="E28" i="71"/>
  <c r="F28" s="1"/>
  <c r="E91" i="7" s="1"/>
  <c r="H91" s="1"/>
  <c r="F143" i="71"/>
  <c r="E162" i="7" s="1"/>
  <c r="H162" s="1"/>
  <c r="F127" i="71"/>
  <c r="E159" i="7" s="1"/>
  <c r="H159" s="1"/>
  <c r="F126" i="71"/>
  <c r="F125"/>
  <c r="F124"/>
  <c r="F123"/>
  <c r="E440" i="7" s="1"/>
  <c r="H440" s="1"/>
  <c r="H441" s="1"/>
  <c r="F122" i="71"/>
  <c r="F121"/>
  <c r="E153" i="7" s="1"/>
  <c r="H153" s="1"/>
  <c r="F120" i="71"/>
  <c r="E152" i="7" s="1"/>
  <c r="H152" s="1"/>
  <c r="F119" i="71"/>
  <c r="E151" i="7" s="1"/>
  <c r="H151" s="1"/>
  <c r="F118" i="71"/>
  <c r="E150" i="7" s="1"/>
  <c r="H150" s="1"/>
  <c r="F117" i="71"/>
  <c r="E149" i="7" s="1"/>
  <c r="H149" s="1"/>
  <c r="E115" i="71"/>
  <c r="F115" s="1"/>
  <c r="E148" i="7" s="1"/>
  <c r="H148" s="1"/>
  <c r="F114" i="71"/>
  <c r="E147" i="7" s="1"/>
  <c r="H147" s="1"/>
  <c r="F113" i="71"/>
  <c r="E146" i="7" s="1"/>
  <c r="H146" s="1"/>
  <c r="F112" i="71"/>
  <c r="E145" i="7" s="1"/>
  <c r="H145" s="1"/>
  <c r="F109" i="71"/>
  <c r="F108"/>
  <c r="F107"/>
  <c r="F106"/>
  <c r="F105"/>
  <c r="F104"/>
  <c r="E407" i="7" s="1"/>
  <c r="H407" s="1"/>
  <c r="H411" s="1"/>
  <c r="F100" i="71"/>
  <c r="E136" i="7" s="1"/>
  <c r="H136" s="1"/>
  <c r="F99" i="71"/>
  <c r="E135" i="7" s="1"/>
  <c r="H135" s="1"/>
  <c r="F95" i="71"/>
  <c r="F94"/>
  <c r="F93"/>
  <c r="E132" i="7" s="1"/>
  <c r="H132" s="1"/>
  <c r="F92" i="71"/>
  <c r="F91"/>
  <c r="E90"/>
  <c r="E127" i="7" s="1"/>
  <c r="H127" s="1"/>
  <c r="E89" i="71"/>
  <c r="E126" i="7" s="1"/>
  <c r="H126" s="1"/>
  <c r="F88" i="71"/>
  <c r="E125" i="7" s="1"/>
  <c r="H125" s="1"/>
  <c r="F87" i="71"/>
  <c r="E124" i="7" s="1"/>
  <c r="H124" s="1"/>
  <c r="F84" i="71"/>
  <c r="F83"/>
  <c r="F82"/>
  <c r="F81"/>
  <c r="F80"/>
  <c r="F79"/>
  <c r="F78"/>
  <c r="E121" i="7" s="1"/>
  <c r="H121" s="1"/>
  <c r="F77" i="71"/>
  <c r="E120" i="7" s="1"/>
  <c r="H120" s="1"/>
  <c r="F74" i="71"/>
  <c r="F68"/>
  <c r="E114" i="7" s="1"/>
  <c r="H114" s="1"/>
  <c r="F64" i="71"/>
  <c r="E110" i="7" s="1"/>
  <c r="H110" s="1"/>
  <c r="F60" i="71"/>
  <c r="F41"/>
  <c r="F40"/>
  <c r="F39"/>
  <c r="G39" s="1"/>
  <c r="F38"/>
  <c r="G38" s="1"/>
  <c r="F37"/>
  <c r="G37" s="1"/>
  <c r="F36"/>
  <c r="G36" s="1"/>
  <c r="F35"/>
  <c r="G35" s="1"/>
  <c r="F34"/>
  <c r="E97" i="7" s="1"/>
  <c r="H97" s="1"/>
  <c r="F33" i="71"/>
  <c r="E96" i="7" s="1"/>
  <c r="H96" s="1"/>
  <c r="F32" i="71"/>
  <c r="E95" i="7" s="1"/>
  <c r="H95" s="1"/>
  <c r="F31" i="71"/>
  <c r="E94" i="7" s="1"/>
  <c r="H94" s="1"/>
  <c r="F30" i="71"/>
  <c r="E93" i="7" s="1"/>
  <c r="H93" s="1"/>
  <c r="F29" i="71"/>
  <c r="F25"/>
  <c r="E88" i="7" s="1"/>
  <c r="H88" s="1"/>
  <c r="F24" i="71"/>
  <c r="E87" i="7" s="1"/>
  <c r="H87" s="1"/>
  <c r="F23" i="71"/>
  <c r="E86" i="7" s="1"/>
  <c r="H86" s="1"/>
  <c r="E22" i="71"/>
  <c r="F22" s="1"/>
  <c r="E85" i="7" s="1"/>
  <c r="H85" s="1"/>
  <c r="F21" i="71"/>
  <c r="E84" i="7" s="1"/>
  <c r="H84" s="1"/>
  <c r="F17" i="71"/>
  <c r="F16"/>
  <c r="F15"/>
  <c r="F14"/>
  <c r="F13"/>
  <c r="F12"/>
  <c r="F11"/>
  <c r="F10"/>
  <c r="F9"/>
  <c r="F8"/>
  <c r="F7"/>
  <c r="F5"/>
  <c r="H122" i="7" l="1"/>
  <c r="H133"/>
  <c r="H137"/>
  <c r="H160"/>
  <c r="H108"/>
  <c r="E92"/>
  <c r="H92" s="1"/>
  <c r="E98"/>
  <c r="H98" s="1"/>
  <c r="E99"/>
  <c r="H99" s="1"/>
  <c r="F65" i="71"/>
  <c r="E111" i="7" s="1"/>
  <c r="H111" s="1"/>
  <c r="H118" s="1"/>
  <c r="H100" l="1"/>
  <c r="E624"/>
  <c r="H624" s="1"/>
  <c r="E622"/>
  <c r="H622" s="1"/>
  <c r="E619"/>
  <c r="H619" s="1"/>
  <c r="E618"/>
  <c r="H618" s="1"/>
  <c r="E617"/>
  <c r="H617" s="1"/>
  <c r="E616"/>
  <c r="H616" s="1"/>
  <c r="E615"/>
  <c r="H615" s="1"/>
  <c r="E614"/>
  <c r="H614" s="1"/>
  <c r="E611"/>
  <c r="H611" s="1"/>
  <c r="E610"/>
  <c r="H610" s="1"/>
  <c r="E609"/>
  <c r="H609" s="1"/>
  <c r="E608"/>
  <c r="H608" s="1"/>
  <c r="E607"/>
  <c r="H607" s="1"/>
  <c r="E606"/>
  <c r="H606" s="1"/>
  <c r="E605"/>
  <c r="H605" s="1"/>
  <c r="E604"/>
  <c r="H604" s="1"/>
  <c r="E603"/>
  <c r="H603" s="1"/>
  <c r="E602"/>
  <c r="H602" s="1"/>
  <c r="E601"/>
  <c r="H601" s="1"/>
  <c r="E600"/>
  <c r="H600" s="1"/>
  <c r="E599"/>
  <c r="H599" s="1"/>
  <c r="E598"/>
  <c r="H598" s="1"/>
  <c r="E597"/>
  <c r="H597" s="1"/>
  <c r="E596"/>
  <c r="H596" s="1"/>
  <c r="E595"/>
  <c r="H595" s="1"/>
  <c r="E594"/>
  <c r="H594" s="1"/>
  <c r="E593"/>
  <c r="H593" s="1"/>
  <c r="E592"/>
  <c r="H592" s="1"/>
  <c r="E591"/>
  <c r="H591" s="1"/>
  <c r="E590"/>
  <c r="H590" s="1"/>
  <c r="E589"/>
  <c r="H589" s="1"/>
  <c r="E588"/>
  <c r="H588" s="1"/>
  <c r="E587"/>
  <c r="H587" s="1"/>
  <c r="E586"/>
  <c r="H586" s="1"/>
  <c r="E585"/>
  <c r="H585" s="1"/>
  <c r="E584"/>
  <c r="H584" s="1"/>
  <c r="H626" l="1"/>
  <c r="H620"/>
  <c r="H612"/>
  <c r="F50" i="69"/>
  <c r="F49"/>
  <c r="E256" i="7" s="1"/>
  <c r="H256" s="1"/>
  <c r="E49" i="69"/>
  <c r="F48"/>
  <c r="E255" i="7" s="1"/>
  <c r="H255" s="1"/>
  <c r="E48" i="69"/>
  <c r="F47"/>
  <c r="E254" i="7" s="1"/>
  <c r="H254" s="1"/>
  <c r="F46" i="69"/>
  <c r="E253" i="7" s="1"/>
  <c r="H253" s="1"/>
  <c r="F45" i="69"/>
  <c r="E252" i="7" s="1"/>
  <c r="H252" s="1"/>
  <c r="E45" i="69"/>
  <c r="F44"/>
  <c r="E251" i="7" s="1"/>
  <c r="H251" s="1"/>
  <c r="E44" i="69"/>
  <c r="E37"/>
  <c r="F37" s="1"/>
  <c r="E38"/>
  <c r="F38" s="1"/>
  <c r="E39"/>
  <c r="F39" s="1"/>
  <c r="F40"/>
  <c r="F41"/>
  <c r="E581" i="7"/>
  <c r="H581" s="1"/>
  <c r="E575"/>
  <c r="H575" s="1"/>
  <c r="E580"/>
  <c r="H580" s="1"/>
  <c r="E579"/>
  <c r="H579" s="1"/>
  <c r="E578"/>
  <c r="H578" s="1"/>
  <c r="E577"/>
  <c r="H577" s="1"/>
  <c r="E576"/>
  <c r="H576" s="1"/>
  <c r="E574"/>
  <c r="H574" s="1"/>
  <c r="E573"/>
  <c r="H573" s="1"/>
  <c r="E570"/>
  <c r="H570" s="1"/>
  <c r="E569"/>
  <c r="H569" s="1"/>
  <c r="E568"/>
  <c r="H568" s="1"/>
  <c r="E567"/>
  <c r="H567" s="1"/>
  <c r="E566"/>
  <c r="H566" s="1"/>
  <c r="E565"/>
  <c r="H565" s="1"/>
  <c r="E562"/>
  <c r="H562" s="1"/>
  <c r="E561"/>
  <c r="H561" s="1"/>
  <c r="E560"/>
  <c r="H560" s="1"/>
  <c r="E559"/>
  <c r="H559" s="1"/>
  <c r="E558"/>
  <c r="H558" s="1"/>
  <c r="E557"/>
  <c r="H557" s="1"/>
  <c r="E554"/>
  <c r="H554" s="1"/>
  <c r="E553"/>
  <c r="H553" s="1"/>
  <c r="E550"/>
  <c r="H550" s="1"/>
  <c r="E549"/>
  <c r="H549" s="1"/>
  <c r="E548"/>
  <c r="H548" s="1"/>
  <c r="E547"/>
  <c r="H547" s="1"/>
  <c r="E546"/>
  <c r="H546" s="1"/>
  <c r="E545"/>
  <c r="H545" s="1"/>
  <c r="E542"/>
  <c r="H542" s="1"/>
  <c r="E541"/>
  <c r="H541" s="1"/>
  <c r="E540"/>
  <c r="H540" s="1"/>
  <c r="E539"/>
  <c r="H539" s="1"/>
  <c r="E538"/>
  <c r="H538" s="1"/>
  <c r="E537"/>
  <c r="H537" s="1"/>
  <c r="E536"/>
  <c r="H536" s="1"/>
  <c r="E535"/>
  <c r="H535" s="1"/>
  <c r="E532"/>
  <c r="H532" s="1"/>
  <c r="E531"/>
  <c r="H531" s="1"/>
  <c r="E530"/>
  <c r="H530" s="1"/>
  <c r="E529"/>
  <c r="H529" s="1"/>
  <c r="E528"/>
  <c r="H528" s="1"/>
  <c r="E527"/>
  <c r="H527" s="1"/>
  <c r="E526"/>
  <c r="H526" s="1"/>
  <c r="E525"/>
  <c r="H525" s="1"/>
  <c r="E520"/>
  <c r="H520" s="1"/>
  <c r="E518"/>
  <c r="H518" s="1"/>
  <c r="E517"/>
  <c r="H517" s="1"/>
  <c r="E512"/>
  <c r="H512" s="1"/>
  <c r="E514"/>
  <c r="H514" s="1"/>
  <c r="E513"/>
  <c r="H513" s="1"/>
  <c r="E511"/>
  <c r="H511" s="1"/>
  <c r="E510"/>
  <c r="H510" s="1"/>
  <c r="E509"/>
  <c r="H509" s="1"/>
  <c r="E508"/>
  <c r="H508" s="1"/>
  <c r="E507"/>
  <c r="H507" s="1"/>
  <c r="E506"/>
  <c r="H506" s="1"/>
  <c r="E505"/>
  <c r="H505" s="1"/>
  <c r="E504"/>
  <c r="H504" s="1"/>
  <c r="E503"/>
  <c r="H503" s="1"/>
  <c r="E502"/>
  <c r="H502" s="1"/>
  <c r="E501"/>
  <c r="H501" s="1"/>
  <c r="E500"/>
  <c r="H500" s="1"/>
  <c r="E499"/>
  <c r="H499" s="1"/>
  <c r="E498"/>
  <c r="H498" s="1"/>
  <c r="E497"/>
  <c r="H497" s="1"/>
  <c r="E495"/>
  <c r="H495" s="1"/>
  <c r="E496"/>
  <c r="H496" s="1"/>
  <c r="E494"/>
  <c r="H494" s="1"/>
  <c r="E493"/>
  <c r="H493" s="1"/>
  <c r="E492"/>
  <c r="H492" s="1"/>
  <c r="E491"/>
  <c r="H491" s="1"/>
  <c r="E490"/>
  <c r="H490" s="1"/>
  <c r="H533" l="1"/>
  <c r="H543"/>
  <c r="H551"/>
  <c r="H563"/>
  <c r="H555"/>
  <c r="H571"/>
  <c r="H258"/>
  <c r="H582"/>
  <c r="H523"/>
  <c r="E489"/>
  <c r="H489" s="1"/>
  <c r="E487"/>
  <c r="H487" s="1"/>
  <c r="E32" i="68" l="1"/>
  <c r="E488" i="7" l="1"/>
  <c r="H488" s="1"/>
  <c r="E486"/>
  <c r="H486" s="1"/>
  <c r="E485"/>
  <c r="H485" s="1"/>
  <c r="E483"/>
  <c r="H483" s="1"/>
  <c r="E482"/>
  <c r="H482" s="1"/>
  <c r="E481"/>
  <c r="H481" s="1"/>
  <c r="E480"/>
  <c r="H480" s="1"/>
  <c r="E479"/>
  <c r="H479" s="1"/>
  <c r="E478"/>
  <c r="H478" s="1"/>
  <c r="E475"/>
  <c r="H475" s="1"/>
  <c r="E476"/>
  <c r="H476" s="1"/>
  <c r="E474"/>
  <c r="H474" s="1"/>
  <c r="E473"/>
  <c r="H473" s="1"/>
  <c r="E472"/>
  <c r="H472" s="1"/>
  <c r="E471"/>
  <c r="H471" s="1"/>
  <c r="E470"/>
  <c r="H470" s="1"/>
  <c r="E469"/>
  <c r="H469" s="1"/>
  <c r="E468"/>
  <c r="H468" s="1"/>
  <c r="E467"/>
  <c r="H467" s="1"/>
  <c r="E466"/>
  <c r="H466" s="1"/>
  <c r="H515" l="1"/>
  <c r="E457"/>
  <c r="H457" s="1"/>
  <c r="E41" i="68"/>
  <c r="F41" s="1"/>
  <c r="E359" i="7" s="1"/>
  <c r="H359" s="1"/>
  <c r="E54" i="68"/>
  <c r="E53"/>
  <c r="E52"/>
  <c r="E56"/>
  <c r="F56" s="1"/>
  <c r="E382" i="7" s="1"/>
  <c r="H382" s="1"/>
  <c r="E66" i="68"/>
  <c r="E462" i="7" l="1"/>
  <c r="H462" s="1"/>
  <c r="E461"/>
  <c r="H461" s="1"/>
  <c r="E460"/>
  <c r="H460" s="1"/>
  <c r="E459"/>
  <c r="H459" s="1"/>
  <c r="E458"/>
  <c r="H458" s="1"/>
  <c r="E454"/>
  <c r="H454" s="1"/>
  <c r="F67" i="68"/>
  <c r="E379" i="7" s="1"/>
  <c r="H379" s="1"/>
  <c r="E453"/>
  <c r="H453" s="1"/>
  <c r="E451"/>
  <c r="H451" s="1"/>
  <c r="E450"/>
  <c r="H450" s="1"/>
  <c r="E449"/>
  <c r="H449" s="1"/>
  <c r="E448"/>
  <c r="H448" s="1"/>
  <c r="H464" l="1"/>
  <c r="E241"/>
  <c r="H241" s="1"/>
  <c r="E240"/>
  <c r="H240" s="1"/>
  <c r="F65" i="69"/>
  <c r="E268" i="7" s="1"/>
  <c r="H268" s="1"/>
  <c r="F62" i="69"/>
  <c r="E242" i="7" s="1"/>
  <c r="H242" s="1"/>
  <c r="E58" i="69"/>
  <c r="F58" s="1"/>
  <c r="E264" i="7" s="1"/>
  <c r="H264" s="1"/>
  <c r="E57" i="69"/>
  <c r="F57" s="1"/>
  <c r="E263" i="7" s="1"/>
  <c r="H263" s="1"/>
  <c r="F56" i="69"/>
  <c r="E262" i="7" s="1"/>
  <c r="H262" s="1"/>
  <c r="F55" i="69"/>
  <c r="E443" i="7" s="1"/>
  <c r="H443" s="1"/>
  <c r="H444" s="1"/>
  <c r="F54" i="69"/>
  <c r="E261" i="7" s="1"/>
  <c r="H261" s="1"/>
  <c r="F53" i="69"/>
  <c r="E260" i="7" s="1"/>
  <c r="H260" s="1"/>
  <c r="E34" i="69"/>
  <c r="F34" s="1"/>
  <c r="E235" i="7" s="1"/>
  <c r="H235" s="1"/>
  <c r="F33" i="69"/>
  <c r="E236" i="7" s="1"/>
  <c r="H236" s="1"/>
  <c r="E32" i="69"/>
  <c r="F32" s="1"/>
  <c r="F31"/>
  <c r="E234" i="7" s="1"/>
  <c r="H234" s="1"/>
  <c r="F29" i="69"/>
  <c r="E232" i="7" s="1"/>
  <c r="H232" s="1"/>
  <c r="F25" i="69"/>
  <c r="E248" i="7" s="1"/>
  <c r="H248" s="1"/>
  <c r="E24" i="69"/>
  <c r="F24" s="1"/>
  <c r="E23"/>
  <c r="F23" s="1"/>
  <c r="E247" i="7" s="1"/>
  <c r="H247" s="1"/>
  <c r="F22" i="69"/>
  <c r="E246" i="7" s="1"/>
  <c r="H246" s="1"/>
  <c r="F21" i="69"/>
  <c r="E245" i="7" s="1"/>
  <c r="H245" s="1"/>
  <c r="E18" i="69"/>
  <c r="F18" s="1"/>
  <c r="E15"/>
  <c r="F15" s="1"/>
  <c r="E221" i="7" s="1"/>
  <c r="H221" s="1"/>
  <c r="E14" i="69"/>
  <c r="F14" s="1"/>
  <c r="E220" i="7" s="1"/>
  <c r="H220" s="1"/>
  <c r="E13" i="69"/>
  <c r="F13" s="1"/>
  <c r="E218" i="7" s="1"/>
  <c r="H218" s="1"/>
  <c r="E12" i="69"/>
  <c r="F12" s="1"/>
  <c r="E217" i="7" s="1"/>
  <c r="H217" s="1"/>
  <c r="E11" i="69"/>
  <c r="F11" s="1"/>
  <c r="E219" i="7" s="1"/>
  <c r="H219" s="1"/>
  <c r="F7" i="69"/>
  <c r="E237" i="7" s="1"/>
  <c r="H237" s="1"/>
  <c r="F4" i="69"/>
  <c r="H249" i="7" l="1"/>
  <c r="H266"/>
  <c r="H243"/>
  <c r="E30" i="69"/>
  <c r="F30" s="1"/>
  <c r="E233" i="7" s="1"/>
  <c r="H233" s="1"/>
  <c r="F28" i="69"/>
  <c r="E231" i="7" s="1"/>
  <c r="H231" s="1"/>
  <c r="H238" s="1"/>
  <c r="F10" i="69"/>
  <c r="E216" i="7" s="1"/>
  <c r="H216" s="1"/>
  <c r="H222" s="1"/>
  <c r="F39" i="68" l="1"/>
  <c r="E26"/>
  <c r="F26" s="1"/>
  <c r="E337" i="7" s="1"/>
  <c r="H337" s="1"/>
  <c r="F77" i="68"/>
  <c r="E402" i="7" s="1"/>
  <c r="H402" s="1"/>
  <c r="F74" i="68"/>
  <c r="E360" i="7" s="1"/>
  <c r="H360" s="1"/>
  <c r="F71" i="68"/>
  <c r="E397" i="7" s="1"/>
  <c r="H397" s="1"/>
  <c r="F70" i="68"/>
  <c r="E396" i="7" s="1"/>
  <c r="H396" s="1"/>
  <c r="F69" i="68"/>
  <c r="E398" i="7" s="1"/>
  <c r="H398" s="1"/>
  <c r="F68" i="68"/>
  <c r="E380" i="7" s="1"/>
  <c r="H380" s="1"/>
  <c r="F66" i="68"/>
  <c r="E378" i="7" s="1"/>
  <c r="H378" s="1"/>
  <c r="F65" i="68"/>
  <c r="F64"/>
  <c r="E394" i="7" s="1"/>
  <c r="H394" s="1"/>
  <c r="F63" i="68"/>
  <c r="E393" i="7" s="1"/>
  <c r="H393" s="1"/>
  <c r="F62" i="68"/>
  <c r="E392" i="7" s="1"/>
  <c r="H392" s="1"/>
  <c r="F61" i="68"/>
  <c r="E391" i="7" s="1"/>
  <c r="H391" s="1"/>
  <c r="F60" i="68"/>
  <c r="E390" i="7" s="1"/>
  <c r="H390" s="1"/>
  <c r="E59" i="68"/>
  <c r="F59" s="1"/>
  <c r="E389" i="7" s="1"/>
  <c r="H389" s="1"/>
  <c r="F55" i="68"/>
  <c r="F54"/>
  <c r="E377" i="7" s="1"/>
  <c r="H377" s="1"/>
  <c r="F53" i="68"/>
  <c r="E376" i="7" s="1"/>
  <c r="H376" s="1"/>
  <c r="F52" i="68"/>
  <c r="E375" i="7" s="1"/>
  <c r="H375" s="1"/>
  <c r="F50" i="68"/>
  <c r="F49"/>
  <c r="E372" i="7" s="1"/>
  <c r="H372" s="1"/>
  <c r="F48" i="68"/>
  <c r="E371" i="7" s="1"/>
  <c r="H371" s="1"/>
  <c r="E45" i="68"/>
  <c r="F45" s="1"/>
  <c r="E386" i="7" s="1"/>
  <c r="H386" s="1"/>
  <c r="E44" i="68"/>
  <c r="F44" s="1"/>
  <c r="E385" i="7" s="1"/>
  <c r="H385" s="1"/>
  <c r="E40" i="68"/>
  <c r="F40" s="1"/>
  <c r="E358" i="7" s="1"/>
  <c r="H358" s="1"/>
  <c r="F38" i="68"/>
  <c r="F35"/>
  <c r="E354" i="7" s="1"/>
  <c r="H354" s="1"/>
  <c r="F34" i="68"/>
  <c r="E353" i="7" s="1"/>
  <c r="H353" s="1"/>
  <c r="F33" i="68"/>
  <c r="E28"/>
  <c r="F28" s="1"/>
  <c r="E27"/>
  <c r="F27" s="1"/>
  <c r="F25"/>
  <c r="E338" i="7" s="1"/>
  <c r="H338" s="1"/>
  <c r="E22" i="68"/>
  <c r="F22" s="1"/>
  <c r="E346" i="7" s="1"/>
  <c r="H346" s="1"/>
  <c r="E21" i="68"/>
  <c r="F21" s="1"/>
  <c r="E20"/>
  <c r="F20" s="1"/>
  <c r="E19"/>
  <c r="F19" s="1"/>
  <c r="E345" i="7" s="1"/>
  <c r="H345" s="1"/>
  <c r="E16" i="68"/>
  <c r="F16" s="1"/>
  <c r="E332" i="7" s="1"/>
  <c r="H332" s="1"/>
  <c r="E15" i="68"/>
  <c r="F15" s="1"/>
  <c r="E333" i="7" s="1"/>
  <c r="H333" s="1"/>
  <c r="E14" i="68"/>
  <c r="F14" s="1"/>
  <c r="E330" i="7" s="1"/>
  <c r="H330" s="1"/>
  <c r="E13" i="68"/>
  <c r="F13" s="1"/>
  <c r="E329" i="7" s="1"/>
  <c r="H329" s="1"/>
  <c r="E12" i="68"/>
  <c r="F12" s="1"/>
  <c r="E331" i="7" s="1"/>
  <c r="H331" s="1"/>
  <c r="F11" i="68"/>
  <c r="E334" i="7" s="1"/>
  <c r="H334" s="1"/>
  <c r="F10" i="68"/>
  <c r="E328" i="7" s="1"/>
  <c r="H328" s="1"/>
  <c r="F7" i="68"/>
  <c r="E355" i="7" s="1"/>
  <c r="H355" s="1"/>
  <c r="F4" i="68"/>
  <c r="H361" i="7" l="1"/>
  <c r="H335"/>
  <c r="H387"/>
  <c r="E347"/>
  <c r="H347" s="1"/>
  <c r="E399"/>
  <c r="H399" s="1"/>
  <c r="H400" s="1"/>
  <c r="E339"/>
  <c r="H339" s="1"/>
  <c r="H340" s="1"/>
  <c r="D60" i="9"/>
  <c r="C54" i="8" s="1"/>
  <c r="S54" s="1"/>
  <c r="T54" s="1"/>
  <c r="E373" i="7"/>
  <c r="H373" s="1"/>
  <c r="H383" s="1"/>
  <c r="F51" i="68"/>
  <c r="D57" i="9" l="1"/>
  <c r="C51" i="8" s="1"/>
  <c r="Q51" s="1"/>
  <c r="R51" s="1"/>
  <c r="D54" i="9"/>
  <c r="C48" i="8" s="1"/>
  <c r="F31" i="68"/>
  <c r="E351" i="7" s="1"/>
  <c r="H351" s="1"/>
  <c r="F32" i="68"/>
  <c r="E352" i="7" s="1"/>
  <c r="H352" s="1"/>
  <c r="H356" l="1"/>
  <c r="S48" i="8"/>
  <c r="T48" s="1"/>
  <c r="Q48"/>
  <c r="R48" s="1"/>
  <c r="E698" i="7"/>
  <c r="H698" s="1"/>
  <c r="E697"/>
  <c r="H697" s="1"/>
  <c r="E723" l="1"/>
  <c r="H723" s="1"/>
  <c r="E716"/>
  <c r="H716" s="1"/>
  <c r="E715"/>
  <c r="H715" s="1"/>
  <c r="E714"/>
  <c r="H714" s="1"/>
  <c r="E727"/>
  <c r="H727" s="1"/>
  <c r="E726"/>
  <c r="H726" s="1"/>
  <c r="E725"/>
  <c r="H725" s="1"/>
  <c r="E724"/>
  <c r="H724" s="1"/>
  <c r="E713"/>
  <c r="H713" s="1"/>
  <c r="E711"/>
  <c r="H711" s="1"/>
  <c r="E710"/>
  <c r="H710" s="1"/>
  <c r="E708"/>
  <c r="H708" s="1"/>
  <c r="E706"/>
  <c r="H706" s="1"/>
  <c r="E704"/>
  <c r="H704" s="1"/>
  <c r="E703"/>
  <c r="H703" s="1"/>
  <c r="E700"/>
  <c r="H700" s="1"/>
  <c r="E699"/>
  <c r="H699" s="1"/>
  <c r="E696"/>
  <c r="H696" s="1"/>
  <c r="E695"/>
  <c r="H695" s="1"/>
  <c r="E694"/>
  <c r="H694" s="1"/>
  <c r="E693"/>
  <c r="H693" s="1"/>
  <c r="E691"/>
  <c r="H691" s="1"/>
  <c r="E690"/>
  <c r="H690" s="1"/>
  <c r="E689"/>
  <c r="H689" s="1"/>
  <c r="E688"/>
  <c r="H688" s="1"/>
  <c r="E687"/>
  <c r="H687" s="1"/>
  <c r="E686"/>
  <c r="H686" s="1"/>
  <c r="E685"/>
  <c r="H685" s="1"/>
  <c r="E684"/>
  <c r="H684" s="1"/>
  <c r="E683"/>
  <c r="H683" s="1"/>
  <c r="E682"/>
  <c r="H682" s="1"/>
  <c r="E681"/>
  <c r="H681" s="1"/>
  <c r="E679"/>
  <c r="H679" s="1"/>
  <c r="E678"/>
  <c r="H678" s="1"/>
  <c r="E677"/>
  <c r="H677" s="1"/>
  <c r="E670"/>
  <c r="H670" s="1"/>
  <c r="E669"/>
  <c r="H669" s="1"/>
  <c r="E668"/>
  <c r="H668" s="1"/>
  <c r="H733" l="1"/>
  <c r="E763"/>
  <c r="H763" s="1"/>
  <c r="E762"/>
  <c r="H762" s="1"/>
  <c r="E761"/>
  <c r="H761" s="1"/>
  <c r="E760"/>
  <c r="H760" s="1"/>
  <c r="E759"/>
  <c r="H759" s="1"/>
  <c r="E758"/>
  <c r="H758" s="1"/>
  <c r="E757"/>
  <c r="H757" s="1"/>
  <c r="E756"/>
  <c r="H756" s="1"/>
  <c r="E755"/>
  <c r="H755" s="1"/>
  <c r="E754"/>
  <c r="H754" s="1"/>
  <c r="E753"/>
  <c r="H753" s="1"/>
  <c r="E749"/>
  <c r="H749" s="1"/>
  <c r="E748"/>
  <c r="H748" s="1"/>
  <c r="E740"/>
  <c r="H740" s="1"/>
  <c r="E736"/>
  <c r="H736" s="1"/>
  <c r="C27" i="66"/>
  <c r="C26"/>
  <c r="E751" i="7"/>
  <c r="H751" s="1"/>
  <c r="E746"/>
  <c r="H746" s="1"/>
  <c r="E743"/>
  <c r="H743" s="1"/>
  <c r="E750"/>
  <c r="H750" s="1"/>
  <c r="E741"/>
  <c r="H741" s="1"/>
  <c r="C9" i="66"/>
  <c r="E739" i="7"/>
  <c r="H739" s="1"/>
  <c r="E752" l="1"/>
  <c r="H752" s="1"/>
  <c r="E742"/>
  <c r="H742" s="1"/>
  <c r="E737"/>
  <c r="H737" s="1"/>
  <c r="E735"/>
  <c r="H735" s="1"/>
  <c r="E747"/>
  <c r="H747" s="1"/>
  <c r="E738"/>
  <c r="H738" s="1"/>
  <c r="E745" l="1"/>
  <c r="H745" s="1"/>
  <c r="E744"/>
  <c r="H744" s="1"/>
  <c r="E662"/>
  <c r="H662" s="1"/>
  <c r="E661"/>
  <c r="H661" s="1"/>
  <c r="E660"/>
  <c r="H660" s="1"/>
  <c r="E659"/>
  <c r="H659" s="1"/>
  <c r="E652"/>
  <c r="H652" s="1"/>
  <c r="F17" i="65"/>
  <c r="E663" i="7" s="1"/>
  <c r="H663" s="1"/>
  <c r="F12" i="65"/>
  <c r="E657" i="7" s="1"/>
  <c r="H657" s="1"/>
  <c r="F11" i="65"/>
  <c r="E658" i="7" s="1"/>
  <c r="H658" s="1"/>
  <c r="F10" i="65"/>
  <c r="E655" i="7" s="1"/>
  <c r="H655" s="1"/>
  <c r="F9" i="65"/>
  <c r="E656" i="7" s="1"/>
  <c r="H656" s="1"/>
  <c r="F8" i="65"/>
  <c r="E653" i="7" s="1"/>
  <c r="H653" s="1"/>
  <c r="F7" i="65"/>
  <c r="E654" i="7" s="1"/>
  <c r="H654" s="1"/>
  <c r="F4" i="65"/>
  <c r="E650" i="7" s="1"/>
  <c r="H650" s="1"/>
  <c r="E5" i="65"/>
  <c r="F5" s="1"/>
  <c r="E651" i="7" s="1"/>
  <c r="H651" s="1"/>
  <c r="F3" i="65"/>
  <c r="E649" i="7" s="1"/>
  <c r="H649" s="1"/>
  <c r="H764" l="1"/>
  <c r="H664"/>
  <c r="E325"/>
  <c r="H325" s="1"/>
  <c r="H326" s="1"/>
  <c r="E81" l="1"/>
  <c r="H81" s="1"/>
  <c r="H89" s="1"/>
  <c r="A64" i="8" l="1"/>
  <c r="A65"/>
  <c r="A66"/>
  <c r="A67"/>
  <c r="A68"/>
  <c r="A69"/>
  <c r="A70"/>
  <c r="A71"/>
  <c r="A72"/>
  <c r="A73"/>
  <c r="A74"/>
  <c r="A75"/>
  <c r="A76"/>
  <c r="A63"/>
  <c r="A59"/>
  <c r="A60"/>
  <c r="A61"/>
  <c r="A58"/>
  <c r="A46"/>
  <c r="B52" i="9"/>
  <c r="B46" i="8" s="1"/>
  <c r="A84" l="1"/>
  <c r="A85"/>
  <c r="A86"/>
  <c r="A87"/>
  <c r="A78"/>
  <c r="A43"/>
  <c r="A44"/>
  <c r="A45"/>
  <c r="A29"/>
  <c r="A30"/>
  <c r="A31"/>
  <c r="A32"/>
  <c r="A33"/>
  <c r="A34"/>
  <c r="A35"/>
  <c r="A36"/>
  <c r="A37"/>
  <c r="A38"/>
  <c r="A39"/>
  <c r="A40"/>
  <c r="A13"/>
  <c r="A14"/>
  <c r="A15"/>
  <c r="A16"/>
  <c r="A17"/>
  <c r="A18"/>
  <c r="A19"/>
  <c r="A20"/>
  <c r="A21"/>
  <c r="A22"/>
  <c r="A23"/>
  <c r="A24"/>
  <c r="A25"/>
  <c r="A26"/>
  <c r="A12"/>
  <c r="A10"/>
  <c r="A77"/>
  <c r="A62"/>
  <c r="A57"/>
  <c r="A41"/>
  <c r="A27"/>
  <c r="A11"/>
  <c r="A8"/>
  <c r="A9"/>
  <c r="B87" i="9"/>
  <c r="B78" i="8" s="1"/>
  <c r="B84" i="9"/>
  <c r="B76" i="8" s="1"/>
  <c r="B83" i="9"/>
  <c r="B75" i="8" s="1"/>
  <c r="B82" i="9"/>
  <c r="B74" i="8" s="1"/>
  <c r="B81" i="9"/>
  <c r="B73" i="8" s="1"/>
  <c r="B80" i="9"/>
  <c r="B72" i="8" s="1"/>
  <c r="B79" i="9"/>
  <c r="B71" i="8" s="1"/>
  <c r="B78" i="9"/>
  <c r="B70" i="8" s="1"/>
  <c r="B77" i="9"/>
  <c r="B69" i="8" s="1"/>
  <c r="B76" i="9"/>
  <c r="B68" i="8" s="1"/>
  <c r="B75" i="9"/>
  <c r="B67" i="8" s="1"/>
  <c r="B74" i="9"/>
  <c r="B66" i="8" s="1"/>
  <c r="B73" i="9"/>
  <c r="B65" i="8" s="1"/>
  <c r="B72" i="9"/>
  <c r="B64" i="8" s="1"/>
  <c r="B71" i="9"/>
  <c r="B63" i="8" s="1"/>
  <c r="B68" i="9"/>
  <c r="B61" i="8" s="1"/>
  <c r="B67" i="9"/>
  <c r="B60" i="8" s="1"/>
  <c r="B66" i="9"/>
  <c r="B59" i="8" s="1"/>
  <c r="B65" i="9"/>
  <c r="B58" i="8" s="1"/>
  <c r="B56"/>
  <c r="B55"/>
  <c r="B53"/>
  <c r="B52"/>
  <c r="B50"/>
  <c r="B55" i="9"/>
  <c r="B49" i="8" s="1"/>
  <c r="B53" i="9"/>
  <c r="B47" i="8" s="1"/>
  <c r="B51" i="9"/>
  <c r="B45" i="8" s="1"/>
  <c r="B50" i="9"/>
  <c r="B44" i="8" s="1"/>
  <c r="B49" i="9"/>
  <c r="B43" i="8" s="1"/>
  <c r="B48" i="9"/>
  <c r="B42" i="8" s="1"/>
  <c r="B45" i="9"/>
  <c r="B40" i="8" s="1"/>
  <c r="B44" i="9"/>
  <c r="B39" i="8" s="1"/>
  <c r="B43" i="9"/>
  <c r="B38" i="8" s="1"/>
  <c r="B42" i="9"/>
  <c r="B37" i="8" s="1"/>
  <c r="B41" i="9"/>
  <c r="B36" i="8" s="1"/>
  <c r="B40" i="9"/>
  <c r="B35" i="8" s="1"/>
  <c r="B39" i="9"/>
  <c r="B34" i="8" s="1"/>
  <c r="B38" i="9"/>
  <c r="B33" i="8" s="1"/>
  <c r="B37" i="9"/>
  <c r="B32" i="8" s="1"/>
  <c r="B36" i="9"/>
  <c r="B31" i="8" s="1"/>
  <c r="B35" i="9"/>
  <c r="B30" i="8" s="1"/>
  <c r="B34" i="9"/>
  <c r="B29" i="8" s="1"/>
  <c r="B33" i="9"/>
  <c r="B28" i="8" s="1"/>
  <c r="B30" i="9"/>
  <c r="B26" i="8" s="1"/>
  <c r="B29" i="9"/>
  <c r="B25" i="8" s="1"/>
  <c r="B28" i="9"/>
  <c r="B24" i="8" s="1"/>
  <c r="B27" i="9"/>
  <c r="B23" i="8" s="1"/>
  <c r="B26" i="9"/>
  <c r="B22" i="8" s="1"/>
  <c r="B25" i="9"/>
  <c r="B21" i="8" s="1"/>
  <c r="B24" i="9"/>
  <c r="B20" i="8" s="1"/>
  <c r="B23" i="9"/>
  <c r="B19" i="8" s="1"/>
  <c r="B22" i="9"/>
  <c r="B18" i="8" s="1"/>
  <c r="B21" i="9"/>
  <c r="B17" i="8" s="1"/>
  <c r="B20" i="9"/>
  <c r="B16" i="8" s="1"/>
  <c r="B19" i="9"/>
  <c r="B15" i="8" s="1"/>
  <c r="B18" i="9"/>
  <c r="B14" i="8" s="1"/>
  <c r="B17" i="9"/>
  <c r="B13" i="8" s="1"/>
  <c r="B16" i="9"/>
  <c r="B12" i="8" s="1"/>
  <c r="B13" i="9"/>
  <c r="B10" i="8" s="1"/>
  <c r="B12" i="9"/>
  <c r="B9" i="8" s="1"/>
  <c r="H665" i="7" l="1"/>
  <c r="D87" i="9"/>
  <c r="C78" i="8" s="1"/>
  <c r="U78" l="1"/>
  <c r="V78" s="1"/>
  <c r="S78"/>
  <c r="T78" s="1"/>
  <c r="D88" i="9"/>
  <c r="H403" i="7" l="1"/>
  <c r="H269"/>
  <c r="D79" i="9" l="1"/>
  <c r="C71" i="8" s="1"/>
  <c r="S71" s="1"/>
  <c r="T71" s="1"/>
  <c r="D82" i="9"/>
  <c r="C74" i="8" s="1"/>
  <c r="U74" s="1"/>
  <c r="V74" s="1"/>
  <c r="D73" i="9"/>
  <c r="C65" i="8" s="1"/>
  <c r="U65" s="1"/>
  <c r="V65" s="1"/>
  <c r="D84" i="9"/>
  <c r="C76" i="8" s="1"/>
  <c r="U76" s="1"/>
  <c r="V76" s="1"/>
  <c r="D65" i="9"/>
  <c r="D80"/>
  <c r="C72" i="8" s="1"/>
  <c r="U72" s="1"/>
  <c r="V72" s="1"/>
  <c r="D83" i="9"/>
  <c r="C75" i="8" s="1"/>
  <c r="D72" i="9"/>
  <c r="C64" i="8" s="1"/>
  <c r="S64" s="1"/>
  <c r="T64" s="1"/>
  <c r="D74" i="9"/>
  <c r="C66" i="8" s="1"/>
  <c r="S66" s="1"/>
  <c r="T66" s="1"/>
  <c r="D76" i="9"/>
  <c r="C68" i="8" s="1"/>
  <c r="S68" s="1"/>
  <c r="T68" s="1"/>
  <c r="D78" i="9"/>
  <c r="C70" i="8" s="1"/>
  <c r="U70" s="1"/>
  <c r="V70" s="1"/>
  <c r="D71" i="9"/>
  <c r="D77"/>
  <c r="C69" i="8" s="1"/>
  <c r="U69" s="1"/>
  <c r="V69" s="1"/>
  <c r="D62" i="9"/>
  <c r="C56" i="8" s="1"/>
  <c r="W56" s="1"/>
  <c r="X56" s="1"/>
  <c r="C63" l="1"/>
  <c r="G63" s="1"/>
  <c r="H63" s="1"/>
  <c r="C58"/>
  <c r="W58" s="1"/>
  <c r="X58" s="1"/>
  <c r="H845" i="7"/>
  <c r="D45" i="9"/>
  <c r="C40" i="8" s="1"/>
  <c r="U40" s="1"/>
  <c r="V40" s="1"/>
  <c r="D75" i="9"/>
  <c r="C67" i="8" s="1"/>
  <c r="S67" s="1"/>
  <c r="T67" s="1"/>
  <c r="U75"/>
  <c r="V75" s="1"/>
  <c r="S75"/>
  <c r="T75" s="1"/>
  <c r="Q75"/>
  <c r="R75" s="1"/>
  <c r="D58" i="9" l="1"/>
  <c r="C52" i="8" s="1"/>
  <c r="D21" i="9" l="1"/>
  <c r="C17" i="8" s="1"/>
  <c r="D59" i="9"/>
  <c r="C53" i="8" s="1"/>
  <c r="D42" i="9" l="1"/>
  <c r="C37" i="8" s="1"/>
  <c r="Q37" s="1"/>
  <c r="R37" s="1"/>
  <c r="D33" i="9"/>
  <c r="C28" i="8" l="1"/>
  <c r="E28" s="1"/>
  <c r="G28" l="1"/>
  <c r="C24" l="1"/>
  <c r="S24" s="1"/>
  <c r="D22" i="9" l="1"/>
  <c r="C18" i="8" s="1"/>
  <c r="E225" i="7"/>
  <c r="H225" l="1"/>
  <c r="D41" i="9"/>
  <c r="C36" i="8" s="1"/>
  <c r="S36" s="1"/>
  <c r="T36" s="1"/>
  <c r="D38" i="9"/>
  <c r="C33" i="8" s="1"/>
  <c r="H229" i="7" l="1"/>
  <c r="D39" i="9" s="1"/>
  <c r="C34" i="8" s="1"/>
  <c r="Q34" s="1"/>
  <c r="R34" s="1"/>
  <c r="D40" i="9"/>
  <c r="C35" i="8" s="1"/>
  <c r="S35" s="1"/>
  <c r="T35" s="1"/>
  <c r="M33"/>
  <c r="N33" s="1"/>
  <c r="O33"/>
  <c r="P33" s="1"/>
  <c r="D56" i="9"/>
  <c r="C50" i="8" l="1"/>
  <c r="D43" i="9"/>
  <c r="C38" i="8" s="1"/>
  <c r="S38" s="1"/>
  <c r="T38" s="1"/>
  <c r="D53" i="9" l="1"/>
  <c r="C47" i="8" s="1"/>
  <c r="D23" i="9" l="1"/>
  <c r="C19" i="8" s="1"/>
  <c r="D24" i="9" l="1"/>
  <c r="C20" i="8" s="1"/>
  <c r="D37" i="9" l="1"/>
  <c r="C32" i="8" s="1"/>
  <c r="M32" s="1"/>
  <c r="N32" s="1"/>
  <c r="E418" i="7" l="1"/>
  <c r="H418" s="1"/>
  <c r="E426" l="1"/>
  <c r="H426" s="1"/>
  <c r="H431" s="1"/>
  <c r="D66" i="9" l="1"/>
  <c r="C59" i="8" l="1"/>
  <c r="S59" s="1"/>
  <c r="T59" s="1"/>
  <c r="E343" i="7" l="1"/>
  <c r="H343" s="1"/>
  <c r="H349" s="1"/>
  <c r="D51" i="9" l="1"/>
  <c r="C45" i="8" s="1"/>
  <c r="D50" i="9"/>
  <c r="C44" i="8" s="1"/>
  <c r="D52" i="9"/>
  <c r="C46" i="8" s="1"/>
  <c r="E294" i="7"/>
  <c r="H294" s="1"/>
  <c r="H296" s="1"/>
  <c r="E187"/>
  <c r="H187" s="1"/>
  <c r="H189" s="1"/>
  <c r="D48" i="9" l="1"/>
  <c r="O46" i="8"/>
  <c r="P46" s="1"/>
  <c r="M46"/>
  <c r="N46" s="1"/>
  <c r="D35" i="9"/>
  <c r="C30" i="8" s="1"/>
  <c r="D55" i="9"/>
  <c r="C49" i="8" s="1"/>
  <c r="S49" s="1"/>
  <c r="T49" s="1"/>
  <c r="M45"/>
  <c r="N45" s="1"/>
  <c r="K45"/>
  <c r="L45" s="1"/>
  <c r="I45"/>
  <c r="J45" s="1"/>
  <c r="K44"/>
  <c r="L44" s="1"/>
  <c r="I44"/>
  <c r="J44" s="1"/>
  <c r="C42" l="1"/>
  <c r="D34" i="9"/>
  <c r="D36"/>
  <c r="C31" i="8" s="1"/>
  <c r="M31" s="1"/>
  <c r="N31" s="1"/>
  <c r="I30"/>
  <c r="J30" s="1"/>
  <c r="K30"/>
  <c r="L30" s="1"/>
  <c r="Q49"/>
  <c r="R49" s="1"/>
  <c r="D49" i="9"/>
  <c r="C43" i="8" s="1"/>
  <c r="E42" l="1"/>
  <c r="G42"/>
  <c r="C29"/>
  <c r="K31"/>
  <c r="L31" s="1"/>
  <c r="I43"/>
  <c r="J43" s="1"/>
  <c r="G43"/>
  <c r="H43" s="1"/>
  <c r="I29" l="1"/>
  <c r="J29" s="1"/>
  <c r="G29"/>
  <c r="H29" s="1"/>
  <c r="D19" i="9" l="1"/>
  <c r="C15" i="8" s="1"/>
  <c r="D16" i="9"/>
  <c r="C12" i="8" l="1"/>
  <c r="F28" s="1"/>
  <c r="D20" i="9"/>
  <c r="C16" i="8" s="1"/>
  <c r="D18" i="9"/>
  <c r="C14" i="8" s="1"/>
  <c r="E47" i="7"/>
  <c r="H47" s="1"/>
  <c r="H50" s="1"/>
  <c r="D17" i="9" l="1"/>
  <c r="E12" i="8"/>
  <c r="H28"/>
  <c r="F42"/>
  <c r="H42"/>
  <c r="G12"/>
  <c r="M16"/>
  <c r="K16"/>
  <c r="K14"/>
  <c r="L14" s="1"/>
  <c r="I14"/>
  <c r="J14" s="1"/>
  <c r="C13" l="1"/>
  <c r="I13" s="1"/>
  <c r="J13" s="1"/>
  <c r="G13" l="1"/>
  <c r="B5" i="9"/>
  <c r="A81" i="8" l="1"/>
  <c r="A42"/>
  <c r="H646" i="7" l="1"/>
  <c r="D26" i="9"/>
  <c r="C22" i="8" s="1"/>
  <c r="D81" i="9" l="1"/>
  <c r="C73" i="8" s="1"/>
  <c r="U73" s="1"/>
  <c r="V73" s="1"/>
  <c r="D85" i="9" l="1"/>
  <c r="S73" i="8"/>
  <c r="T73" s="1"/>
  <c r="H765" i="7" l="1"/>
  <c r="Q52" i="8"/>
  <c r="R52" s="1"/>
  <c r="M47"/>
  <c r="N47" s="1"/>
  <c r="U53"/>
  <c r="U50"/>
  <c r="O47" l="1"/>
  <c r="P47" s="1"/>
  <c r="K47"/>
  <c r="L47" s="1"/>
  <c r="V53"/>
  <c r="S50"/>
  <c r="T50" s="1"/>
  <c r="V50"/>
  <c r="A83" l="1"/>
  <c r="A82"/>
  <c r="A80"/>
  <c r="A79"/>
  <c r="B97" i="9" l="1"/>
  <c r="B86" i="8" s="1"/>
  <c r="B96" i="9"/>
  <c r="B85" i="8" s="1"/>
  <c r="B95" i="9"/>
  <c r="B84" i="8" s="1"/>
  <c r="B94" i="9"/>
  <c r="B83" i="8" s="1"/>
  <c r="D91" i="9" l="1"/>
  <c r="C81" i="8" s="1"/>
  <c r="W81" l="1"/>
  <c r="X81" s="1"/>
  <c r="S81" l="1"/>
  <c r="T81" s="1"/>
  <c r="O81"/>
  <c r="P81" s="1"/>
  <c r="U81"/>
  <c r="V81" s="1"/>
  <c r="Q81"/>
  <c r="R81" s="1"/>
  <c r="D44" i="9" l="1"/>
  <c r="H270" i="7"/>
  <c r="Q20" i="8"/>
  <c r="R20" s="1"/>
  <c r="O20"/>
  <c r="C39" l="1"/>
  <c r="U39" s="1"/>
  <c r="V39" s="1"/>
  <c r="D46" i="9"/>
  <c r="P20" i="8"/>
  <c r="H404" i="7" l="1"/>
  <c r="D61" i="9" l="1"/>
  <c r="D63" s="1"/>
  <c r="C55" i="8" l="1"/>
  <c r="W55" s="1"/>
  <c r="X55" s="1"/>
  <c r="D67" i="9" l="1"/>
  <c r="C60" i="8" l="1"/>
  <c r="W60" s="1"/>
  <c r="X60" s="1"/>
  <c r="U60" l="1"/>
  <c r="V60" s="1"/>
  <c r="L16" l="1"/>
  <c r="A28" l="1"/>
  <c r="B98" i="9" l="1"/>
  <c r="B87" i="8" s="1"/>
  <c r="B91" i="9"/>
  <c r="B81" i="8" s="1"/>
  <c r="B90" i="9"/>
  <c r="B80" i="8" l="1"/>
  <c r="B1" i="9" l="1"/>
  <c r="D98" l="1"/>
  <c r="C87" i="8" s="1"/>
  <c r="W87" l="1"/>
  <c r="X87" s="1"/>
  <c r="D96" i="9"/>
  <c r="C85" i="8" s="1"/>
  <c r="D97" i="9"/>
  <c r="C86" i="8" s="1"/>
  <c r="D95" i="9"/>
  <c r="C84" i="8" s="1"/>
  <c r="D94" i="9"/>
  <c r="D99" l="1"/>
  <c r="C83" i="8"/>
  <c r="W83" s="1"/>
  <c r="U87"/>
  <c r="V87" s="1"/>
  <c r="Q86"/>
  <c r="R86" s="1"/>
  <c r="W84"/>
  <c r="X84" s="1"/>
  <c r="W85"/>
  <c r="X85" s="1"/>
  <c r="X83" l="1"/>
  <c r="S86"/>
  <c r="T86" s="1"/>
  <c r="U86"/>
  <c r="V86" s="1"/>
  <c r="Q85"/>
  <c r="W86"/>
  <c r="X86" s="1"/>
  <c r="U85"/>
  <c r="S85"/>
  <c r="T85" l="1"/>
  <c r="V85"/>
  <c r="R85"/>
  <c r="H445" i="7" l="1"/>
  <c r="D68" i="9" l="1"/>
  <c r="C61" i="8" s="1"/>
  <c r="W61" s="1"/>
  <c r="X61" s="1"/>
  <c r="D90" i="9"/>
  <c r="D69" l="1"/>
  <c r="C80" i="8"/>
  <c r="U80" s="1"/>
  <c r="V80" s="1"/>
  <c r="D92" i="9"/>
  <c r="S80" i="8" l="1"/>
  <c r="T80" s="1"/>
  <c r="Q80"/>
  <c r="R80" s="1"/>
  <c r="O80"/>
  <c r="P80" s="1"/>
  <c r="O17" l="1"/>
  <c r="P17" s="1"/>
  <c r="D27" i="9" l="1"/>
  <c r="C23" i="8" s="1"/>
  <c r="S23" s="1"/>
  <c r="Q18"/>
  <c r="D25" i="9" l="1"/>
  <c r="R18" i="8"/>
  <c r="C21" l="1"/>
  <c r="S21" s="1"/>
  <c r="T21" s="1"/>
  <c r="D13" i="9"/>
  <c r="C10" i="8" s="1"/>
  <c r="E10" s="1"/>
  <c r="F10" s="1"/>
  <c r="D29" i="9"/>
  <c r="C25" i="8" s="1"/>
  <c r="U25" s="1"/>
  <c r="N16"/>
  <c r="Q21" l="1"/>
  <c r="R21" s="1"/>
  <c r="T24"/>
  <c r="B3" i="9"/>
  <c r="B2"/>
  <c r="B6"/>
  <c r="U2" i="8" l="1"/>
  <c r="R2"/>
  <c r="B3"/>
  <c r="B2"/>
  <c r="B1"/>
  <c r="V25" l="1"/>
  <c r="H9" i="7"/>
  <c r="H10" s="1"/>
  <c r="H26" l="1"/>
  <c r="D12" i="9"/>
  <c r="C9" i="8" s="1"/>
  <c r="O19"/>
  <c r="Q19"/>
  <c r="O9" l="1"/>
  <c r="O88" s="1"/>
  <c r="G9"/>
  <c r="G88" s="1"/>
  <c r="Q9"/>
  <c r="M9"/>
  <c r="W9"/>
  <c r="W88" s="1"/>
  <c r="K9"/>
  <c r="U9"/>
  <c r="S9"/>
  <c r="I9"/>
  <c r="E9"/>
  <c r="D14" i="9"/>
  <c r="R19" i="8"/>
  <c r="P19"/>
  <c r="F9" l="1"/>
  <c r="E88"/>
  <c r="L9"/>
  <c r="X9"/>
  <c r="T9"/>
  <c r="V9"/>
  <c r="H9"/>
  <c r="N9"/>
  <c r="R9"/>
  <c r="J9"/>
  <c r="P9"/>
  <c r="F12"/>
  <c r="H12"/>
  <c r="H13"/>
  <c r="T23" l="1"/>
  <c r="M15" l="1"/>
  <c r="M88" l="1"/>
  <c r="N15"/>
  <c r="K15"/>
  <c r="I15"/>
  <c r="I88" l="1"/>
  <c r="K88"/>
  <c r="L15"/>
  <c r="J15"/>
  <c r="Q22" l="1"/>
  <c r="S22"/>
  <c r="Q88" l="1"/>
  <c r="S88"/>
  <c r="R22"/>
  <c r="T22"/>
  <c r="E163" i="7" l="1"/>
  <c r="H163" s="1"/>
  <c r="H165" s="1"/>
  <c r="D30" i="9" l="1"/>
  <c r="H166" i="7"/>
  <c r="H846" s="1"/>
  <c r="A847"/>
  <c r="A101" i="9" l="1"/>
  <c r="C26" i="8"/>
  <c r="D31" i="9"/>
  <c r="D100" s="1"/>
  <c r="C30" l="1"/>
  <c r="C28"/>
  <c r="D5"/>
  <c r="C48"/>
  <c r="C60"/>
  <c r="C87"/>
  <c r="C45"/>
  <c r="C55"/>
  <c r="C40"/>
  <c r="C61"/>
  <c r="C27"/>
  <c r="C77"/>
  <c r="C58"/>
  <c r="C94"/>
  <c r="C34"/>
  <c r="C59"/>
  <c r="C90"/>
  <c r="C18"/>
  <c r="C19"/>
  <c r="C97"/>
  <c r="C62"/>
  <c r="C81"/>
  <c r="C83"/>
  <c r="C73"/>
  <c r="C26"/>
  <c r="C82"/>
  <c r="C22"/>
  <c r="C74"/>
  <c r="C33"/>
  <c r="C91"/>
  <c r="C67"/>
  <c r="C49"/>
  <c r="C71"/>
  <c r="C36"/>
  <c r="C52"/>
  <c r="C41"/>
  <c r="C25"/>
  <c r="C44"/>
  <c r="C79"/>
  <c r="C39"/>
  <c r="C53"/>
  <c r="C42"/>
  <c r="C98"/>
  <c r="C12"/>
  <c r="C21"/>
  <c r="C16"/>
  <c r="C76"/>
  <c r="C68"/>
  <c r="C80"/>
  <c r="C56"/>
  <c r="C65"/>
  <c r="C13"/>
  <c r="C95"/>
  <c r="C24"/>
  <c r="C29"/>
  <c r="C54"/>
  <c r="C57"/>
  <c r="C50"/>
  <c r="C43"/>
  <c r="C37"/>
  <c r="C38"/>
  <c r="C75"/>
  <c r="C20"/>
  <c r="C35"/>
  <c r="C51"/>
  <c r="C23"/>
  <c r="C78"/>
  <c r="C96"/>
  <c r="C72"/>
  <c r="C66"/>
  <c r="C84"/>
  <c r="C17"/>
  <c r="U26" i="8"/>
  <c r="C88"/>
  <c r="D26" s="1"/>
  <c r="C100" i="9" l="1"/>
  <c r="V26" i="8"/>
  <c r="U88"/>
  <c r="V88" s="1"/>
  <c r="D72"/>
  <c r="D36"/>
  <c r="D55"/>
  <c r="D28"/>
  <c r="D30"/>
  <c r="D18"/>
  <c r="D37"/>
  <c r="D49"/>
  <c r="D86"/>
  <c r="D54"/>
  <c r="D31"/>
  <c r="D53"/>
  <c r="D12"/>
  <c r="D67"/>
  <c r="D47"/>
  <c r="D63"/>
  <c r="D23"/>
  <c r="D43"/>
  <c r="F88"/>
  <c r="D81"/>
  <c r="D78"/>
  <c r="D84"/>
  <c r="D56"/>
  <c r="D34"/>
  <c r="D73"/>
  <c r="D68"/>
  <c r="D9"/>
  <c r="D58"/>
  <c r="D83"/>
  <c r="D29"/>
  <c r="D45"/>
  <c r="D50"/>
  <c r="D19"/>
  <c r="D85"/>
  <c r="D87"/>
  <c r="D60"/>
  <c r="D48"/>
  <c r="D42"/>
  <c r="D52"/>
  <c r="D16"/>
  <c r="D13"/>
  <c r="D10"/>
  <c r="D38"/>
  <c r="D76"/>
  <c r="D69"/>
  <c r="N88"/>
  <c r="D51"/>
  <c r="D39"/>
  <c r="D46"/>
  <c r="D61"/>
  <c r="D65"/>
  <c r="H88"/>
  <c r="D44"/>
  <c r="D70"/>
  <c r="D15"/>
  <c r="L88"/>
  <c r="D24"/>
  <c r="D22"/>
  <c r="X88"/>
  <c r="D80"/>
  <c r="D59"/>
  <c r="P88"/>
  <c r="J88"/>
  <c r="D25"/>
  <c r="D71"/>
  <c r="D66"/>
  <c r="D21"/>
  <c r="D35"/>
  <c r="D64"/>
  <c r="D14"/>
  <c r="D17"/>
  <c r="D20"/>
  <c r="D33"/>
  <c r="T88"/>
  <c r="D74"/>
  <c r="D75"/>
  <c r="D40"/>
  <c r="D32"/>
  <c r="R88"/>
  <c r="D88" l="1"/>
</calcChain>
</file>

<file path=xl/sharedStrings.xml><?xml version="1.0" encoding="utf-8"?>
<sst xmlns="http://schemas.openxmlformats.org/spreadsheetml/2006/main" count="21814" uniqueCount="5296">
  <si>
    <t>ITEM</t>
  </si>
  <si>
    <t>DESCRIÇÃO</t>
  </si>
  <si>
    <t>OBRA</t>
  </si>
  <si>
    <t>%</t>
  </si>
  <si>
    <t>CÓDIGO</t>
  </si>
  <si>
    <t>UND</t>
  </si>
  <si>
    <t>QNT</t>
  </si>
  <si>
    <t>P. UNT</t>
  </si>
  <si>
    <t>P. TOTAL</t>
  </si>
  <si>
    <t>SERVIÇOS  PRELIMINARES</t>
  </si>
  <si>
    <t>M²</t>
  </si>
  <si>
    <t>PISOS</t>
  </si>
  <si>
    <t>PINTURA</t>
  </si>
  <si>
    <t>LIMPEZA</t>
  </si>
  <si>
    <t>TOTAL DO ITEM</t>
  </si>
  <si>
    <t>1.0</t>
  </si>
  <si>
    <t>1.1</t>
  </si>
  <si>
    <t>2.0</t>
  </si>
  <si>
    <t>2.1</t>
  </si>
  <si>
    <t>2.2</t>
  </si>
  <si>
    <t>3.0</t>
  </si>
  <si>
    <t>3.1</t>
  </si>
  <si>
    <t>3.2</t>
  </si>
  <si>
    <t>4.0</t>
  </si>
  <si>
    <t>4.1</t>
  </si>
  <si>
    <t>4.2</t>
  </si>
  <si>
    <t>4.3</t>
  </si>
  <si>
    <t>4.4</t>
  </si>
  <si>
    <t>4.5</t>
  </si>
  <si>
    <t>5.0</t>
  </si>
  <si>
    <t>5.1</t>
  </si>
  <si>
    <t>5.2</t>
  </si>
  <si>
    <t>6.0</t>
  </si>
  <si>
    <t>6.1</t>
  </si>
  <si>
    <t>BDI:</t>
  </si>
  <si>
    <t>PREÇO GLOBAL</t>
  </si>
  <si>
    <t>PLANILHA ORÇAMENTÁRIA</t>
  </si>
  <si>
    <t>VALOR</t>
  </si>
  <si>
    <t>MÊS 01</t>
  </si>
  <si>
    <t>VALOR (R$)</t>
  </si>
  <si>
    <t>MÊS 02</t>
  </si>
  <si>
    <t>MÊS 03</t>
  </si>
  <si>
    <t>MÊS 04</t>
  </si>
  <si>
    <t>TOTAL</t>
  </si>
  <si>
    <t>Município</t>
  </si>
  <si>
    <t>Endereço</t>
  </si>
  <si>
    <t>Referência:</t>
  </si>
  <si>
    <t>Referência</t>
  </si>
  <si>
    <t>Custo por m²:</t>
  </si>
  <si>
    <t>PLANILHA RESUMO</t>
  </si>
  <si>
    <t>P. BASE</t>
  </si>
  <si>
    <t>4.6</t>
  </si>
  <si>
    <t>4.7</t>
  </si>
  <si>
    <t>4.8</t>
  </si>
  <si>
    <t>4.9</t>
  </si>
  <si>
    <t>4.10</t>
  </si>
  <si>
    <t>URBANIZAÇÃO E PAISAGISMO</t>
  </si>
  <si>
    <t>UN</t>
  </si>
  <si>
    <t>SERVIÇOS TÉCNICOS - PROJETOS</t>
  </si>
  <si>
    <t>SERVIÇOS PRELIMINARES</t>
  </si>
  <si>
    <t>Item</t>
  </si>
  <si>
    <t>Serviços</t>
  </si>
  <si>
    <t>Memória Cálculo</t>
  </si>
  <si>
    <t>Un</t>
  </si>
  <si>
    <t>Quant.</t>
  </si>
  <si>
    <t>ok</t>
  </si>
  <si>
    <t>LIMPEZA DA OBRA</t>
  </si>
  <si>
    <t>Limpeza Geral</t>
  </si>
  <si>
    <t>ADMINISTRAÇÃO DE OBRA</t>
  </si>
  <si>
    <t>Fornecimento e instalação de placa de obra, padrão Governo de Mato Grosso, tamanho 5,00x2,50m</t>
  </si>
  <si>
    <t>Und</t>
  </si>
  <si>
    <t>Limpeza mecanizada de terreno com remoção de camada vegetal, utilizando motoniveladora</t>
  </si>
  <si>
    <t>73822/002</t>
  </si>
  <si>
    <t>m2</t>
  </si>
  <si>
    <t>Locação de obra, execução de gabarito</t>
  </si>
  <si>
    <t>COBERTURA</t>
  </si>
  <si>
    <t>m</t>
  </si>
  <si>
    <t>2.3</t>
  </si>
  <si>
    <t>2.4</t>
  </si>
  <si>
    <t>ESQUADRIAS</t>
  </si>
  <si>
    <t>SDC01002</t>
  </si>
  <si>
    <t>REVESTIMENTO</t>
  </si>
  <si>
    <t>SERVIÇOS COMPLEMENTARES</t>
  </si>
  <si>
    <t>2.5</t>
  </si>
  <si>
    <t>5.3</t>
  </si>
  <si>
    <t>5.4</t>
  </si>
  <si>
    <t>5.5</t>
  </si>
  <si>
    <t>5.6</t>
  </si>
  <si>
    <t>FORROS E DIVISÓRIAS</t>
  </si>
  <si>
    <t>5.7</t>
  </si>
  <si>
    <t>Administração de Obra</t>
  </si>
  <si>
    <t>mês</t>
  </si>
  <si>
    <t>2.6</t>
  </si>
  <si>
    <t>2.7</t>
  </si>
  <si>
    <t>KG</t>
  </si>
  <si>
    <t>ELEMENTOS DE VEDAÇÃO</t>
  </si>
  <si>
    <t>7.1</t>
  </si>
  <si>
    <t>7.2</t>
  </si>
  <si>
    <t>Telha Isotérmica</t>
  </si>
  <si>
    <t>7.3</t>
  </si>
  <si>
    <t>7.4</t>
  </si>
  <si>
    <t>M</t>
  </si>
  <si>
    <t>8.1</t>
  </si>
  <si>
    <t>8.2</t>
  </si>
  <si>
    <t>8.3</t>
  </si>
  <si>
    <t>8.4</t>
  </si>
  <si>
    <t>8.5</t>
  </si>
  <si>
    <t>8.6</t>
  </si>
  <si>
    <t>m²</t>
  </si>
  <si>
    <t>REVESTIMENTOS</t>
  </si>
  <si>
    <t>9.1</t>
  </si>
  <si>
    <t>Chapisco</t>
  </si>
  <si>
    <t>9.2</t>
  </si>
  <si>
    <t>9.3</t>
  </si>
  <si>
    <t>10.1</t>
  </si>
  <si>
    <t xml:space="preserve">porcelanato </t>
  </si>
  <si>
    <t>11.1</t>
  </si>
  <si>
    <t>12.1</t>
  </si>
  <si>
    <t>12.2</t>
  </si>
  <si>
    <t>13.1</t>
  </si>
  <si>
    <t>Quadro Novo</t>
  </si>
  <si>
    <t>13.2</t>
  </si>
  <si>
    <t>14.1</t>
  </si>
  <si>
    <t>Espelho</t>
  </si>
  <si>
    <t>6.2</t>
  </si>
  <si>
    <t>6.3</t>
  </si>
  <si>
    <t>7.0</t>
  </si>
  <si>
    <t>7.5</t>
  </si>
  <si>
    <t>m3</t>
  </si>
  <si>
    <t>9.4</t>
  </si>
  <si>
    <t>9.5</t>
  </si>
  <si>
    <t>9.6</t>
  </si>
  <si>
    <t>10.2</t>
  </si>
  <si>
    <t>11.2</t>
  </si>
  <si>
    <t>11.3</t>
  </si>
  <si>
    <t>11.4</t>
  </si>
  <si>
    <t>1 unidade</t>
  </si>
  <si>
    <t>ACESSIBILIDADE</t>
  </si>
  <si>
    <t>Mapa</t>
  </si>
  <si>
    <t>8.0</t>
  </si>
  <si>
    <t>9.0</t>
  </si>
  <si>
    <t>10.0</t>
  </si>
  <si>
    <t>13.0</t>
  </si>
  <si>
    <t>13.3</t>
  </si>
  <si>
    <t>13.4</t>
  </si>
  <si>
    <t>13.5</t>
  </si>
  <si>
    <t>14.0</t>
  </si>
  <si>
    <t>11.5</t>
  </si>
  <si>
    <t>Ligação de Água</t>
  </si>
  <si>
    <t>Ligação Elétrica</t>
  </si>
  <si>
    <t>Plan. Orçamentária</t>
  </si>
  <si>
    <t>Divisorias de granito banheiros</t>
  </si>
  <si>
    <t>FORMA PARA FUNDAÇÃO (m2)</t>
  </si>
  <si>
    <t>74106/001</t>
  </si>
  <si>
    <t>CONTRAPISO ARMADO</t>
  </si>
  <si>
    <t>-</t>
  </si>
  <si>
    <t>74005/002</t>
  </si>
  <si>
    <t>FUNDAÇÃO</t>
  </si>
  <si>
    <t>MESO ESTRUTURA</t>
  </si>
  <si>
    <t>SUPER ESTRUTURA</t>
  </si>
  <si>
    <t>QUANT.</t>
  </si>
  <si>
    <t>M2</t>
  </si>
  <si>
    <t>M3</t>
  </si>
  <si>
    <t>74130/005</t>
  </si>
  <si>
    <t>74131/006</t>
  </si>
  <si>
    <t>SPDA - SISTEMA DE PROTEÇÃO CONTRA DESCARGA ATMOSFERICAS</t>
  </si>
  <si>
    <t>18.0</t>
  </si>
  <si>
    <t>19.0</t>
  </si>
  <si>
    <t>INSTALAÇÕES ELÉTRICAS E SPDA</t>
  </si>
  <si>
    <t>TOTAL INSTALAÇÕES ELETRICAS E SPDA</t>
  </si>
  <si>
    <t>20.0</t>
  </si>
  <si>
    <t>31.0</t>
  </si>
  <si>
    <t>32.0</t>
  </si>
  <si>
    <t>33.0</t>
  </si>
  <si>
    <t>34.0</t>
  </si>
  <si>
    <t>35.0</t>
  </si>
  <si>
    <t>36.0</t>
  </si>
  <si>
    <t>37.0</t>
  </si>
  <si>
    <t>38.0</t>
  </si>
  <si>
    <t>39.0</t>
  </si>
  <si>
    <t>40.0</t>
  </si>
  <si>
    <t>13.6</t>
  </si>
  <si>
    <t>Mastro para bandeira</t>
  </si>
  <si>
    <t>Totem</t>
  </si>
  <si>
    <t>Bicicletario</t>
  </si>
  <si>
    <t>13.7</t>
  </si>
  <si>
    <t>13.8</t>
  </si>
  <si>
    <t>13.9</t>
  </si>
  <si>
    <t>13.10</t>
  </si>
  <si>
    <t>Barra de apoio 40cm</t>
  </si>
  <si>
    <t>Barra de apoio 80cm</t>
  </si>
  <si>
    <t>INSTALAÇÕES DE GÁS</t>
  </si>
  <si>
    <t>INSTALAÇÕES HIDROSSANITARIAS</t>
  </si>
  <si>
    <t>TOTAL INSTALAÇÕES HIDROSSANITARIAS</t>
  </si>
  <si>
    <t>11.0</t>
  </si>
  <si>
    <t>12.0</t>
  </si>
  <si>
    <t>13.12</t>
  </si>
  <si>
    <t>13.13</t>
  </si>
  <si>
    <t>15.0</t>
  </si>
  <si>
    <t>16.0</t>
  </si>
  <si>
    <t>17.0</t>
  </si>
  <si>
    <t>INSTALAÇÕES SANITARIAS</t>
  </si>
  <si>
    <t>VENTILAÇÃO ESGOTO</t>
  </si>
  <si>
    <t>ACESSORIOS E LOUÇAS PARA BANHEIROS PCDs</t>
  </si>
  <si>
    <t>PREVENÇÃO E COMBATE A INCENDIO</t>
  </si>
  <si>
    <t>EXTINTORES DE INCÊNDIO</t>
  </si>
  <si>
    <t>SINALIZAÇÃO - SAIDA DE EMERGENCIA</t>
  </si>
  <si>
    <t>SISTEMA DE ALARME DE EMERGENCIA</t>
  </si>
  <si>
    <t>SISTEMA DE ACIONAMENTO DO HIDRANTE</t>
  </si>
  <si>
    <t>LUMINARIA DE EMERGENCIA</t>
  </si>
  <si>
    <t>PREVENÇÃO E COMBATE A INCÊNDIO</t>
  </si>
  <si>
    <t>Impermeabilização</t>
  </si>
  <si>
    <t>Barracão modelo Seduc</t>
  </si>
  <si>
    <t>Perimetro*2,2 altura tapume 
(3 lados do terreno) 283,70* 2,2 m altura tapume=
624,14</t>
  </si>
  <si>
    <t>TOTAL PREVENÇÃO E COMBATE A INCÊNDIO</t>
  </si>
  <si>
    <t>MÊS 05</t>
  </si>
  <si>
    <t>MÊS 06</t>
  </si>
  <si>
    <t>AC - Administração Central</t>
  </si>
  <si>
    <t>4,00% de PV</t>
  </si>
  <si>
    <t>DF - Custos Financeiros</t>
  </si>
  <si>
    <t>CF do (PV-Lucro Operacional)</t>
  </si>
  <si>
    <t>C - Riscos</t>
  </si>
  <si>
    <t>1,25% de PV</t>
  </si>
  <si>
    <t>S - Seguros e Garantias Contratuais</t>
  </si>
  <si>
    <t>2,50% a.a. sobre 5,00% do PV</t>
  </si>
  <si>
    <t xml:space="preserve">G - Garantias </t>
  </si>
  <si>
    <t>Sub-total</t>
  </si>
  <si>
    <t>E - Lucro Operacional</t>
  </si>
  <si>
    <t>7,50% de PV</t>
  </si>
  <si>
    <t>F - PIS</t>
  </si>
  <si>
    <t>0,65% de PV</t>
  </si>
  <si>
    <t>G - COFINS</t>
  </si>
  <si>
    <t>3,00% de PV</t>
  </si>
  <si>
    <t>H - ISSQN</t>
  </si>
  <si>
    <t>Contribuição Previdenciária - Lei N° 13.161/15</t>
  </si>
  <si>
    <t>Custo Direto - CD</t>
  </si>
  <si>
    <t>Preço de Venda - PV</t>
  </si>
  <si>
    <t>Legenda:</t>
  </si>
  <si>
    <t>CD = Custo Direto</t>
  </si>
  <si>
    <t>Selic Fev/2014 = 10,52%</t>
  </si>
  <si>
    <t>IA = Inflação Acumulada (período de 12 meses - IPCA) = 4,84%</t>
  </si>
  <si>
    <t>CF = ((1 + Selic)¹/¹² x ((1+IA)¹/¹² -1)</t>
  </si>
  <si>
    <t>Seguros e Garantias (2,5% a.a. sobre 5% do PV) - Prazo médio de 1 ano</t>
  </si>
  <si>
    <t>Lucro Operacional conforme Portaria SINFRA n°. 343/05 de 07 de junho de 2005.</t>
  </si>
  <si>
    <t>Localidade / alíquota ISSQN</t>
  </si>
  <si>
    <t>Para Mão de Obra</t>
  </si>
  <si>
    <t>40% sobre alíquota</t>
  </si>
  <si>
    <t>PERÍODO:</t>
  </si>
  <si>
    <t>Período:</t>
  </si>
  <si>
    <t xml:space="preserve">Execução de escritório em canteiro de obra em chapa de madeira compensada, não incluso mobiliário e equipamentos. af_02/2016 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</si>
  <si>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</si>
  <si>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</si>
  <si>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2.9</t>
  </si>
  <si>
    <t>2.10</t>
  </si>
  <si>
    <t>2.11</t>
  </si>
  <si>
    <t>Área interna do terreno</t>
  </si>
  <si>
    <t>Placa padrão SEDUC</t>
  </si>
  <si>
    <t>meio fio reto</t>
  </si>
  <si>
    <t>meio fio curvo</t>
  </si>
  <si>
    <t>pintura de passeio</t>
  </si>
  <si>
    <t>79500/002</t>
  </si>
  <si>
    <t>demarcação piso bicicletário</t>
  </si>
  <si>
    <t>piso paver</t>
  </si>
  <si>
    <t>Grama tipo esmeralda</t>
  </si>
  <si>
    <t>SDC01022</t>
  </si>
  <si>
    <t>Estrutura para forro pvc</t>
  </si>
  <si>
    <t>ESCAVAÇÃO (M3)</t>
  </si>
  <si>
    <t>APILOAMENTO (M2)</t>
  </si>
  <si>
    <t>73964/006</t>
  </si>
  <si>
    <t>2 em cada banheiro 2 PCD = 4</t>
  </si>
  <si>
    <t>3 em cada banheiro 2 PCD = 6</t>
  </si>
  <si>
    <t>7.7</t>
  </si>
  <si>
    <t>7.8</t>
  </si>
  <si>
    <t>7.9</t>
  </si>
  <si>
    <t>16 salas de aula + 1 laboratório de fisica + 1 laboratório de quimica + 1 sala de informatica + sala de reunião = 20</t>
  </si>
  <si>
    <t>Telha de aço</t>
  </si>
  <si>
    <t>Telha policarbonato</t>
  </si>
  <si>
    <t xml:space="preserve">Calha </t>
  </si>
  <si>
    <t>Rufo</t>
  </si>
  <si>
    <t>10 espelhos banheiro + 2 PCD + 2 professores: 0,45*0,55*14</t>
  </si>
  <si>
    <t>Mão Francesa</t>
  </si>
  <si>
    <t>13.16</t>
  </si>
  <si>
    <t>Exaustor</t>
  </si>
  <si>
    <t>CJ</t>
  </si>
  <si>
    <t>m³</t>
  </si>
  <si>
    <t>13.18</t>
  </si>
  <si>
    <t>13.19</t>
  </si>
  <si>
    <t>Volei</t>
  </si>
  <si>
    <t>Granito por m²</t>
  </si>
  <si>
    <t xml:space="preserve">Dep. Ali + Dep Utens + Apoio de pratos = ((6+3)*3)+4= 31 </t>
  </si>
  <si>
    <t>INSTALAÇÕES ELÉTRICAS - BAIXA TENSÃO</t>
  </si>
  <si>
    <t>SDC03003</t>
  </si>
  <si>
    <t>74131/005</t>
  </si>
  <si>
    <t>74131/008</t>
  </si>
  <si>
    <t>74130/006</t>
  </si>
  <si>
    <t>73798/003</t>
  </si>
  <si>
    <t>73798/001</t>
  </si>
  <si>
    <t>11.6</t>
  </si>
  <si>
    <t>2.8</t>
  </si>
  <si>
    <t>6.4</t>
  </si>
  <si>
    <t>6.5</t>
  </si>
  <si>
    <t>6.6</t>
  </si>
  <si>
    <t>6.7</t>
  </si>
  <si>
    <t>6.8</t>
  </si>
  <si>
    <t>7.10</t>
  </si>
  <si>
    <t>Aplicação de massa latex em paredes internas</t>
  </si>
  <si>
    <t>Tinta latéx pva em paredes internas</t>
  </si>
  <si>
    <t>Pintura acrilica em paredes externas</t>
  </si>
  <si>
    <t>impermeabilizante a base de agua</t>
  </si>
  <si>
    <t>Placa de inauguração</t>
  </si>
  <si>
    <t>1 placa de inauguração</t>
  </si>
  <si>
    <t>Pintura em esquadrias metálicas</t>
  </si>
  <si>
    <t>muro alvenaria</t>
  </si>
  <si>
    <t>perimetro do muro de alvenaria - 100,51</t>
  </si>
  <si>
    <t>74220/001</t>
  </si>
  <si>
    <t>Estimado 4 caçamba para retirada de camada vegetal e lixos existentes no terreno</t>
  </si>
  <si>
    <t>Carga e transporte em caçamba bota-fora com capacidade de 6m³. inclusive taxa de destinação final</t>
  </si>
  <si>
    <t>Alvenaria de Vedação</t>
  </si>
  <si>
    <t>PAISAGISMO</t>
  </si>
  <si>
    <t>Periquito</t>
  </si>
  <si>
    <t>Jerivá</t>
  </si>
  <si>
    <t>Oiti</t>
  </si>
  <si>
    <t>Manacá da Serra</t>
  </si>
  <si>
    <t>Primavera</t>
  </si>
  <si>
    <t>11.7</t>
  </si>
  <si>
    <t>11.8</t>
  </si>
  <si>
    <t>11.9</t>
  </si>
  <si>
    <t>11.10</t>
  </si>
  <si>
    <t>5 unidades</t>
  </si>
  <si>
    <t>16.1</t>
  </si>
  <si>
    <t>17.1</t>
  </si>
  <si>
    <t>SDC04021</t>
  </si>
  <si>
    <t>73775/002</t>
  </si>
  <si>
    <t>73795/013</t>
  </si>
  <si>
    <t>73796/005</t>
  </si>
  <si>
    <t>kit playground</t>
  </si>
  <si>
    <t xml:space="preserve">1 kit </t>
  </si>
  <si>
    <t>22.0</t>
  </si>
  <si>
    <t>CISTERNA E CAIXAS D'ÁGUA</t>
  </si>
  <si>
    <t xml:space="preserve">LOUÇAS PARA OS BANHEIROS COLETIVOS </t>
  </si>
  <si>
    <t>BANHEIROS FUNCIONÁRIOS E COPA</t>
  </si>
  <si>
    <t>LOUÇAS LABORATÓRIOS</t>
  </si>
  <si>
    <t>ACESSORIOS COMPLEMENTARES E LOUÇAS PARA COZINHA, ÁREA DE SERVIÇO E REFEITÓRIO</t>
  </si>
  <si>
    <t>BANHEIROS FUNCIONÁRIOS REFEITÓRIO</t>
  </si>
  <si>
    <t>24.0</t>
  </si>
  <si>
    <t>SISTEMA DE TRATAMENTO DE ESGOTO</t>
  </si>
  <si>
    <t>ALIMENTAÇÃO</t>
  </si>
  <si>
    <t>ÁGUA FRIA - RAMAL DE DISTRIBUIÇÃO ESCOLAR</t>
  </si>
  <si>
    <t>21.0</t>
  </si>
  <si>
    <t>23.0</t>
  </si>
  <si>
    <t>25.0</t>
  </si>
  <si>
    <t>26.0</t>
  </si>
  <si>
    <t>27.0</t>
  </si>
  <si>
    <t>28.0</t>
  </si>
  <si>
    <t>30.0</t>
  </si>
  <si>
    <t>38.1</t>
  </si>
  <si>
    <t>38.2</t>
  </si>
  <si>
    <t>38.3</t>
  </si>
  <si>
    <t>38.4</t>
  </si>
  <si>
    <t>39.1</t>
  </si>
  <si>
    <t>39.2</t>
  </si>
  <si>
    <t>39.3</t>
  </si>
  <si>
    <t>39.4</t>
  </si>
  <si>
    <t>Soleira</t>
  </si>
  <si>
    <t>7.11</t>
  </si>
  <si>
    <t>Escovódromo</t>
  </si>
  <si>
    <t>13.14</t>
  </si>
  <si>
    <t>13.15</t>
  </si>
  <si>
    <t>13.20</t>
  </si>
  <si>
    <t>13.21</t>
  </si>
  <si>
    <t>16.2</t>
  </si>
  <si>
    <t>17 unidades</t>
  </si>
  <si>
    <t>1 unidades</t>
  </si>
  <si>
    <t>Área = 1,75m²*9 unidades = 15,75m²</t>
  </si>
  <si>
    <t>40.2</t>
  </si>
  <si>
    <t>74130/008</t>
  </si>
  <si>
    <t>Mapa tatil</t>
  </si>
  <si>
    <t>Bloco de concreto (alerta) - externo</t>
  </si>
  <si>
    <t>Bloco de concreto (direcional) - externo</t>
  </si>
  <si>
    <t>Bloco de borracha (alerta e direcional) - interno</t>
  </si>
  <si>
    <t>LOUÇAS PARA VESTIÁRIOS</t>
  </si>
  <si>
    <t>16.6</t>
  </si>
  <si>
    <t>16.7</t>
  </si>
  <si>
    <t>16.8</t>
  </si>
  <si>
    <t>16.9</t>
  </si>
  <si>
    <t>16.10</t>
  </si>
  <si>
    <t>40.3</t>
  </si>
  <si>
    <t>41.0</t>
  </si>
  <si>
    <t>41.1</t>
  </si>
  <si>
    <t>41.2</t>
  </si>
  <si>
    <t>41.3</t>
  </si>
  <si>
    <t>42.0</t>
  </si>
  <si>
    <t>42.1</t>
  </si>
  <si>
    <t>43.0</t>
  </si>
  <si>
    <t>43.1</t>
  </si>
  <si>
    <t>44.0</t>
  </si>
  <si>
    <t>44.1</t>
  </si>
  <si>
    <t>44.2</t>
  </si>
  <si>
    <t>45.0</t>
  </si>
  <si>
    <t>45.1</t>
  </si>
  <si>
    <t>46.0</t>
  </si>
  <si>
    <t>46.1</t>
  </si>
  <si>
    <t>47.0</t>
  </si>
  <si>
    <t>47.1</t>
  </si>
  <si>
    <t>48.0</t>
  </si>
  <si>
    <t>48.1</t>
  </si>
  <si>
    <t>48.2</t>
  </si>
  <si>
    <t>48.3</t>
  </si>
  <si>
    <t>48.4</t>
  </si>
  <si>
    <t>48.6</t>
  </si>
  <si>
    <t>49.0</t>
  </si>
  <si>
    <t>50.0</t>
  </si>
  <si>
    <t>50.1</t>
  </si>
  <si>
    <t>51.0</t>
  </si>
  <si>
    <t>51.1</t>
  </si>
  <si>
    <t>51.2</t>
  </si>
  <si>
    <t>51.3</t>
  </si>
  <si>
    <t>51.4</t>
  </si>
  <si>
    <t>51.5</t>
  </si>
  <si>
    <t>51.7</t>
  </si>
  <si>
    <t>51.8</t>
  </si>
  <si>
    <t>52.0</t>
  </si>
  <si>
    <t>52.1</t>
  </si>
  <si>
    <t>52.2</t>
  </si>
  <si>
    <t>52.3</t>
  </si>
  <si>
    <t>53.0</t>
  </si>
  <si>
    <t>53.1</t>
  </si>
  <si>
    <t>53.2</t>
  </si>
  <si>
    <t>53.3</t>
  </si>
  <si>
    <t>54.0</t>
  </si>
  <si>
    <t>54.1</t>
  </si>
  <si>
    <t>54.2</t>
  </si>
  <si>
    <t>55.0</t>
  </si>
  <si>
    <t>55.1</t>
  </si>
  <si>
    <t>56.0</t>
  </si>
  <si>
    <t>56.1</t>
  </si>
  <si>
    <t>56.2</t>
  </si>
  <si>
    <t>57.0</t>
  </si>
  <si>
    <t>57.1</t>
  </si>
  <si>
    <t>57.2</t>
  </si>
  <si>
    <t>58.0</t>
  </si>
  <si>
    <t>58.1</t>
  </si>
  <si>
    <t>MÊS 07</t>
  </si>
  <si>
    <t>MÊS 08</t>
  </si>
  <si>
    <t>MÊS 09</t>
  </si>
  <si>
    <t>MÊS 10</t>
  </si>
  <si>
    <t>300 dias</t>
  </si>
  <si>
    <t>CRONOGRAMA FÍSICO FINANCEIRO</t>
  </si>
  <si>
    <t>300 Dias</t>
  </si>
  <si>
    <t>BDI Final com impostos</t>
  </si>
  <si>
    <t xml:space="preserve">ESCALA SALARIAL DE MÃO-DE-OBRA </t>
  </si>
  <si>
    <t>COM DESONERAÇÃO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</si>
  <si>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</si>
  <si>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</si>
  <si>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</si>
  <si>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</si>
  <si>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</si>
  <si>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</si>
  <si>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</si>
  <si>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</si>
  <si>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</si>
  <si>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</si>
  <si>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</si>
  <si>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</si>
  <si>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</si>
  <si>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</si>
  <si>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Salario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</si>
  <si>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</si>
  <si>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</si>
  <si>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</si>
  <si>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</si>
  <si>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</si>
  <si>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</si>
  <si>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</si>
  <si>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</t>
  </si>
  <si>
    <t>GRUPO B</t>
  </si>
  <si>
    <t>B1</t>
  </si>
  <si>
    <t>Repouso Semanal Remunerado</t>
  </si>
  <si>
    <t>Não incide</t>
  </si>
  <si>
    <t>B2</t>
  </si>
  <si>
    <t>Feriados</t>
  </si>
  <si>
    <t>B3</t>
  </si>
  <si>
    <t>Auxilio - Enfermidade</t>
  </si>
  <si>
    <t>B4</t>
  </si>
  <si>
    <t>13º Salario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</si>
  <si>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</si>
  <si>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</si>
  <si>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</si>
  <si>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</si>
  <si>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</si>
  <si>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</si>
  <si>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</si>
  <si>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</si>
  <si>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</si>
  <si>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</si>
  <si>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</si>
  <si>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</si>
  <si>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</si>
  <si>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</si>
  <si>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</si>
  <si>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</si>
  <si>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</si>
  <si>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</si>
  <si>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</si>
  <si>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</si>
  <si>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</si>
  <si>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</si>
  <si>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</si>
  <si>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</si>
  <si>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</si>
  <si>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</si>
  <si>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</si>
  <si>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</si>
  <si>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</si>
  <si>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</si>
  <si>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</si>
  <si>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</si>
  <si>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BWC Fem + BWC Masc = 16,69m² + 13,56m² = 30,25m²</t>
  </si>
  <si>
    <t>1 mastro pra bandeira</t>
  </si>
  <si>
    <t>OBRA:</t>
  </si>
  <si>
    <t>Município:</t>
  </si>
  <si>
    <t>Endereço:</t>
  </si>
  <si>
    <t>COMPACTACAO MECANICA C/ CONTROLE DO GC&gt;=95% DO PN (AREAS) (C/MONIVELADORA 140 HP E ROLO COMPRESSOR VIBRATORIO 80 HP)</t>
  </si>
  <si>
    <t>ESCAVACAO MECANICA DE VALA EM MATERIAL DE 2A. CATEGORIA ATE 2 M DE PROFUNDIDADE COM UTILIZACAO DE ESCAVADEIRA HIDRAULICA</t>
  </si>
  <si>
    <t>ESCAVAÇÃO MANUAL DE VALAS. AF_03/2016</t>
  </si>
  <si>
    <t>PREPARO DE FUNDO DE VALA COM LARGURA MENOR QUE 1,5 M, EM LOCAL COM NÍVEL BAIXO DE INTERFERÊNCIA. AF_06/2016</t>
  </si>
  <si>
    <t>LASTRO DE CONCRETO, E = 5 CM, PREPARO MECÂNICO, INCLUSOS LANÇAMENTO E ADENSAMENTO. AF_07_2016</t>
  </si>
  <si>
    <t>REATERRO DE VALA COM COMPACTAÇÃO MANUAL</t>
  </si>
  <si>
    <t>CARGA E DESCARGA MECANICA DE SOLO UTILIZANDO CAMINHAO BASCULANTE 6,0M3/16T E PA CARREGADEIRA SOBRE PNEUS 128 HP, CAPACIDADE DA CAÇAMBA 1,7 A 2,8 M3, PESO OPERACIONAL 11632 KG</t>
  </si>
  <si>
    <t>74010/001</t>
  </si>
  <si>
    <t>TRANSPORTE COM CAMINHÃO BASCULANTE 6 M3 EM RODOVIA PAVIMENTADA ( PARA DISTÂNCIAS SUPERIORES A 4 KM)</t>
  </si>
  <si>
    <t>IMPERMEABILIZACAO DE ESTRUTURAS ENTERRADAS, COM TINTA ASFALTICA, DUAS DEMAOS.</t>
  </si>
  <si>
    <t>FORNECIMENTO/INSTALACAO LONA PLASTICA PRETA, PARA IMPERMEABILIZACAO, ESPESSURA 150 MICRAS.</t>
  </si>
  <si>
    <t>MOVIMENTAÇÃO DE TERRA (PLATÔ)</t>
  </si>
  <si>
    <t>FORMA TABUA PARA CONCRETO EM FUNDACAO, C/ REAPROVEITAMENTO 2X.</t>
  </si>
  <si>
    <t>LANÇAMENTO COM USO DE BOMBA, ADENSAMENTO E ACABAMENTO DE CONCRETO EM ESTRUTURAS. AF_12/2015</t>
  </si>
  <si>
    <t>CONCRETO USINADO BOMBEAVEL, CLASSE DE RESISTENCIA C25, COM BRITA 0 E 1, SLUMP = 100 +/- 20 MM, EXCLUI SERVICO DE BOMBEAMENTO (NBR 8953)</t>
  </si>
  <si>
    <t>ARMAÇÃO DE FUNDAÇÕES E ESTRUTURAS DE CONCRETO ARMADO, EXCETO VIGAS, PILARES E LAJES (DE EDIFÍCIOS DE MÚLTIPLOS PAVIMENTOS, EDIFICAÇÃO TÉRREA OU SOBRADO), UTILIZANDO AÇO CA-50 DE 10.0 MM - MONTAGEM</t>
  </si>
  <si>
    <t>SDC01004</t>
  </si>
  <si>
    <t>ARMAÇÃO DE FUNDAÇÕES E ESTRUTURAS DE CONCRETO ARMADO, EXCETO VIGAS, PILARES E LAJES (DE EDIFÍCIOS DE MÚLTIPLOS PAVIMENTOS, EDIFICAÇÃO TÉRREA OU SOBRADO), UTILIZANDO AÇO CA-50 DE 12.5 MM - MONTAGEM</t>
  </si>
  <si>
    <t>SDC01006</t>
  </si>
  <si>
    <t>ARMAÇÃO DE FUNDAÇÕES E ESTRUTURAS DE CONCRETO ARMADO, EXCETO VIGAS, PILARES E LAJES (DE EDIFÍCIOS DE MÚLTIPLOS PAVIMENTOS, EDIFICAÇÃO TÉRREA OU SOBRADO), UTILIZANDO AÇO CA-60 DE 5.0 MM - MONTAGEM</t>
  </si>
  <si>
    <t>SDC01008</t>
  </si>
  <si>
    <t>ARMAÇÃO DE FUNDAÇÕES E ESTRUTURAS DE CONCRETO ARMADO, EXCETO VIGAS, PILARES E LAJES (DE EDIFÍCIOS DE MÚLTIPLOS PAVIMENTOS, EDIFICAÇÃO TÉRREA OU SOBRADO), UTILIZANDO AÇO CA-50 DE 6.3 MM - MONTAGEM</t>
  </si>
  <si>
    <t>SDC01010</t>
  </si>
  <si>
    <t>ARMAÇÃO DE FUNDAÇÕES E ESTRUTURAS DE CONCRETO ARMADO, EXCETO VIGAS, PILARES E LAJES (DE EDIFÍCIOS DE MÚLTIPLOS PAVIMENTOS, EDIFICAÇÃO TÉRREA OU SOBRADO), UTILIZANDO AÇO CA-50 DE 8.0 MM - MONTAGEM</t>
  </si>
  <si>
    <t>SDC01013</t>
  </si>
  <si>
    <t>4.11</t>
  </si>
  <si>
    <t>4.12</t>
  </si>
  <si>
    <t>4.13</t>
  </si>
  <si>
    <t>4.14</t>
  </si>
  <si>
    <t>4.15</t>
  </si>
  <si>
    <t>4.16</t>
  </si>
  <si>
    <t>MONTAGEM E DESMONTAGEM DE FÔRMA DE PILARES RETANGULARES E ESTRUTURAS SIMILARES COM ÁREA MÉDIA DAS SEÇÕES MENOR OU IGUAL A 0,25 M², PÉ-DIREITO SIMPLES, EM MADEIRA SERRADA, 2 UTILIZAÇÕES. AF_12/2015</t>
  </si>
  <si>
    <t>ARMAÇÃO DE PILAR OU VIGA DE UMA ESTRUTURA CONVENCIONAL DE CONCRETO ARMADO EM UMA EDIFÍCAÇÃO TÉRREA OU SOBRADO UTILIZANDO AÇO CA-60 DE 5.0 MM - MONTAGEM. AF_12/2015</t>
  </si>
  <si>
    <t>ARMAÇÃO DE PILAR OU VIGA DE UMA ESTRUTURA CONVENCIONAL DE CONCRETO ARMADO EM UMA EDIFÍCAÇÃO TÉRREA OU SOBRADO UTILIZANDO AÇO CA-50 DE 6.3 MM - MONTAGEM. AF_12/2015</t>
  </si>
  <si>
    <t>ARMAÇÃO DE PILAR OU VIGA DE UMA ESTRUTURA CONVENCIONAL DE CONCRETO ARMADO EM UMA EDIFÍCAÇÃO TÉRREA OU SOBRADO UTILIZANDO AÇO CA-50 DE 8.0 MM - MONTAGEM. AF_12/2015</t>
  </si>
  <si>
    <t>ARMAÇÃO DE PILAR OU VIGA DE UMA ESTRUTURA CONVENCIONAL DE CONCRETO ARMADO EM UMA EDIFÍCAÇÃO TÉRREA OU SOBRADO UTILIZANDO AÇO CA-50 DE 10.0 MM - MONTAGEM. AF_12/2015</t>
  </si>
  <si>
    <t>ARMAÇÃO DE PILAR OU VIGA DE UMA ESTRUTURA CONVENCIONAL DE CONCRETO ARMADO EM UMA EDIFÍCAÇÃO TÉRREA OU SOBRADO UTILIZANDO AÇO CA-50 DE 16.0 MM - MONTAGEM. AF_12/2015</t>
  </si>
  <si>
    <t>ARMAÇÃO DE PILAR OU VIGA DE UMA ESTRUTURA CONVENCIONAL DE CONCRETO ARMADO EM UMA EDIFÍCAÇÃO TÉRREA OU SOBRADO UTILIZANDO AÇO CA-50 DE 25.0 MM - MONTAGEM. AF_12/2015</t>
  </si>
  <si>
    <t>MONTAGEM E DESMONTAGEM DE FÔRMA DE VIGA, ESCORAMENTO COM PONTALETE DE MADEIRA, PÉ-DIREITO SIMPLES, EM MADEIRA SERRADA, 2 UTILIZAÇÕES. AF_12/2015</t>
  </si>
  <si>
    <t>LANÇAMENTO COM USO DE BALDES, ADENSAMENTO E ACABAMENTO DE CONCRETO EM ESTRUTURAS. AF_12/2015</t>
  </si>
  <si>
    <t>CRIAÇÃO DE PLATÔ PARA INÍCIO DA EXECUÇÃO DOS ELEMENTOS DE CONCRETO</t>
  </si>
  <si>
    <t>unid.</t>
  </si>
  <si>
    <t>ESPALHAMENTO DO MATERIAL (ÁREA DO BLOCO 1)  - VER SE HÁ NECESSIDADE DE SER CONTADO DUAS VEZES, POIS É NECESSÁRIO FAZER O ESPALHAMENTO EM DUAS CAMADAS DE 0,20m - m2</t>
  </si>
  <si>
    <t>COMPACTAÇÃO DO MATERIAL (SUGIRO UTILIZAR ROLO COMPACTADOR) - m3</t>
  </si>
  <si>
    <t>INFRA-ESTRUTURA</t>
  </si>
  <si>
    <t>ITENS GERAIS</t>
  </si>
  <si>
    <t>ESCAVAÇÃO  DAS VIGAS BALDRAMES (CONSIDERADO VOLUME DE CONCRETO DAS BALDRAMES, DIVIDIDO PELA LARGURA DAS VIGAS (14cm) E MULTIPLICADO PELA LARGURA DA VALA (54cm) - 20cm PARA CADA LADO - m3</t>
  </si>
  <si>
    <t>APILOAMENTO DE FUNDO DAS VIGAS BALDRAMES - CONSIDERADO ÁREA ESCAVADA - (VOLUME DE ESCAVAÇÃO DIVIDIDO PELA ALTURA DAS VIGAS) - m2</t>
  </si>
  <si>
    <t>REATERRO DAS VIGAS BALDRAMES - ESCAVAÇÃO MENOS VOLUME DE CONCRETO (m3)</t>
  </si>
  <si>
    <t>IMPERMEABILIZAÇÃO - FACE LATERAL E TOPO DAS VIGAS BALDRAMES - IGUAL ÁREA DE FORMAS - m2</t>
  </si>
  <si>
    <t>LONA PLÁSTICA PRETA PARA IMPERMEABILIZAÇÃO DE CONTRAPISO (m2)</t>
  </si>
  <si>
    <t>ÁREA PARCIAL PARA VERIFICAÇÃO DE QTDADE DE FUROS DE SONDAGEM (m2)</t>
  </si>
  <si>
    <t>VOLUME DE CONCRETO - CONSIDERADO 7cm DE ESPESSURA (m3)</t>
  </si>
  <si>
    <t>LASTRO COM PREPARO DE FUNDO COM CAMADA DE BRITA - PARA IMPERMEABILIZAÇÃO DE CONTRAPISO ARMADO - (ÁREA INTERNA * 5cm) - m3</t>
  </si>
  <si>
    <t>LANÇAMENTO DE CONCRETO (m3)</t>
  </si>
  <si>
    <t>kg</t>
  </si>
  <si>
    <t>VOLUME DE CONCRETO (m3)</t>
  </si>
  <si>
    <t>AÇO CA50 - 10mm (kg)</t>
  </si>
  <si>
    <t>AÇO CA50 - 12,5mm (kg)</t>
  </si>
  <si>
    <t>VIGAS BALDRAMES</t>
  </si>
  <si>
    <t>AÇO CA60 - 5mm (kg)</t>
  </si>
  <si>
    <t>AÇO CA50 - 6,3mm (kg)</t>
  </si>
  <si>
    <t>AÇO CA50 - 8mm (kg)</t>
  </si>
  <si>
    <t>AÇO CA50 - 16mm (kg)</t>
  </si>
  <si>
    <t>SUPER-ESTRUTURA</t>
  </si>
  <si>
    <t>PILARES</t>
  </si>
  <si>
    <t>FORMA (m2)</t>
  </si>
  <si>
    <t>AÇO CA50 - 25mm (kg)</t>
  </si>
  <si>
    <t>VIGAS</t>
  </si>
  <si>
    <t>COBERTURA METÁLICA</t>
  </si>
  <si>
    <t>ESTRUTURA METÁLICA (ESTRUTURA METÁLICA + PLACA BASE)</t>
  </si>
  <si>
    <t>(kg)</t>
  </si>
  <si>
    <t>PINTURA P/ EST. METÁLICA (PINTURA COM ESMALTE SINTÉTICO)</t>
  </si>
  <si>
    <t>(m2)</t>
  </si>
  <si>
    <t>AÇO CA50 - 16mm (CHUMBADORES DA PLACA BASE)</t>
  </si>
  <si>
    <t>LAJES</t>
  </si>
  <si>
    <t>ARMAÇÃO DE PILAR OU VIGA DE UMA ESTRUTURA CONVENCIONAL DE CONCRETO ARMADO EM UMA EDIFÍCAÇÃO TÉRREA OU SOBRADO UTILIZANDO AÇO CA-50 DE 12.5 MM - MONTAGEM. AF_12/2015</t>
  </si>
  <si>
    <t>6.9</t>
  </si>
  <si>
    <t>6.10</t>
  </si>
  <si>
    <t>LAJE PRÉ-MOLDADA TRELIÇADA, PARA COBERTURA, INCLUSIVE EPS, CAPEAMENTO 4,0CM E ALTURA FINAL 12,0CM, FCK=25MPA. INCLUSO ESCORAMENTO</t>
  </si>
  <si>
    <t>SDC01016</t>
  </si>
  <si>
    <t>ARMACAO EM TELA DE ACO SOLDADA NERVURADA Q-92, ACO CA-60, 4,2MM, MALHA 15X15CM</t>
  </si>
  <si>
    <t>BLOCO DE SALAS DE AULA E ADMINISTRATIVO</t>
  </si>
  <si>
    <t>TOTAL BLOCO DE SALAS DE AULA E ADMINISTRATIVO</t>
  </si>
  <si>
    <t>FORNECIMENTO DE ESTRUTURA METÁLICA PARA COBERTURA, COM UTILIZAÇÃO DE PERFIS EM AÇO ASTM A36</t>
  </si>
  <si>
    <t>SDC01017</t>
  </si>
  <si>
    <t>MONTAGEM DE ESTRUTURA METÁLICA</t>
  </si>
  <si>
    <t>SDC01018</t>
  </si>
  <si>
    <t xml:space="preserve">FORNECIMENTO DE ATERRO (ESTIMADO VOLUME REFERENTE A CAMADA DE 0,40m EM TODA ÁREA DO REFEITÓRIO - COM SAIA DE PLATÔ DE 45°) </t>
  </si>
  <si>
    <t xml:space="preserve">ESPALHAMENTO DO MATERIAL (ÁREA DO REFEITÓRIO)  - VER SE HÁ NECESSIDADE DE SER CONTADO DUAS VEZES, POIS É NECESSÁRIO FAZER O ESPALHAMENTO EM DUAS CAMADAS DE 0,20m </t>
  </si>
  <si>
    <t xml:space="preserve">COMPACTAÇÃO DO MATERIAL (SUGIRO UTILIZAR ROLO COMPACTADOR) </t>
  </si>
  <si>
    <t>NÃO CONSIDERAR ESTA TABELA  NA PLANILHA QUANTITATIVA !!!</t>
  </si>
  <si>
    <t xml:space="preserve">ESCAVAÇÃO  DAS VIGAS BALDRAMES (CONSIDERADO VOLUME DE CONCRETO DAS BALDRAMES, DIVIDIDO PELA LARGURA DAS VIGAS (15cm) E MULTIPLICADO PELA LARGURA DA VALA (55cm) - 20cm PARA CADA LADO </t>
  </si>
  <si>
    <t>LADO 1</t>
  </si>
  <si>
    <t>LADO 2</t>
  </si>
  <si>
    <t>AREA</t>
  </si>
  <si>
    <t>H PILAR</t>
  </si>
  <si>
    <t xml:space="preserve">APILOAMENTO DE FUNDO DAS SAPATAS - CONSIDERADO ÁREA ESCAVADA </t>
  </si>
  <si>
    <t xml:space="preserve">APILOAMENTO DE FUNDO DAS VIGAS BALDRAMES - CONSIDERADO ÁREA ESCAVADA - (VOLUME DE ESCAVAÇÃO DIVIDIDO PELA ALTURA DAS VIGAS) </t>
  </si>
  <si>
    <t xml:space="preserve">LASTRO DE CONCRETO - VIGAS BALDRAMES (ÁREA DE APILOAMENTO * 5cm) </t>
  </si>
  <si>
    <t xml:space="preserve">LASTRO COM PREPARO DE FUNDO COM CAMADA DE BRITA P/ CONTRAPISO ARMADO - (ÁREA INTERNA * 5cm) </t>
  </si>
  <si>
    <t xml:space="preserve">IMPERMEABILIZAÇÃO - FACE LATERAL E TOPO DAS VIGAS BALDRAMES - IGUAL ÁREA DE FORMAS </t>
  </si>
  <si>
    <t>LONA PLÁSTICA PRETA PARA IMPERMEABILIZAÇÃO DE CONTRAPISO ARMADO</t>
  </si>
  <si>
    <t>AREA PARCIAL P/ VERIFICAÇÃO DE QUANTIDADE DE FUROS DE SONDAGEM</t>
  </si>
  <si>
    <t>VOLUME DE CONCRETO FCK=25MPA (AREA INTERNA * 7cm)</t>
  </si>
  <si>
    <t>LANÇAMENTO DE CONCRETO</t>
  </si>
  <si>
    <t>FORMA PARA FUNDAÇÃO</t>
  </si>
  <si>
    <t>VOLUME DE CONCRETO FCK=25MPA</t>
  </si>
  <si>
    <t>AÇO CA60 - 5mm</t>
  </si>
  <si>
    <t>AÇO CA50 - 10mm</t>
  </si>
  <si>
    <t>AÇO CA50 - 12,5mm</t>
  </si>
  <si>
    <t>FORMA</t>
  </si>
  <si>
    <t>AÇO CA50 - 6,3mm</t>
  </si>
  <si>
    <t>AÇO CA50 - 8mm</t>
  </si>
  <si>
    <t>AÇO CA50 - 16mm</t>
  </si>
  <si>
    <t xml:space="preserve"> ESTRUTURA DE COBERTURA</t>
  </si>
  <si>
    <t>REFEITÓRIO</t>
  </si>
  <si>
    <t>TOTAL REFEITÓRIO</t>
  </si>
  <si>
    <t>FORNECIMENTO DE ATERRO (ESTIMADO VOLUME REFERENTE A CAMADA DE 0,40m EM TODA ÁREA DA QUADRA E DO VESTIÁRIO - COM SAIA DE PLATÔ DE 45°) - m3</t>
  </si>
  <si>
    <t>ESPALHAMENTO E COMPACTAÇÃO DO MATERIAL (SUGIRO UTILIZAR ROLO COMPACTADOR) - m3</t>
  </si>
  <si>
    <t>ESCAVAÇÃO  DAS VIGAS BALDRAMES (CONSIDERADO 20cm PARA CADA LADO) - m3</t>
  </si>
  <si>
    <t>APILOAMENTO DE FUNDO DOS BLOCOS - CONSIDERADO ÁREA ESCAVADA - m2</t>
  </si>
  <si>
    <t>BOTA FORA DOS BLOCOS - VOLUME DE CONCRETO DAS BLOCOS X EMPOLAMENTO (m3)</t>
  </si>
  <si>
    <t>BOTA FORA DAS VIGAS BALDRAMES - VOLUME DE CONCRETO DAS VIGAS BALDRAMES X EMPOLAMENTO (m3)</t>
  </si>
  <si>
    <t>BLOCOS</t>
  </si>
  <si>
    <t>ESTACA HÉLICE CONTÍNUA, DIÂMETRO DE 30 CM, COMPRIMENTO TOTAL ATÉ 15 M, PERFURATRIZ COM TORQUE DE 170 KN.M (EXCLUSIVE MOBILIZAÇÃO E DESMOBILIZAÇÃO). AF_02/2015</t>
  </si>
  <si>
    <t>ÁREA EXTERNA</t>
  </si>
  <si>
    <t>TOTAL ÁREA EXTERNA</t>
  </si>
  <si>
    <t>TOTAL QUADRA</t>
  </si>
  <si>
    <t>TOTAL PRELIMINARES</t>
  </si>
  <si>
    <t>PRELIMINARES</t>
  </si>
  <si>
    <t>AQUISIÇÃO DE MATERIAL PARA ATERRO</t>
  </si>
  <si>
    <t>SDC01021</t>
  </si>
  <si>
    <t>PERGOLADOS METÁLICOS</t>
  </si>
  <si>
    <t>SDC01024</t>
  </si>
  <si>
    <t>LASTRO DE BRITA Nº 02</t>
  </si>
  <si>
    <t>(COMPOSIÇÃO REPRESENTATIVA) DO SERVIÇO DE ALVENARIA DE VEDAÇÃO DE BLOCOS VAZADOS DE CERÂMICA DE 9X19X19CM (ESPESSURA 9CM), PARA EDIFICAÇÃO HABITACIONAL UNIFAMILIAR (CASA) E EDIFICAÇÃO PÚBLICA PADRÃO. AF_11/2014</t>
  </si>
  <si>
    <t>REGISTRO DE GAVETA BRUTO, LATÃO, ROSCÁVEL, 1, COM ACABAMENTO E CANOPLA CROMADOS, INSTALADO EM RESERVAÇÃO DE ÁGUA DE EDIFICAÇÃO QUE POSSUA RESERVATÓRIO DE FIBRA/FIBROCIMENTO  FORNECIMENTO E INSTALAÇÃO. AF_06/2016</t>
  </si>
  <si>
    <t>ADAPTADOR CURTO COM BOLSA E ROSCA PARA REGISTRO, PVC, SOLDÁVEL, DN 32MM X 1, INSTALADO EM RAMAL OU SUB-RAMAL DE ÁGUA - FORNECIMENTO E INSTALAÇÃO. AF_12/2014</t>
  </si>
  <si>
    <t>REGISTRO DE GAVETA BRUTO, LATÃO, ROSCÁVEL, 2, INSTALADO EM RESERVAÇÃO DE ÁGUA DE EDIFICAÇÃO QUE POSSUA RESERVATÓRIO DE FIBRA/FIBROCIMENTO  FORNECIMENTO E INSTALAÇÃO. AF_06/2016</t>
  </si>
  <si>
    <t>REGISTRO DE GAVETA BRUTO, LATÃO, ROSCÁVEL, 2 1/2, INSTALADO EM RESERVAÇÃO DE ÁGUA DE EDIFICAÇÃO QUE POSSUA RESERVATÓRIO DE FIBRA/FIBROCIMENTO  FORNECIMENTO E INSTALAÇÃO. AF_06/2016</t>
  </si>
  <si>
    <t>REGISTRO DE GAVETA BRUTO, LATÃO, ROSCÁVEL, 3, INSTALADO EM RESERVAÇÃO DE ÁGUA DE EDIFICAÇÃO QUE POSSUA RESERVATÓRIO DE FIBRA/FIBROCIMENTO  FORNECIMENTO E INSTALAÇÃO. AF_06/2016</t>
  </si>
  <si>
    <t>REGISTRO DE GAVETA BRUTO, LATÃO, ROSCÁVEL, 3/4", COM ACABAMENTO E CANOPLA CROMADOS. FORNECIDO E INSTALADO EM RAMAL DE ÁGUA. AF_12/2014</t>
  </si>
  <si>
    <t>REGISTRO DE PRESSÃO BRUTO, LATÃO, ROSCÁVEL, 3/4", COM ACABAMENTO E CANOPLA CROMADOS. FORNECIDO E INSTALADO EM RAMAL DE ÁGUA. AF_12/2014</t>
  </si>
  <si>
    <t>JOELHO 90 GRAUS COM BUCHA DE LATÃO, PVC, SOLDÁVEL, DN 25MM, X 1/2 INSTALADO EM RAMAL OU SUB-RAMAL DE ÁGUA - FORNECIMENTO E INSTALAÇÃO. AF_12/2014</t>
  </si>
  <si>
    <t>ADAPTADOR CURTO COM BOLSA E ROSCA PARA REGISTRO, PVC, SOLDÁVEL, DN 25MM X 3/4, INSTALADO EM RAMAL OU SUB-RAMAL DE ÁGUA - FORNECIMENTO E INSTALAÇÃO. AF_12/2014</t>
  </si>
  <si>
    <t>ADAPTADOR CURTO COM BOLSA E ROSCA PARA REGISTRO, PVC, SOLDÁVEL, DN 50MM X 1.1/2, INSTALADO EM PRUMADA DE ÁGUA - FORNECIMENTO E INSTALAÇÃO. AF_12/2014</t>
  </si>
  <si>
    <t>ADAPTADOR CURTO COM BOLSA E ROSCA PARA REGISTRO, PVC, SOLDÁVEL, DN 60MM X 2, INSTALADO EM PRUMADA DE ÁGUA - FORNECIMENTO E INSTALAÇÃO. AF_12/2014</t>
  </si>
  <si>
    <t>ADAPTADOR CURTO COM BOLSA E ROSCA PARA REGISTRO, PVC, SOLDÁVEL, DN 75MM X 2.1/2, INSTALADO EM PRUMADA DE ÁGUA - FORNECIMENTO E INSTALAÇÃO. AF_12/2014</t>
  </si>
  <si>
    <t>ADAPTADOR CURTO COM BOLSA E ROSCA PARA REGISTRO, PVC, SOLDÁVEL, DN 85MM X 3, INSTALADO EM PRUMADA DE ÁGUA - FORNECIMENTO E INSTALAÇÃO. AF_12/2014</t>
  </si>
  <si>
    <t>JOELHO 90 GRAUS, PVC, SOLDÁVEL, DN 25MM, INSTALADO EM PRUMADA DE ÁGUA - FORNECIMENTO E INSTALAÇÃO. AF_12/2014</t>
  </si>
  <si>
    <t>JOELHO 90 GRAUS, PVC, SOLDÁVEL, DN 50MM, INSTALADO EM PRUMADA DE ÁGUA - FORNECIMENTO E INSTALAÇÃO. AF_12/2014</t>
  </si>
  <si>
    <t>JOELHO 90 GRAUS, PVC, SOLDÁVEL, DN 60MM, INSTALADO EM PRUMADA DE ÁGUA - FORNECIMENTO E INSTALAÇÃO. AF_12/2014</t>
  </si>
  <si>
    <t>JOELHO 90 GRAUS, PVC, SOLDÁVEL, DN 75MM, INSTALADO EM PRUMADA DE ÁGUA - FORNECIMENTO E INSTALAÇÃO. AF_12/2014</t>
  </si>
  <si>
    <t>JOELHO 90 GRAUS, PVC, SOLDÁVEL, DN 85MM, INSTALADO EM PRUMADA DE ÁGUA - FORNECIMENTO E INSTALAÇÃO. AF_12/2014</t>
  </si>
  <si>
    <t>TUBO, PVC, SOLDÁVEL, DN 50MM, INSTALADO EM PRUMADA DE ÁGUA - FORNECIMENTO E INSTALAÇÃO. AF_12/2014</t>
  </si>
  <si>
    <t>TUBO, PVC, SOLDÁVEL, DN 60MM, INSTALADO EM PRUMADA DE ÁGUA - FORNECIMENTO E INSTALAÇÃO. AF_12/2014</t>
  </si>
  <si>
    <t>TUBO, PVC, SOLDÁVEL, DN 75MM, INSTALADO EM PRUMADA DE ÁGUA - FORNECIMENTO E INSTALAÇÃO. AF_12/2014</t>
  </si>
  <si>
    <t>TUBO, PVC, SOLDÁVEL, DN 85MM, INSTALADO EM PRUMADA DE ÁGUA - FORNECIMENTO E INSTALAÇÃO. AF_12/2014</t>
  </si>
  <si>
    <t>TE, PVC, SOLDÁVEL, DN 25MM, INSTALADO EM RAMAL OU SUB-RAMAL DE ÁGUA - FORNECIMENTO E INSTALAÇÃO. AF_12/2014</t>
  </si>
  <si>
    <t>TE, PVC, SOLDÁVEL, DN 50MM, INSTALADO EM PRUMADA DE ÁGUA - FORNECIMENTO E INSTALAÇÃO. AF_12/2014</t>
  </si>
  <si>
    <t>TE, PVC, SOLDÁVEL, DN 60MM, INSTALADO EM PRUMADA DE ÁGUA - FORNECIMENTO E INSTALAÇÃO. AF_12/2014</t>
  </si>
  <si>
    <t>TE, PVC, SOLDÁVEL, DN 85MM, INSTALADO EM PRUMADA DE ÁGUA - FORNECIMENTO E INSTALAÇÃO. AF_12/2014</t>
  </si>
  <si>
    <t>TÊ DE REDUÇÃO, PVC, SOLDÁVEL, DN 50MM X 25MM, INSTALADO EM PRUMADA DE ÁGUA - FORNECIMENTO E INSTALAÇÃO. AF_12/2014</t>
  </si>
  <si>
    <t>TÊ COM BUCHA DE LATÃO NA BOLSA CENTRAL, PVC, SOLDÁVEL, DN 25MM X 1/2, INSTALADO EM RAMAL DE DISTRIBUIÇÃO DE ÁGUA - FORNECIMENTO E INSTALAÇÃO. AF_12/2014</t>
  </si>
  <si>
    <t>TÊ COM BUCHA DE LATÃO NA BOLSA CENTRAL, PVC, SOLDÁVEL, DN 25MM X 3/4, INSTALADO EM RAMAL OU SUB-RAMAL DE ÁGUA - FORNECIMENTO E INSTALAÇÃO. AF_03/2015</t>
  </si>
  <si>
    <t>VALVULA DESCARGA 1.1/2" COM REGISTRO, ACABAMENTO EM METAL CROMADO - FORNECIMENTO E INSTALACAO</t>
  </si>
  <si>
    <t>74234/001</t>
  </si>
  <si>
    <t>CUBA DE EMBUTIR OVAL EM LOUÇA BRANCA, 35 X 50CM OU EQUIVALENTE - FORNECIMENTO E INSTALAÇÃO. AF_12/2013</t>
  </si>
  <si>
    <t>TORNEIRA CROMADA DE MESA, 1/2" OU 3/4", PARA LAVATÓRIO, PADRÃO POPULAR - FORNECIMENTO E INSTALAÇÃO. AF_12/2013</t>
  </si>
  <si>
    <t>CHUVEIRO ELETRICO COMUM CORPO PLASTICO TIPO DUCHA, FORNECIMENTO E INSTALACAO</t>
  </si>
  <si>
    <t>LAVATÓRIO LOUÇA BRANCA SUSPENSO, 29,5 X 39CM OU EQUIVALENTE, PADRÃO POPULAR, INCLUSO SIFÃO TIPO GARRAFA EM PVC, VÁLVULA E ENGATE FLEXÍVEL 30CM EM PLÁSTICO E TORNEIRA CROMADA DE MESA, PADRÃO POPULAR - FORNECIMENTO E INSTALAÇÃO. AF_12/2013</t>
  </si>
  <si>
    <t>VASO SANITÁRIO SIFONADO COM CAIXA ACOPLADA LOUÇA BRANCA, INCLUSO ENGATE FLEXÍVEL EM PLÁSTICO BRANCO, 1/2 X 40CM - FORNECIMENTO E INSTALAÇÃO. AF_12/2013</t>
  </si>
  <si>
    <t>CUBA DE EMBUTIR DE AÇO INOXIDÁVEL MÉDIA, INCLUSO VÁLVULA TIPO AMERICANA EM METAL CROMADO E SIFÃO FLEXÍVEL EM PVC - FORNECIMENTO E INSTALAÇÃO. AF_12/2013</t>
  </si>
  <si>
    <t>PAPELEIRA DE PAREDE EM METAL CROMADO SEM TAMPA, INCLUSO FIXAÇÃO. AF_10/2016</t>
  </si>
  <si>
    <t>SABONETEIRA PLASTICA TIPO DISPENSER PARA SABONETE LIQUIDO COM RESERVATORIO 800 A 1500 ML, INCLUSO FIXAÇÃO. AF_10/2016</t>
  </si>
  <si>
    <t>74051/001</t>
  </si>
  <si>
    <t>CAIXA DE GORDURA DUPLA EM CONCRETO PRE-MOLDADO DN 60MM COM TAMPA - FORNECIMENTO E INSTALACAO</t>
  </si>
  <si>
    <t>74104/001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</si>
  <si>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</si>
  <si>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>CAIXA DE INSPEÇÃO 80X80X80CM EM ALVENARIA - EXECUÇÃO</t>
  </si>
  <si>
    <t>CAIXA SIFONADA, PVC, DN 100 X 100 X 50 MM, FORNECIDA E INSTALADA EM RAMAIS DE ENCAMINHAMENTO DE ÁGUA PLUVIAL. AF_12/2014</t>
  </si>
  <si>
    <t>CURVA CURTA 90 GRAUS, PVC, SERIE NORMAL, ESGOTO PREDIAL, DN 100 MM, JUNTA ELÁSTICA, FORNECIDO E INSTALADO EM RAMAL DE DESCARGA OU RAMAL DE ESGOTO SANITÁRIO. AF_12/2014</t>
  </si>
  <si>
    <t>CURVA CURTA 90 GRAUS, PVC, SERIE NORMAL, ESGOTO PREDIAL, DN 40 MM, JUNTA SOLDÁVEL, FORNECIDO E INSTALADO EM RAMAL DE DESCARGA OU RAMAL DE ESGOTO SANITÁRIO. AF_12/2014</t>
  </si>
  <si>
    <t>JOELHO 90 GRAUS, PVC, SERIE NORMAL, ESGOTO PREDIAL, DN 75 MM, JUNTA ELÁSTICA, FORNECIDO E INSTALADO EM PRUMADA DE ESGOTO SANITÁRIO OU VENTILAÇÃO. AF_12/2014</t>
  </si>
  <si>
    <t>JOELHO 90 GRAUS, PVC, SERIE NORMAL, ESGOTO PREDIAL, DN 100 MM, JUNTA ELÁSTICA, FORNECIDO E INSTALADO EM SUBCOLETOR AÉREO DE ESGOTO SANITÁRIO. AF_12/2014</t>
  </si>
  <si>
    <t>JOELHO 90 GRAUS, PVC, SERIE NORMAL, ESGOTO PREDIAL, DN 40 MM, JUNTA SOLDÁVEL, FORNECIDO E INSTALADO EM RAMAL DE DESCARGA OU RAMAL DE ESGOTO SANITÁRIO. AF_12/2014</t>
  </si>
  <si>
    <t>JUNÇÃO SIMPLES, PVC, SERIE NORMAL, ESGOTO PREDIAL, DN 100 X 100 MM, JUNTA ELÁSTICA, FORNECIDO E INSTALADO EM RAMAL DE DESCARGA OU RAMAL DE ESGOTO SANITÁRIO. AF_12/2014</t>
  </si>
  <si>
    <t>JUNÇÃO SIMPLES, PVC, SERIE NORMAL, ESGOTO PREDIAL, DN 50 X 50 MM, JUNTA ELÁSTICA, FORNECIDO E INSTALADO EM RAMAL DE DESCARGA OU RAMAL DE ESGOTO SANITÁRIO. AF_12/2014</t>
  </si>
  <si>
    <t>REDUÇÃO EXCÊNTRICA, PVC, SERIE R, ÁGUA PLUVIAL, DN 75 X 50 MM, JUNTA ELÁSTICA, FORNECIDO E INSTALADO EM RAMAL DE ENCAMINHAMENTO. AF_12/2014</t>
  </si>
  <si>
    <t>TUBO PVC, SERIE NORMAL, ESGOTO PREDIAL, DN 100 MM, FORNECIDO E INSTALADO EM RAMAL DE DESCARGA OU RAMAL DE ESGOTO SANITÁRIO. AF_12/2014</t>
  </si>
  <si>
    <t>TUBO PVC, SERIE NORMAL, ESGOTO PREDIAL, DN 50 MM, FORNECIDO E INSTALADO EM RAMAL DE DESCARGA OU RAMAL DE ESGOTO SANITÁRIO. AF_12/2014</t>
  </si>
  <si>
    <t>TUBO PVC, SERIE NORMAL, ESGOTO PREDIAL, DN 75 MM, FORNECIDO E INSTALADO EM RAMAL DE DESCARGA OU RAMAL DE ESGOTO SANITÁRIO. AF_12/2014</t>
  </si>
  <si>
    <t>TUBO PVC, SERIE NORMAL, ESGOTO PREDIAL, DN 150 MM, FORNECIDO E INSTALADO EM SUBCOLETOR AÉREO DE ESGOTO SANITÁRIO. AF_12/2014</t>
  </si>
  <si>
    <t>TUBO PVC, SERIE NORMAL, ESGOTO PREDIAL, DN 40 MM, FORNECIDO E INSTALADO EM RAMAL DE DESCARGA OU RAMAL DE ESGOTO SANITÁRIO. AF_12/2014</t>
  </si>
  <si>
    <t>CURVA CURTA 90 GRAUS, PVC, SERIE NORMAL, ESGOTO PREDIAL, DN 50 MM, JUNTA ELÁSTICA, FORNECIDO E INSTALADO EM PRUMADA DE ESGOTO SANITÁRIO OU VENTILAÇÃO. AF_12/2014</t>
  </si>
  <si>
    <t>JOELHO 90 GRAUS, PVC, SERIE NORMAL, ESGOTO PREDIAL, DN 50 MM, JUNTA ELÁSTICA, FORNECIDO E INSTALADO EM RAMAL DE DESCARGA OU RAMAL DE ESGOTO SANITÁRIO. AF_12/2014</t>
  </si>
  <si>
    <t>TUBO PVC, SERIE NORMAL, ESGOTO PREDIAL, DN 50 MM, FORNECIDO E INSTALADO EM PRUMADA DE ESGOTO SANITÁRIO OU VENTILAÇÃO. AF_12/2014</t>
  </si>
  <si>
    <t>TE, PVC, SERIE NORMAL, ESGOTO PREDIAL, DN 50 X 50 MM, JUNTA ELÁSTICA, FORNECIDO E INSTALADO EM PRUMADA DE ESGOTO SANITÁRIO OU VENTILAÇÃO. AF_12/2014</t>
  </si>
  <si>
    <t>TUBO, PVC, SOLDÁVEL, DN 25MM, INSTALADO EM RAMAL DE DISTRIBUIÇÃO DE ÁGUA - FORNECIMENTO E INSTALAÇÃO. AF_12/2014</t>
  </si>
  <si>
    <t>CAIXA DE PASSAGEM 30X30X40 COM TAMPA E DRENO BRITA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</si>
  <si>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</si>
  <si>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</si>
  <si>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</si>
  <si>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>LÂMPADA LED 10 W BIVOLT BRANCA, FORMATO TRADICIONAL (BASE E27) - FORNECIMENTO E INSTALAÇÃO</t>
  </si>
  <si>
    <t>CAIXA RETANGULAR 4" X 2" BAIXA (0,30 M DO PISO), METÁLICA, INSTALADA EM PAREDE - FORNECIMENTO E INSTALAÇÃO. AF_12/2015</t>
  </si>
  <si>
    <t>TOMADA BAIXA DE EMBUTIR (1 MÓDULO), 2P+T 20 A, INCLUINDO SUPORTE E PLACA - FORNECIMENTO E INSTALAÇÃO. AF_12/2015</t>
  </si>
  <si>
    <t>TOMADA BAIXA DE EMBUTIR (1 MÓDULO), 2P+T 10 A, INCLUINDO SUPORTE E PLACA - FORNECIMENTO E INSTALAÇÃO. AF_12/2015</t>
  </si>
  <si>
    <t>INTERRUPTOR SIMPLES (1 MÓDULO), 10A/250V, INCLUINDO SUPORTE E PLACA - FORNECIMENTO E INSTALAÇÃO. AF_12/2015</t>
  </si>
  <si>
    <t>INTERRUPTOR SIMPLES (2 MÓDULOS), 10A/250V, INCLUINDO SUPORTE E PLACA - FORNECIMENTO E INSTALAÇÃO. AF_12/2015</t>
  </si>
  <si>
    <t>INTERRUPTOR SIMPLES (3 MÓDULOS), 10A/250V, SEM SUPORTE E SEM PLACA - FORNECIMENTO E INSTALAÇÃO. AF_12/2015</t>
  </si>
  <si>
    <t>QUADRO DE DISTRIBUICAO DE ENERGIA DE EMBUTIR, EM CHAPA METALICA, PARA 24 DISJUNTORES TERMOMAGNETICOS MONOPOLARES, COM BARRAMENTO TRIFASICO E NEUTRO, FORNECIMENTO E INSTALACAO</t>
  </si>
  <si>
    <t>QUADRO DE DISTRIBUICAO DE ENERGIA DE EMBUTIR, EM CHAPA METALICA, PARA 32 DISJUNTORES TERMOMAGNETICOS MONOPOLARES, COM BARRAMENTO TRIFASICO E NEUTRO, FORNECIMENTO E INSTALACAO</t>
  </si>
  <si>
    <t>QUADRO DE DISTRIBUICAO DE ENERGIA DE EMBUTIR, EM CHAPA METALICA, PARA 50 DISJUNTORES TERMOMAGNETICOS MONOPOLARES, COM BARRAMENTO TRIFASICO E NEUTRO, FORNECIMENTO E INSTALACAO</t>
  </si>
  <si>
    <t>DISJUNTOR MONOPOLAR TIPO DIN, CORRENTE NOMINAL DE 10A - FORNECIMENTO E INSTALAÇÃO. AF_04/2016</t>
  </si>
  <si>
    <t>DISJUNTOR BIPOLAR TIPO DIN, CORRENTE NOMINAL DE 10A - FORNECIMENTO E INSTALAÇÃO. AF_04/2016</t>
  </si>
  <si>
    <t>DISJUNTOR TERMOMAGNETICO TRIPOLAR PADRAO NEMA (AMERICANO) 60 A 100A 240V, FORNECIMENTO E INSTALACAO</t>
  </si>
  <si>
    <t>DISJUNTOR TERMOMAGNETICO TRIPOLAR PADRAO NEMA (AMERICANO) 125 A 150A 240V, FORNECIMENTO E INSTALACAO</t>
  </si>
  <si>
    <t>DISJUNTOR TERMOMAGNETICO TRIPOLAR EM CAIXA MOLDADA 300 A 400A 600V, FORNECIMENTO E INSTALACAO</t>
  </si>
  <si>
    <t>ELETRODUTO FLEXÍVEL CORRUGADO, PVC, DN 32 MM (1"), PARA CIRCUITOS TERMINAIS, INSTALADO EM FORRO - FORNECIMENTO E INSTALAÇÃO. AF_12/2015</t>
  </si>
  <si>
    <t>DUTO ESPIRAL FLEXIVEL SINGELO PEAD D=75MM(3") REVESTIDO COM PVC COM FIO GUIA DE ACO GALVANIZADO, LANCADO DIRETO NO SOLO, INCL CONEXOES</t>
  </si>
  <si>
    <t>DUTO ESPIRAL FLEXIVEL SINGELO PEAD D=50MM(2") REVESTIDO COM PVC COM FIO GUIA DE ACO GALVANIZADO, LANCADO DIRETO NO SOLO, INCL CONEXOES</t>
  </si>
  <si>
    <t>ELETRODUTO RÍGIDO ROSCÁVEL, PVC, DN 32 MM (1"), PARA CIRCUITOS TERMINAIS, INSTALADO EM LAJE - FORNECIMENTO E INSTALAÇÃO. AF_12/2015</t>
  </si>
  <si>
    <t>CAIXA DE PASSAGEM 60X60X70 FUNDO BRITA COM TAMPA</t>
  </si>
  <si>
    <t>CAIXA DE PASSAGEM 40X40X50 FUNDO BRITA COM TAMPA</t>
  </si>
  <si>
    <t>TERMINAL OU CONECTOR DE PRESSAO - PARA CABO 35MM2 - FORNECIMENTO E INSTALACAO</t>
  </si>
  <si>
    <t>TERMINAL OU CONECTOR DE PRESSAO - PARA CABO 50MM2 - FORNECIMENTO E INSTALACAO</t>
  </si>
  <si>
    <t>TERMINAL AEREO EM ACO GALVANIZADO COM BASE DE FIXACAO H = 30CM</t>
  </si>
  <si>
    <t>CABO DE COBRE NU 35MM2 - FORNECIMENTO E INSTALACAO</t>
  </si>
  <si>
    <t>CABO DE COBRE NU 50MM2 - FORNECIMENTO E INSTALACAO</t>
  </si>
  <si>
    <t>ELETRODUTO RÍGIDO ROSCÁVEL, PVC, DN 32 MM (1"), PARA CIRCUITOS TERMINAIS, INSTALADO EM PAREDE - FORNECIMENTO E INSTALAÇÃO. AF_12/2015</t>
  </si>
  <si>
    <t xml:space="preserve">REATERRO DE VALA COM COMPACTAÇÃO MANUAL                             </t>
  </si>
  <si>
    <t>CAIXA RETANGULAR 4" X 2" MÉDIA (1,30 M DO PISO), PVC, INSTALADA EM PAREDE - FORNECIMENTO E INSTALAÇÃO. AF_12/2015</t>
  </si>
  <si>
    <t>PINTURA ACRILICA PARA SINALIZAÇÃO HORIZONTAL EM PISO CIMENTADO</t>
  </si>
  <si>
    <t>VÁLVULA DE RETENÇÃO HORIZONTAL Ø 65MM (2.1/2") - FORNECIMENTO E INSTALAÇÃO</t>
  </si>
  <si>
    <t>VÁLVULA DE PÉ COM CRIVO Ø 65MM (2.1/2") - FORNECIMENTO E INSTALAÇÃO</t>
  </si>
  <si>
    <t>PLANILHA DE QUANTIFICAÇÃO</t>
  </si>
  <si>
    <t>LOCAL</t>
  </si>
  <si>
    <t>PROJETO</t>
  </si>
  <si>
    <t>SERVIÇOS E CARACTERÍSTICAS</t>
  </si>
  <si>
    <t>MEMORIA DE CÁLCULO</t>
  </si>
  <si>
    <t xml:space="preserve">VERGA BLOCOS EDUCACIONAIS  PORTAS </t>
  </si>
  <si>
    <t>32,50+9,60</t>
  </si>
  <si>
    <t>VERGA JANELAS ( VÃOS &gt;  1,5 m)</t>
  </si>
  <si>
    <t>64,50+92,40+2,30+13,30+ 12,30</t>
  </si>
  <si>
    <t>VERGA JANELAS ( VÃOS &lt; 1,5 m)</t>
  </si>
  <si>
    <t>CONTRA VERGA   JANELAS ( VÃOS &gt;  1,5 m)</t>
  </si>
  <si>
    <t>90,30+109,20+2,90</t>
  </si>
  <si>
    <t xml:space="preserve">M </t>
  </si>
  <si>
    <t>CONTRA VERGA  JANELAS ( VÃOS &lt; 1,5 m)</t>
  </si>
  <si>
    <t xml:space="preserve">P2 - Porta Metálica - 1 Folha - 0,90 x 2,10 </t>
  </si>
  <si>
    <t>P1 - Porta de Alumínio - 1 Folha - 0,80 x 1,70</t>
  </si>
  <si>
    <t>P4 - Porta Metálica c/ barra PCD - 1 Folha - 0,90 x 2,10</t>
  </si>
  <si>
    <t>Banheiros</t>
  </si>
  <si>
    <t>P3 - Porta Metálica - 1 Folha c/ visor - 0,90 x 2,10</t>
  </si>
  <si>
    <t>Banheiros PCD</t>
  </si>
  <si>
    <t>P5 - Porta de Vidro - 2 Folhas - 1,0 x 2,10</t>
  </si>
  <si>
    <t>Secretaria</t>
  </si>
  <si>
    <t>P6 - Porta de Vidro - 1 Folha - 1,0 x 2,10</t>
  </si>
  <si>
    <t>Biblioteca</t>
  </si>
  <si>
    <t>Bilioteca + Sala de Aula + Lab. De Física + Lab. De Química + Sala de Reunião + Cordenadoria + Sala de Informática + Sala Articulada</t>
  </si>
  <si>
    <t>Sala de Aula + Lab. De Física + Lab. De Química + Sala dos Professores + Sala de Reunião + Diretoria + Sala de Informática + Sala Articulada</t>
  </si>
  <si>
    <t>Sala dos Professores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</si>
  <si>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</si>
  <si>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SDC01025</t>
  </si>
  <si>
    <t>(COMPOSIÇÃO REPRESENTATIVA) DO SERVIÇO DE REVESTIMENTO CERÂMICO PARA PAREDES INTERNAS, MEIA PAREDE, OU PAREDE INTEIRA, PLACAS GRÊS OU SEMI-GRÊS DE 20X20 CM, PARA EDIFICAÇÕES HABITACIONAIS UNIFAMILIAR (CASAS) E EDIFICAÇÕES PÚBLICAS PADRÃO. AF_11/2014</t>
  </si>
  <si>
    <t>IMPERMEABILIZACAO DE SUPERFICIE COM EMULSAO ASFALTICA A BASE D'AGUA</t>
  </si>
  <si>
    <t>REVESTIMENTO CERÂMICO PARA PISO COM PLACAS TIPO PORCELANATO DE DIMENSÕES 60X60 CM APLICADA EM AMBIENTES DE ÁREA MAIOR QUE 10 M². AF_06/2014</t>
  </si>
  <si>
    <t>MUROS, CERCAS, FECHAMENTOS E CALÇADAS DE ÁREAS DE CONVIVENCIA</t>
  </si>
  <si>
    <t>APLICAÇÃO MANUAL DE PINTURA COM TINTA LÁTEX PVA EM PAREDES, DUAS DEMÃOS. AF_06/2014</t>
  </si>
  <si>
    <t>PINTURA INTERNA E EXTERNA</t>
  </si>
  <si>
    <t>APLICAÇÃO E LIXAMENTO DE MASSA LÁTEX EM PAREDES, DUAS DEMÃOS. AF_06/2014</t>
  </si>
  <si>
    <t>APLICAÇÃO MANUAL DE PINTURA COM TINTA LÁTEX ACRÍLICA EM PAREDES, DUAS DEMÃOS. AF_06/2014</t>
  </si>
  <si>
    <t>REVESTIMENTO CERÂMICO PARA PAREDES EXTERNAS EM PASTILHAS DE PORCELANA 5 X 5 CM (PLACAS DE 30 X 30 CM), ALINHADAS A PRUMO, APLICADO EM PANOS COM VÃOS. AF_06/2014</t>
  </si>
  <si>
    <t>SDC01014</t>
  </si>
  <si>
    <t>ESPELHO CRISTAL, ESPESSURA 4MM, COM PARAFUSOS DE FIXACAO, SEM MOLDURA</t>
  </si>
  <si>
    <t>PORTAO EM TELA ARAME GALVANIZADO N.12 MALHA 2" E MOLDURA EM TUBOS DE ACO COM DUAS FOLHAS DE ABRIR, INCLUSO FERRAGENS</t>
  </si>
  <si>
    <t>LIMPEZA FINAL DA OBRA</t>
  </si>
  <si>
    <t>PORTA EM ALUMÍNIO DE ABRIR TIPO VENEZIANA COM GUARNIÇÃO, FIXAÇÃO COM PARAFUSOS - FORNECIMENTO E INSTALAÇÃO. AF_08/2015</t>
  </si>
  <si>
    <t>SDC01029</t>
  </si>
  <si>
    <t>PORTA DE VIDRO TEMPERADO, 1,00X2,10M, ESPESSURA 10MM, INCLUSIVE ACESSORIOS</t>
  </si>
  <si>
    <t>SDC01030</t>
  </si>
  <si>
    <t>PORTA DE VIDRO TEMPERADO, 2,00X2,10M, DUAS FOLHAS, ESPESSURA 10MM, INCLUSIVE ACESSORIOS</t>
  </si>
  <si>
    <t>SDC04004</t>
  </si>
  <si>
    <t>FORNECIMENTO E INSTALAÇÃO DE PLACA DE PORTA, EM PVC, COM ESCRITA EM BRAILE, DIMENSÕES 30X10CM</t>
  </si>
  <si>
    <t>SDC04005</t>
  </si>
  <si>
    <t>FORNECIMENTO E INSTALAÇÃO DE PISO PODOTÁTIL, EM BORRACHA SINTÉTICA, 250X250MM, DIRECIONAL/ALERTA</t>
  </si>
  <si>
    <t>SDC04007</t>
  </si>
  <si>
    <t>FORNECIMENTO E INSTALAÇÃO DE BANCADA DE GRANITO NATURAL, ASSENTADO COM ARGAMASSA MISTA DE CIMENTO, CAL HIDRADATA E AREIA SEM PENEIRAR TRAÇO 1:1:6, E=2,5CM</t>
  </si>
  <si>
    <t>SDC04003</t>
  </si>
  <si>
    <t>EXECUÇÃO DE ABRIGO PROVISÓRIO PARA RESIDUOS SOLIDOS EM TIJOLO MACIÇO COM PORTÃO EM GRADE EM METALON, INCLUSIVE AZULEJO NA PARTE INTERNA CONFORME PROJETO</t>
  </si>
  <si>
    <t>SDC04009</t>
  </si>
  <si>
    <t>FORNECIMENTO E INSTALAÇÃO DE BARRA DE APOIO PARA PCD, EM AÇO INOX, 80CM</t>
  </si>
  <si>
    <t>FORNECIMENTO E INSTALAÇÃO DE EXAUSTOR AXIAL DE PAREDE DIAMETRO 30CM</t>
  </si>
  <si>
    <t>SDC01031</t>
  </si>
  <si>
    <t>FORNECIMENTO E INSTALAÇÃO DE PORTA METÁLICA, 90X2,10M, COM VISOR, CHAPA LISA Nº18, INCLUSIVE FECHADURA TIPO TRINCO ROLETE E GUARNIÇÕES - CONFORME ESPECIFICAÇÃO TÉCNICA SEDUC</t>
  </si>
  <si>
    <t>SDC01027</t>
  </si>
  <si>
    <t>FORNECIMENTO E INSTALAÇÃO DE PORTA METÁLICA, 90X2,10M, CHAPA LISA Nº18, INCLUSIVE FECHADURA TIPO TRINCO ROLETE E GUARNIÇÕES - CONFORME ESPECIFICAÇÃO TÉCNICA SEDUC</t>
  </si>
  <si>
    <t>JANELA DE ALUMÍNIO MAXIM-AR, FIXAÇÃO COM ARGAMASSA, COM VIDROS, PADRONIZADA. AF_07/2016</t>
  </si>
  <si>
    <t>SDC04010</t>
  </si>
  <si>
    <t>FORNECIMENTO E INSTALAÇÃO DE KIT CONTENDO 3 MASTROS P/ BANDEIRA EM TUBO DE AÇO GALVANIZADO 7,00M E ALTURA LIVRE 6,00M</t>
  </si>
  <si>
    <t>SDC04011</t>
  </si>
  <si>
    <t>SDC04012</t>
  </si>
  <si>
    <t>FORNECIMENTO E INSTALAÇÃO DE QUADRO DE VIDRO TEMPERADO 6MM 4X1,1M</t>
  </si>
  <si>
    <t>MÃO FRANCESA EM BARRA DE FERRO CHATO RETANGULAR 2" X 1/4", REFORÇADA, 40 X 30 CM</t>
  </si>
  <si>
    <t>FORNECIMENTO E INSTALAÇÃO DE JANELA DE ALUMÍNIO TIPO GUILHOTINA (1,50X2,00)M, C/ PASSA PRATO EM GRANITO COMP. 2,00MXLARG. 40CM, INCLUSIVE ACESSÓRIOS DE FIXAÇÃO CONFORME DETALHE SEDUC</t>
  </si>
  <si>
    <t xml:space="preserve">TELA - Q92 </t>
  </si>
  <si>
    <t>SDC01034</t>
  </si>
  <si>
    <t>TELHAMENTO COM TELHA DE AÇO/ALUMÍNIO, ONDULADA, E = 0,5 MM, COM ATÉ 2 ÁGUAS, INCLUSO IÇAMENTO</t>
  </si>
  <si>
    <t>SDC04001</t>
  </si>
  <si>
    <t>TOALHEIRO PLASTICO TIPO DISPENSER PARA PAPEL TOALHA INTERFOLHADO</t>
  </si>
  <si>
    <t>SDC02007</t>
  </si>
  <si>
    <t>JUNÇÃO 45° DE PVC BRANCO COM REDUÇÃO, PONTA BOLSA E VIROLA, Ø 100 X 50 MM</t>
  </si>
  <si>
    <t>SDC04002</t>
  </si>
  <si>
    <t>EXECUÇÃO DE ESCOVÓDROMO EM ALVENARIA. INSTALAÇÕES DE ÁGUA E ESGOTO ENCONTRAM-SE NO ITEM INSTALAÇÕES HIDRO-SANITÁRIAS</t>
  </si>
  <si>
    <t>ARQUIBANCADA</t>
  </si>
  <si>
    <t>(COMPOSIÇÃO REPRESENTATIVA) DO SERVIÇO DE ALVENARIA DE VEDAÇÃO DE BLOCOS VAZADOS DE CONCRETO DE 14X19X39CM (ESPESSURA 14CM), PARA EDIFICAÇÃO HABITACIONAL UNIFAMILIAR (CASA) E EDIFICAÇÃO PÚBLICA PADRÃO. AF_12/2014</t>
  </si>
  <si>
    <t>APLICAÇÃO DE FUNDO SELADOR ACRÍLICO EM PAREDES, UMA DEMÃO. AF_06/2014</t>
  </si>
  <si>
    <t>VERGA MOLDADA IN LOCO EM CONCRETO PARA JANELAS COM ATÉ 1,5 M DE VÃO. AF_03/2016</t>
  </si>
  <si>
    <t>VERGA MOLDADA IN LOCO EM CONCRETO PARA JANELAS COM MAIS DE 1,5 M DE VÃO. AF_03/2016</t>
  </si>
  <si>
    <t>VERGA MOLDADA IN LOCO EM CONCRETO PARA PORTAS COM ATÉ 1,5 M DE VÃO. AF_03/2016</t>
  </si>
  <si>
    <t>CONTRAVERGA MOLDADA IN LOCO EM CONCRETO PARA VÃOS DE MAIS DE 1,5 M DE COMPRIMENTO. AF_03/2016</t>
  </si>
  <si>
    <t>CONTRAVERGA MOLDADA IN LOCO EM CONCRETO PARA VÃOS DE ATÉ 1,5 M DE COMPRIMENTO. AF_03/2016</t>
  </si>
  <si>
    <t>EXECUÇÃO DE PASSEIO (CALÇADA) OU PISO DE CONCRETO COM CONCRETO MOLDADO IN LOCO, USINADO, ACABAMENTO CONVENCIONAL, ESPESSURA 6 CM, ARMADO. AF_07/2016</t>
  </si>
  <si>
    <t>PINTURA ACRILICA EM PISO CIMENTADO, TRES DEMAOS</t>
  </si>
  <si>
    <t>EXECUÇÃO DE PÁTIO/ESTACIONAMENTO EM PISO INTERTRAVADO, COM BLOCO RETANGULAR COR NATURAL DE 20 X 10 CM, ESPESSURA 6 CM. AF_12/2015</t>
  </si>
  <si>
    <t>PLANTIO DE GRAMA ESMERALDA EM ROLO</t>
  </si>
  <si>
    <t>SDC04016</t>
  </si>
  <si>
    <t>CONJUNTO PARA FUTSAL COM DUAS TRAVES OFICIAIS DE 3,00 X 2,00 M EM TUBO DE ACO GALVANIZADO 3" COM REQUADRO EM TUBO DE 1", PINTURA EM PRIMER COM TINTA ESMALTE SINTETICO E REDES DE POLIETILENO FIO 4 MM</t>
  </si>
  <si>
    <t>SDC04017</t>
  </si>
  <si>
    <t>CONJUNTO PARA QUADRA DE VOLEI COM POSTES EM TUBO DE ACO GALVANIZADO 3", H = *255* CM, PINTURA EM TINTA ESMALTE SINTETICO, REDE DE NYLON COM 2 MM, MALHA 10 X 10 CM E ANTENAS OFICIAIS EM FIBRA DE VIDRO</t>
  </si>
  <si>
    <t>SDC04018</t>
  </si>
  <si>
    <t>SUPORTE PARA TABELA DE BASQUETE DE CONCRETO ARMADO FCK = 15MPA, INCLUSIVE FORMA, ARMAÇÃO, LANÇAMENTO E DESFORMA</t>
  </si>
  <si>
    <t>SDC04019</t>
  </si>
  <si>
    <t>PAR DE TABELAS DE BASQUETE EM COMPENSADO NAVAL DE *1,80 X 1,20* M, COM ARO DE METAL E REDE (SEM SUPORTE DE FIXACAO)</t>
  </si>
  <si>
    <t>SDC04020</t>
  </si>
  <si>
    <t>EXECUÇÃO DE MURO, EM BLOCOS DE CONCRETO ESTRUTURAL, ALTURA 2,20M</t>
  </si>
  <si>
    <t>SDC02017</t>
  </si>
  <si>
    <t>BUCHA DE REDUCAO DE PVC, SOLDAVEL, CURTA COM 60 X 50 MM</t>
  </si>
  <si>
    <t>SDC02019</t>
  </si>
  <si>
    <t>BUCHA DE REDUCAO DE PVC, SOLDAVEL, CURTA COM 85 X 75 MM</t>
  </si>
  <si>
    <t>SDC02021</t>
  </si>
  <si>
    <t>SDC02026</t>
  </si>
  <si>
    <t>SDC02029</t>
  </si>
  <si>
    <t>TÊ DE REDUÇÃO, PVC, SOLDÁVEL, DN 85MM X 75MM</t>
  </si>
  <si>
    <t>SDC02031</t>
  </si>
  <si>
    <t>TORNEIRA PRESSÃO USO GERAL</t>
  </si>
  <si>
    <t>SDC02034</t>
  </si>
  <si>
    <t>PIA DE COZINHA DE AÇO INOXIDAVEL, CUBA DUPLA, 2,00 X 0,55M</t>
  </si>
  <si>
    <t>FORNECIMENTO E INSTALAÇÃO DE CHUVEIRO LAVA-OLHOS DE EMERGÊNCIA EM AÇO GALVANIZADO COM ACIONAMENTO MANUAL E FIXAÇÃO NO PISO</t>
  </si>
  <si>
    <t>BANCADA PARA COZINHA EM AÇO INOX  NAS DIMENSÕES 2,91M X 0,60M COM 02 CUBAS EM AÇO INOX DE DIMENSÕES 0,50 X 0,45 X 0,35, INCLUSIVE TORNEIRA DE PRESSÃO PARA PIA LONGA DE PAREDE, SIFÃO METÁLICO PARA PIA E VÁLVULA DE ESCOAMENTO METÁLICA PARA PIA DE COZINHA, FIXADA SOBRE PAREDE DE ALVENARIA DE TIJOLO DE 1/2 VEZ ACABAMENTO EM AZULEJO CERAMICO ESMALTADO DE DIMENSÕES 150MM X 150MM COM REJUNTE DE COR BRANCO</t>
  </si>
  <si>
    <t>SDC02032</t>
  </si>
  <si>
    <t>FORNECIMENTO E INSTALAÇÃO TANQUE DE LAVAR DUPLO EM MÁRMORE SINTÉTICOPRETO DE DIMENSÕES 1,10 X 0,60 M ASSENTADO SOBRE ALVENARIA</t>
  </si>
  <si>
    <t>VASO SANITARIO SIFONADO CONVENCIONAL PARA PCD SEM FURO FRONTAL COM LOUÇA BRANCA SEM ASSENTO, INCLUSO CONJUNTO DE LIGAÇÃO PARA BACIA SANITÁRIA AJUSTÁVEL - FORNECIMENTO E INSTALAÇÃO. AF_10/2016</t>
  </si>
  <si>
    <t>SDC02033</t>
  </si>
  <si>
    <t>TORNEIRA DE PRESSÃO CROMADA DE MESA, PARA LAVATÓRIO PCD, COM ALAVANCA DE ACIONAMENTO - FORNECIMENTO E INSTALAÇÃO</t>
  </si>
  <si>
    <t>SDC02004</t>
  </si>
  <si>
    <t>CAIXA SIFONADA DE PVC COM GRELHA BRANCA, 150 X 150 X 50 MM</t>
  </si>
  <si>
    <t>JOELHO 45 GRAUS, PVC, SERIE NORMAL, ESGOTO PREDIAL, DN 50 MM, JUNTA ELÁSTICA, FORNECIDO E INSTALADO EM PRUMADA DE ESGOTO SANITÁRIO OU VENTILAÇÃO. AF_12/2014</t>
  </si>
  <si>
    <t>JOELHO 45 GRAUS, PVC, SERIE NORMAL, ESGOTO PREDIAL, DN 75 MM, JUNTA ELÁSTICA, FORNECIDO E INSTALADO EM RAMAL DE DESCARGA OU RAMAL DE ESGOTO SANITÁRIO. AF_12/2014</t>
  </si>
  <si>
    <t>JOELHO 45 GRAUS, PVC, SERIE NORMAL, ESGOTO PREDIAL, DN 40 MM, JUNTA SOLDÁVEL, FORNECIDO E INSTALADO EM RAMAL DE DESCARGA OU RAMAL DE ESGOTO SANITÁRIO. AF_12/2014</t>
  </si>
  <si>
    <t>SDC02005</t>
  </si>
  <si>
    <t>JUNÇÃO 45° DE PVC BRANCO COM REDUÇÃO, PONTA BOLSA E VIROLA, Ø 75 X 50 MM</t>
  </si>
  <si>
    <t>SDC02006</t>
  </si>
  <si>
    <t>SDC02008</t>
  </si>
  <si>
    <t>FORNECIMENTO E INSTALAÇÃO DE TERMINAL DE VENTILAÇÃO, SÉRIE NORMAL, DN 50MM</t>
  </si>
  <si>
    <t>TE DE REDUÇÃO, PVC, SOLDÁVEL, DN 75MM X 50MM, INSTALADO EM PRUMADA DE ÁGUA - FORNECIMENTO E INSTALAÇÃO. AF_12/2014</t>
  </si>
  <si>
    <t>SDC02011</t>
  </si>
  <si>
    <t>FOSSA SÉPTICA EM ALVENARIA - TIJOLO COMUM MACIÇO, DIMENSOES 350 X 180 X 150 CM (9,45M³)</t>
  </si>
  <si>
    <t>SDC04022</t>
  </si>
  <si>
    <t>FORNECIMENTO E MONTAGEM DE KIT PLAYGOUND, METALICO, CONTENDO: GIRA-GIRA 7 LUGARES; BALANÇO 4 LUGARES; ESCORREGADOR GRANDE; GANGORRA DUPLA E CASINHA CONJUGADA</t>
  </si>
  <si>
    <t>73967/002</t>
  </si>
  <si>
    <t>73967/001</t>
  </si>
  <si>
    <t>SDC04015</t>
  </si>
  <si>
    <t>ITENS COMPLEMENTARES</t>
  </si>
  <si>
    <t>SDC03004</t>
  </si>
  <si>
    <t>ABRAÇADEIRA TIPO "D" COM CUNHA, DIÂMETRO 1"</t>
  </si>
  <si>
    <t>SDC07001</t>
  </si>
  <si>
    <t>FORNECIMENTO E INSTALAÇÃO DE PLACA DE SINALIZAÇÃO DE EXTINTOR 20X30CM</t>
  </si>
  <si>
    <t>SDC07002</t>
  </si>
  <si>
    <t>FORNECIMENTO E INSTALAÇÃO DE PLACA DE SINALIZAÇÃO INDICATIVA, SAÍDA DE EMERGÊNCIA, SAÍDA LATERAL ESQUERDA/DIREITA/SAÍDA EM FRENTE</t>
  </si>
  <si>
    <t>SDC07003</t>
  </si>
  <si>
    <t>PLACA DE SINALIZACAO DE SEGURANCA CONTRA INCENDIO, FOTOLUMINESCENTE, RETANGULAR, *20 X 40* CM, EM PVC *2* MM ANTI-CHAMAS (SIMBOLOS, CORES E PICTOGRAMAS CONFORME NBR 13434)</t>
  </si>
  <si>
    <t>SDC07004</t>
  </si>
  <si>
    <t>FORNECIMENTO E INSTALAÇÃO DE ACIONADOR MANUAL PARA ALARME, TIPO QUEBRA VIDRO, COM MARTELO</t>
  </si>
  <si>
    <t>SDC07005</t>
  </si>
  <si>
    <t>FORNECIMENTO E INSTALAÇÃO DE SIRENE ELETRÔNICA, 12V, ALARME DE EMERGÊNCIA</t>
  </si>
  <si>
    <t>SDC07006</t>
  </si>
  <si>
    <t>FORNECIMENTO E INSTALAÇÃO DE CENTRAL DE ALARME IPA, 12 LAÇOS, SEM BATERIA</t>
  </si>
  <si>
    <t>SDC07007</t>
  </si>
  <si>
    <t>FORNECIMENTO E INSTALAÇÃO DE BATERIA SELADA PARA CENTRAL DE ALARME, 12V/5A</t>
  </si>
  <si>
    <t>SDC03005</t>
  </si>
  <si>
    <t>ABRACADEIRA EM ACO PARA AMARRACAO DE ELETRODUTOS, TIPO D, COM 3/4" E CUNHA DE FIXACAO</t>
  </si>
  <si>
    <t>SDC07008</t>
  </si>
  <si>
    <t>PLACA DE SINALIZACAO DE SEGURANCA CONTRA INCENDIO, FOTOLUMINESCENTE, RETANGULAR, *13 X 26* CM, EM PVC *2* MM ANTI-CHAMAS (SIMBOLOS, CORES E PICTOGRAMAS CONFORME NBR 13434)</t>
  </si>
  <si>
    <t>COTOVELO 90 GRAUS, EM FERRO GALVANIZADO, CONEXÃO ROSQUEADA, DN 65 (2 1/2), INSTALADO EM RESERVAÇÃO DE ÁGUA DE EDIFICAÇÃO QUE POSSUA RESERVATÓRIO DE FIBRA/FIBROCIMENTO  FORNECIMENTO E INSTALAÇÃO. AF_06/2016</t>
  </si>
  <si>
    <t>COTOVELO 45 GRAUS, EM FERRO GALVANIZADO, CONEXÃO ROSQUEADA, DN 65 (2 1/2), INSTALADO EM RESERVAÇÃO DE ÁGUA DE EDIFICAÇÃO QUE POSSUA RESERVATÓRIO DE FIBRA/FIBROCIMENTO  FORNECIMENTO E INSTALAÇÃO. AF_06/2016</t>
  </si>
  <si>
    <t>LUVA, EM FERRO GALVANIZADO, DN 65 (2 1/2"), CONEXÃO ROSQUEADA, INSTALADO EM REDE DE ALIMENTAÇÃO PARA HIDRANTE - FORNECIMENTO E INSTALAÇÃO. AF_12/2015</t>
  </si>
  <si>
    <t>TÊ, EM FERRO GALVANIZADO, CONEXÃO ROSQUEADA, DN 65 (2 1/2"), INSTALADO EM REDE DE ALIMENTAÇÃO PARA HIDRANTE - FORNECIMENTO E INSTALAÇÃO. AF_12/2015</t>
  </si>
  <si>
    <t>SDC03007</t>
  </si>
  <si>
    <t>SDC03001</t>
  </si>
  <si>
    <t>FORNECIMENTO E INSTALAÇÃO DE VENTILADOR DE TETO, 03 PALHETAS</t>
  </si>
  <si>
    <t>TELHAMENTO COM TELHA METÁLICA TERMOACÚSTICA E = 30 MM, COM ATÉ 2 ÁGUAS, INCLUSO IÇAMENTO. AF_06/2016</t>
  </si>
  <si>
    <t>REFLETOR/PROJETOR LED, PARA ILUMINAÇÃO DE QUADRA, 150W, BIVOLT</t>
  </si>
  <si>
    <t>SDC03009</t>
  </si>
  <si>
    <t>SDC03010</t>
  </si>
  <si>
    <t>ESPELHO / PLACA DE 3 POSTOS 4" X 2", PARA INSTALACAO DE TOMADAS E INTERRUPTORES</t>
  </si>
  <si>
    <t>SDC03011</t>
  </si>
  <si>
    <t>LUMINARIA DE EMERGENCIA 30 LEDS, POTENCIA 2 W, BATERIA DE LITIO, AUTONOMIA DE 6 CR</t>
  </si>
  <si>
    <t xml:space="preserve">Pele de vidro secretaria  </t>
  </si>
  <si>
    <t>Pele de vidro da secretaria com a P5</t>
  </si>
  <si>
    <t>Pele de vidro Biblioteca</t>
  </si>
  <si>
    <t xml:space="preserve">Pele de vidro na biblioteca com a P6 </t>
  </si>
  <si>
    <t>SDC03012</t>
  </si>
  <si>
    <t>SDC02040</t>
  </si>
  <si>
    <t>EXECUÇÃO DE FILTRO ANAERÓBICO D=2M E PROFUNDIDADE=2,50M</t>
  </si>
  <si>
    <t>SDC02039</t>
  </si>
  <si>
    <t>FORNECIMENTO E INSTALAÇÃO DE PARAFUSO COM BUCHA S8</t>
  </si>
  <si>
    <t>SDC04023</t>
  </si>
  <si>
    <t>SDC03013</t>
  </si>
  <si>
    <t>FORNECIMENTO E INSTALAÇÃO DE CAIXA DE INSPEÇÃO TIPO SOLO EM PVC COM DIAMETRO 300MM, INCLUSIVE TAMPO EM FERRO FUNDIDO COM BOCAL INFERIOR QUADRADO ARTICULADO E BORDA REDONDA DE 300MM.</t>
  </si>
  <si>
    <t>SDC03014</t>
  </si>
  <si>
    <t>FORNECIMENTO E INSTALAÇÃO DE  CAIXA DE INSPEÇÃO SUSPENSA.</t>
  </si>
  <si>
    <t>FORNECIMENTO E INSTALAÇÃO DE PARAFUSO SEXTAVADO INOX 1/4" X 1" COM ARRUELA LISA ZINCADA</t>
  </si>
  <si>
    <t>SDC03015</t>
  </si>
  <si>
    <t>SDC03016</t>
  </si>
  <si>
    <t>FORNECIMENTO E INSTALAÇÃO DE CARTUCHO PARA SOLDA 150MM</t>
  </si>
  <si>
    <t>SDC03017</t>
  </si>
  <si>
    <t>FORNECIMENTO E INSTALAÇÃO DE CAIXA DE EQUIPOTENCIALIZAÇÃO 20 X 20 X10 CM</t>
  </si>
  <si>
    <t>SDC04024</t>
  </si>
  <si>
    <t>FORNECIMENTO E INSTALAÇÃO DE PELE DE VIDRO</t>
  </si>
  <si>
    <t>PLACA DE OBRA EM CHAPA DE ACO GALVANIZADO</t>
  </si>
  <si>
    <t>74209/001</t>
  </si>
  <si>
    <t>LIMPEZA MECANIZADA DE TERRENO COM REMOCAO DE CAMADA VEGETAL, UTILIZANDO MOTONIVELADORA</t>
  </si>
  <si>
    <t>LOCACAO CONVENCIONAL DE OBRA, ATRAVÉS DE GABARITO DE TABUAS CORRIDAS PONTALETADAS, COM REAPROVEITAMENTO DE 3 VEZES.</t>
  </si>
  <si>
    <t>74077/003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</si>
  <si>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</si>
  <si>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</si>
  <si>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</si>
  <si>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TAPUME DE CHAPA DE MADEIRA COMPENSADA, E= 6MM, COM PINTURA A CAL E REAPROVEITAMENTO DE 2X</t>
  </si>
  <si>
    <t>CARGA MANUAL DE ENTULHO EM CAMINHAO BASCULANTE 6 M3</t>
  </si>
  <si>
    <t>ENTRADA PROVISORIA DE ENERGIA ELETRICA AEREA TRIFASICA 40A EM POSTE MADEIRA</t>
  </si>
  <si>
    <t>SDC04025</t>
  </si>
  <si>
    <t>SDC04027</t>
  </si>
  <si>
    <t>FORNECIMENTO E INSTALAÇÃO DE PLACA DE INAUGURAÇÃO, 40X50, EM AÇO INOXIDAVEL E ESCRITA EM BAIXO RELEVO</t>
  </si>
  <si>
    <t>TOTAL DE INSTALAÇÕES DE GÁS</t>
  </si>
  <si>
    <t>SDC04028</t>
  </si>
  <si>
    <t>EXECUÇÃO DE ABRIGO DE GÁS EM ALVENARIA DE BLOCOS CERÂMICOS, PORTÃO EM TELA DE ARAME GALVANIZADO, DIMENSÕES CONFORME PROJETO PADRÃO SEDUC</t>
  </si>
  <si>
    <t>74145/001</t>
  </si>
  <si>
    <t>TUBO DE AÇO GALVANIZADO COM COSTURA, CLASSE MÉDIA, CONEXÃO ROSQUEADA, DN 20 (3/4"), INSTALADO EM RAMAIS E SUB-RAMAIS DE GÁS - FORNECIMENTO E INSTALAÇÃO. AF_12/2015</t>
  </si>
  <si>
    <t>JOELHO 90 GRAUS, EM FERRO GALVANIZADO, CONEXÃO ROSQUEADA, DN 15 (1/2"), INSTALADO EM RAMAIS E SUB-RAMAIS DE GÁS - FORNECIMENTO E INSTALAÇÃO. AF_12/2015</t>
  </si>
  <si>
    <t>und</t>
  </si>
  <si>
    <t>JOELHO 90 GRAUS, EM FERRO GALVANIZADO, CONEXÃO ROSQUEADA, DN 20 (3/4"), INSTALADO EM RAMAIS E SUB-RAMAIS DE GÁS - FORNECIMENTO E INSTALAÇÃO. AF_12/2015</t>
  </si>
  <si>
    <t>TÊ, EM FERRO GALVANIZADO, CONEXÃO ROSQUEADA, DN 15 (1/2"), INSTALADO EM RAMAIS E SUB-RAMAIS DE GÁS - FORNECIMENTO E INSTALAÇÃO. AF_12/2015</t>
  </si>
  <si>
    <t>UNIÃO, EM FERRO GALVANIZADO, CONEXÃO ROSQUEADA, DN 15 (1/2"), INSTALADO EM RAMAIS E SUB-RAMAIS DE GÁS - FORNECIMENTO E INSTALAÇÃO. AF_12/2015</t>
  </si>
  <si>
    <t>UNIÃO, EM FERRO GALVANIZADO, CONEXÃO ROSQUEADA, DN 20 (3/4"), INSTALADO EM RAMAIS E SUB-RAMAIS DE GÁS - FORNECIMENTO E INSTALAÇÃO. AF_12/2015</t>
  </si>
  <si>
    <t>NIPLE, EM FERRO GALVANIZADO, CONEXÃO ROSQUEADA, DN 15 (1/2"), INSTALADO EM RAMAIS E SUB-RAMAIS DE GÁS - FORNECIMENTO E INSTALAÇÃO. AF_12/2015</t>
  </si>
  <si>
    <t>NIPLE, EM FERRO GALVANIZADO, CONEXÃO ROSQUEADA, DN 20 (3/4"), INSTALADO EM RAMAIS E SUB-RAMAIS DE GÁS - FORNECIMENTO E INSTALAÇÃO. AF_12/2015</t>
  </si>
  <si>
    <t>LUVA DE REDUÇÃO, EM FERRO GALVANIZADO, 3/4" X 1/2", CONEXÃO ROSQUEADA, INSTALADO EM RAMAIS E SUB-RAMAIS DE GÁS - FORNECIMENTO E INSTALAÇÃO. AF_12/2015</t>
  </si>
  <si>
    <t>SDC01037</t>
  </si>
  <si>
    <t>APLICAÇÃO MANUAL DE PINTURA COM TINTA ESMALTE SINTETICO BRILHO, EM PAREDES, DUAS DEMÃOS  ( Linha Pantone 3125U)</t>
  </si>
  <si>
    <t>59.0</t>
  </si>
  <si>
    <t>60.0</t>
  </si>
  <si>
    <t>61.0</t>
  </si>
  <si>
    <t>62.0</t>
  </si>
  <si>
    <t>63.0</t>
  </si>
  <si>
    <t>64.0</t>
  </si>
  <si>
    <t>65.0</t>
  </si>
  <si>
    <t>66.0</t>
  </si>
  <si>
    <t>67.0</t>
  </si>
  <si>
    <t>68.0</t>
  </si>
  <si>
    <t>9.7</t>
  </si>
  <si>
    <t>10.3</t>
  </si>
  <si>
    <t>10.4</t>
  </si>
  <si>
    <t>10.5</t>
  </si>
  <si>
    <t>10.6</t>
  </si>
  <si>
    <t>15.2</t>
  </si>
  <si>
    <t>16.3</t>
  </si>
  <si>
    <t>16.5</t>
  </si>
  <si>
    <t>18.1</t>
  </si>
  <si>
    <t>18.2</t>
  </si>
  <si>
    <t>19.1</t>
  </si>
  <si>
    <t>19.2</t>
  </si>
  <si>
    <t>19.3</t>
  </si>
  <si>
    <t>19.4</t>
  </si>
  <si>
    <t>19.6</t>
  </si>
  <si>
    <t>19.7</t>
  </si>
  <si>
    <t>19.8</t>
  </si>
  <si>
    <t>19.9</t>
  </si>
  <si>
    <t>19.11</t>
  </si>
  <si>
    <t>19.12</t>
  </si>
  <si>
    <t>19.13</t>
  </si>
  <si>
    <t>19.14</t>
  </si>
  <si>
    <t>19.15</t>
  </si>
  <si>
    <t>20.1</t>
  </si>
  <si>
    <t>20.2</t>
  </si>
  <si>
    <t>20.3</t>
  </si>
  <si>
    <t>20.4</t>
  </si>
  <si>
    <t>21.1</t>
  </si>
  <si>
    <t>21.2</t>
  </si>
  <si>
    <t>21.5</t>
  </si>
  <si>
    <t>21.7</t>
  </si>
  <si>
    <t>21.8</t>
  </si>
  <si>
    <t>21.9</t>
  </si>
  <si>
    <t>22.1</t>
  </si>
  <si>
    <t>22.2</t>
  </si>
  <si>
    <t>22.3</t>
  </si>
  <si>
    <t>22.4</t>
  </si>
  <si>
    <t>22.5</t>
  </si>
  <si>
    <t>23.1</t>
  </si>
  <si>
    <t>28.1</t>
  </si>
  <si>
    <t>24.1</t>
  </si>
  <si>
    <t>23.2</t>
  </si>
  <si>
    <t>23.3</t>
  </si>
  <si>
    <t>23.4</t>
  </si>
  <si>
    <t>24.2</t>
  </si>
  <si>
    <t>24.3</t>
  </si>
  <si>
    <t>24.4</t>
  </si>
  <si>
    <t>25.1</t>
  </si>
  <si>
    <t>25.2</t>
  </si>
  <si>
    <t>25.3</t>
  </si>
  <si>
    <t>25.4</t>
  </si>
  <si>
    <t>25.5</t>
  </si>
  <si>
    <t>26.1</t>
  </si>
  <si>
    <t>26.2</t>
  </si>
  <si>
    <t>27.1</t>
  </si>
  <si>
    <t>27.2</t>
  </si>
  <si>
    <t>27.3</t>
  </si>
  <si>
    <t>28.2</t>
  </si>
  <si>
    <t>28.3</t>
  </si>
  <si>
    <t>28.4</t>
  </si>
  <si>
    <t>30.1</t>
  </si>
  <si>
    <t>32.1</t>
  </si>
  <si>
    <t>32.2</t>
  </si>
  <si>
    <t>33.1</t>
  </si>
  <si>
    <t>33.2</t>
  </si>
  <si>
    <t>33.3</t>
  </si>
  <si>
    <t>33.4</t>
  </si>
  <si>
    <t>33.5</t>
  </si>
  <si>
    <t>33.6</t>
  </si>
  <si>
    <t>33.7</t>
  </si>
  <si>
    <t>33.8</t>
  </si>
  <si>
    <t>34.1</t>
  </si>
  <si>
    <t>34.2</t>
  </si>
  <si>
    <t>34.3</t>
  </si>
  <si>
    <t>34.4</t>
  </si>
  <si>
    <t>34.5</t>
  </si>
  <si>
    <t>34.6</t>
  </si>
  <si>
    <t>34.7</t>
  </si>
  <si>
    <t>34.8</t>
  </si>
  <si>
    <t>35.1</t>
  </si>
  <si>
    <t>35.2</t>
  </si>
  <si>
    <t>35.3</t>
  </si>
  <si>
    <t>35.4</t>
  </si>
  <si>
    <t>35.5</t>
  </si>
  <si>
    <t>35.6</t>
  </si>
  <si>
    <t>36.1</t>
  </si>
  <si>
    <t>36.2</t>
  </si>
  <si>
    <t>36.3</t>
  </si>
  <si>
    <t>36.4</t>
  </si>
  <si>
    <t>36.5</t>
  </si>
  <si>
    <t>37.1</t>
  </si>
  <si>
    <t>37.2</t>
  </si>
  <si>
    <t>37.3</t>
  </si>
  <si>
    <t>40.1</t>
  </si>
  <si>
    <t>51.6</t>
  </si>
  <si>
    <t>55.2</t>
  </si>
  <si>
    <t>55.3</t>
  </si>
  <si>
    <t>58.2</t>
  </si>
  <si>
    <t>58.3</t>
  </si>
  <si>
    <t>58.4</t>
  </si>
  <si>
    <t>58.6</t>
  </si>
  <si>
    <t>59.1</t>
  </si>
  <si>
    <t>59.2</t>
  </si>
  <si>
    <t>59.3</t>
  </si>
  <si>
    <t>60.2</t>
  </si>
  <si>
    <t>60.3</t>
  </si>
  <si>
    <t>61.1</t>
  </si>
  <si>
    <t>61.3</t>
  </si>
  <si>
    <t>61.4</t>
  </si>
  <si>
    <t>61.5</t>
  </si>
  <si>
    <t>61.6</t>
  </si>
  <si>
    <t>62.1</t>
  </si>
  <si>
    <t>62.2</t>
  </si>
  <si>
    <t>62.3</t>
  </si>
  <si>
    <t>62.4</t>
  </si>
  <si>
    <t>63.1</t>
  </si>
  <si>
    <t>63.2</t>
  </si>
  <si>
    <t>63.3</t>
  </si>
  <si>
    <t>64.1</t>
  </si>
  <si>
    <t>64.2</t>
  </si>
  <si>
    <t>64.3</t>
  </si>
  <si>
    <t>64.4</t>
  </si>
  <si>
    <t>64.5</t>
  </si>
  <si>
    <t>65.1</t>
  </si>
  <si>
    <t>65.2</t>
  </si>
  <si>
    <t>66.1</t>
  </si>
  <si>
    <t>66.2</t>
  </si>
  <si>
    <t>67.1</t>
  </si>
  <si>
    <t>67.2</t>
  </si>
  <si>
    <t>67.3</t>
  </si>
  <si>
    <t>67.4</t>
  </si>
  <si>
    <t>68.1</t>
  </si>
  <si>
    <t>SDC01039</t>
  </si>
  <si>
    <t>APLICAÇÃO MANUAL DE PINTURA COM TINTA ESMALTE SINTETICO BRILHO, EM PAREDES, DUAS DEMÃOS  ( Linha Pantone 308U)</t>
  </si>
  <si>
    <t>SINAPI</t>
  </si>
  <si>
    <t>ENGENHEIRO CIVIL DE OBRA JUNIOR COM ENCARGOS COMPLEMENTARES</t>
  </si>
  <si>
    <t>H</t>
  </si>
  <si>
    <t>MESTRE DE OBRAS COM ENCARGOS COMPLEMENTARES</t>
  </si>
  <si>
    <t>VIGIA NOTURNO COM ENCARGOS COMPLEMENTARES</t>
  </si>
  <si>
    <t>ENCARREGADO GERAL DE OBRAS COM ENCARGOS COMPLEMENTARES</t>
  </si>
  <si>
    <t>AJUDANTE DE ARMADOR COM ENCARGOS COMPLEMENTARES</t>
  </si>
  <si>
    <t>ARMADOR COM ENCARGOS COMPLEMENTARES</t>
  </si>
  <si>
    <t>ACO CA-50, 10,0 MM, VERGALHAO</t>
  </si>
  <si>
    <t>SINAPI 92919</t>
  </si>
  <si>
    <t>ARAME RECOZIDO 18 BWG, 1,25 MM (0,01 KG/M)</t>
  </si>
  <si>
    <t>SINAPI 92921</t>
  </si>
  <si>
    <t>SINAPI 92915</t>
  </si>
  <si>
    <t>SINAPI 92916</t>
  </si>
  <si>
    <t>SINAPI 92917</t>
  </si>
  <si>
    <t>SINAPI 92922</t>
  </si>
  <si>
    <t>SINAPI 74141/002</t>
  </si>
  <si>
    <t>CARPINTEIRO DE FORMAS COM ENCARGOS COMPLEMENTARES</t>
  </si>
  <si>
    <t>PEDREIRO COM ENCARGOS COMPLEMENTARES</t>
  </si>
  <si>
    <t>SERVENTE COM ENCARGOS COMPLEMENTARES</t>
  </si>
  <si>
    <t>PECA DE MADEIRA NATIVA / REGIONAL 7,5 X 7,5CM (3X3) NAO APARELHADA (P/FORMA)</t>
  </si>
  <si>
    <t>LAJE PRÉ-MOLDADA DE COBERTURA TRELIÇADA, C/ H=12CM, APOIO SIMPLES, INCLUSIVE EPS</t>
  </si>
  <si>
    <t>CONTATO</t>
  </si>
  <si>
    <t>TELEFONE</t>
  </si>
  <si>
    <t>CNPJ</t>
  </si>
  <si>
    <t>03.507.415/0008-10</t>
  </si>
  <si>
    <t>ORSE 2657</t>
  </si>
  <si>
    <t>PEDRA BRITADA N. 2 (19 A 38 MM) POSTO PEDREIRA/FORNECEDOR, SEM FRETE</t>
  </si>
  <si>
    <t>SIURB-SP 15505</t>
  </si>
  <si>
    <t>PERFIL AÇO DOBRADO, LAMINADO E CHAPARIA ASTM A 36</t>
  </si>
  <si>
    <t>SERRALHEIRO COM ENCARGOS COMPLEMENTARES</t>
  </si>
  <si>
    <t>AUXILIAR DE SERRALHEIRO COM ENCARGOS COMPLEMENTARES</t>
  </si>
  <si>
    <t>PINTOR COM ENCARGOS COMPLEMENTARES</t>
  </si>
  <si>
    <t>AJUDANTE DE ESTRUTURA METÁLICA COM ENCARGOS COMPLEMENTARES</t>
  </si>
  <si>
    <t>SOLDADOR COM ENCARGOS COMPLEMENTARES</t>
  </si>
  <si>
    <t>FUNDO ANTICORROSIVO PARA METAIS FERROSOS (ZARCAO)</t>
  </si>
  <si>
    <t>L</t>
  </si>
  <si>
    <t>SOLVENTE DILUENTE A BASE DE AGUARRAS</t>
  </si>
  <si>
    <t>MONTADOR DE ESTRUTURA METÁLICA COM ENCARGOS COMPLEMENTARES</t>
  </si>
  <si>
    <t>SINAPI 94213</t>
  </si>
  <si>
    <t>TELHADISTA COM ENCARGOS COMPLEMENTARES</t>
  </si>
  <si>
    <t>GUINDASTE HIDRÁULICO AUTOPROPELIDO, COM LANÇA TELESCÓPICA 40 M, CAPACIDADE MÁXIMA 60 T, POTÊNCIA 260 KW - CHP DIURNO. AF_03/2016</t>
  </si>
  <si>
    <t>CHP</t>
  </si>
  <si>
    <t>GUINDASTE HIDRÁULICO AUTOPROPELIDO, COM LANÇA TELESCÓPICA 40 M, CAPACIDADE MÁXIMA 60 T, POTÊNCIA 260 KW - CHI DIURNO. AF_03/2016</t>
  </si>
  <si>
    <t>CHI</t>
  </si>
  <si>
    <t>TELHA DE ACO ZINCADO ONDULADA, A = *17* MM, E = 0,5 MM, SEM PINTURA</t>
  </si>
  <si>
    <t>HASTE RETA PARA GANCHO DE FERRO GALVANIZADO, COM ROSCA 1/4 " X 30 CM PARA FIXACAO DE TELHA METALICA, INCLUI PORCA E ARRUELAS DE VEDACAO</t>
  </si>
  <si>
    <t>ARGAMASSA TRAÇO 1:3 (CIMENTO E AREIA MÉDIA), PREPARO MANUAL. AF_08/2014</t>
  </si>
  <si>
    <t>PORTA DE AÇO CHAPA 18  0,90X2,10 SEM VISOR</t>
  </si>
  <si>
    <t>Thiago</t>
  </si>
  <si>
    <t>Valdeci</t>
  </si>
  <si>
    <t>Centro Aço Metalúrgica</t>
  </si>
  <si>
    <t>26.250.326/0001-60</t>
  </si>
  <si>
    <t>SINAPI 73838/001</t>
  </si>
  <si>
    <t>VIDRACEIRO COM ENCARGOS COMPLEMENTARES</t>
  </si>
  <si>
    <t>JOGO DE FERRAGENS CROMADAS P/ PORTA DE VIDRO TEMPERADO, UMA FOLHA COMPOSTA: DOBRADICA SUPERIOR (101) E INFERIOR (103),TRINCO (502), FECHADURA (520),CONTRA FECHADURA (531),COM CAPUCHINHO</t>
  </si>
  <si>
    <t>VIDRO TEMPERADO INCOLOR E = 10 MM, SEM COLOCACAO</t>
  </si>
  <si>
    <t>MOLA HIDRAULICA DE PISO P/ VIDRO TEMPERADO 10MM</t>
  </si>
  <si>
    <t>PORTA DE AÇO CHAPA 18  0,90X2,10 COM VISOR</t>
  </si>
  <si>
    <t>Mão de Obra</t>
  </si>
  <si>
    <t>Material</t>
  </si>
  <si>
    <t>AZULEJISTA OU LADRILHISTA COM ENCARGOS COMPLEMENTARES</t>
  </si>
  <si>
    <t>3617-5000</t>
  </si>
  <si>
    <t>Todimo</t>
  </si>
  <si>
    <t>15.375.991/0003-26</t>
  </si>
  <si>
    <t>00.364.896/0001-98</t>
  </si>
  <si>
    <t>ORSE 7853</t>
  </si>
  <si>
    <t>ANTÔNIO</t>
  </si>
  <si>
    <t>PUBLIARTE PAINEIS</t>
  </si>
  <si>
    <t>MARIA</t>
  </si>
  <si>
    <t>EMPLACA COMUNICAÇÃO VISUAL</t>
  </si>
  <si>
    <t>17.786.657/0001-29</t>
  </si>
  <si>
    <t>TCPO 13 - 09500.8.6.</t>
  </si>
  <si>
    <t>PINO DE ACO COM FURO, HASTE = 27 MM (ACAO DIRETA)</t>
  </si>
  <si>
    <t>ARAME GALVANIZADO 18 BWG, 1,24MM (0,009 KG/M)</t>
  </si>
  <si>
    <t>PREGO DE ACO POLIDO COM CABECA 10 X 10 (7/8 X 17)</t>
  </si>
  <si>
    <t>PREGO DE ACO POLIDO COM CABECA 18 X 27 (2 1/2 X 10)</t>
  </si>
  <si>
    <t>SARRAFO DE MADEIRA NAO APARELHADA 2,5 X 5 CM, MACARANDUBA, ANGELIM OU EQUIVALENTE DA REGIAO</t>
  </si>
  <si>
    <t>SARRAFO DE MADEIRA APARELHADA *2 X 10* CM, MACARANDUBA, ANGELIM OU EQUIVALENTE DA REGIAO</t>
  </si>
  <si>
    <t>FORRO DE PVC, FRISADO, BRANCO, REGUA DE 10 CM, ESPESSURA DE 8 MM A 10 MM E COMPRIMENTO 6 M (SEM COLOCACAO)</t>
  </si>
  <si>
    <t>PLACA DE PORTA EM PVC 2MM, SUPERFÍCIE REVESTIDA COM ADESIVO PVC CINZA (REF. COR PANTONE 420 C), BRAILE APLICADO ABAIXO DOS TEXTOS VISUAIS E TÁTEIS, DIMENSÕES 30X10CM</t>
  </si>
  <si>
    <t>PLACA DE PORTA EM PVC, BRAILE 30X10CM</t>
  </si>
  <si>
    <t>Maria José</t>
  </si>
  <si>
    <t>Emplaca Comunicação Visual</t>
  </si>
  <si>
    <t>Imaginário Mídia Visual e Eventos</t>
  </si>
  <si>
    <t>17.856.736/0001-69</t>
  </si>
  <si>
    <t>SEINFRA C4624</t>
  </si>
  <si>
    <t>CAL HIDRATADA CH-I PARA ARGAMASSAS</t>
  </si>
  <si>
    <t>AREIA MEDIA - POSTO JAZIDA/FORNECEDOR (RETIRADO NA JAZIDA, SEM TRANSPORTE)</t>
  </si>
  <si>
    <t>CIMENTO PORTLAND COMPOSTO CP II-32</t>
  </si>
  <si>
    <t>SEINFRA C0864</t>
  </si>
  <si>
    <t>CHAPA DE MADEIRA COMPENSADA PLASTIFICADA PARA FORMA DE CONCRETO, DE 2,20 X 1,10 M, E = 12 MM</t>
  </si>
  <si>
    <t>SARRAFO DE MADEIRA NAO APARELHADA *2,5 X 10 CM, MACARANDUBA, ANGELIM OU EQUIVALENTE DA REGIAO</t>
  </si>
  <si>
    <t>ELETRODO REVESTIDO AWS - E7018, DIAMETRO IGUAL A 4,00 MM</t>
  </si>
  <si>
    <t>DESMOLDANTE PROTETOR PARA FORMAS DE MADEIRA, DE BASE OLEOSA EMULSIONADA EM AGUA</t>
  </si>
  <si>
    <t>CIMENTO PORTLAND DE ALTO FORNO (AF) CP III-32</t>
  </si>
  <si>
    <t>AREIA GROSSA - POSTO JAZIDA/FORNECEDOR (RETIRADO NA JAZIDA, SEM TRANSPORTE)</t>
  </si>
  <si>
    <t>LIXA EM FOLHA PARA FERRO, NUMERO 150</t>
  </si>
  <si>
    <t>TINTA ESMALTE SINTETICO PREMIUM FOSCO</t>
  </si>
  <si>
    <t>PEDRA BRITADA N. 0, OU PEDRISCO (4,8 A 9,5 MM) POSTO PEDREIRA/FORNECEDOR, SEM FRETE</t>
  </si>
  <si>
    <t>TUBO ACO GALVANIZADO COM COSTURA, CLASSE MEDIA, DN 2.1/2", E = *3,65* MM, PESO *6,51* KG/M (NBR 5580)</t>
  </si>
  <si>
    <t>AJUDANTE DE CARPINTEIRO COM ENCARGOS COMPLEMENTARES</t>
  </si>
  <si>
    <t>AJUDANTE ESPECIALIZADO COM ENCARGOS COMPLEMENTARES</t>
  </si>
  <si>
    <t>SAOP - MT CI0181</t>
  </si>
  <si>
    <t>ARGAMASSA TRAÇO 1:1:6 (CIMENTO, CAL E AREIA MÉDIA) PARA EMBOÇO/MASSA ÚNICA/ASSENTAMENTO DE ALVENARIA DE VEDAÇÃO, PREPARO MECÂNICO COM MISTURADOR DE EIXO HORIZONTAL DE 300 KG. AF_06/2014</t>
  </si>
  <si>
    <t>SUDECAP 13.40.59</t>
  </si>
  <si>
    <t>BARRA DE APOIO RETA, EM ACO INOX POLIDO, COMPRIMENTO 80CM, DIAMETRO MINIMO 3 CM</t>
  </si>
  <si>
    <t>ORSE 3167</t>
  </si>
  <si>
    <t>PLACA EM INOX, 40X50, ESCRITA EM BAIXO RELEVO</t>
  </si>
  <si>
    <t>RONALD</t>
  </si>
  <si>
    <t>RAWAL PLACAS</t>
  </si>
  <si>
    <t>15.353.188/0001-29</t>
  </si>
  <si>
    <t>EZEQUIEL</t>
  </si>
  <si>
    <t>REALCE PAPEL</t>
  </si>
  <si>
    <t>10.307.321/0001-97</t>
  </si>
  <si>
    <t>MG PRINT COMUNICAÇÃO VISUAL</t>
  </si>
  <si>
    <t>11.931.138/0001-20</t>
  </si>
  <si>
    <t>SINAPI 87242</t>
  </si>
  <si>
    <t>ARGAMASSA COLANTE TIPO ACIII E</t>
  </si>
  <si>
    <t>SINAPI 94582</t>
  </si>
  <si>
    <t>PISO GRANITO ASSENTADO SOBRE ARGAMASSA CIMENTO / CAL / AREIA TRACO 1:0,25:3 INCLUSIVE REJUNTE EM CIMENTO</t>
  </si>
  <si>
    <t>JANELA ALUMINIO TIPO GUILHOTINA 1,5X2,0M</t>
  </si>
  <si>
    <t>Jamil</t>
  </si>
  <si>
    <t>3364-7998</t>
  </si>
  <si>
    <t>Alumat</t>
  </si>
  <si>
    <t>10.572.049/0001-72</t>
  </si>
  <si>
    <t>3682-6920</t>
  </si>
  <si>
    <t>CNN Inox</t>
  </si>
  <si>
    <t>16.868.802/0001-58</t>
  </si>
  <si>
    <t>ALVENARIA DE VEDAÇÃO DE BLOCOS CERÂMICOS FURADOS NA HORIZONTAL DE 9X14X19CM (ESPESSURA 9CM) DE PAREDES COM ÁREA LÍQUIDA MAIOR OU IGUAL A 6M² COM VÃOS E ARGAMASSA DE ASSENTAMENTO COM PREPARO EM BETONEIRA. AF_06/2014</t>
  </si>
  <si>
    <t>Thaylon</t>
  </si>
  <si>
    <t>3685-2027</t>
  </si>
  <si>
    <t>Altinox</t>
  </si>
  <si>
    <t>25.232.385/0001-43</t>
  </si>
  <si>
    <t>3621-1109</t>
  </si>
  <si>
    <t>Metal Calhas</t>
  </si>
  <si>
    <t>04.812.606/0001-82</t>
  </si>
  <si>
    <t>ORSE 10176</t>
  </si>
  <si>
    <t>ELETRICISTA COM ENCARGOS COMPLEMENTARES</t>
  </si>
  <si>
    <t>EXAUSTOR AXIAL DE PAREDE DIAMETRO 30CM</t>
  </si>
  <si>
    <t>Leandro</t>
  </si>
  <si>
    <t>3052-4200</t>
  </si>
  <si>
    <t>Pizzatto</t>
  </si>
  <si>
    <t>04.181.115/0001-80</t>
  </si>
  <si>
    <t>Jullian</t>
  </si>
  <si>
    <t>3388-3800</t>
  </si>
  <si>
    <t>Prhimel</t>
  </si>
  <si>
    <t>04.770.552/0001-30</t>
  </si>
  <si>
    <t>AJUDANTE DE PEDREIRO COM ENCARGOS COMPLEMENTARES</t>
  </si>
  <si>
    <t>PEDRA BRITADA N. 1 (9,5 a 19 MM) POSTO PEDREIRA/FORNECEDOR, SEM FRETE</t>
  </si>
  <si>
    <t>ARMAÇÃO VERTICAL DE ALVENARIA ESTRUTURAL; DIÂMETRO DE 10,0 MM. AF_01/2015</t>
  </si>
  <si>
    <t>ANDAIME PARA ALVENARIA EM MADEIRA DE 2A</t>
  </si>
  <si>
    <t>SINAPI 86906</t>
  </si>
  <si>
    <t xml:space="preserve"> KIT PLAYGOUND, METALICO, CONTENDO: GIRA-GIRA 7 LUGARES; BALANÇO 4 LUGARES; ESCORREGADOR GRANDE; GANGORRA DUPLA E CASINHA CONJUGADA</t>
  </si>
  <si>
    <t>MARCOS</t>
  </si>
  <si>
    <t>(COMPOSIÇÃO REPRESENTATIVA) DO SERVIÇO DE REVESTIMENTO CERÂMICO PARA PISO COM PLACAS TIPO GRÉS DE DIMENSÕES 35X35 CM, PARA EDIFICAÇÃO HABITACIONAL UNIFAMILIAR (CASA) E EDIFICAÇÃO PÚBLICA PADRÃO. AF_11/2014</t>
  </si>
  <si>
    <t>LAJE PRE-MOLD BETA 12 P/3,5KN/M2 VAO 4,1M INCL VIGOTAS TIJOLOS ARMADU-RA NEGATIVA CAPEAMENTO 3CM CONCRETO 15MPA ESCORAMENTO MATERIAIS E MAO DE OBRA.</t>
  </si>
  <si>
    <t>PISO EM CONCRETO 20 MPA PREPARO MECANICO, ESPESSURA 7CM, INCLUSO JUNTAS DE DILATACAO EM MADEIRA</t>
  </si>
  <si>
    <t>(COMPOSIÇÃO REPRESENTATIVA) DO SERVIÇO DE CONTRAPISO EM ARGAMASSA TRAÇO 1:4 (CIM E AREIA), EM BETONEIRA 400 L, ESPESSURA 3 CM ÁREAS SECAS E 3 CM ÁREAS MOLHADAS, PARA EDIFICAÇÃO HABITACIONAL MULTIFAMILIAR (PRÉDIO). AF_11/2014</t>
  </si>
  <si>
    <t>ENCANADOR OU BOMBEIRO HIDRÁULICO COM ENCARGOS COMPLEMENTARES</t>
  </si>
  <si>
    <t>ADESIVO PLASTICO PARA PVC, FRASCO COM 850 GR</t>
  </si>
  <si>
    <t>SOLUCAO LIMPADORA PARA PVC, FRASCO COM 1000 CM3</t>
  </si>
  <si>
    <t>LIXA D'AGUA EM FOLHA, GRAO 100</t>
  </si>
  <si>
    <t>BUCHA DE REDUCAO DE PVC, SOLDAVEL, CURTA, COM 60 X 50 MM, PARA AGUA FRIA PREDIAL</t>
  </si>
  <si>
    <t>PASTA LUBRIFICANTE PARA TUBOS E CONEXOES COM JUNTA ELASTICA (USO EM PVC, ACO, POLIETILENO E OUTROS) ( DE *400* G)</t>
  </si>
  <si>
    <t>ANEL BORRACHA PARA TUBO ESGOTO PREDIAL DN 50 MM (NBR 5688)</t>
  </si>
  <si>
    <t>BUCHA DE REDUCAO DE PVC, SOLDAVEL, LONGA, COM 60 X 25 MM, PARA AGUA FRIA PREDIAL</t>
  </si>
  <si>
    <t>BUCHA DE REDUCAO DE PVC, SOLDAVEL, LONGA, COM 85 X 60 MM, PARA AGUA FRIA PREDIAL</t>
  </si>
  <si>
    <t>ATERRO MANUAL DE VALAS COM SOLO ARGILO-ARENOSO E COMPACTAÇÃO MECANIZADA. AF_05/2016</t>
  </si>
  <si>
    <t>AUXILIAR DE ENCANADOR OU BOMBEIRO HIDRÁULICO COM ENCARGOS COMPLEMENTARES</t>
  </si>
  <si>
    <t>FITA VEDA ROSCA EM ROLOS DE 18 MM X 10 M (L X C)</t>
  </si>
  <si>
    <t>TUBO PVC, SOLDAVEL, DN 25 MM, AGUA FRIA (NBR-5648)</t>
  </si>
  <si>
    <t>ORSE 7610</t>
  </si>
  <si>
    <t>TORNEIRA CROMADA DE MESA PARA LAVATORIO TEMPORIZADA PRESSAO BICA BAIXA</t>
  </si>
  <si>
    <t>SAOP CO1104</t>
  </si>
  <si>
    <t>FITA VEDA ROSCA EM ROLOS DE 18 MM X 50 M (L X C)</t>
  </si>
  <si>
    <t>SIFAO EM METAL CROMADO PARA PIA AMERICANA, 1.1/2 X 2 "</t>
  </si>
  <si>
    <t>ORSE 10041</t>
  </si>
  <si>
    <t>CRISTIANE</t>
  </si>
  <si>
    <t>LP COMERCIO E REPRESENTAÇÕES</t>
  </si>
  <si>
    <t>10.832.896/0001-29</t>
  </si>
  <si>
    <t>ANDERSON</t>
  </si>
  <si>
    <t>14.442.229/0001-90</t>
  </si>
  <si>
    <t>SIFÃO DO TIPO FLEXÍVEL EM PVC 1 X 1.1/2 - FORNECIMENTO E INSTALAÇÃO. AF_12/2013</t>
  </si>
  <si>
    <t>VÁLVULA EM METAL CROMADO TIPO AMERICANA 3.1/2" X 1.1/2" PARA PIA - FORNECIMENTO E INSTALAÇÃO. AF_12/2013</t>
  </si>
  <si>
    <t>TORNEIRA CROMADA LONGA, DE PAREDE, 1/2" OU 3/4", PARA PIA DE COZINHA, PADRÃO MÉDIO - FORNECIMENTO E INSTALAÇÃO. AF_12/2013</t>
  </si>
  <si>
    <t>BANCADA EM AÇO INOX 2,91X0,60M COM 02 CUBAS</t>
  </si>
  <si>
    <t>(COMPOSIÇÃO REPRESENTATIVA) DO SERVIÇO DE ALVENARIA DE VEDAÇÃO DE BLOCOS VAZADOS DE CERÂMICA DE 9X19X19CM (ESPESSURA 9CM), PARA EDIFICAÇÃO HABITACIONAL MULTIFAMILIAR (PRÉDIO). AF_11/2014</t>
  </si>
  <si>
    <t>TORNEIRA CROMADA 1/2" OU 3/4" PARA TANQUE, PADRÃO MÉDIO - FORNECIMENTO E INSTALAÇÃO. AF_12/2013</t>
  </si>
  <si>
    <t>VÁLVULA EM PLÁSTICO 1" PARA PIA, TANQUE OU LAVATÓRIO, COM OU SEM LADRÃO - FORNECIMENTO E INSTALAÇÃO. AF_12/2013</t>
  </si>
  <si>
    <t>ENGATE FLEXÍVEL EM PLÁSTICO BRANCO, 1/2" X 30CM - FORNECIMENTO E INSTALAÇÃO. AF_12/2013</t>
  </si>
  <si>
    <t>BEIRA RIO ACABAMENTOS</t>
  </si>
  <si>
    <t>20.939.127/0001-88</t>
  </si>
  <si>
    <t>IZABELA</t>
  </si>
  <si>
    <t>07.790.953/0002-20</t>
  </si>
  <si>
    <t>TORNEIRA DE PRESSÃO, MESA, PARA LAVATORIO PCD, COM ALAVANCA</t>
  </si>
  <si>
    <t>ODAIR</t>
  </si>
  <si>
    <t>VERDÃO MATERIAIS PARA CONSTRUÇÃO</t>
  </si>
  <si>
    <t>37.432.150/0001-84</t>
  </si>
  <si>
    <t>ROBERTO</t>
  </si>
  <si>
    <t>TODIMO MATERIAIS PARA CONSTRUÇÃO</t>
  </si>
  <si>
    <t>DUCHA HIGIENICA PLASTICA COM REGISTRO METALICO 1/2 "</t>
  </si>
  <si>
    <t>CAIXA SIFONADA PVC, 150 X 150 X 50 MM, COM GRELHA QUADRADA BRANCA (NBR 5688)</t>
  </si>
  <si>
    <t>ANEL BORRACHA PARA TUBO ESGOTO PREDIAL, DN 100 MM (NBR 5688)</t>
  </si>
  <si>
    <t>ANEL BORRACHA PARA TUBO ESGOTO PREDIAL DN 75 MM (NBR 5688)</t>
  </si>
  <si>
    <t>REDUCAO EXCENTRICA PVC P/ ESG PREDIAL DN 100 X 50MM</t>
  </si>
  <si>
    <t>ORSE 1666</t>
  </si>
  <si>
    <t>TERMINAL DE VENTILACAO, 50 MM, SERIE NORMAL, ESGOTO PREDIAL</t>
  </si>
  <si>
    <t>LASTRO COM PREPARO DE FUNDO, LARGURA MAIOR OU IGUAL A 1,5 M, COM CAMADA DE BRITA, LANÇAMENTO MANUAL, EM LOCAL COM NÍVEL BAIXO DE INTERFERÊNCIA. AF_06/2016</t>
  </si>
  <si>
    <t>ARMACAO EM TELA DE ACO SOLDADA NERVURADA Q-138, ACO CA-60, 4,2MM, MALHA 10X10CM</t>
  </si>
  <si>
    <t>TAMPAO FOFO ARTICULADO, CLASSE B125 CARGA MAX 12,5 T, REDONDO TAMPA 600 MM, REDE PLUVIAL/ESGOTO, P = CHAMINE CX AREIA / POCO VISITA ASSENTADO COM ARG CIM/AREIA 1:4, FORNECIMENTO E ASSENTAMENTO</t>
  </si>
  <si>
    <t>ALVENARIA EM TIJOLO CERAMICO MACICO 5X10X20CM 1/2 VEZ (ESPESSURA 10CM), ASSENTADO COM ARGAMASSA TRACO 1:2:8 (CIMENTO, CAL E AREIA)</t>
  </si>
  <si>
    <t>LASTRO COM PREPARO DE FUNDO, LARGURA MAIOR OU IGUAL A 1,5 M, COM CAMADA DE BRITA, LANÇAMENTO MANUAL, EM LOCAL COM NÍVEL ALTO DE INTERFERÊNCIA. AF_06/2016</t>
  </si>
  <si>
    <t>ARMACAO EM TELA DE ACO SOLDADA NERVURADA Q-196, ACO CA-60, 5,0MM, MALHA 10X10CM</t>
  </si>
  <si>
    <t>FORNECIMENTO E ASSENTAMENTO DE TUBO DE CONCRETO  DIÂMETRO DE 2000 MM</t>
  </si>
  <si>
    <t>LEITO FILTRANTE - FORN.E ENCHIMENTO C/ BRITA NO. 4</t>
  </si>
  <si>
    <t>FABRICAÇÃO DE FÔRMA PARA LAJES, EM CHAPA DE MADEIRA COMPENSADA PLASTIFICADA, E = 18 MM. AF_12/2015</t>
  </si>
  <si>
    <t>ALAMBRADO EM MOUROES DE CONCRETO "T", ALTURA LIVRE 2M, ESPACADOS A CADA 2M, COM TELA DE ARAME GALVANIZADO, FIO 14 BWG E MALHA QUADRADA 5X5CM</t>
  </si>
  <si>
    <t>PORTAO DE FERRO COM VARA 1/2", COM REQUADRO</t>
  </si>
  <si>
    <t>APLICAÇÃO DE FUNDO SELADOR ACRÍLICO EM TETO, UMA DEMÃO. AF_06/2014</t>
  </si>
  <si>
    <t>PINTURA ESMALTE ACETINADO, DUAS DEMAOS, SOBRE SUPERFICIE METALICA</t>
  </si>
  <si>
    <t>FORNECIMENTO E INSTALAÇÃO BATERIA GÁS 2 P45</t>
  </si>
  <si>
    <t>Paulo</t>
  </si>
  <si>
    <t>3624-1044</t>
  </si>
  <si>
    <t>CHAMA AZUL</t>
  </si>
  <si>
    <t>00.123.322/0002-09</t>
  </si>
  <si>
    <t>LUMINARIA TIPO CALHA, DE SOBREPOR, COM LAMPADA TUBULAR LED 2X20W COM FLUXO LUMINOSO MÍNIMO DE 4400 LÚMENS, COMPLETA, FORNECIMENTO E INSTALACAO</t>
  </si>
  <si>
    <t xml:space="preserve">SINAPI 73953/002 </t>
  </si>
  <si>
    <t>ORSE 811</t>
  </si>
  <si>
    <t>VENTILADOR 3 PÁS</t>
  </si>
  <si>
    <t>AUXILIAR DE ELETRICISTA COM ENCARGOS COMPLEMENTARES</t>
  </si>
  <si>
    <t>ORSE 10355</t>
  </si>
  <si>
    <t>BARRA NEUTRO 12 FUROS AZUL</t>
  </si>
  <si>
    <t>CELSO</t>
  </si>
  <si>
    <t>SELCO COMERCIO DE MATERIAIS ELÉTRICOS LTDA</t>
  </si>
  <si>
    <t>BEZERRA</t>
  </si>
  <si>
    <t>TO LIGADO MATERIAIS ELETRICOS</t>
  </si>
  <si>
    <t>07.237.858/0001-13</t>
  </si>
  <si>
    <t>BARRA NEUTRO 12 FUROS VERDE</t>
  </si>
  <si>
    <t>QUADRO DE COMANDO, EM CAHAPA DE AÇO, 1200X800X250MM</t>
  </si>
  <si>
    <t>BARRA CHATA, COBRE, 1. 1/4 x 1/4 - 449A</t>
  </si>
  <si>
    <t>3618-2500</t>
  </si>
  <si>
    <t>37.470.911/0001-92</t>
  </si>
  <si>
    <t>3321-0009</t>
  </si>
  <si>
    <t>08.954.892/0001-71</t>
  </si>
  <si>
    <t>ORSE 10638</t>
  </si>
  <si>
    <t>PATRICIA</t>
  </si>
  <si>
    <t>3M COMERCIO DE MATERIAIS ELÉTRICOS</t>
  </si>
  <si>
    <t>PHIMEL ELÉTRICA E ILUMINAÇÃO</t>
  </si>
  <si>
    <t>CAMILA</t>
  </si>
  <si>
    <t>SÓ LED PAINÉIS E ILUMINAÇÃO</t>
  </si>
  <si>
    <t>18.453.093/0001-75</t>
  </si>
  <si>
    <t>3661-6383</t>
  </si>
  <si>
    <t>Amaral</t>
  </si>
  <si>
    <t>3661-7232</t>
  </si>
  <si>
    <t>Dambros Elétrica e Ferragens Ltda-ME</t>
  </si>
  <si>
    <t>11.113.763/0001-65</t>
  </si>
  <si>
    <t>Celso</t>
  </si>
  <si>
    <t>3027-9000</t>
  </si>
  <si>
    <t>Selco Comercio de Materiais Elétricos Ltda</t>
  </si>
  <si>
    <t>07.624.206/0001-31</t>
  </si>
  <si>
    <t>3025-4300</t>
  </si>
  <si>
    <t>Petel</t>
  </si>
  <si>
    <t>22.760.075/0001-03</t>
  </si>
  <si>
    <t>ORSE 10620</t>
  </si>
  <si>
    <t>BUCHA DE NYLON SEM ABA S8, COM PARAFUSO DE 4,80 X 50 MM EM ACO ZINCADO COM ROSCA SOBERBA, CABECA CHATA E FENDA PHILLIPS</t>
  </si>
  <si>
    <t>ORSE 4718</t>
  </si>
  <si>
    <t>Fernando</t>
  </si>
  <si>
    <t>Hidro eletrica Moura</t>
  </si>
  <si>
    <t>3634-1717</t>
  </si>
  <si>
    <t>22.760.075/0001-30</t>
  </si>
  <si>
    <t>CAIXA DE INSPEÇÃO SUSPENSA</t>
  </si>
  <si>
    <t>ORSE 10426</t>
  </si>
  <si>
    <t>CARTUCHO PARA SOLDA 150MM</t>
  </si>
  <si>
    <t>CAIXA EQUALIZADOR 20X20</t>
  </si>
  <si>
    <t>SEDOP 241468</t>
  </si>
  <si>
    <t>PLACA DE SINALIZAÇÃO DE EXTINTOR 20X30CM</t>
  </si>
  <si>
    <t>Carla</t>
  </si>
  <si>
    <t>Hidro Elétrica Moura</t>
  </si>
  <si>
    <t>IOPES 160612</t>
  </si>
  <si>
    <t>BUCHA DE NYLON SEM ABA S6, COM PARAFUSO DE 4,20 X 40 MM EM ACO ZINCADO COM ROSCA SOBERBA, CABECA CHATA E FENDA PHILLIPS</t>
  </si>
  <si>
    <t>PLACA DE SINALIZAÇÃO INDICATIVA, SAÍDA DE EMERGÊNCIA, SAÍDA LATERAL ESQUERDA/DIREITA/SAÍDA EM FRENTE</t>
  </si>
  <si>
    <t>THIAGO</t>
  </si>
  <si>
    <t>PETEL MATERIAIS ELÉTRICOS</t>
  </si>
  <si>
    <t>CARLA</t>
  </si>
  <si>
    <t>HIDRO E ELÉTRICA MOURA LTDA EPP</t>
  </si>
  <si>
    <t>JULLIAN</t>
  </si>
  <si>
    <t>PHIMEL ELÉTRICA E HIDRÁULICA EIRELI - ME</t>
  </si>
  <si>
    <t>ORSE 7861</t>
  </si>
  <si>
    <t>ACIONADOR MANUAL PARA ALARME, TIPO QUEBRA VIDRO, COM MARTELO</t>
  </si>
  <si>
    <t>ORSE 8503</t>
  </si>
  <si>
    <t>SIRENE ELETRÔNICA, 12V, ALARME DE EMERGÊNCIA</t>
  </si>
  <si>
    <t>SUPERTEC PEÇAS E SERVIÇOS</t>
  </si>
  <si>
    <t>ORSE 8058</t>
  </si>
  <si>
    <t>CENTRAL DE ALARME IPA, 12 LAÇOS, SEM BATERIA</t>
  </si>
  <si>
    <t>ORSE 8693</t>
  </si>
  <si>
    <t>BATERIA SELADA PARA CENTRAL DE ALARME, 12V/5A</t>
  </si>
  <si>
    <t>SAOP-MT CP0441</t>
  </si>
  <si>
    <t>IOPES 160322</t>
  </si>
  <si>
    <t>ABRACADEIRA EM ACO PARA AMARRACAO DE ELETRODUTOS, TIPO D, COM 1" E CUNHA DE FIXACAO</t>
  </si>
  <si>
    <t>42.2</t>
  </si>
  <si>
    <t>42.3</t>
  </si>
  <si>
    <t>42.4</t>
  </si>
  <si>
    <t>51.9</t>
  </si>
  <si>
    <t>59.4</t>
  </si>
  <si>
    <t>59.5</t>
  </si>
  <si>
    <t>59.6</t>
  </si>
  <si>
    <t>64.6</t>
  </si>
  <si>
    <t>64.7</t>
  </si>
  <si>
    <t>64.8</t>
  </si>
  <si>
    <t>64.9</t>
  </si>
  <si>
    <t>64.10</t>
  </si>
  <si>
    <t>64.11</t>
  </si>
  <si>
    <t>64.12</t>
  </si>
  <si>
    <t>64.13</t>
  </si>
  <si>
    <t>64.14</t>
  </si>
  <si>
    <t>65.3</t>
  </si>
  <si>
    <t>65.4</t>
  </si>
  <si>
    <t>68.2</t>
  </si>
  <si>
    <t>69.0</t>
  </si>
  <si>
    <t>69.1</t>
  </si>
  <si>
    <t>PINTURA ESMALTE FOSCO, DUAS DEMAOS, SOBRE SUPERFICIE METALICA</t>
  </si>
  <si>
    <t>73924/003</t>
  </si>
  <si>
    <t>TAMPA EM CONCRETO ARMADO 60X60X5CM P/CX INSPECAO/FOSSA SEPTICA</t>
  </si>
  <si>
    <t>ORSE 8739</t>
  </si>
  <si>
    <t>PARAFUSO ZINCADO, SEXTAVADO, COM ROSCA INTEIRA, DIAMETRO 5/8", COMPRIMENTO 2 1/4"</t>
  </si>
  <si>
    <t>PROJETOR LED 150W BIVOLT</t>
  </si>
  <si>
    <t>ADRIANA</t>
  </si>
  <si>
    <t>ART E LUZ</t>
  </si>
  <si>
    <t>15.059.263/0001-43</t>
  </si>
  <si>
    <t>CAIXA DE PASSAGEM METALICA DE SOBREPOR COM TAMPA PARAFUSADA, DIMENSOES 15 X 15 X 10 CM</t>
  </si>
  <si>
    <t>SDC05003</t>
  </si>
  <si>
    <t>CONTAINER 2,30 X 4,30 M, ALT. 2,50 M, P/ SANITARIO, C/ 5 BACIAS, 1 LAVATORIO E 4 MICTORIOS (LOCACAO)</t>
  </si>
  <si>
    <t>MÊS</t>
  </si>
  <si>
    <t>SDC05004</t>
  </si>
  <si>
    <t>LIGAÇÃO PROVISÓRIA DE ÁGUA E SANITÁRIO</t>
  </si>
  <si>
    <t>HIDROMETRO UNIJATO, VAZAO MAXIMA DE 5,0 M3/H, DE 3/4"</t>
  </si>
  <si>
    <t>TABUA MADEIRA 2A QUALIDADE 2,5 X 30,0CM (1 X 12") NAO APARELHADA</t>
  </si>
  <si>
    <t>VIGA DE MADEIRA NAO APARELHADA 6 X 12 CM, MACARANDUBA, ANGELIM OU EQUIVALENTE DA REGIAO</t>
  </si>
  <si>
    <t>TIJOLO CERAMICO MACICO *5 X 10 X 20* CM</t>
  </si>
  <si>
    <t>CAIXA D'AGUA EM POLIETILENO 1000 LITROS, COM TAMPA</t>
  </si>
  <si>
    <t>SDC01089</t>
  </si>
  <si>
    <t>DIVISORIA EM GRANITO BRANCO ITAUNAS, ESP = 2CM, ASSENTADO COM ARGAMASSA TRACO 1:4, ARREMATE EM CIMENTO BRANCO, EXCLUSIVE FERRAGENS</t>
  </si>
  <si>
    <t>SINAPI 79267</t>
  </si>
  <si>
    <t>MARMORISTA/GRANITEIRO COM ENCARGOS COMPLEMENTARES</t>
  </si>
  <si>
    <t>ARGAMASSA TRAÇO 1:4 (CIMENTO E AREIA MÉDIA), PREPARO MANUAL. AF_08/2014</t>
  </si>
  <si>
    <t>CIMENTO BRANCO</t>
  </si>
  <si>
    <t>DIVISORIA EM GRANITO BRANCO ITAUNAS</t>
  </si>
  <si>
    <t>FABIANE</t>
  </si>
  <si>
    <t>3025-3116</t>
  </si>
  <si>
    <t>VILLA REAL MARMORES E GRANITO</t>
  </si>
  <si>
    <t>17.134.646/0001-64</t>
  </si>
  <si>
    <t>3317-3300</t>
  </si>
  <si>
    <t>JBA DISTRIB. DE MARMORES E GRANITO LTDA.</t>
  </si>
  <si>
    <t>05.739.751/0001-48</t>
  </si>
  <si>
    <t>3359-3519</t>
  </si>
  <si>
    <t>REVESTIR ARTE EM PEDRAS</t>
  </si>
  <si>
    <t>05.943.596/0001-87</t>
  </si>
  <si>
    <t>SDC01090</t>
  </si>
  <si>
    <t>POLIMENTO DE PISOS DE CONCRETO</t>
  </si>
  <si>
    <t>36.6</t>
  </si>
  <si>
    <t>LASTRO DE CONCRETO - VIGAS BALDRAMES (ÁREA DE APILOAMENTO * 5cm) - m2</t>
  </si>
  <si>
    <t>VIGIA DIURNO</t>
  </si>
  <si>
    <t>ALIMENTACAO - HORISTA (ENCARGOS COMPLEMENTARES) (COLETADO CAIXA)</t>
  </si>
  <si>
    <t>TRANSPORTE - HORISTA (ENCARGOS COMPLEMENTARES) (COLETADO CAIXA)</t>
  </si>
  <si>
    <t>SEGURO - HORISTA (ENCARGOS COMPLEMENTARES) (COLETADO CAIXA)</t>
  </si>
  <si>
    <t>VIGIA DIURNO COM ENCARGOS COMPLEMENTARES</t>
  </si>
  <si>
    <t>PERFIL DE ALUMINIO ANODIZADO</t>
  </si>
  <si>
    <t>VIDRO COMUM LAMINADO LISO INCOLOR DUPLO, ESPESSURA TOTAL 8 MM (CADA CAMADA DE 4 MM) - COLOCADO</t>
  </si>
  <si>
    <t>SINAPI 85010 / SEDOP 91518</t>
  </si>
  <si>
    <t>AÇO CA50 - 12.5mm</t>
  </si>
  <si>
    <t>LAJE TRELIÇADA h=12cm PARA COBERTURA</t>
  </si>
  <si>
    <t>19.16</t>
  </si>
  <si>
    <t>TELA - Q92 - m2 - consid. 20% perda trespasse</t>
  </si>
  <si>
    <t xml:space="preserve">ESPALHAMENTO DO MATERIAL (ÁREA DA QUADRA)  - VER SE HÁ NECESSIDADE DE SER CONTADO DUAS VEZES, POIS É NECESSÁRIO FAZER O ESPALHAMENTO EM DUAS CAMADAS DE 0,20m </t>
  </si>
  <si>
    <t xml:space="preserve">ESCAVAÇÃO  DAS VIGAS BALDRAMES (CONSIDERADO VOLUME DE CONCRETO DAS BALDRAMES, DIVIDIDO PELA LARGURA DAS VIGAS (14cm) E MULTIPLICADO PELA LARGURA DA VALA (54cm) - 20cm PARA CADA LADO </t>
  </si>
  <si>
    <t>LASTRO DE CONCRETO DE 5cm - SAPATAS</t>
  </si>
  <si>
    <t>LASTRO DE CONCRETO DE 5cm - VIGAS BALDRAMES</t>
  </si>
  <si>
    <t>LASTRO COM PREPARO DE FUNDO COM CAMADA DE BRITA PARA IMPERMEABILIZAÇÃO DO CONTRAPISO ARMADO e=5CM</t>
  </si>
  <si>
    <t>LONA PLASTICA PRETA PARA IMPERMEABILIZAÇÃO DE PISO</t>
  </si>
  <si>
    <t>AÇO CA60 - 6,3mm</t>
  </si>
  <si>
    <t>AÇO CA50 - 5mm</t>
  </si>
  <si>
    <t>LAJE</t>
  </si>
  <si>
    <t>LAJE TRELIÇADA H=12cm (SOBRECARGA PERM + ACID. DE ATÉ 200,KG/M2)</t>
  </si>
  <si>
    <t>COMPACTAÇÃO DE ATERRO</t>
  </si>
  <si>
    <t>OU</t>
  </si>
  <si>
    <t>LAJE TRELIÇADA H=12 (SOBRECARGA ACID + PERM DE ATÉ 200KG/M²)</t>
  </si>
  <si>
    <t>LASTRO DE CONCRETO - BLOCOS (ÁREA DE APILOAMENTO * 5cm) - m2</t>
  </si>
  <si>
    <t xml:space="preserve">INSTALAÇÕES DE SEGURANÇA E PREVENÇÃO A COMBATE A INCÊNDIO E PÂNICO </t>
  </si>
  <si>
    <t>EXTINTOR DE INCÊNDIO</t>
  </si>
  <si>
    <t>EXTINTOR INCENDIO TP PO QUIMICO 6KG - FORNECIMENTO E INSTALACAO</t>
  </si>
  <si>
    <t>SINALIZAÇÃO - SAÍDA DE EMERGÊNCIA</t>
  </si>
  <si>
    <t>SISTEMA DE ALARME DE EMERGÊNCIA</t>
  </si>
  <si>
    <t>CABO DE COBRE FLEXÍVEL ISOLADO, 2,5 MM², ANTI-CHAMA 0,6/1,0 KV, PARA CIRCUITOS TERMINAIS - FORNECIMENTO E INSTALAÇÃO. AF_12/2015</t>
  </si>
  <si>
    <t>CAIXA DE PASSAGEM EM CHAPA DE AÇO COM TAMPA PARAFUSADA, DIMENSÕES 15X15X10CM</t>
  </si>
  <si>
    <t>SISTEMA E ACIONAMENTO DO HIDRANTE</t>
  </si>
  <si>
    <t>SDC03062</t>
  </si>
  <si>
    <t>CAIXA DE PROTECAO PARA MEDIDOR TRIFASICO, FORNECIMENTO E INSTALACAO</t>
  </si>
  <si>
    <t>LUMINÁRIA DE EMERGÊNCIA</t>
  </si>
  <si>
    <t>LUMINARIA DE EMERGENCIA 960 LUMENS DE 24 LEDS, POTENCIA 4 W, BATERIA DE LITIO, AUTONOMIA DE 3 HRS</t>
  </si>
  <si>
    <t>RICARDO</t>
  </si>
  <si>
    <t>PETEL</t>
  </si>
  <si>
    <t>FERNANDO</t>
  </si>
  <si>
    <t>MOURA HIDRAULICA E ELÉTRICA</t>
  </si>
  <si>
    <t>ORSE 10909</t>
  </si>
  <si>
    <t>DUTO CORRUGADO FLEXÍVEL EM PEAD Ø = 1.1/2', TIPO KANALEX OU SIMILAR, LANÇADO DIRETAMENTE NO SOLO, EXCLUSIVE ESCAVAÇÃO E REATERRO</t>
  </si>
  <si>
    <t>CABO DE COBRE ISOLADO EM EPR FLEXÍVEL 10MM² - 0,6KV/1KV/90°</t>
  </si>
  <si>
    <t>ORSE 9205</t>
  </si>
  <si>
    <t>EDER</t>
  </si>
  <si>
    <t>PRHIMEL ELÉTRICA E HIDRAULICA</t>
  </si>
  <si>
    <t>DUTO CORRUGADO FLEXÍVEL EM PEAD Ø = 1', TIPO KANALEX OU SIMILAR, LANÇADO DIRETAMENTE NO SOLO, EXCLUSIVE ESCAVAÇÃO E REATERRO</t>
  </si>
  <si>
    <t>69.2</t>
  </si>
  <si>
    <t>ELETRODUTO FLEXÍVEL CORRUGADO, PVC, DN 32 MM (1"), PARA CIRCUITOS TERMINAIS, INSTALADO EM PAREDE - FORNECIMENTO E INSTALAÇÃO. AF_12/2015</t>
  </si>
  <si>
    <t>TAMPAO COM CORRENTE, EM LATAO, ENGATE RAPIDO 2 1/2", PARA INSTALACAO PREDIAL DE COMBATE A INCENDIO</t>
  </si>
  <si>
    <t>SDC07037</t>
  </si>
  <si>
    <t>Abrigo de Gás</t>
  </si>
  <si>
    <t>Duas unidades de abrigo de gás 02 um de P45: Um abrigo  para atender a cozinha e um abrigo para atender os laboratórios</t>
  </si>
  <si>
    <t>1.2</t>
  </si>
  <si>
    <t>Escavação Manual de Valas</t>
  </si>
  <si>
    <t>Escavação para tubulação de gás</t>
  </si>
  <si>
    <t>1.3</t>
  </si>
  <si>
    <t>Reaterro de Vala Compactado</t>
  </si>
  <si>
    <t>Reaterro para tubulação de gás</t>
  </si>
  <si>
    <t>1.4</t>
  </si>
  <si>
    <t>Pintura Esmalte Fosco</t>
  </si>
  <si>
    <t>1.5</t>
  </si>
  <si>
    <t>Tudo de Aço carbono 3/4</t>
  </si>
  <si>
    <t>Tubo de Aço Carbono 3/4" 
Cozinha: 13,70ml
Laboratório: 48,20ml</t>
  </si>
  <si>
    <t>1.6</t>
  </si>
  <si>
    <t>Tudo de Aço carbono 1/2</t>
  </si>
  <si>
    <t>Tubo de Aço Carbono 1/2"
Laboratório: 26,90ml</t>
  </si>
  <si>
    <t>1.7</t>
  </si>
  <si>
    <t>Joelho de 90° 3/4</t>
  </si>
  <si>
    <t>Caminho tubulação de gás</t>
  </si>
  <si>
    <t>1.8</t>
  </si>
  <si>
    <t>Joelho de 90° 1/2</t>
  </si>
  <si>
    <t>1.9</t>
  </si>
  <si>
    <t>T 3/4</t>
  </si>
  <si>
    <t>1.10</t>
  </si>
  <si>
    <t>T 1/2</t>
  </si>
  <si>
    <t>1.11</t>
  </si>
  <si>
    <t>União 3/4</t>
  </si>
  <si>
    <t>1.12</t>
  </si>
  <si>
    <t>União 1/2</t>
  </si>
  <si>
    <t>1.13</t>
  </si>
  <si>
    <t>Niple 3/4</t>
  </si>
  <si>
    <t>1.14</t>
  </si>
  <si>
    <t>Niple 1/2</t>
  </si>
  <si>
    <t>1.15</t>
  </si>
  <si>
    <t xml:space="preserve">LUVA DE REDUÇÃO  3/4" X 1/2", </t>
  </si>
  <si>
    <t>Luva de redução para tubulação que sobe nas 03 bancadas dos laboratorios</t>
  </si>
  <si>
    <t>Escola</t>
  </si>
  <si>
    <t>OBSERVAÇÕES</t>
  </si>
  <si>
    <t>SPDA</t>
  </si>
  <si>
    <t>SDC03046</t>
  </si>
  <si>
    <t>FORNECIMENTO E INSTALAÇÃO DE BARRA CHATA DE ALUMÍNIO 1/4" X 3/4", BARRA DE 6M</t>
  </si>
  <si>
    <t>SDC03058</t>
  </si>
  <si>
    <t>FORNECIMENTO E INSTALAÇÃO DE BARRA CHATA DE ALUMÍNIO 1/4" X 3/4", COM CURVA DE 300MM</t>
  </si>
  <si>
    <t>SDC03056</t>
  </si>
  <si>
    <t xml:space="preserve"> HASTE DE ATERRAMENTO EM AÇO COM 3,00 M DE COMPRIMENTO E DN = 5/8" REVESTIDA COM BAIXA CAMADA DE COBRE, SEM CONECTOR</t>
  </si>
  <si>
    <t>FORNECIMENTO E INSTALAÇÃO DE CARTUCHO PARA SOLDA 115MM</t>
  </si>
  <si>
    <t>MASTRO SIMPLES DE FERRO GALVANIZADO P/ PARA-RAIOS H=3,00M INCLUINDO BASE - FORNECIMENTO E INSTALACAO</t>
  </si>
  <si>
    <t>PARA-RAIOS TIPO FRANKLIN - CABO E SUPORTE ISOLADOR</t>
  </si>
  <si>
    <t>SDC03055</t>
  </si>
  <si>
    <t>SDC03057</t>
  </si>
  <si>
    <t xml:space="preserve"> DISJUNTOR MONOPOLAR TIPO DIN, CORRENTE NOMINAL DE 10A - FORNECIMENTO E INSTALAÇÃO. AF_04/2016</t>
  </si>
  <si>
    <t>ELETRODUTO RÍGIDO ROSCÁVEL, PVC, DN 25 MM (3/4"), PARA CIRCUITOS TERMINAIS, INSTALADO EM PAREDE - FORNECIMENTO E INSTALAÇÃO. AF_12/2015</t>
  </si>
  <si>
    <t xml:space="preserve"> LUVA PARA ELETRODUTO, PVC, ROSCÁVEL, DN 25 MM (3/4"), PARA CIRCUITOS TERMINAIS, INSTALADA EM PAREDE - FORNECIMENTO E INSTALAÇÃO. AF_12/2015</t>
  </si>
  <si>
    <t>CONDULETE DE ALUMÍNIO, TIPO E, PARA ELETRODUTO DE FERRO GALVANIZADO DN 20 MM (3/4''), APARENTE - FORNECIMENTO E INSTALAÇÃO. AF_11/2016_P</t>
  </si>
  <si>
    <t>CURVA 90 GRAUS PARA ELETRODUTO, PVC, ROSCÁVEL, DN 25 MM (3/4"), PARA CIRCUITOS TERMINAIS, INSTALADA EM PAREDE - FORNECIMENTO E INSTALAÇÃO. AF_12/2015</t>
  </si>
  <si>
    <t>BARRA CHATA DE ALUMÍNIO 1/4" X 3/4" - BARRA 6M</t>
  </si>
  <si>
    <t>EDUARDO</t>
  </si>
  <si>
    <t>15 30315565</t>
  </si>
  <si>
    <t>A CENTRAL COMERCIAL ELÉTRICA LTDA</t>
  </si>
  <si>
    <t>13.314.982/0001-38</t>
  </si>
  <si>
    <t>AÇOFER INDÚSTRIA E COMERCIO LTDA</t>
  </si>
  <si>
    <t>03.989.217/0002-45</t>
  </si>
  <si>
    <t>PÁRA-RAIO TIPO FRANKLIN 350MM, LATÃO CROMADO, PARA DESCIDA 1 CABO, C/SUPORTE E CONECTORES P/CABO TERRA E BASE</t>
  </si>
  <si>
    <t>ORSE 824</t>
  </si>
  <si>
    <t>PARA-RAIOS TIPO FRANKLIN 350 MM, EM LATAO CROMADO, DUAS DESCIDAS, PARA PROTECAO DE EDIFICACOES CONTRA DESCARGAS ATMOSFERICAS</t>
  </si>
  <si>
    <t>BUCHA DE NYLON, DIAMETRO DO FURO 8 MM, COMPRIMENTO 40 MM, COM PARAFUSO DE ROSCA SOBERBA, CABECA CHATA, FENDA SIMPLES, 4,8 X 50 MM</t>
  </si>
  <si>
    <t>CONECTOR METALICO TIPO PARAFUSO FENDIDO (SPLIT BOLT), PARA CABOS ATE 35 MM2</t>
  </si>
  <si>
    <t>TUBO ACO GALVANIZADO COM COSTURA, CLASSE MEDIA, DN 2", E = *3,65* MM, PESO *5,10* KG/M (NBR 5580)</t>
  </si>
  <si>
    <t>SINALIZADOR NOTURNO C/ 1 LÂMPADA PL 15W, INCLUSIVE LAMPADA E RELÉ FOTOELETRICO INDIVIDUAL</t>
  </si>
  <si>
    <t>ORSE 3477</t>
  </si>
  <si>
    <t>SINALIZADOR NOTURNO SIMPLES PARA PARA-RAIOS, SEM RELE FOTOELETRICO</t>
  </si>
  <si>
    <t>LAMPADA FLUORESCENTE COMPACTA 2U BRANCA 15 W, BASE E27 (127/220 V)</t>
  </si>
  <si>
    <t>PROJETO ELÉTRICO - EE MARIO DE CASTRO</t>
  </si>
  <si>
    <t>EE MARIO DE CASTRO</t>
  </si>
  <si>
    <t>CUIABÁ - MT</t>
  </si>
  <si>
    <t>INSTAÇAÕES ELÉTRICAS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</si>
  <si>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</si>
  <si>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</si>
  <si>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</si>
  <si>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>Cabo isolado em epr seção 10,00 mm² - 0,6/1 KV - 90°C - flexível</t>
  </si>
  <si>
    <t>Cabo isolado em epr seção 16,00 mm² - 0,6/1 KV - 90°C - flexível</t>
  </si>
  <si>
    <t>Cabo isolado em epr seção 25,00 mm² - 0,6/1 KV - 90°C - flexível</t>
  </si>
  <si>
    <t>Cabo isolado em epr seção 35,00 mm² - 0,6/1 KV - 90°C - flexível</t>
  </si>
  <si>
    <t>Cabo isolado em epr seção 70,00 mm² - 0,6/1 KV - 90°C - flexível</t>
  </si>
  <si>
    <t>Cabo isolado em epr seção 120,00 mm² - 0,6/1 KV - 90°C - flexível</t>
  </si>
  <si>
    <t xml:space="preserve">Fornecimento e instalação de luminária tipo calha para 2 (duas) lâmpadas tubulares led com fluxo luminoso mínimo de 4400 lúmens.  </t>
  </si>
  <si>
    <t>11.11</t>
  </si>
  <si>
    <t>Lâmpada led 10 w bivolt branca, formato tradicional (base e27) - fornecimento e instalação</t>
  </si>
  <si>
    <t>11.12</t>
  </si>
  <si>
    <t>Fornecimento e instalação de ventilador de teto 110v, 3 pás madeira, 3 velocidades, sem luminária</t>
  </si>
  <si>
    <t>11.13</t>
  </si>
  <si>
    <t>Caixa retangular 4" x 2" baixa (0,30 m do piso), metálica, instalada em parede - fornecimento e instalação. Af_12/2015</t>
  </si>
  <si>
    <t>11.14</t>
  </si>
  <si>
    <t>Condulete 1" em liga de alumínio fundido tipo "t" - fornecimento e instalação</t>
  </si>
  <si>
    <t>11.15</t>
  </si>
  <si>
    <t>Condulete 1" em liga de alumínio fundido tipo "c" - fornecimento e instalação</t>
  </si>
  <si>
    <t>11.16</t>
  </si>
  <si>
    <t>Condulete 1" em liga de alumínio fundido tipo "e" - fornecimento e instalação</t>
  </si>
  <si>
    <t>11.17</t>
  </si>
  <si>
    <t>Condulete 1" em liga de alumínio fundido tipo "LL" - fornecimento e instalação</t>
  </si>
  <si>
    <t>11.18</t>
  </si>
  <si>
    <t>Condulete 1" em liga de alumínio fundido tipo "x" - fornecimento e instalação</t>
  </si>
  <si>
    <t>11.19</t>
  </si>
  <si>
    <t>CAIXA OCTOGONAL 3" X 3", PVC, INSTALADA EM LAJE - FORNECIMENTO E INSTALAÇÃO. AF_12/2015</t>
  </si>
  <si>
    <t>11.20</t>
  </si>
  <si>
    <t>Tomada baixa de embutir (1 módulo), 2p+t 20 a, incluindo suporte e placa - fornecimento e instalação. Af_12/2015</t>
  </si>
  <si>
    <t>11.21</t>
  </si>
  <si>
    <t>Tomada baixa de embutir (1 módulo), 2p+t 10 a, incluindo suporte e placa - fornecimento e instalação. Af_12/2015</t>
  </si>
  <si>
    <t>11.22</t>
  </si>
  <si>
    <t>Interruptor simples (1 módulo), 10a/250v, incluindo suporte e placa - fornecimento e instalação. Af_12/2015</t>
  </si>
  <si>
    <t>11.23</t>
  </si>
  <si>
    <t>Interruptor simples (2 módulos), 10a/250v, incluindo suporte e placa - fornecimento e instalação. Af_12/2015</t>
  </si>
  <si>
    <t>11.24</t>
  </si>
  <si>
    <t>Interruptor simples (3 módulos), 10a/250v, incluindo suporte e placa - fornecimento e instalação. Af_12/2015</t>
  </si>
  <si>
    <t>11.26</t>
  </si>
  <si>
    <t>Quadro de distribuicao de energia de embutir, em chapa metalica, para 24 disjuntores termomagneticos monopolares, com barramento trifasico e neutro, fornecimento e instalacao</t>
  </si>
  <si>
    <t>11.27</t>
  </si>
  <si>
    <t>Quadro de distribuicao de energia de embutir, em chapa metalica, para 32 disjuntores termomagneticos monopolares, com barramento trifasico e neutro, fornecimento e instalacao</t>
  </si>
  <si>
    <t>11.28</t>
  </si>
  <si>
    <t>Quadro de distribuicao de energia de embutir, em chapa metalica, para 50 disjuntores termomagneticos monopolares, com barramento trifasico e neutro, fornecimento e instalacao</t>
  </si>
  <si>
    <t>11.29</t>
  </si>
  <si>
    <t>Quadro com barramento trifásico para disjuntor de entrada 400A, incluindo fixação, placa de acrílico sem barramentos secundários e disjuntor de entrada - fornecimento e instalação</t>
  </si>
  <si>
    <t>11.30</t>
  </si>
  <si>
    <t>Barramento secundário trifásico para disjuntor até 100A incluindo fixação - Fornecimento e instalação</t>
  </si>
  <si>
    <t>11.31</t>
  </si>
  <si>
    <t>Barramento secundário trifásico para disjuntor de 125A até 250A  incluindo fixação - Fornecimento e instalação</t>
  </si>
  <si>
    <t>11.32</t>
  </si>
  <si>
    <t>Disjuntor monopolar tipo din, corrente nominal de 10a - fornecimento e instalação. Af_04/2016</t>
  </si>
  <si>
    <t>11.33</t>
  </si>
  <si>
    <t>Disjuntor monopolar tipo din, corrente nominal de 16a - fornecimento e instalação. Af_04/2016</t>
  </si>
  <si>
    <t>11.36</t>
  </si>
  <si>
    <t>Disjuntor bipolar tipo din, corrente nominal de 10a - fornecimento e instalação. Af_04/2016</t>
  </si>
  <si>
    <t>11.37</t>
  </si>
  <si>
    <t>Disjuntor bipolar tipo din, corrente nominal de 16a - fornecimento e instalação. Af_04/2016</t>
  </si>
  <si>
    <t>11.39</t>
  </si>
  <si>
    <t>Disjuntor biipolar tipo din, corrente nominal de 25a - fornecimento e instalação. Af_04/2016</t>
  </si>
  <si>
    <t>11.40</t>
  </si>
  <si>
    <t>Disjuntor tripolar tipo din, corrente nominal de 32a - fornecimento e instalação. Af_04/2016</t>
  </si>
  <si>
    <t>11.42</t>
  </si>
  <si>
    <t>Disjuntor termomagnetico tripolar padrao nema (americano) 60 a 100a 240v, fornecimento e instalacao</t>
  </si>
  <si>
    <t>11.43</t>
  </si>
  <si>
    <t>Disjuntor termomagnetico tripolar padrao nema (americano) 125 a 150A 240v, fornecimento e instalacao</t>
  </si>
  <si>
    <t>11.45</t>
  </si>
  <si>
    <t>Disjuntor termomagnetico tripolar em caixa moldada 300 a 400A  600v, fornecimento e instalacao</t>
  </si>
  <si>
    <t>11.46</t>
  </si>
  <si>
    <t>Eletroduto flexível corrugado, pvc, dn 32 mm (1"), para circuitos terminais, instalado em forro - fornecimento e instalação. Af_12/2015</t>
  </si>
  <si>
    <t>11.47</t>
  </si>
  <si>
    <t>Duto espiral flexivel singelo pead d=75mm(3") revestido com pvc com fio guia de aco galvanizado, lancado direto no solo, incl conexoes</t>
  </si>
  <si>
    <t>11.48</t>
  </si>
  <si>
    <t>11.49</t>
  </si>
  <si>
    <t>Caixa de passagem 80x80x62 fundo brita com tampa</t>
  </si>
  <si>
    <t>11.50</t>
  </si>
  <si>
    <t>Caixa de passagem 60x60x70 fundo brita com tampa</t>
  </si>
  <si>
    <t>11.51</t>
  </si>
  <si>
    <t>Caixa de passagem 40x40x50 fundo brita com tampa</t>
  </si>
  <si>
    <t>11.52</t>
  </si>
  <si>
    <t>Fornecimento e instalação de poste com luminária LED  150W IP65 com fluxo luminoso mínimo de 17000 lúmens. LM80.Vida útil mínima 50.000 horas.</t>
  </si>
  <si>
    <t>11.53</t>
  </si>
  <si>
    <t xml:space="preserve">Projetor Industrial LED 150W, fluxo luminoso mínimo 15900 lúmens, vida útil mínima de 50.000 horas, LM80- Fornecimento e Instalação. </t>
  </si>
  <si>
    <t>11.54</t>
  </si>
  <si>
    <t>QUANTITATIVO</t>
  </si>
  <si>
    <t>DISJUNTOR BIPOLAR TIPO DIN, CORRENTE NOMINAL DE 25A - FORNECIMENTO E INSTALAÇÃO. AF_04/2016</t>
  </si>
  <si>
    <t>Duto espiral flexivel singelo pead d=50mm(2") revestido com pvc com fio guia de aco galvanizado, lancado direto no solo, incl conexoes</t>
  </si>
  <si>
    <t>CAIXA DE PASSAGEM 80X80X62 FUNDO BRITA COM TAMPA</t>
  </si>
  <si>
    <t>BARRAMENTO SECUNDÁRIO TRIFÁSICO PARA DISJUNTOR ATÉ 100A INCLUINDO FIXAÇÃO - FORNECIMENTO E INSTALAÇÃO</t>
  </si>
  <si>
    <t>BARRAMENTO SECUNDÁRIO TRIFÁSICO PARA DISJUNTOR DE 125A ATÉ 250A  INCLUINDO FIXAÇÃO - FORNECIMENTO E INSTALAÇÃO</t>
  </si>
  <si>
    <t>Locação</t>
  </si>
  <si>
    <t>Área dos Vestiários + Quadra</t>
  </si>
  <si>
    <t>IMPERMEABILIZAÇÃO</t>
  </si>
  <si>
    <r>
      <t>Alvenaria 1/2vez
&gt; ou =</t>
    </r>
    <r>
      <rPr>
        <b/>
        <sz val="11"/>
        <rFont val="Calibri Light"/>
        <family val="2"/>
      </rPr>
      <t xml:space="preserve"> 6m² sem vão</t>
    </r>
  </si>
  <si>
    <t>Cobogó</t>
  </si>
  <si>
    <t>3.3</t>
  </si>
  <si>
    <r>
      <t xml:space="preserve">Verga vão até 1,50m </t>
    </r>
    <r>
      <rPr>
        <b/>
        <sz val="11"/>
        <rFont val="Calibri Light"/>
        <family val="2"/>
      </rPr>
      <t>Portas</t>
    </r>
  </si>
  <si>
    <r>
      <t xml:space="preserve">Portas Novas: 
</t>
    </r>
    <r>
      <rPr>
        <sz val="11"/>
        <rFont val="Calibri Light"/>
        <family val="2"/>
      </rPr>
      <t>P2 - Vestiário F/M (0,90) 02un
P4 - Vestiário PCD F/M (0,90) 02un</t>
    </r>
  </si>
  <si>
    <t>3.4</t>
  </si>
  <si>
    <r>
      <t xml:space="preserve">Verga vão até 1,50m </t>
    </r>
    <r>
      <rPr>
        <b/>
        <sz val="11"/>
        <rFont val="Calibri Light"/>
        <family val="2"/>
      </rPr>
      <t>Janelas</t>
    </r>
  </si>
  <si>
    <r>
      <rPr>
        <b/>
        <sz val="11"/>
        <rFont val="Calibri Light"/>
        <family val="2"/>
      </rPr>
      <t>Acima das Janelas</t>
    </r>
    <r>
      <rPr>
        <sz val="11"/>
        <rFont val="Calibri Light"/>
        <family val="2"/>
      </rPr>
      <t xml:space="preserve">
J9 - Vestiário PCD F/M (0,80)   02un              </t>
    </r>
    <r>
      <rPr>
        <sz val="10"/>
        <rFont val="Arial"/>
        <family val="2"/>
      </rPr>
      <t/>
    </r>
  </si>
  <si>
    <t>3.5</t>
  </si>
  <si>
    <r>
      <t xml:space="preserve">Verga vão acima de 1,50m </t>
    </r>
    <r>
      <rPr>
        <b/>
        <sz val="11"/>
        <rFont val="Calibri Light"/>
        <family val="2"/>
      </rPr>
      <t>Janelas</t>
    </r>
  </si>
  <si>
    <r>
      <rPr>
        <b/>
        <sz val="11"/>
        <rFont val="Calibri Light"/>
        <family val="2"/>
      </rPr>
      <t>Acima das Janelas</t>
    </r>
    <r>
      <rPr>
        <sz val="11"/>
        <rFont val="Calibri Light"/>
        <family val="2"/>
      </rPr>
      <t xml:space="preserve">
J2 - Vestiário F/M (3,00)   02un              </t>
    </r>
    <r>
      <rPr>
        <sz val="10"/>
        <rFont val="Arial"/>
        <family val="2"/>
      </rPr>
      <t/>
    </r>
  </si>
  <si>
    <t>3.6</t>
  </si>
  <si>
    <t>Contra Verga vão até de 1,50m</t>
  </si>
  <si>
    <r>
      <t xml:space="preserve">Abaixo das Janelas
</t>
    </r>
    <r>
      <rPr>
        <sz val="11"/>
        <rFont val="Calibri Light"/>
        <family val="2"/>
      </rPr>
      <t xml:space="preserve">J9 - Vestiário PCD F/M (0,80)   02un              </t>
    </r>
  </si>
  <si>
    <t>3.7</t>
  </si>
  <si>
    <t>Contra Verga acima de 1,50m</t>
  </si>
  <si>
    <r>
      <t xml:space="preserve">Abaixo das Janelas
</t>
    </r>
    <r>
      <rPr>
        <sz val="11"/>
        <rFont val="Calibri Light"/>
        <family val="2"/>
      </rPr>
      <t xml:space="preserve">J2 - Vestiário F/M (3,00)   02un    </t>
    </r>
  </si>
  <si>
    <t>Telha Isotermica</t>
  </si>
  <si>
    <t>Área de Cobertura do Vestiário: 73,93m² 
Área de Cobertura da Quadra: 1.461,18m²</t>
  </si>
  <si>
    <t>Rufo Metálico</t>
  </si>
  <si>
    <t>Cobertura da Quadra: 49,70ml x 2 lados
Cobertura do Vestiário: 16,25ml</t>
  </si>
  <si>
    <t>ContraRufo Metálico</t>
  </si>
  <si>
    <t>Calha Metálica</t>
  </si>
  <si>
    <t>Cobertura da Quadra: 49,70ml x 2 lados</t>
  </si>
  <si>
    <t>Porta 0,90 sem visor (P2) (P4)</t>
  </si>
  <si>
    <t xml:space="preserve">Vestiário F/M - (P2) - 0,90cm 
Vestiário PCD F/M - (P4) - 0,90cm </t>
  </si>
  <si>
    <t>Porta Alumínio WC (P1)</t>
  </si>
  <si>
    <t>Vestiários F/M
TOTAL: 10 UNIDADES = 0,60x1,70= 1,02m² x 10 = 10,20m²</t>
  </si>
  <si>
    <t>Maxim-ar 3,00x0,80 (J2)</t>
  </si>
  <si>
    <t>Vestiário F/M - 02un
Vestiário PCD F/M  - 02un</t>
  </si>
  <si>
    <t>Maxim-ar 0,80x0,40 (J9)</t>
  </si>
  <si>
    <t>Reboco</t>
  </si>
  <si>
    <t>Emboço</t>
  </si>
  <si>
    <t>Azulejo  20x20cm</t>
  </si>
  <si>
    <t>Revestimento cerâmico 5x5 H= 1,10ml</t>
  </si>
  <si>
    <t xml:space="preserve"> </t>
  </si>
  <si>
    <t>Lastro de Concreto</t>
  </si>
  <si>
    <t>Vestiarios F/M: 147,86m² x 2
Vestiarios M/F PCD: 5,49m² x 2
Circulação: 6,56m²
Quadra: 1.507,50m²</t>
  </si>
  <si>
    <t>Regularização Piso</t>
  </si>
  <si>
    <t>Piso Porcelanato</t>
  </si>
  <si>
    <t>Vestiarios F/M: 147,86m² x 2
Vestiarios M/F PCD: 5,49m² x 2
Circulação: 6,56m²</t>
  </si>
  <si>
    <t>DIVISÓRIAS</t>
  </si>
  <si>
    <t>Forro de PVC</t>
  </si>
  <si>
    <t>Divisória Granito</t>
  </si>
  <si>
    <t>Banheiro Feminino + Masculino 
Div. Frente sanitários:
0,69ml  x1,80altura 
Div. Lateral
(1,57 x 2) +( 1,97x3) x 1,80altura</t>
  </si>
  <si>
    <t>Emassamento Interno</t>
  </si>
  <si>
    <t>Emassamento Externo</t>
  </si>
  <si>
    <t xml:space="preserve">Pintura Latéx Acrílica Branco Gelo </t>
  </si>
  <si>
    <t>Pintura para de Teto (Laje)
Cor: Branco Gelo</t>
  </si>
  <si>
    <t xml:space="preserve"> Pintura com tinta Óleo COR PANTONE 308U</t>
  </si>
  <si>
    <t xml:space="preserve"> Pintura com tinta Óleo   PANTONE 3125U</t>
  </si>
  <si>
    <t>9.8</t>
  </si>
  <si>
    <t>9.9</t>
  </si>
  <si>
    <t>Esmalte Sint. Metálica (Branco Gelo)
Pintura de Esquadrias</t>
  </si>
  <si>
    <t>Tampo de granito para lavatorio</t>
  </si>
  <si>
    <t>Vestiário Fem.= 1,94ml
Vestiário Masc.= 1,94ml</t>
  </si>
  <si>
    <t>Espelho cristal</t>
  </si>
  <si>
    <t>Barra de apoio banheiros PCD 0,80cm</t>
  </si>
  <si>
    <t>Barras de  80cm para chuveiros e vasos sanitarios de banheiros PCD - 09un em cada banheiro</t>
  </si>
  <si>
    <t>Barra de apoio banheiros PCD 0,40cm</t>
  </si>
  <si>
    <t>Barras de 40cm para pias Banheiros PCD e para as Portas PCD - Uma em cada lado da pia</t>
  </si>
  <si>
    <t>02 Fachadas</t>
  </si>
  <si>
    <t>10.7</t>
  </si>
  <si>
    <t>Letra Caixa</t>
  </si>
  <si>
    <t>10.8</t>
  </si>
  <si>
    <r>
      <t xml:space="preserve">Pintura  </t>
    </r>
    <r>
      <rPr>
        <b/>
        <sz val="11"/>
        <rFont val="Calibri Light"/>
        <family val="2"/>
      </rPr>
      <t>acrilica</t>
    </r>
    <r>
      <rPr>
        <sz val="11"/>
        <rFont val="Calibri Light"/>
        <family val="2"/>
      </rPr>
      <t xml:space="preserve"> em piso de concreto</t>
    </r>
  </si>
  <si>
    <t>10.9</t>
  </si>
  <si>
    <t>Pintura acrilica para faixas de Demarcação</t>
  </si>
  <si>
    <t>Faixas de demarcação</t>
  </si>
  <si>
    <t>10.10</t>
  </si>
  <si>
    <t>Basquete</t>
  </si>
  <si>
    <t>01 conjunto para quadra</t>
  </si>
  <si>
    <t>10.11</t>
  </si>
  <si>
    <t>Trave Futebol</t>
  </si>
  <si>
    <t>10.12</t>
  </si>
  <si>
    <t>Calçada (Passeio)</t>
  </si>
  <si>
    <t>*Calçada em volta de toda quadra m²</t>
  </si>
  <si>
    <t>Limpeza Final da Obra</t>
  </si>
  <si>
    <t>APLICAÇÃO MANUAL DE PINTURA COM TINTA LÁTEX ACRÍLICA EM TETO, DUAS DEMÃOS. AF_06/2014</t>
  </si>
  <si>
    <t>CALHA EM CHAPA DE AÇO GALVANIZADO NÚMERO 24, DESENVOLVIMENTO DE 50 CM, INCLUSO TRANSPORTE VERTICAL. AF_06/2016</t>
  </si>
  <si>
    <t>RUFO EM CHAPA DE AÇO GALVANIZADO NÚMERO 24, CORTE DE 25 CM, INCLUSO TRANSPORTE VERTICAL. AF_06/2016</t>
  </si>
  <si>
    <t>COBOGO DE CONCRETO (ELEMENTO VAZADO), 7X50X50CM, ASSENTADO COM ARGAMASSA TRACO 1:3 (CIMENTO E AREIA)</t>
  </si>
  <si>
    <t>73937/003</t>
  </si>
  <si>
    <t>39.5</t>
  </si>
  <si>
    <t>JÁ CONSIDERADONO CONTRAPISO ARMADO</t>
  </si>
  <si>
    <t>QUADRA E VESTIÁRIOS</t>
  </si>
  <si>
    <t>SDC04031</t>
  </si>
  <si>
    <t>FORNECIMENTO E INSTALAÇÃO DE BARRA DE APOIO PARA PCD, EM AÇO INOX, 40CM</t>
  </si>
  <si>
    <t>BARRA DE APOIO INOX 40CM</t>
  </si>
  <si>
    <t>15.036.858/0001-83</t>
  </si>
  <si>
    <t>Erika</t>
  </si>
  <si>
    <t>PLACA EM ACM, PARA LOGO DO GOVERNO, DIM. 2,50X2,50M COM BRASÃO DO ESTADO ADESIVADA</t>
  </si>
  <si>
    <t>ELIZANGELA</t>
  </si>
  <si>
    <t>3051-0600</t>
  </si>
  <si>
    <t>PENALUX</t>
  </si>
  <si>
    <t>44.441.806/0001-90</t>
  </si>
  <si>
    <t>CAROLINA</t>
  </si>
  <si>
    <t>3056-3030</t>
  </si>
  <si>
    <t>VELOZ IMPRESS</t>
  </si>
  <si>
    <t>09.087.635/0001-42</t>
  </si>
  <si>
    <t>CARLOS</t>
  </si>
  <si>
    <t>3026-2854</t>
  </si>
  <si>
    <t>M3 SINALIZAÇÃO</t>
  </si>
  <si>
    <t>03.859.651/0001-20</t>
  </si>
  <si>
    <t>SDC04034</t>
  </si>
  <si>
    <t>PLACA EM ACM, PARA LOGO DO GOVERNO, DIM. 2,50X2,50M COM CHAPA GALVANIZADA COM BRASÃO DO ESTADO ADESIVADA</t>
  </si>
  <si>
    <t>SERVIÇOS TÉCNICOS - PROJETOS - CONSTRUÇÃO DE REFEITORIO</t>
  </si>
  <si>
    <t>Locação de Obra</t>
  </si>
  <si>
    <t>Área Do Refeitório</t>
  </si>
  <si>
    <t>IMPERMEABILIZAÇÕES</t>
  </si>
  <si>
    <t>Alvenaria 1/2vez vão &gt;6m²</t>
  </si>
  <si>
    <r>
      <t xml:space="preserve">Portas Novas: 
</t>
    </r>
    <r>
      <rPr>
        <sz val="11"/>
        <rFont val="Calibri Light"/>
        <family val="2"/>
      </rPr>
      <t>P2 08un (0,90cm)
P7 02un (0,80cm)</t>
    </r>
  </si>
  <si>
    <t>J6 05un (0,80cm)</t>
  </si>
  <si>
    <r>
      <t xml:space="preserve">J4 06un (2,00)
J7 02un (2,00)                              </t>
    </r>
    <r>
      <rPr>
        <sz val="10"/>
        <rFont val="Arial"/>
        <family val="2"/>
      </rPr>
      <t/>
    </r>
  </si>
  <si>
    <t>Contra Verga vão até  1,50m</t>
  </si>
  <si>
    <t>Contra Verga vão acima de 1,50m</t>
  </si>
  <si>
    <t>Telha Ondulada</t>
  </si>
  <si>
    <t>Área da Cobertura 
comprimento x arco = 28,10x17,60</t>
  </si>
  <si>
    <t>Portas 90 (P2)</t>
  </si>
  <si>
    <t>08 portas: (0,90*2,10)</t>
  </si>
  <si>
    <t>Porta 80 (P7)</t>
  </si>
  <si>
    <t>02 portas: (0,80*2,10)</t>
  </si>
  <si>
    <t>Janela Maxim-ar 
2,00 x 0,80 (J4)</t>
  </si>
  <si>
    <t>06 janelas : 2,00X0,80</t>
  </si>
  <si>
    <t>Janela Maxim-ar 
0,80 x 0,40 (J6)</t>
  </si>
  <si>
    <t>05 janelas : 0,80X0,40</t>
  </si>
  <si>
    <t>Guilhotina 
2,00 x 1,50 (J7)</t>
  </si>
  <si>
    <t>02 janelas : 2,00x1,50</t>
  </si>
  <si>
    <t>Chapisco de Paredes</t>
  </si>
  <si>
    <t>Chapisco de Teto (Laje)</t>
  </si>
  <si>
    <t>Triagem: 14,87m²  
WC funcionarios fem: 3,75m² 
WC funcionario masc: 3,75m² 
Cozinha: 48,90m² 
Circulação: 26,06m²       
DML: 3,87m²
Desp. Alimentos: 9,54m²
Desp. Utensilios: 9,54m²                                                                                                                                                                                                                                 Refeitório: 246,50m²</t>
  </si>
  <si>
    <t>Reboco de Parede</t>
  </si>
  <si>
    <t>Area de Chapisco (-) Área de Emboço</t>
  </si>
  <si>
    <t>Reboco de Teto (Laje)</t>
  </si>
  <si>
    <t>Emboço para revestimento Cerâmico</t>
  </si>
  <si>
    <t>Azulejo 20x20cm</t>
  </si>
  <si>
    <t>Revestimento cerâmico 5x5 H= 1,10ml
*COR PANTONE 308U
*COR PANTONE 2758C
*COR  PANTONE 3125U</t>
  </si>
  <si>
    <t>Revestimento 5x5cm h= 1,10cm (Parade frente ao Refeitório 14,50ml) + 11 Pilares de 15x30 x 1,50altura
*COR PANTONE 308U - 4,37m² + Pilares 14,85m²
*COR PANTONE 2758C - 4,51m²
*COR  PANTONE 3125U - 3,59m²</t>
  </si>
  <si>
    <t>Compactação</t>
  </si>
  <si>
    <t>Lastro</t>
  </si>
  <si>
    <t>Regularização Piso/ Contra piso</t>
  </si>
  <si>
    <t>Fundo selador em parede externa</t>
  </si>
  <si>
    <t>Liquibrilho H=1,20cm</t>
  </si>
  <si>
    <t>Liquibrilho para barrado externo H=1,20cm
*Laterais Cozinha: 9,10cm x 1,20ml
*Parede Fundo da Cozinha: 6,25cm x 1,20ml</t>
  </si>
  <si>
    <t>Esmalte Sint. Metálica (Branco Gelo)</t>
  </si>
  <si>
    <t>SERVIÇOS CONSTRUTIVOS COMPLEMENTARES</t>
  </si>
  <si>
    <t>Escovodromo</t>
  </si>
  <si>
    <t>1 unidade Localizado na Parede de Frente ao Refeitório</t>
  </si>
  <si>
    <t>Abrigo Resíduos Sólidos</t>
  </si>
  <si>
    <t>2 unidades localizados na cozinha</t>
  </si>
  <si>
    <t>1 unidade de espelho em cada banheiros de funcionários 45x55</t>
  </si>
  <si>
    <t>Cantoneira de Aluminio</t>
  </si>
  <si>
    <t>Cantoneira em alumio em pilares: 11 pilares x 4 cantos x 3,90ml de pé direito</t>
  </si>
  <si>
    <t>*Calçada em volta de todo Refeitório 85,20m²</t>
  </si>
  <si>
    <t>Àrea construída</t>
  </si>
  <si>
    <t>23.5</t>
  </si>
  <si>
    <t>25.6</t>
  </si>
  <si>
    <t>MASSA ÚNICA, PARA RECEBIMENTO DE PINTURA, EM ARGAMASSA TRAÇO 1:2:8, PREPARO MANUAL, APLICADA MANUALMENTE EM TETO, ESPESSURA DE 20MM, COM EXECUÇÃO DE TALISCAS. AF_03/2015</t>
  </si>
  <si>
    <t>MASSA ÚNICA, PARA RECEBIMENTO DE PINTURA, EM ARGAMASSA TRAÇO 1:2:8, PREPARO MANUAL, APLICADA MANUALMENTE EM FACES INTERNAS DE PAREDES, ESPESSURA DE 20MM, COM EXECUÇÃO DE TALISCAS. AF_06/2014</t>
  </si>
  <si>
    <t>26.3</t>
  </si>
  <si>
    <t>SDC01028</t>
  </si>
  <si>
    <t>PORTA DE AÇO CHAPA 18  0,80X2,10 SEM VISOR</t>
  </si>
  <si>
    <t>CANTONEIRA DE ALUMINIO 1"X1, PARA PROTECAO DE QUINA DE PAREDE</t>
  </si>
  <si>
    <t>73908/002</t>
  </si>
  <si>
    <t>INSTALAÇÕES HIDRÁULICAS - GERAL</t>
  </si>
  <si>
    <t xml:space="preserve">Registro de gaveta bruto, latão, roscável, 1, com acabamento e canopla cromados, fornecimento e instalação. </t>
  </si>
  <si>
    <t>colar de tomada em pvc</t>
  </si>
  <si>
    <t>Joelho 90 graus, pvc, soldável, dn 25mm</t>
  </si>
  <si>
    <t>Tubo, pvc, soldável, dn 25mm</t>
  </si>
  <si>
    <t>Tubo, pvc, soldável, dn 32mm</t>
  </si>
  <si>
    <t>Registro de gaveta bruto,2 1/2</t>
  </si>
  <si>
    <t>Registro de gaveta bruto, 3''</t>
  </si>
  <si>
    <t>Registro de gaveta bruto, 2''</t>
  </si>
  <si>
    <t xml:space="preserve">Registro de gaveta bruto, latão, roscável, 3/4", com acabamento e canopla cromados. </t>
  </si>
  <si>
    <t>Registro de pressão bruto, latão, roscável, 3/4", com acabamento e canopla cromados. (Chuveiros)</t>
  </si>
  <si>
    <t>Registro de gaveta bruto, latão, roscável, 1 1/2, com acabamento e canopla cromadoS</t>
  </si>
  <si>
    <t>Luva com bucha de latão, pvc, soldável, dn 25mm x 3/4, (chuveiros)</t>
  </si>
  <si>
    <t>Luva com bucha de latão, pvc, soldável, dn 20mm x 1/2'' (Mictórios)</t>
  </si>
  <si>
    <t xml:space="preserve">Adaptador com flanges livres, pvc, soldável longo, dn 85 mm x 3'' </t>
  </si>
  <si>
    <t>Adaptador curto com bolsa e rosca para registro, pvc, soldável, dn 20mm x 1/2</t>
  </si>
  <si>
    <t>Adaptador curto com bolsa e rosca para registro, pvc, soldável, dn 25mm x 3/4</t>
  </si>
  <si>
    <t>Adaptador curto com bolsa e rosca para registro, pvc, soldável, dn 32mm x 1</t>
  </si>
  <si>
    <t>Adaptador curto com bolsa e rosca para registro, pvc, soldável, dn 50mm x 1.1/2</t>
  </si>
  <si>
    <t>Adaptador curto com bolsa e rosca para registro, pvc, soldável, dn 60mm x 2</t>
  </si>
  <si>
    <t>Adaptador curto com bolsa e rosca para registro, pvc, soldável, dn 75mm x 2.1/2</t>
  </si>
  <si>
    <t>Aadaptador curto com bolsa e rosca para registro, pvc, soldável, dn 85mm x 3</t>
  </si>
  <si>
    <t>Bucha de redução soldável de PVC marrom, curta, Ø 60 mm x 50 mm</t>
  </si>
  <si>
    <t>Bucha de redução soldável de PVC marrom, longa, Ø 50 mm x 25 mm</t>
  </si>
  <si>
    <t>Bucha de redução soldável de PVC marrom, longa, Ø 60 mm x 25 mm</t>
  </si>
  <si>
    <t>Bucha de redução soldável de PVC marrom, longa, Ø 75 mm x 50 mm</t>
  </si>
  <si>
    <t>Bucha de redução soldável de PVC marrom, longa, Ø 85 mm x 60 mm</t>
  </si>
  <si>
    <t>cap soldavel 25mm</t>
  </si>
  <si>
    <t>Joelho 90 graus, pvc, soldável, dn 50mm</t>
  </si>
  <si>
    <t>Joelho 90 graus, pvc, soldável, dn 60mm</t>
  </si>
  <si>
    <t>Joelho 90 graus, pvc, soldável, dn 75mm</t>
  </si>
  <si>
    <t>Joelho 90 graus, pvc, soldável, dn 85mm</t>
  </si>
  <si>
    <t>Tubo, pvc, soldável, dn 20mm</t>
  </si>
  <si>
    <t>Tubo, pvc, soldável, dn 50mm</t>
  </si>
  <si>
    <t>Tubo, pvc, soldável, dn 60mm</t>
  </si>
  <si>
    <t>Tubo, pvc, soldável, dn 75mm</t>
  </si>
  <si>
    <t>Tubo, pvc, soldável, dn 85mm</t>
  </si>
  <si>
    <t>Te, pvc, soldável, dn 25mm</t>
  </si>
  <si>
    <t>Te, pvc, soldável, dn 50mm</t>
  </si>
  <si>
    <t>Te, pvc, soldável, dn 60mm</t>
  </si>
  <si>
    <t>Te, pvc, soldável, dn 75mm</t>
  </si>
  <si>
    <t>Te, pvc, soldável, dn 85mm</t>
  </si>
  <si>
    <t>Tê de redução, pvc, soldável, dn 50mm x 25mm</t>
  </si>
  <si>
    <t>Tê 90° de redução soldável de PVC marrom Ø 75 x 50 mm</t>
  </si>
  <si>
    <t>Tê de redução, pvc, soldável, dn 85mm x 60mm</t>
  </si>
  <si>
    <t>Te 90  redução soldavel curta 85 x 75mm</t>
  </si>
  <si>
    <t xml:space="preserve">Joelho 90 graus com bucha de latão, pvc, soldável, dn 25 mm, x 3/4 </t>
  </si>
  <si>
    <t xml:space="preserve">Joelho 90 graus com bucha de latão, pvc, soldável, dn 25 mm, x 1/2 </t>
  </si>
  <si>
    <t xml:space="preserve">Joelho 90 graus com bucha de latão, pvc, soldável, dn 20mm, x 1/2 </t>
  </si>
  <si>
    <t xml:space="preserve">Tê com bucha de latão na bolsa central, pvc, soldável, dn 25mm x 1/2 </t>
  </si>
  <si>
    <t>Tê com bucha de latão na bolsa central, pvc, soldável, dn 25mm x 3/4</t>
  </si>
  <si>
    <t>Cisterna de concreto Armado 24.500 lts, Dim. Compr.= 5.30 mts, Larg.= 3.80 mts, Prof.= 2.00 mts, Sendo Impermeabilizada Internamente Com Imperm. Cristaliz., Chapisc. Com Aditivo de Alto Desempenho, e Argamassa Com Impermeab. PADRÃO SEDUC</t>
  </si>
  <si>
    <t>Conjunto elevatório motor-bomba centrífuga de 1CV</t>
  </si>
  <si>
    <t>Vaso sanitario sifonado louça branca padrao popular, com conjunto parafixaçao para vaso sanitário com parafuso, arruela e bucha</t>
  </si>
  <si>
    <t>Valvula descarga 1.1/2" Com registro, acabamento em metal cromado</t>
  </si>
  <si>
    <t>Mictorio sifonado de louca branca com pertences, com registro de pressao 1/2" com canopla cromada acabamento simples e conjunto para fixacao</t>
  </si>
  <si>
    <t>Cuba de embutir oval em louça branca, 35 x 50cm ou equivalente</t>
  </si>
  <si>
    <t>Torneira cromada de mesa, 1/2" ou 3/4", para lavatório</t>
  </si>
  <si>
    <t>Porta-papel de louça branca ou em cores</t>
  </si>
  <si>
    <t xml:space="preserve"> porta papel toalha dobrado, branco, padrão normal</t>
  </si>
  <si>
    <t>dispenser para sabonete liquido em PVC, 800ml, branco, padrão normal</t>
  </si>
  <si>
    <t>Chuveiro eletrico comum corpo plastico tipo ducha</t>
  </si>
  <si>
    <t>Torneira cromada de mesa, 1/2" ou 3/4", para lavatório, padrão popular(para os lavatórios)</t>
  </si>
  <si>
    <t>porta papel toalha dobrado, branco, padrão normal</t>
  </si>
  <si>
    <t>Lavatório louça branca suspenso, 29,5 x 39cm ou equivalente, padrão popular, incluso sifão tipo garrafa em pvc, válvula e engate flexível 30cm em plástico e torneira cromada de mesa, padrão popular</t>
  </si>
  <si>
    <t xml:space="preserve">Vaso sanitário sifonado com caixa acoplada louça branca - padrão médio, incluso engate flexível em plástico branco, 1/2 x 40cm </t>
  </si>
  <si>
    <t>Pia de cozinha de aço inoxidável, cuba dupla, 2,00 x 0,54 m</t>
  </si>
  <si>
    <t>Cuba de embutir de aço inoxidável média, incluso válvula tipo americana em metal cromado e sifão flexível em pvc</t>
  </si>
  <si>
    <t>Chuveiro e Lava Olhos de Emergência</t>
  </si>
  <si>
    <t>Bancada para cozinha em aço inox  nas dimensões 2,91m x 0,60m com 02 cubas em aço inox de dimensões 0,50 x 0,45 x 0,35, inclusive torneira de pressão para pia longa de parede, sifão metálico para pia e válvula de escoamento metálica para pia de cozinha, fixada sobre parede de alvenaria de tijolo de 1/2 vez acabamento em azulejo ceramico esmaltado de dimensões 150mm x 150mm com rejunte de cor branco.</t>
  </si>
  <si>
    <t xml:space="preserve">Bancada para cozinha em aço inox  nas dimensões 2,71m x 0,60m com 01 cubas em aço inox </t>
  </si>
  <si>
    <t xml:space="preserve">Bancada para cozinha em aço inox  nas dimensões 2,46m x 0,80m com 01 cubas em aço inox </t>
  </si>
  <si>
    <t>Torneira de pressão metálica para uso geral (Para Escovodramo)</t>
  </si>
  <si>
    <t>Lavatório em louça, branco, com coluna suspensa, para PCD, inclusive torneira metálica de alavanca e acessórios de instalação</t>
  </si>
  <si>
    <t>Vaso sanitario para PCD, sem furo frontal</t>
  </si>
  <si>
    <t>VALVULA DESCARGA 1.1/2" COM REGISTRO, ACABAMENTO EM METAL CROMADO COM ALAVANCA PARA PCD</t>
  </si>
  <si>
    <t xml:space="preserve"> ducha higienica plastica com registro metalico 1/2"</t>
  </si>
  <si>
    <t>Registro de pressão 3/4", com acabamento alavanca para os Chuveiros</t>
  </si>
  <si>
    <t xml:space="preserve">Caixa de gordura dupla em concreto pre-moldado dn 60mm com tampa </t>
  </si>
  <si>
    <t xml:space="preserve">Caixa de inspeção em alvenaria de tijolo maciço 60x60x60cm, </t>
  </si>
  <si>
    <t xml:space="preserve">Caixa de inspeção 80x80x80cm em alvenaria </t>
  </si>
  <si>
    <t>Caixa sifonada, pvc, dn 100 x 100 x 50 mm</t>
  </si>
  <si>
    <t>Caixa sifonada de PVC com grelha branca, 150 x 150 x 50 mm</t>
  </si>
  <si>
    <t>Curva curta 90 graus, pvc, serie normal, esgoto predial, dn 100 mm</t>
  </si>
  <si>
    <t>Curva curta 90 graus, pvc, serie normal, esgoto predial, dn 40 mm</t>
  </si>
  <si>
    <t>Joelho 90 graus, pvc, serie normal, esgoto predial, dn 50 mm</t>
  </si>
  <si>
    <t>Joelho 90 graus, pvc, serie normal, esgoto predial, dn 75 mm</t>
  </si>
  <si>
    <t>Joelho 90 graus, pvc, serie normal, esgoto predial, dn 100 mm</t>
  </si>
  <si>
    <t>Joelho 90 graus, pvc, serie normal, esgoto predial, dn 40 mm</t>
  </si>
  <si>
    <t>Junção 45° de PVC branco com redução, ponta bolsa e virola, Ø 100 x 50 mm</t>
  </si>
  <si>
    <t xml:space="preserve">Junção simples, pvc, serie normal, esgoto predial, dn 100 x 100 mm, </t>
  </si>
  <si>
    <t>Junção simples, pvc, serie normal, esgoto predial, dn 50 x 50 mm</t>
  </si>
  <si>
    <t xml:space="preserve">Junção 45° de pvc branco com redução, ponta bolsa e virola, ø 75 x 50 mm </t>
  </si>
  <si>
    <t>Redução excêntrica pbv de PVC branco, Ø 100 x 50 mm</t>
  </si>
  <si>
    <t>Redução excêntrica, pvc, serie r, água pluvial, dn 75 x 50 mm</t>
  </si>
  <si>
    <t>Tubo pvc, serie normal, esgoto predial, dn 100 mm</t>
  </si>
  <si>
    <t>Tubo pvc, serie normal, esgoto predial, dn 50 mm</t>
  </si>
  <si>
    <t>Tubo pvc, serie normal, esgoto predial, dn 75 mm</t>
  </si>
  <si>
    <t>Tubo pvc, serie normal, esgoto predial, dn 150 mm</t>
  </si>
  <si>
    <t>Tubo pvc, serie normal, esgoto predial, dn 40 mm</t>
  </si>
  <si>
    <t xml:space="preserve">Curva curta 90 graus, pvc, serie normal, esgoto predial, dn 50 mm, </t>
  </si>
  <si>
    <t>Joelho 45 graus, pvc, serie normal, esgoto predial, dn 50 mm</t>
  </si>
  <si>
    <t>terminal de ventilação, série normal, DN 50mm</t>
  </si>
  <si>
    <t>Te, pvc, serie normal, esgoto predial, dn 50 x 50 mm</t>
  </si>
  <si>
    <t>Execução de filtro anaeróbico d=2m e profundidade=2,50m</t>
  </si>
  <si>
    <t>Valvula de retenção horinzontal 32mm</t>
  </si>
  <si>
    <t>Registro de esfera PVC 25mm</t>
  </si>
  <si>
    <t>73795/003</t>
  </si>
  <si>
    <t>SDC02086</t>
  </si>
  <si>
    <t>COLAR TOMADA PVC, COM TRAVAS, SAIDA COM ROSCA, DE 32 MM X 3/4", PARA LIGACAO PREDIAL DE AGUA</t>
  </si>
  <si>
    <t>EXECUÇÃO DE PASSEIO (CALÇADA) OU PISO DE CONCRETO COM CONCRETO MOLDADO IN LOCO, FEITO EM OBRA, ACABAMENTO CONVENCIONAL, ESPESSURA 8 CM, ARMADO. AF_07/2016</t>
  </si>
  <si>
    <t>SDC01045</t>
  </si>
  <si>
    <t>LIXA EM FOLHA PARA PAREDE OU MADEIRA, NUMERO 120 (COR VERMELHA)</t>
  </si>
  <si>
    <t>CONSIDERADO NA ÁREA TOTAL</t>
  </si>
  <si>
    <r>
      <t xml:space="preserve">Pintura  </t>
    </r>
    <r>
      <rPr>
        <b/>
        <sz val="11"/>
        <rFont val="Calibri Light"/>
        <family val="2"/>
      </rPr>
      <t>epóxi</t>
    </r>
    <r>
      <rPr>
        <sz val="11"/>
        <rFont val="Calibri Light"/>
        <family val="2"/>
      </rPr>
      <t xml:space="preserve"> em piso de concreto</t>
    </r>
  </si>
  <si>
    <t>Quadra</t>
  </si>
  <si>
    <t>Em torno da quadra</t>
  </si>
  <si>
    <t>23.6</t>
  </si>
  <si>
    <t>JÁ CONSIDERADO NO CONTRAPISO ARMADO</t>
  </si>
  <si>
    <t>JÁ CONSIDERADO NA MOVIMENTAÇÃO DE TERRAS</t>
  </si>
  <si>
    <t>Liquibrilho para barrado externo H=1,20cm
*Paredes externas vestiario e Quadra: 118,15ml x 1,20ml altura</t>
  </si>
  <si>
    <t>Igual as áreas emassadas (-)  pintura pantone</t>
  </si>
  <si>
    <t>Fundo Selador Paredes Externas</t>
  </si>
  <si>
    <t>*Faixa na parede lateral esquerda (arquibancada): 18,22m² + Arquibancada204,02m²
*Faixa na parede em frente ao vestiario: (10,35ml + 12,90ml) x 1,50 altura
*Faixa na parede área posterior fachada frontal: 29,85ml x 1,50 altura</t>
  </si>
  <si>
    <t>Faixa na parede lateral esquerda (arquibancada): 49,70ml x 0,25 altura
Faixa na parede em frente ao vestiario: (10,35ml + 12,90ml) x 0,25 altura
Faixa na parede área posterior fachada frontal: 29,85ml x 0,25 altura</t>
  </si>
  <si>
    <t>CAP PVC, SOLDAVEL, 25 MM, PARA AGUA FRIA PREDIAL</t>
  </si>
  <si>
    <t>SDC02088</t>
  </si>
  <si>
    <t>48.7</t>
  </si>
  <si>
    <t>48.8</t>
  </si>
  <si>
    <t>SDC01019</t>
  </si>
  <si>
    <t>APLICAÇÃO DE LIQUIBRILHO SOBRE PINTURAS, DUAS DEMÃOS</t>
  </si>
  <si>
    <t>SEINFRA C3487</t>
  </si>
  <si>
    <t>LIQUIDO PARA BRILHO PAREDES INTERNAS</t>
  </si>
  <si>
    <t>REGISTRO DE GAVETA BRUTO, LATÃO, ROSCÁVEL, 1 1/2, INSTALADO EM RESERVAÇÃO DE ÁGUA DE EDIFICAÇÃO QUE POSSUA RESERVATÓRIO DE FIBRA/FIBROCIMENTO  FORNECIMENTO E INSTALAÇÃO. AF_06/2016</t>
  </si>
  <si>
    <t>LUVA COM BUCHA DE LATÃO, PVC, SOLDÁVEL, DN 20MM X 1/2, INSTALADO EM RAMAL DE DISTRIBUIÇÃO DE ÁGUA - FORNECIMENTO E INSTALAÇÃO. AF_12/2014</t>
  </si>
  <si>
    <t>ADAPTADOR CURTO COM BOLSA E ROSCA PARA REGISTRO, PVC, SOLDÁVEL, DN 20MM X 1/2, INSTALADO EM RAMAL OU SUB-RAMAL DE ÁGUA - FORNECIMENTO E INSTALAÇÃO. AF_12/2014</t>
  </si>
  <si>
    <r>
      <rPr>
        <b/>
        <sz val="11"/>
        <color rgb="FFFF0000"/>
        <rFont val="Calibri Light"/>
        <family val="2"/>
      </rPr>
      <t>Fechamento:</t>
    </r>
    <r>
      <rPr>
        <b/>
        <sz val="11"/>
        <rFont val="Calibri Light"/>
        <family val="2"/>
      </rPr>
      <t xml:space="preserve">
*</t>
    </r>
    <r>
      <rPr>
        <sz val="11"/>
        <rFont val="Calibri Light"/>
        <family val="2"/>
      </rPr>
      <t>Área de alvenaria do Vestiário + Quadra x 2 lados 
*Arquibancada: 279,09m²
*Pilares de acesso 9unx 1,70x3,20</t>
    </r>
  </si>
  <si>
    <r>
      <rPr>
        <b/>
        <sz val="11"/>
        <rFont val="Calibri Light"/>
        <family val="2"/>
      </rPr>
      <t>Áreas de azulejo: altura de 3,00m:</t>
    </r>
    <r>
      <rPr>
        <sz val="11"/>
        <rFont val="Calibri Light"/>
        <family val="2"/>
      </rPr>
      <t xml:space="preserve"> 
Vestiario F/M = 17,00ml x 2un = 34,00ml x 3,00ml altura (-) 1J2,1P2
Vestiarios F/M PCD = 9,60ml x 2un = 19,20 x 3,00ml altura (-) J19, 1P4
Circulação = 12,70ml x 3,00ml altura (-) 2P2, 2P4, 2J9, abertura de acesso 3,00x2,50
*Pilares de acesso 9unx 1,70x1,50</t>
    </r>
  </si>
  <si>
    <t>SDC02045</t>
  </si>
  <si>
    <t>BUCHA DE REDUÇÃO, PVC, SOLDÁVEL, DN 75MM X 50MM, INSTALADO EM RAMAL DE DISTRIBUIÇÃO DE ÁGUA - FORNECIMENTO E INSTALAÇÃO.</t>
  </si>
  <si>
    <t>BUCHA DE REDUCAO DE PVC, SOLDAVEL, LONGA, COM 75 X 50 MM, PARA AGUA FRIA PREDIAL</t>
  </si>
  <si>
    <t>TE, PVC, SOLDÁVEL, DN 75MM, INSTALADO EM PRUMADA DE ÁGUA - FORNECIMENTO E INSTALAÇÃO. AF_12/2014</t>
  </si>
  <si>
    <t>TE DE REDUCAO, PVC, SOLDAVEL, 90 GRAUS, 85 MM X 60 MM, PARA AGUA FRIA PREDIAL</t>
  </si>
  <si>
    <t>SDC02043</t>
  </si>
  <si>
    <t>JOELHO 90 GRAUS COM BUCHA DE LATÃO, PVC, SOLDÁVEL, DN 20MM, X 1/2 INSTALADO EM RAMAL OU SUB-RAMAL DE ÁGUA - FORNECIMENTO E INSTALAÇÃO.</t>
  </si>
  <si>
    <t>JOELHO PVC, SOLDAVEL, COM BUCHA DE LATAO, 90 GRAUS, 20 MM X 1/2", PARA AGUA FRIA PREDIAL</t>
  </si>
  <si>
    <t>SDC02056</t>
  </si>
  <si>
    <t>CAIXA D'AGUA TIPO TAÇA COM CAPACIDADE DE 10.000 LITROS COM COLUNA SECA, INCLUSIVE INSTALAÇÃO</t>
  </si>
  <si>
    <t>LANCAMENTO/APLICACAO MANUAL DE CONCRETO EM FUNDACOES</t>
  </si>
  <si>
    <t>CINTHIA</t>
  </si>
  <si>
    <t>3661-1135</t>
  </si>
  <si>
    <t>AÇOBETT</t>
  </si>
  <si>
    <t>02.465.581/0001-62</t>
  </si>
  <si>
    <t>ROSANA</t>
  </si>
  <si>
    <t>98458-9142</t>
  </si>
  <si>
    <t>METALÚRGICA BRASFFER</t>
  </si>
  <si>
    <t>IURI</t>
  </si>
  <si>
    <t>3682-6168</t>
  </si>
  <si>
    <t>SVG METALÚRGICA</t>
  </si>
  <si>
    <t>10.357.293/0001-12</t>
  </si>
  <si>
    <t>BOMBA CENTRIFUGA C/ MOTOR ELETRICO TRIFASICO 1CV</t>
  </si>
  <si>
    <t>SDC02055</t>
  </si>
  <si>
    <t>BANCADA PARA COZINHA EM AÇO INOX NAS DIMENSÕES 2,71X0,60M COM 01 CUBA EM AÇO INOX DE DIMENSÕES 0,50 X 0,45 X 0,35, INCLUSIVE TORNEIRA DE PRESSÃO PARA PIA LONGA DE PAREDE, SIFÃO PARA PIA E VÁLVULA DE ESCOAMENTO METÁLICA PARA PIA DE COZINHA, FIXADA SOBRE PAREDE DE ALVENARIA DE TIJOLO DE 1/2 VEZ ACABAMENTO EM AZULEJO CERAMICO ESMALTADO DE DIMENSÕES 150MM X 150MM COM REJUNTE DE COR BRANCO.</t>
  </si>
  <si>
    <t>BANCADA EM AÇO INOX 2,46X0,8M COM 01 CUBA</t>
  </si>
  <si>
    <t>05.273.304/0001-46</t>
  </si>
  <si>
    <t>SDC02054</t>
  </si>
  <si>
    <t>BANCADA PARA COZINHA EM AÇO INOX NAS DIMENSÕES 2,46X0,80M COM 01 CUBA EM AÇO INOX DE DIMENSÕES 0,80 X 0,60 X 0,50, INCLUSIVE TORNEIRA DE PRESSÃO PARA PIA LONGA DE PAREDE, SIFÃO PARA PIA E VÁLVULA DE ESCOAMENTO METÁLICA PARA PIA DE COZINHA, FIXADA SOBRE PAREDE DE ALVENARIA DE TIJOLO DE 1/2 VEZ ACABAMENTO EM AZULEJO CERAMICO ESMALTADO DE DIMENSÕES 150MM X 150MM COM REJUNTE DE COR BRANCO.</t>
  </si>
  <si>
    <t>SDC02057</t>
  </si>
  <si>
    <t>VALVULA DESCARGA 1.1/2" COM REGISTRO, ACABAMENTO EM METAL CROMADO COM ALAVANCA PARA PCD- FORNECIMENTO E INSTALACAO</t>
  </si>
  <si>
    <t>SINAPI 40729</t>
  </si>
  <si>
    <t>ESTOPA</t>
  </si>
  <si>
    <t>VÁLVULA DE DESCARGA, BASE, 1 1/2"</t>
  </si>
  <si>
    <t>ACABAMENTO METAL CROMADO, PARA VALVULA DESCARGA, COM ALAVANCA PARA PCD</t>
  </si>
  <si>
    <r>
      <t>*Laterais Cozinha: 9,10ml x 3,90ml altura = 35,49m² x 2 lados = 70,98m² (-) 4J4, 2J6 = 63,94m²
*Parede Fundo da Cozinha: 59,86m²
*Parede Frente da Cozinha (acima das pastilhas): 55,90m²</t>
    </r>
    <r>
      <rPr>
        <sz val="11"/>
        <color rgb="FFFF0000"/>
        <rFont val="Calibri Light"/>
        <family val="2"/>
      </rPr>
      <t xml:space="preserve">
</t>
    </r>
    <r>
      <rPr>
        <sz val="11"/>
        <rFont val="Calibri Light"/>
        <family val="2"/>
      </rPr>
      <t>*Fechamento Lateral área aberta (Refeitório) com desconto de vigas e Cobogó: 21,40m²  x 2 lados = 53,40m² X 2 
*Fechamento parede frente Refeitorio = 35,85m² 
*11 Pilares de 15x30 x 2,40altura</t>
    </r>
  </si>
  <si>
    <r>
      <rPr>
        <sz val="11"/>
        <color rgb="FFFF0000"/>
        <rFont val="Calibri Light"/>
        <family val="2"/>
      </rPr>
      <t>Paredes</t>
    </r>
    <r>
      <rPr>
        <sz val="11"/>
        <rFont val="Calibri Light"/>
        <family val="2"/>
      </rPr>
      <t xml:space="preserve">
*Laterais Cozinha: 9,10ml x 3,90ml altura = 35,49m² x 2 lados = 70,98m² (-) 4J4, 2J6 = 63,94m²
*Parede Fundo da Cozinha: 59,86m²
*Parede Frente da Cozinha (acima das pastilhas): 55,90m²</t>
    </r>
    <r>
      <rPr>
        <sz val="11"/>
        <color rgb="FFFF0000"/>
        <rFont val="Calibri Light"/>
        <family val="2"/>
      </rPr>
      <t xml:space="preserve">
</t>
    </r>
    <r>
      <rPr>
        <sz val="11"/>
        <rFont val="Calibri Light"/>
        <family val="2"/>
      </rPr>
      <t>*Fechamento Lateral área aberta (Refeitório) com desconto de vigas e Cobogó: 21,40m²  x 2 lados = 53,40m² X 2 
*Fechamento parede frente Refeitorio = 35,85m² 
*11 Pilares de 15x30 x 2,40altura</t>
    </r>
  </si>
  <si>
    <t>Emassamento Laje - Interno</t>
  </si>
  <si>
    <t>Pintura Laje - Interno</t>
  </si>
  <si>
    <r>
      <t>Pintura Látex acrílica com desconto de áreas de revestimento 5x5cm
*Laterais Cozinha: 9,10ml x3,90ml altura = 35,49m² x 2 lados = 70,98m² (-) 4J4, 2J6 = 63,94m²
*Parede Fundo da Cozinha: 59,86m²
*Parede Frente da Cozinha (acima das pastilhas): 55,90m²</t>
    </r>
    <r>
      <rPr>
        <sz val="11"/>
        <color rgb="FFFF0000"/>
        <rFont val="Calibri Light"/>
        <family val="2"/>
      </rPr>
      <t xml:space="preserve">
</t>
    </r>
    <r>
      <rPr>
        <sz val="11"/>
        <rFont val="Calibri Light"/>
        <family val="2"/>
      </rPr>
      <t>*Fechamento Lateral área aberta (Refeitório) com desconto de vigas e Cobogó: 21,40m²  x 2 lados = 53,40m² X 2 
*Fechamento parede frente Refeitorio = 35,85m² 
*11 Pilares de 15x30 x 2,40altura</t>
    </r>
  </si>
  <si>
    <t>SDC01094</t>
  </si>
  <si>
    <t>CALHA EM CHAPA DE AÇO GALVANIZADO NÚMERO 24, DESENVOLVIMENTO DE 100 CM, INCLUSO TRANSPORTE VERTICAL</t>
  </si>
  <si>
    <t>Área de cobertura secretária = 34,50m²</t>
  </si>
  <si>
    <t>Área de cobertura dos blocos de sala de aula bloco 01 - 24,74x46,20= 1. 142,98 bloco 02- 24,74*52,20=1.291,42m²</t>
  </si>
  <si>
    <t>área de cobertura pergolado refeitório+área de cobertura pergolado ginásio = 84+16,60 =100,60</t>
  </si>
  <si>
    <t>Comprimento de calha da área de cobertura da secretária = 7,20+6,9 = 14,10m</t>
  </si>
  <si>
    <t>Comprimento do rufo da área de cobertura da secretária =38,16m</t>
  </si>
  <si>
    <t>Sala dos Professores+ Sala de Reunião+ Coordenadoria+ Diretoria</t>
  </si>
  <si>
    <t>Biblioteca + Sala de Aula + Lab. De Física + Lab. De Química + Sala de Informática + Sala Articulada</t>
  </si>
  <si>
    <t>P7 - Porta metálica 1 Folha - 0,80 x 2,10</t>
  </si>
  <si>
    <t>Arquivo, copa,  lav. Profs, banheiro de alunos</t>
  </si>
  <si>
    <t>J1 - Janela MAXIM-AR - 3 folhas - 3,0 x 0,60 x 1,95</t>
  </si>
  <si>
    <t>J2 - Janela MAXIM-AR - 3 folhas - 3,0 x 0,80 x 1,95</t>
  </si>
  <si>
    <t>J3 - MAXM- AR 1 folha ( 1,20x2,40x0,15)</t>
  </si>
  <si>
    <t>J5 - MAXIM-AR 1 folhas 0,4x0,4 peitoril 1,95</t>
  </si>
  <si>
    <t>J8 - MAXIM-AR 3 folhas 2,0x0,8 peitoril 1,95</t>
  </si>
  <si>
    <t>VERGA E CONTRA VERGA</t>
  </si>
  <si>
    <t xml:space="preserve">Fechamento em alvenaria do bloco educacional </t>
  </si>
  <si>
    <t>Área de todo o bloco educacional, descontando o oitão na parte interna aonde não pode ser visto pois a laje vai tampar.</t>
  </si>
  <si>
    <t>Reboco e emboço</t>
  </si>
  <si>
    <t xml:space="preserve">Área bloco educacional </t>
  </si>
  <si>
    <t xml:space="preserve">Chapisco da laje </t>
  </si>
  <si>
    <t xml:space="preserve">laje do bloco educacional </t>
  </si>
  <si>
    <t xml:space="preserve">Reboco da laje </t>
  </si>
  <si>
    <t xml:space="preserve">azulejo tipo gres 20x20 </t>
  </si>
  <si>
    <t>azulejo 20x20cm, cor branco - banheiros e copa</t>
  </si>
  <si>
    <t>Pastilha 5x5 cor branco e faixa azul</t>
  </si>
  <si>
    <t>Pastilha 5x5 cor branco h=1,40m e 10cm de pastilha cor azul- totalizando h=1,50m- usado dentro das salas de aula, laboratorios, biblioteca, diretoria, coordenadoria, sala de reuniao, secretaria.</t>
  </si>
  <si>
    <t xml:space="preserve">Pastilha 5x5 cor azul </t>
  </si>
  <si>
    <t>pastilha na circulação das salas de aula, nas cores azul claro, azul médio e azul escuro, na altura de 1,10m</t>
  </si>
  <si>
    <t xml:space="preserve">Pastilha 5x5 na fachada </t>
  </si>
  <si>
    <t xml:space="preserve">pastilha azul claro, médio e escuro na fachada e no patío coberto </t>
  </si>
  <si>
    <t>Impermeabilizante áreas molhadas- banheiros e copa h= 1,10m  e área externa com patio coberto 1,10m.</t>
  </si>
  <si>
    <t xml:space="preserve">Área dos blocos de sala(salas, banheiros, adm, corredores) = 1976,65 </t>
  </si>
  <si>
    <t xml:space="preserve">Soleira em todas as portas do bloco educaional - ver projeto </t>
  </si>
  <si>
    <t>área de convivencia + área de ciclovia/bicicletário + pátio coberto+ playground+ caçada ao redor das edificaçoes = 76,36+102,58+150+74,63+51,19+113,13+176,80+63,18+49,97+87,15+248,95+11,57+98,65=1292,59</t>
  </si>
  <si>
    <t>meio fio área de convivencia + meio fio praça na calçada = 17,40+18,28+59=94,68</t>
  </si>
  <si>
    <t>meio fio praça na calçada = 32,68M</t>
  </si>
  <si>
    <t>área azul + área amarelo =199,81+113,13=312,81m2</t>
  </si>
  <si>
    <t>área das linhas brancas de demarcação = 3,19+3,18+1,70+3,16+1,70+3,33+6,37+10,25+6,54 = 39,42m x 9cm=3,54m²</t>
  </si>
  <si>
    <t xml:space="preserve">passarelas/corredores + estacionamento </t>
  </si>
  <si>
    <t xml:space="preserve">paredes internas do bloco educacional, pintura acima dos barrados das salas e da circulação  </t>
  </si>
  <si>
    <t>Aplicação de massa latex no forro (laje)</t>
  </si>
  <si>
    <t>Tinta latéx pva em paredes internas no forro ( laje)</t>
  </si>
  <si>
    <t>área externa do bloco educacional e as paredes do patio coberto , descontando as faixas de pastilha da fachada e o barrado do patio coberto.</t>
  </si>
  <si>
    <t>Liquibrilho- transparente</t>
  </si>
  <si>
    <t>Área externa do bloco educacional h= 1,10m.</t>
  </si>
  <si>
    <t>FORROS / LAJES E DIVISÓRIAS</t>
  </si>
  <si>
    <t>Área dos banheiros e copa</t>
  </si>
  <si>
    <t>Área de grama da escola = 2030,52</t>
  </si>
  <si>
    <t>bancada laboratorios, bancada banheiros , copa- 10,61+17,57+2,68+2,68+1,50= 35,04m²</t>
  </si>
  <si>
    <t xml:space="preserve">Anel de textura </t>
  </si>
  <si>
    <t xml:space="preserve">anel de textura para o corrimao </t>
  </si>
  <si>
    <t>542unidades*0,25m=135,5m</t>
  </si>
  <si>
    <t xml:space="preserve">Pintura acessivel - vaga estacionamento </t>
  </si>
  <si>
    <t>pintura de acessibilidade no estacionamento PCD</t>
  </si>
  <si>
    <t>Bloco educacional  2340,71</t>
  </si>
  <si>
    <t>Área construida Total</t>
  </si>
  <si>
    <t>2.12</t>
  </si>
  <si>
    <t>SDC01081</t>
  </si>
  <si>
    <t>FORNECIMENTO E INSTALAÇÃO DE COBERTURA EM POLICARBONATO COMPACTO, 3MM, COR CINZA</t>
  </si>
  <si>
    <t>Banheiros - 8 un</t>
  </si>
  <si>
    <t>8.7</t>
  </si>
  <si>
    <t>8.8</t>
  </si>
  <si>
    <t>CHAPISCO APLICADO NO TETO, COM ROLO PARA TEXTURA ACRÍLICA. ARGAMASSA TRAÇO 1:4 E EMULSÃO POLIMÉRICA (ADESIVO) COM PREPARO EM BETONEIRA 400L. AF_06/2014</t>
  </si>
  <si>
    <t>ASSENTAMENTO DE GUIA (MEIO-FIO) EM TRECHO RETO, CONFECCIONADA EM CONCRETO PRÉ-FABRICADO, DIMENSÕES 100X15X13X30 CM (COMPRIMENTO X BASE INFERIOR X BASE SUPERIOR X ALTURA), PARA VIAS URBANAS (USO VIÁRIO). AF_06/2016</t>
  </si>
  <si>
    <t>28.5</t>
  </si>
  <si>
    <t>28.6</t>
  </si>
  <si>
    <t>APLICAÇÃO E LIXAMENTO DE MASSA LÁTEX EM TETO, DUAS DEMÃOS. AF_06/2014</t>
  </si>
  <si>
    <t>Letra caixa</t>
  </si>
  <si>
    <t>Nome da escola</t>
  </si>
  <si>
    <t>1 nos blodos de salas de aula</t>
  </si>
  <si>
    <t>Caixa de passagem 30x30x40 com tampa e dreno brita</t>
  </si>
  <si>
    <t>Caixa de inspeção  60x60x60cm</t>
  </si>
  <si>
    <t>Caixa de inspeção  80x80xCM</t>
  </si>
  <si>
    <t>Escavação manual para tubo de 100mm</t>
  </si>
  <si>
    <t xml:space="preserve">Apiloamento </t>
  </si>
  <si>
    <t>Reaterro</t>
  </si>
  <si>
    <t>TELA - Q92 (x1,20 DE PERDA)</t>
  </si>
  <si>
    <t>ALVENARIA EM BLOCOS DE CONCRETO ESTRUTURAL (DIMENSÃO DO BLOCO 14x19x39cm) FCK=4,5MPA</t>
  </si>
  <si>
    <t>14.2</t>
  </si>
  <si>
    <t>16.4</t>
  </si>
  <si>
    <t>16.11</t>
  </si>
  <si>
    <t>16.12</t>
  </si>
  <si>
    <t>21.3</t>
  </si>
  <si>
    <t>21.4</t>
  </si>
  <si>
    <t>25.7</t>
  </si>
  <si>
    <t>27.4</t>
  </si>
  <si>
    <t>28.7</t>
  </si>
  <si>
    <t>42.5</t>
  </si>
  <si>
    <t>42.6</t>
  </si>
  <si>
    <t>43.2</t>
  </si>
  <si>
    <t>47.2</t>
  </si>
  <si>
    <t>47.3</t>
  </si>
  <si>
    <t>47.4</t>
  </si>
  <si>
    <t>47.5</t>
  </si>
  <si>
    <t>47.6</t>
  </si>
  <si>
    <t>47.7</t>
  </si>
  <si>
    <t>49.1</t>
  </si>
  <si>
    <t>51.10</t>
  </si>
  <si>
    <t>51.11</t>
  </si>
  <si>
    <t>51.12</t>
  </si>
  <si>
    <t>51.13</t>
  </si>
  <si>
    <t>51.14</t>
  </si>
  <si>
    <t>51.15</t>
  </si>
  <si>
    <t>54.3</t>
  </si>
  <si>
    <t>54.4</t>
  </si>
  <si>
    <t>54.5</t>
  </si>
  <si>
    <t>54.6</t>
  </si>
  <si>
    <t>54.7</t>
  </si>
  <si>
    <t>54.8</t>
  </si>
  <si>
    <t>55.4</t>
  </si>
  <si>
    <t>55.5</t>
  </si>
  <si>
    <t>55.6</t>
  </si>
  <si>
    <t>58.5</t>
  </si>
  <si>
    <t>60.4</t>
  </si>
  <si>
    <t>60.5</t>
  </si>
  <si>
    <t>60.6</t>
  </si>
  <si>
    <t>60.8</t>
  </si>
  <si>
    <t>60.9</t>
  </si>
  <si>
    <t>60.10</t>
  </si>
  <si>
    <t>65.5</t>
  </si>
  <si>
    <t>65.6</t>
  </si>
  <si>
    <t>65.7</t>
  </si>
  <si>
    <t>65.8</t>
  </si>
  <si>
    <t>65.9</t>
  </si>
  <si>
    <t>65.10</t>
  </si>
  <si>
    <t>65.11</t>
  </si>
  <si>
    <t>65.12</t>
  </si>
  <si>
    <t>65.13</t>
  </si>
  <si>
    <t>65.14</t>
  </si>
  <si>
    <t>65.15</t>
  </si>
  <si>
    <t>66.3</t>
  </si>
  <si>
    <t>66.4</t>
  </si>
  <si>
    <t>66.5</t>
  </si>
  <si>
    <t>66.6</t>
  </si>
  <si>
    <t>66.7</t>
  </si>
  <si>
    <t>66.8</t>
  </si>
  <si>
    <t>66.9</t>
  </si>
  <si>
    <t>66.10</t>
  </si>
  <si>
    <t>66.11</t>
  </si>
  <si>
    <t>66.12</t>
  </si>
  <si>
    <t>66.13</t>
  </si>
  <si>
    <t>66.14</t>
  </si>
  <si>
    <t>66.15</t>
  </si>
  <si>
    <t>66.16</t>
  </si>
  <si>
    <t>66.17</t>
  </si>
  <si>
    <t>66.18</t>
  </si>
  <si>
    <t>66.19</t>
  </si>
  <si>
    <t>66.20</t>
  </si>
  <si>
    <t>66.21</t>
  </si>
  <si>
    <t>66.22</t>
  </si>
  <si>
    <t>66.23</t>
  </si>
  <si>
    <t>66.24</t>
  </si>
  <si>
    <t>66.25</t>
  </si>
  <si>
    <t>66.26</t>
  </si>
  <si>
    <t>66.27</t>
  </si>
  <si>
    <t>66.28</t>
  </si>
  <si>
    <t>66.29</t>
  </si>
  <si>
    <t>70.0</t>
  </si>
  <si>
    <t>70.1</t>
  </si>
  <si>
    <t>70.2</t>
  </si>
  <si>
    <t>70.3</t>
  </si>
  <si>
    <t>70.4</t>
  </si>
  <si>
    <t>70.5</t>
  </si>
  <si>
    <t>70.6</t>
  </si>
  <si>
    <t>70.7</t>
  </si>
  <si>
    <t>70.8</t>
  </si>
  <si>
    <t>70.9</t>
  </si>
  <si>
    <t>70.10</t>
  </si>
  <si>
    <t>70.11</t>
  </si>
  <si>
    <t>71.0</t>
  </si>
  <si>
    <t>71.1</t>
  </si>
  <si>
    <t>71.2</t>
  </si>
  <si>
    <t>01.180.102/0001-07</t>
  </si>
  <si>
    <t>CENEDON</t>
  </si>
  <si>
    <t>07.871.559/0001-36</t>
  </si>
  <si>
    <t>SDC02064</t>
  </si>
  <si>
    <t>FOSSA SÉPTICA EM ALVENARIA - TIJOLO COMUM MACIÇO, DIMENSOES 475 X 240 X 180 CM (20,52M³)</t>
  </si>
  <si>
    <t>63.4</t>
  </si>
  <si>
    <r>
      <rPr>
        <b/>
        <sz val="11"/>
        <color rgb="FFFF0000"/>
        <rFont val="Calibri Light"/>
        <family val="2"/>
      </rPr>
      <t>Fechamento:</t>
    </r>
    <r>
      <rPr>
        <b/>
        <sz val="11"/>
        <rFont val="Calibri Light"/>
        <family val="2"/>
      </rPr>
      <t xml:space="preserve">
*</t>
    </r>
    <r>
      <rPr>
        <sz val="11"/>
        <rFont val="Calibri Light"/>
        <family val="2"/>
      </rPr>
      <t>Área de alvenaria do Vestiário + Quadra x 2 lados 
*Arquibancada: 279,09m²
*Pilares de acesso 9unx 1,70x1,70
(-) Emboço</t>
    </r>
  </si>
  <si>
    <t>02un P2 (0,90)
02un P4 (0,90)
Vão de acesso vestiario/quadra 3,00ml</t>
  </si>
  <si>
    <t>Pintura Latéx Acrílica Branco Gelo Interno/ Externo</t>
  </si>
  <si>
    <r>
      <t>Alvenarias:                                                                          
*</t>
    </r>
    <r>
      <rPr>
        <sz val="11"/>
        <color rgb="FFFF0000"/>
        <rFont val="Calibri Light"/>
        <family val="2"/>
      </rPr>
      <t xml:space="preserve">H = 3,80ml   </t>
    </r>
    <r>
      <rPr>
        <sz val="11"/>
        <rFont val="Calibri Light"/>
        <family val="2"/>
      </rPr>
      <t xml:space="preserve">                                                                (2,65+4,05+6,05+5,45+2,65+4,15+1,40+3,25+2,5+4,75+9,10+9,10) =55,10ml x 3,80 = 209,38m² (-) 27,76m² = </t>
    </r>
    <r>
      <rPr>
        <b/>
        <sz val="11"/>
        <rFont val="Calibri Light"/>
        <family val="2"/>
      </rPr>
      <t xml:space="preserve">181,62m²  </t>
    </r>
    <r>
      <rPr>
        <sz val="11"/>
        <rFont val="Calibri Light"/>
        <family val="2"/>
      </rPr>
      <t xml:space="preserve">  
*Parede Fundo da Cozinha:</t>
    </r>
    <r>
      <rPr>
        <b/>
        <sz val="11"/>
        <rFont val="Calibri Light"/>
        <family val="2"/>
      </rPr>
      <t xml:space="preserve"> 59,86m²</t>
    </r>
    <r>
      <rPr>
        <sz val="11"/>
        <rFont val="Calibri Light"/>
        <family val="2"/>
      </rPr>
      <t xml:space="preserve">
*Parede Frente da Cozinha: </t>
    </r>
    <r>
      <rPr>
        <b/>
        <sz val="11"/>
        <rFont val="Calibri Light"/>
        <family val="2"/>
      </rPr>
      <t>61,17m²</t>
    </r>
    <r>
      <rPr>
        <sz val="11"/>
        <rFont val="Calibri Light"/>
        <family val="2"/>
      </rPr>
      <t xml:space="preserve">
*</t>
    </r>
    <r>
      <rPr>
        <sz val="11"/>
        <color rgb="FFFF0000"/>
        <rFont val="Calibri Light"/>
        <family val="2"/>
      </rPr>
      <t xml:space="preserve">H = 1,50m     </t>
    </r>
    <r>
      <rPr>
        <sz val="11"/>
        <rFont val="Calibri Light"/>
        <family val="2"/>
      </rPr>
      <t xml:space="preserve">                                                                                                    Mureta Cozinha                                                                                                         2,50 x 1,50 =</t>
    </r>
    <r>
      <rPr>
        <b/>
        <sz val="11"/>
        <rFont val="Calibri Light"/>
        <family val="2"/>
      </rPr>
      <t xml:space="preserve"> 3,75m²
</t>
    </r>
    <r>
      <rPr>
        <sz val="11"/>
        <rFont val="Calibri Light"/>
        <family val="2"/>
      </rPr>
      <t xml:space="preserve">
*Fechamento Lateral área aberta (Refeitório) com desconto de vigas e Cobogó: 21,40m²  x 2 lados = </t>
    </r>
    <r>
      <rPr>
        <b/>
        <sz val="11"/>
        <rFont val="Calibri Light"/>
        <family val="2"/>
      </rPr>
      <t xml:space="preserve">53,40m² X 2 
</t>
    </r>
    <r>
      <rPr>
        <sz val="11"/>
        <rFont val="Calibri Light"/>
        <family val="2"/>
      </rPr>
      <t xml:space="preserve">*Fechamento parede frente Refeitorio = </t>
    </r>
    <r>
      <rPr>
        <b/>
        <sz val="11"/>
        <rFont val="Calibri Light"/>
        <family val="2"/>
      </rPr>
      <t xml:space="preserve">23,55m² </t>
    </r>
  </si>
  <si>
    <t>Triagem: 14,87m²  
WC funcionarios fem: 3,75m² 
WC funcionario masc: 3,75m² 
Cozinha: 48,90m² 
Circulação: 24,80m²       
DML: 3,87m²
Desp. Alimentos: 9,54m²
Desp. Utensilios: 9,54m²                                                                                                                                                                                                                                 Refeitório: 239,16m²</t>
  </si>
  <si>
    <t>08un P2 (0,90)
02un P7 (0,80
Contorno refeitório : 3,84+3,95+3,95+4,01+4,51+4,48+4,51+4,01+3,95+3,95+3,84: 45,00ml
Circulação fundos: 2,55 + 5,45</t>
  </si>
  <si>
    <t>Pintura em esmalte sintetico para esquadrias
P2 0,90 x2,10 (08un) x 2 lados
P7 0,80 x2,10 (02un) x 2 lados</t>
  </si>
  <si>
    <t>Cobogó na parede de fechamento lateral Refeitório: 22,00m²
Cobogó na parede de fechamento frontal Refeitório: 9,45m²</t>
  </si>
  <si>
    <r>
      <rPr>
        <sz val="11"/>
        <color rgb="FFFF0000"/>
        <rFont val="Calibri Light"/>
        <family val="2"/>
      </rPr>
      <t xml:space="preserve">H=3,80ml (Pé direito)  </t>
    </r>
    <r>
      <rPr>
        <sz val="11"/>
        <rFont val="Calibri Light"/>
        <family val="2"/>
      </rPr>
      <t xml:space="preserve">                                                                                         DML - 8,70ml (-) 1P2, 1J6                                                                                  Triagem - 16,90ml (-) 2P2, 2J4                                                                         Desp. Alimentos - 12,90ml (-) 1P2, 1J4                                                        Desp. Utensil. - 12,90ml (-) 1P2, 1J4                                                             Wc Fem/Masc. - 8,00ml x 2un  (-) 2J6, 2P7                                                Cozinha - 30,38ml (-) 6P2, 2J6, 2J4, 2J7    
Circulação/A. Serviço - 16,40ml (-) 4P2, 1J4, 2J6, 2P7                                                                                                                                                                </t>
    </r>
    <r>
      <rPr>
        <sz val="11"/>
        <color rgb="FFFF0000"/>
        <rFont val="Calibri Light"/>
        <family val="2"/>
      </rPr>
      <t xml:space="preserve">H=1,50ml   </t>
    </r>
    <r>
      <rPr>
        <sz val="11"/>
        <rFont val="Calibri Light"/>
        <family val="2"/>
      </rPr>
      <t xml:space="preserve">                                                                                                               Mureta div. Cozinha - 5,15ml   
11un de Pilar (0,30x0,15) =  14,85m²
</t>
    </r>
    <r>
      <rPr>
        <sz val="11"/>
        <color rgb="FFFF0000"/>
        <rFont val="Calibri Light"/>
        <family val="2"/>
      </rPr>
      <t xml:space="preserve">H=1,20ml               </t>
    </r>
    <r>
      <rPr>
        <sz val="11"/>
        <rFont val="Calibri Light"/>
        <family val="2"/>
      </rPr>
      <t xml:space="preserve">                                                                                       Parede externa da cozinha de frente para o Refeitório - 14,50ml (-) 1P2, 2J7
</t>
    </r>
  </si>
  <si>
    <r>
      <rPr>
        <sz val="11"/>
        <color rgb="FFFF0000"/>
        <rFont val="Calibri Light"/>
        <family val="2"/>
      </rPr>
      <t xml:space="preserve">H=3,80ml (Pé direito)  </t>
    </r>
    <r>
      <rPr>
        <sz val="11"/>
        <rFont val="Calibri Light"/>
        <family val="2"/>
      </rPr>
      <t xml:space="preserve">                                                                                        DML - 8,70ml (-) 1P2, 1J6                                                                                   Triagem - 16,90ml (-) 2P2, 2J4                                                                        Desp. Alimentos - 12,90ml (-) 1P2, 1J4                                                        Desp. Utensil. - 12,90ml (-) 1P2, 1J4                                                             Wc Fem/Masc. - 8,00ml x 2un  (-) 2J6, 2P7                                                 Cozinha - 30,38ml (-) 6P2, 2J6, 2J4, 2J7    
Circulação/A. Serviço - 16,40ml (-) 4P2, 1J4, 2J6, 2P7                                                                                                                                                                 </t>
    </r>
    <r>
      <rPr>
        <sz val="11"/>
        <color rgb="FFFF0000"/>
        <rFont val="Calibri Light"/>
        <family val="2"/>
      </rPr>
      <t xml:space="preserve">H=1,50ml   </t>
    </r>
    <r>
      <rPr>
        <sz val="11"/>
        <rFont val="Calibri Light"/>
        <family val="2"/>
      </rPr>
      <t xml:space="preserve">                                                                                                              Mureta div. Cozinha - 5,15m
11un de Pilar (0,30x0,15) =  14,85m²
H=1,20ml                                                                                                       Parede externa da cozinha de frente para o Refeitório - 14,50ml (-) 1P2, 2J7</t>
    </r>
  </si>
  <si>
    <t>29.0</t>
  </si>
  <si>
    <t>29.1</t>
  </si>
  <si>
    <t>29.2</t>
  </si>
  <si>
    <t>29.3</t>
  </si>
  <si>
    <t>29.4</t>
  </si>
  <si>
    <t>29.5</t>
  </si>
  <si>
    <t>31.2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</si>
  <si>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</si>
  <si>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</si>
  <si>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</si>
  <si>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</si>
  <si>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</si>
  <si>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</si>
  <si>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</si>
  <si>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</si>
  <si>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</si>
  <si>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</si>
  <si>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</si>
  <si>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</si>
  <si>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</si>
  <si>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</si>
  <si>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</si>
  <si>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</si>
  <si>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36.7</t>
  </si>
  <si>
    <t>38.5</t>
  </si>
  <si>
    <t>38.6</t>
  </si>
  <si>
    <t>41.4</t>
  </si>
  <si>
    <t>41.5</t>
  </si>
  <si>
    <t>41.6</t>
  </si>
  <si>
    <t>42.7</t>
  </si>
  <si>
    <t>42.8</t>
  </si>
  <si>
    <t>42.9</t>
  </si>
  <si>
    <t>42.10</t>
  </si>
  <si>
    <t>42.11</t>
  </si>
  <si>
    <t>42.12</t>
  </si>
  <si>
    <t>44.3</t>
  </si>
  <si>
    <t>44.4</t>
  </si>
  <si>
    <t>44.5</t>
  </si>
  <si>
    <t>44.6</t>
  </si>
  <si>
    <t>44.7</t>
  </si>
  <si>
    <t>44.8</t>
  </si>
  <si>
    <t>44.9</t>
  </si>
  <si>
    <t>44.10</t>
  </si>
  <si>
    <t>44.11</t>
  </si>
  <si>
    <t>46.2</t>
  </si>
  <si>
    <t>46.3</t>
  </si>
  <si>
    <t>46.4</t>
  </si>
  <si>
    <t>47.8</t>
  </si>
  <si>
    <t>47.9</t>
  </si>
  <si>
    <t>47.10</t>
  </si>
  <si>
    <t>47.11</t>
  </si>
  <si>
    <t>47.12</t>
  </si>
  <si>
    <t>47.13</t>
  </si>
  <si>
    <t>47.14</t>
  </si>
  <si>
    <t>47.15</t>
  </si>
  <si>
    <t>50.2</t>
  </si>
  <si>
    <t>50.3</t>
  </si>
  <si>
    <t>50.4</t>
  </si>
  <si>
    <t>50.5</t>
  </si>
  <si>
    <t>50.6</t>
  </si>
  <si>
    <t>50.7</t>
  </si>
  <si>
    <t>50.8</t>
  </si>
  <si>
    <t>50.9</t>
  </si>
  <si>
    <t>50.10</t>
  </si>
  <si>
    <t>50.11</t>
  </si>
  <si>
    <t>50.12</t>
  </si>
  <si>
    <t>50.13</t>
  </si>
  <si>
    <t>50.14</t>
  </si>
  <si>
    <t>50.15</t>
  </si>
  <si>
    <t>51.16</t>
  </si>
  <si>
    <t>51.17</t>
  </si>
  <si>
    <t>51.18</t>
  </si>
  <si>
    <t>51.19</t>
  </si>
  <si>
    <t>51.20</t>
  </si>
  <si>
    <t>51.21</t>
  </si>
  <si>
    <t>51.22</t>
  </si>
  <si>
    <t>51.23</t>
  </si>
  <si>
    <t>51.24</t>
  </si>
  <si>
    <t>51.26</t>
  </si>
  <si>
    <t>51.27</t>
  </si>
  <si>
    <t>51.28</t>
  </si>
  <si>
    <t>51.29</t>
  </si>
  <si>
    <t>51.30</t>
  </si>
  <si>
    <t>51.31</t>
  </si>
  <si>
    <t>51.32</t>
  </si>
  <si>
    <t>51.34</t>
  </si>
  <si>
    <t>51.35</t>
  </si>
  <si>
    <t>51.36</t>
  </si>
  <si>
    <t>51.37</t>
  </si>
  <si>
    <t>51.38</t>
  </si>
  <si>
    <t>51.39</t>
  </si>
  <si>
    <t>51.40</t>
  </si>
  <si>
    <t>51.41</t>
  </si>
  <si>
    <t>51.42</t>
  </si>
  <si>
    <t>51.43</t>
  </si>
  <si>
    <t>51.44</t>
  </si>
  <si>
    <t>51.46</t>
  </si>
  <si>
    <t>51.47</t>
  </si>
  <si>
    <t>51.48</t>
  </si>
  <si>
    <t>51.49</t>
  </si>
  <si>
    <t>53.4</t>
  </si>
  <si>
    <t>53.5</t>
  </si>
  <si>
    <t>53.6</t>
  </si>
  <si>
    <t>53.7</t>
  </si>
  <si>
    <t>57.3</t>
  </si>
  <si>
    <t>57.4</t>
  </si>
  <si>
    <t>57.5</t>
  </si>
  <si>
    <t>57.6</t>
  </si>
  <si>
    <t>59.7</t>
  </si>
  <si>
    <t>59.8</t>
  </si>
  <si>
    <t>59.9</t>
  </si>
  <si>
    <t>60.11</t>
  </si>
  <si>
    <t>60.12</t>
  </si>
  <si>
    <t>60.13</t>
  </si>
  <si>
    <t>60.14</t>
  </si>
  <si>
    <t>60.15</t>
  </si>
  <si>
    <t>60.16</t>
  </si>
  <si>
    <t>60.17</t>
  </si>
  <si>
    <t>60.18</t>
  </si>
  <si>
    <t>60.19</t>
  </si>
  <si>
    <t>60.20</t>
  </si>
  <si>
    <t>60.21</t>
  </si>
  <si>
    <t>60.22</t>
  </si>
  <si>
    <t>60.23</t>
  </si>
  <si>
    <t>60.24</t>
  </si>
  <si>
    <t>60.25</t>
  </si>
  <si>
    <t>60.26</t>
  </si>
  <si>
    <t>60.27</t>
  </si>
  <si>
    <t>60.28</t>
  </si>
  <si>
    <t>63.5</t>
  </si>
  <si>
    <t>63.6</t>
  </si>
  <si>
    <t>63.7</t>
  </si>
  <si>
    <t>63.8</t>
  </si>
  <si>
    <t>63.9</t>
  </si>
  <si>
    <t>63.10</t>
  </si>
  <si>
    <t>63.11</t>
  </si>
  <si>
    <t>63.12</t>
  </si>
  <si>
    <t>63.13</t>
  </si>
  <si>
    <t>63.14</t>
  </si>
  <si>
    <t>64.15</t>
  </si>
  <si>
    <t>65.16</t>
  </si>
  <si>
    <t>65.17</t>
  </si>
  <si>
    <t>65.18</t>
  </si>
  <si>
    <t>65.19</t>
  </si>
  <si>
    <t>65.20</t>
  </si>
  <si>
    <t>65.21</t>
  </si>
  <si>
    <t>65.22</t>
  </si>
  <si>
    <t>65.23</t>
  </si>
  <si>
    <t>65.24</t>
  </si>
  <si>
    <t>65.25</t>
  </si>
  <si>
    <t>65.26</t>
  </si>
  <si>
    <t>65.27</t>
  </si>
  <si>
    <t>65.28</t>
  </si>
  <si>
    <t>65.29</t>
  </si>
  <si>
    <t>65.30</t>
  </si>
  <si>
    <t>65.31</t>
  </si>
  <si>
    <t>65.32</t>
  </si>
  <si>
    <t>65.33</t>
  </si>
  <si>
    <t>65.34</t>
  </si>
  <si>
    <t>65.35</t>
  </si>
  <si>
    <t>65.36</t>
  </si>
  <si>
    <t>65.37</t>
  </si>
  <si>
    <t>65.38</t>
  </si>
  <si>
    <t>65.39</t>
  </si>
  <si>
    <t>65.40</t>
  </si>
  <si>
    <t>65.41</t>
  </si>
  <si>
    <t>65.42</t>
  </si>
  <si>
    <t>65.43</t>
  </si>
  <si>
    <t>65.44</t>
  </si>
  <si>
    <t>65.45</t>
  </si>
  <si>
    <t>65.46</t>
  </si>
  <si>
    <t>65.47</t>
  </si>
  <si>
    <t>65.48</t>
  </si>
  <si>
    <t>65.49</t>
  </si>
  <si>
    <t>65.50</t>
  </si>
  <si>
    <t>65.51</t>
  </si>
  <si>
    <t>65.52</t>
  </si>
  <si>
    <t>65.53</t>
  </si>
  <si>
    <t>65.54</t>
  </si>
  <si>
    <t>65.55</t>
  </si>
  <si>
    <t>65.56</t>
  </si>
  <si>
    <t>65.57</t>
  </si>
  <si>
    <t>65.58</t>
  </si>
  <si>
    <t>65.59</t>
  </si>
  <si>
    <t>69.3</t>
  </si>
  <si>
    <t>69.4</t>
  </si>
  <si>
    <t>69.5</t>
  </si>
  <si>
    <t>69.6</t>
  </si>
  <si>
    <t>69.7</t>
  </si>
  <si>
    <t>69.8</t>
  </si>
  <si>
    <t>69.9</t>
  </si>
  <si>
    <t>69.10</t>
  </si>
  <si>
    <t>69.11</t>
  </si>
  <si>
    <t>70.12</t>
  </si>
  <si>
    <t>70.13</t>
  </si>
  <si>
    <t>70.14</t>
  </si>
  <si>
    <t>70.15</t>
  </si>
  <si>
    <t>70.16</t>
  </si>
  <si>
    <t>70.17</t>
  </si>
  <si>
    <t>70.18</t>
  </si>
  <si>
    <t>70.19</t>
  </si>
  <si>
    <t>70.20</t>
  </si>
  <si>
    <t>70.21</t>
  </si>
  <si>
    <t>70.22</t>
  </si>
  <si>
    <t>70.23</t>
  </si>
  <si>
    <t>70.24</t>
  </si>
  <si>
    <t>70.25</t>
  </si>
  <si>
    <t>70.26</t>
  </si>
  <si>
    <t>70.27</t>
  </si>
  <si>
    <t>70.28</t>
  </si>
  <si>
    <t>70.29</t>
  </si>
  <si>
    <t>70.30</t>
  </si>
  <si>
    <t>70.31</t>
  </si>
  <si>
    <t>Detalhe Fachada Frontal e Lateral Direita - Faixa de 1,40ml de largura x 13,30ml    (-) Cobogó
*COR PANTONE 308U - 15,58m²
*COR PANTONE 2758C - 17,78m²
*COR  PANTONE 3125U - 15,58m²
FAIXA LATERAL (ACESSO):
*COR PANTONE 308U - 11,10m² + Pilares de acesso 7unx 1,70x1,50+ Pilar de acesso 1un x 1,20*1,50
*COR PANTONE 2758C - 14,34m²
*COR  PANTONE 3125U - 11,10m²</t>
  </si>
  <si>
    <t>SDC02071</t>
  </si>
  <si>
    <t>BANCO ARTICULADO EM AÇO INOX PARA BANHEIROS PCD, DIM. 700X400MM</t>
  </si>
  <si>
    <t>SETOP ACE-BAN-015</t>
  </si>
  <si>
    <t>3682-4971</t>
  </si>
  <si>
    <t>05.273304/0001-46</t>
  </si>
  <si>
    <t>CNN INOX</t>
  </si>
  <si>
    <t>Banco articulado para banheiro PCD</t>
  </si>
  <si>
    <t>74093/001</t>
  </si>
  <si>
    <t>VALVULA PE COM CRIVO BRONZE 1.1/4" - FORNECIMENTO E INSTALACAO</t>
  </si>
  <si>
    <t>MISTURADOR MONOCOMANDO PARA CHUVEIRO, BASE BRUTA E ACABAMENTO CROMADO, FORNECIDO E INSTALADO EM RAMAL DE ÁGUA. AF_12/2014</t>
  </si>
  <si>
    <t>SDC03120</t>
  </si>
  <si>
    <t>ORSE 9477</t>
  </si>
  <si>
    <t>BARRAMENTO DE COBRE 100A</t>
  </si>
  <si>
    <t>SDC03121</t>
  </si>
  <si>
    <t>BARRAMENTO DE COBRE 250A</t>
  </si>
  <si>
    <t>SUPORTE GUIA SIMPLES COM ROLDANA EM POLIPROPILENO PARA CHUMBAR, H = 20 CM</t>
  </si>
  <si>
    <t>SDC07040</t>
  </si>
  <si>
    <t>ORSE 9045</t>
  </si>
  <si>
    <t>DUTO CORRUGADO FLEXÍVEL 1.1/2"</t>
  </si>
  <si>
    <t>SDC07041</t>
  </si>
  <si>
    <t>DUTO CORRUGADO FLEXÍVEL 1"</t>
  </si>
  <si>
    <t>SDC02094</t>
  </si>
  <si>
    <t>FORNECIMENTO E INSTALAÇÃO DE BOMBA TRIFÁSICA 5CV - 220/380</t>
  </si>
  <si>
    <t>SINAPI 83645</t>
  </si>
  <si>
    <t>MONTADOR ELETROMECÃNICO COM ENCARGOS COMPLEMENTARES</t>
  </si>
  <si>
    <t>BOMBA TRIFÁSICA 5CV - 220/380v</t>
  </si>
  <si>
    <t>SAMIRO</t>
  </si>
  <si>
    <t>AGROFERRAGENS LUIZÃO</t>
  </si>
  <si>
    <t>24.774.390/0001-15</t>
  </si>
  <si>
    <t>JOSÉ</t>
  </si>
  <si>
    <t>CASA DAS BOMBAS</t>
  </si>
  <si>
    <t>30.089.924/0001-77</t>
  </si>
  <si>
    <t>RENAN</t>
  </si>
  <si>
    <t>01.184.625/0002-02</t>
  </si>
  <si>
    <t xml:space="preserve">Placa tatil aluminio </t>
  </si>
  <si>
    <t xml:space="preserve">Placa em blaille para corrimao </t>
  </si>
  <si>
    <t>Placa tatil em acrilico fundo preto letra branca</t>
  </si>
  <si>
    <t xml:space="preserve">placa tatil em acrilico com letra em vinil  fundo preto e letra branca </t>
  </si>
  <si>
    <t>Placa tatil em acrilico fundo branco letra preto</t>
  </si>
  <si>
    <t xml:space="preserve">Placa tatil em acrilico com letras alto relevo em braille, fundo branco e letra preto </t>
  </si>
  <si>
    <t xml:space="preserve">Placa tátil em acrilico fundo branco letra preto </t>
  </si>
  <si>
    <t xml:space="preserve">Placa em acrilico com letra vinil, fundo branco e letra preto </t>
  </si>
  <si>
    <t>SDC03125</t>
  </si>
  <si>
    <t>Calçada de concreto área de passeio</t>
  </si>
  <si>
    <t>SDC04044</t>
  </si>
  <si>
    <t>FORNECIMENTO E INSTALAÇÃO DE BIBICLETARIO METALICO, CONFORME PROJERO PADRÃO SEDUC</t>
  </si>
  <si>
    <t>BICICLETARIO PARA 12 BICICLETAS, EM AÇO, INCLUSIVE PINTURA ANTICORROSIVA E SINTETICA</t>
  </si>
  <si>
    <t>SERRALHERIA E METALURGICA JESUS</t>
  </si>
  <si>
    <t>20.628.070/0001-42</t>
  </si>
  <si>
    <t>VALDECI</t>
  </si>
  <si>
    <t>CENTRO AÇO</t>
  </si>
  <si>
    <t>METALURGICA BRASFFER</t>
  </si>
  <si>
    <t>17.995.677/0001-00</t>
  </si>
  <si>
    <t>SDC01076</t>
  </si>
  <si>
    <t>ORSE 10073</t>
  </si>
  <si>
    <t>FORMA TABUA P/ CONCRETO EM FUNDACAO C/ REAPROVEITAMENTO 10 X.</t>
  </si>
  <si>
    <t>LASTRO DE CONCRETO, PREPARO MECÂNICO, INCLUSOS ADITIVO IMPERMEABILIZANTE, LANÇAMENTO E ADENSAMENTO</t>
  </si>
  <si>
    <t>ALVENARIA DE VEDAÇÃO DE BLOCOS CERÂMICOS FURADOS NA HORIZONTAL DE 9X14X19CM (ESPESSURA 9CM) DE PAREDES COM ÁREA LÍQUIDA MENOR QUE 6M² COM VÃOS E ARGAMASSA DE ASSENTAMENTO COM PREPARO EM BETONEIRA. AF_06/2014</t>
  </si>
  <si>
    <t>GRADE DE FERRO EM BARRA CHATA 3/16"</t>
  </si>
  <si>
    <t>1130429886</t>
  </si>
  <si>
    <t>TOTAL ACESSIBILIDADE</t>
  </si>
  <si>
    <t>12.127.024/0001-95</t>
  </si>
  <si>
    <t>SDC04060</t>
  </si>
  <si>
    <t>MAPA TATIL 85X45 COM PÉ EM TUBO METÁLICO</t>
  </si>
  <si>
    <t>ORSE 10563</t>
  </si>
  <si>
    <t>ALINE</t>
  </si>
  <si>
    <t>67 4042-1953</t>
  </si>
  <si>
    <t>Calçada =235*0,25 = 58,75m (235 PEÇAS)</t>
  </si>
  <si>
    <t>INSTALAÇÕES ELÉTRICAS, LÓGICA E SPDA</t>
  </si>
  <si>
    <t>Rede Lógica e Telefônica</t>
  </si>
  <si>
    <t>RESPONSÁVEL TÉCNICO</t>
  </si>
  <si>
    <t>Ivan Montezano Junior</t>
  </si>
  <si>
    <t>REVISÃO</t>
  </si>
  <si>
    <t>instalações de rede lógica</t>
  </si>
  <si>
    <t>DATA</t>
  </si>
  <si>
    <t>Lógica e Telefonia</t>
  </si>
  <si>
    <t>Eletroduto PVC flexível 3/4"</t>
  </si>
  <si>
    <t>Eletroduto PVC rígido 3/4"</t>
  </si>
  <si>
    <t>Eletroduto PVC rígido 1"</t>
  </si>
  <si>
    <t>1.16</t>
  </si>
  <si>
    <t>Eletroduto PEAD 1"</t>
  </si>
  <si>
    <t>1.17</t>
  </si>
  <si>
    <t>Condulete metálico para eletroduto 3/4" com tampa e adaptador para RJ45</t>
  </si>
  <si>
    <t>1.18</t>
  </si>
  <si>
    <t>Caixa metálica 4x2"</t>
  </si>
  <si>
    <t>1.22</t>
  </si>
  <si>
    <t>Quadro padrão telebrás para telefonia</t>
  </si>
  <si>
    <t>ELETRODUTO FLEXÍVEL CORRUGADO, PVC, DN 25 MM (3/4"), PARA CIRCUITOS TERMINAIS, INSTALADO EM LAJE - FORNECIMENTO E INSTALAÇÃO. AF_12/2015</t>
  </si>
  <si>
    <t>65.60</t>
  </si>
  <si>
    <t>65.61</t>
  </si>
  <si>
    <t>65.62</t>
  </si>
  <si>
    <t>65.63</t>
  </si>
  <si>
    <t>65.64</t>
  </si>
  <si>
    <t>2.13</t>
  </si>
  <si>
    <t xml:space="preserve">Triagem: 14,87m²  
WC funcionarios fem: 3,75m² 
WC funcionario masc: 3,75m² 
Cozinha: 48,90m² 
Circulação: 26,06m²       
DML: 3,87m²
Desp. Alimentos: 9,54m²
Desp. Utensilios: 9,54m²                                                                                                                                                                                                                                </t>
  </si>
  <si>
    <t>Mão francesa para as bancadas dos Depósitos:
Desp. Alimentos: 5 um x 3 prateleiras 
Desp. Utensilios: 3un x 3 prateleiras</t>
  </si>
  <si>
    <t>29.6</t>
  </si>
  <si>
    <t>0,55 X 0,45 = 0,247M² x 6 UNIDADES</t>
  </si>
  <si>
    <t>Logo ACM</t>
  </si>
  <si>
    <t>Letra caixa h=0,70cm
Escrita em 2 fachadas: ESCOLA ESTADUAL MARIO DE CASTRO</t>
  </si>
  <si>
    <t xml:space="preserve">gradil com mureta h = 40cm </t>
  </si>
  <si>
    <t>Perimetro do gradil  290,67- vãos dos portões 12,90</t>
  </si>
  <si>
    <t>portão do gradil</t>
  </si>
  <si>
    <t xml:space="preserve">guarda- corpo e corrimão da rampa </t>
  </si>
  <si>
    <t>Guarda- corpor e corrimao de aluminio na rampa 5,76+5,28m</t>
  </si>
  <si>
    <t>LOCACAO DE ANDAIME METALICO TUBULAR TIPO TORRE</t>
  </si>
  <si>
    <t>52.4</t>
  </si>
  <si>
    <t>52.5</t>
  </si>
  <si>
    <t>*Parede em frente ao vestiario: 60,50m²
*Fachada Frontal: 60,50m²
*Parede lateral (arquibancada): 105,60m²
*Parede lateral acesso: 6,00ml x 2,20ml x 08un</t>
  </si>
  <si>
    <r>
      <rPr>
        <sz val="11"/>
        <color rgb="FFFF0000"/>
        <rFont val="Calibri Light"/>
        <family val="2"/>
      </rPr>
      <t>Vestiário:</t>
    </r>
    <r>
      <rPr>
        <sz val="11"/>
        <rFont val="Calibri Light"/>
        <family val="2"/>
      </rPr>
      <t xml:space="preserve">
Parede  Laterais+ Fundo: 22,95ml x 3,35 altura (-) 2J2
</t>
    </r>
    <r>
      <rPr>
        <sz val="11"/>
        <color rgb="FFFF0000"/>
        <rFont val="Calibri Light"/>
        <family val="2"/>
      </rPr>
      <t>Quadra:</t>
    </r>
    <r>
      <rPr>
        <sz val="11"/>
        <rFont val="Calibri Light"/>
        <family val="2"/>
      </rPr>
      <t xml:space="preserve">
</t>
    </r>
    <r>
      <rPr>
        <sz val="11"/>
        <color rgb="FFFF0000"/>
        <rFont val="Calibri Light"/>
        <family val="2"/>
      </rPr>
      <t>Fechamento 4 lados com desconto de brises e cobogó x 1 lado (externo)</t>
    </r>
    <r>
      <rPr>
        <sz val="11"/>
        <rFont val="Calibri Light"/>
        <family val="2"/>
      </rPr>
      <t xml:space="preserve">
*Parede em frente ao vestiário - 30,00ml x 13,30ml (-) Cobogó 60,50m² + 18,42m²x2un (-) parede vestiario 69,83m²
*Parede Lateral Esq. (arquibancada) - 50,25ml x 13,30ml (-) Cobogó 105,60m²
* Fachada - 399,00m² (-) Cobogó 60,50m²
*Parede Lateral Direita (Acesso) - 503,00m² (-) Cobogó 105,60m² 
*Pilares de acesso 9unx 1,70x1,70</t>
    </r>
  </si>
  <si>
    <r>
      <rPr>
        <sz val="11"/>
        <color rgb="FFFF0000"/>
        <rFont val="Calibri Light"/>
        <family val="2"/>
      </rPr>
      <t>Quadra: H=13,30ml</t>
    </r>
    <r>
      <rPr>
        <sz val="11"/>
        <rFont val="Calibri Light"/>
        <family val="2"/>
      </rPr>
      <t xml:space="preserve">
</t>
    </r>
    <r>
      <rPr>
        <sz val="11"/>
        <color rgb="FFFF0000"/>
        <rFont val="Calibri Light"/>
        <family val="2"/>
      </rPr>
      <t xml:space="preserve">Fechamento 4 lados com desconto de brises e cobogó </t>
    </r>
    <r>
      <rPr>
        <sz val="11"/>
        <rFont val="Calibri Light"/>
        <family val="2"/>
      </rPr>
      <t xml:space="preserve">
*Parede em frente ao vestiário - 30,00ml x 13,30ml (- )abertura de acesso 3,00x2,50 e Cobogó 60,50m²
*Parede Lateral Esq. (arquibancada) - 50,25ml x 13,30ml (-) Cobogó 105,60 e arquibancada 56,70m² 
* Fachada - 399,00m² (-) Cobogó 60,50m²
*Parede Lateral Direita (Acesso) - 503,00m² (-) Cobogó 105,60m²
</t>
    </r>
    <r>
      <rPr>
        <sz val="11"/>
        <color rgb="FFFF0000"/>
        <rFont val="Calibri Light"/>
        <family val="2"/>
      </rPr>
      <t>Laje:</t>
    </r>
    <r>
      <rPr>
        <sz val="11"/>
        <rFont val="Calibri Light"/>
        <family val="2"/>
      </rPr>
      <t xml:space="preserve">
Vestiarios F/M: 17,86m² x 2
Vestiarios M/F PCD: 5,49m² x 2
Circulação: 6,56m²</t>
    </r>
  </si>
  <si>
    <t>CHAVE DE BOIA AUTOMÁTICA SUPERIOR 10A/250V - FORNECIMENTO E INSTALACAO</t>
  </si>
  <si>
    <t>TORNEIRA DE BÓIA REAL, ROSCÁVEL, 3/4", FORNECIDA E INSTALADA EM RESERVAÇÃO DE ÁGUA. AF_06/2016</t>
  </si>
  <si>
    <t>CHAVE DE BOIA AUTOMÁTICA SUPERIOR 10A/250V</t>
  </si>
  <si>
    <t>TORNEIRA DE BÓIA REAL, ROSCÁVEL, 3/4"</t>
  </si>
  <si>
    <t>SDC04061</t>
  </si>
  <si>
    <t>FORNECIMENTO E PLANTIO DE PIRIQUITÃO</t>
  </si>
  <si>
    <t>ORSE 3322</t>
  </si>
  <si>
    <t>PERIQUITÃO</t>
  </si>
  <si>
    <t>3627-2410</t>
  </si>
  <si>
    <t>11.057.057/0001-43</t>
  </si>
  <si>
    <t>15.844.241/0001-94</t>
  </si>
  <si>
    <t>3624-1432</t>
  </si>
  <si>
    <t>Florais Paisagismo</t>
  </si>
  <si>
    <t>19.489.049/0001-88</t>
  </si>
  <si>
    <t>TERRA VEGETAL (GRANEL)</t>
  </si>
  <si>
    <t>FERTILIZANTE NPK - 10:10:10</t>
  </si>
  <si>
    <t>CALCARIO DOLOMITICO A (POSTO PEDREIRA/FORNECEDOR, SEM FRETE)</t>
  </si>
  <si>
    <t>COMPOSIÇÃO DA PARCELA DE BDI (BONIFICAÇÕES E DESPESA INDIRETAS)</t>
  </si>
  <si>
    <t>ITENS RELATIVOS À ADMINISTRAÇÃO CENTRAL</t>
  </si>
  <si>
    <t>% SOBRE PV</t>
  </si>
  <si>
    <t>LUCRO</t>
  </si>
  <si>
    <t>BDI SEM IMPOSTOS</t>
  </si>
  <si>
    <t>TAXAS E IMPOSTOS</t>
  </si>
  <si>
    <t>0,80% de PV</t>
  </si>
  <si>
    <t>BDI COM IMPOSTOS</t>
  </si>
  <si>
    <r>
      <rPr>
        <b/>
        <i/>
        <sz val="8"/>
        <color indexed="8"/>
        <rFont val="Calibri Light"/>
        <family val="2"/>
      </rPr>
      <t xml:space="preserve">PV </t>
    </r>
    <r>
      <rPr>
        <i/>
        <sz val="8"/>
        <color indexed="8"/>
        <rFont val="Calibri Light"/>
        <family val="2"/>
      </rPr>
      <t>= Preço de Venda</t>
    </r>
  </si>
  <si>
    <t>FORNECIMENTO DE TOTEM EM CONCRETO ARMADO DE ACORDO COM MODELO DA SEDUC, DIMENSÕES 260X110X15CM, INCLUSIVE PLACA EM AÇO INOX</t>
  </si>
  <si>
    <t>C.R SANTOS</t>
  </si>
  <si>
    <t>ENGENHARIA E CONSTRUTORA EIRELI</t>
  </si>
  <si>
    <t>Área de pintura = área da porta*qtd de portas*coeficiente de pintura de porta
gurada corpo e corrimão: 6,55 m2
P2 = (1,89*4)*2=15,02m2
P3 = (1,89*21)*2=79,38m2
P4 = (1,89*2)*2=7,56m2                                                                              P7=(1,68*6)*2=20,16
TOTAL =  128,67m2</t>
  </si>
  <si>
    <t>SDC01096</t>
  </si>
  <si>
    <t>SOLEIRA DE GRANITO BRANCO ITAÚNA, LARGURA 15CM, ESPESSURA 3CM, ASSENTADA SOBRE ARGAMASSA TRACO 1:4 (CIMENTO E AREIA)</t>
  </si>
  <si>
    <t>ARGAMASSA TRAÇO 1:4 (CIMENTO E AREIA MÉDIA) PARA CONTRAPISO, PREPARO MANUAL. AF_06/2014</t>
  </si>
  <si>
    <t>LUMINÁRIA LED, 150W, PARA ILUMINAÇÃO PÚBLICA</t>
  </si>
  <si>
    <r>
      <rPr>
        <sz val="11"/>
        <color rgb="FFFF0000"/>
        <rFont val="Calibri Light"/>
        <family val="2"/>
      </rPr>
      <t>Paredes  H=1,10cm
Interno:</t>
    </r>
    <r>
      <rPr>
        <sz val="11"/>
        <rFont val="Calibri Light"/>
        <family val="2"/>
      </rPr>
      <t xml:space="preserve">
Triagem de Alimentos:  16,90ml x  1,10 (-) 1,98m² 
Área do Tanque:/ 3,35mlx1,10ml
WC funcionarios fem: 8,00ml x 1,10 (-) 0,88m²
WC funcionario masc: /  8,00ml x 1,10 (-) 0,88m²
Cozinha: 30,80ml x 1,10 (-) 5,94m²
</t>
    </r>
    <r>
      <rPr>
        <sz val="11"/>
        <color rgb="FFFF0000"/>
        <rFont val="Calibri Light"/>
        <family val="2"/>
      </rPr>
      <t xml:space="preserve">Externo:
Áreas acima externa:
</t>
    </r>
    <r>
      <rPr>
        <sz val="11"/>
        <rFont val="Calibri Light"/>
        <family val="2"/>
      </rPr>
      <t>55,30ml x 1,10ml (-) 4P2,2P7 = 60,83m² (-) 5,72m² = 55,11m²</t>
    </r>
  </si>
  <si>
    <r>
      <t>*Área da Alvenaria x 2</t>
    </r>
    <r>
      <rPr>
        <b/>
        <sz val="11"/>
        <rFont val="Calibri Light"/>
        <family val="2"/>
      </rPr>
      <t xml:space="preserve"> </t>
    </r>
    <r>
      <rPr>
        <sz val="11"/>
        <rFont val="Calibri Light"/>
        <family val="2"/>
      </rPr>
      <t>lados (-) Chapisco interno Cozinha acima da laje 21,90m² x 2 lados</t>
    </r>
    <r>
      <rPr>
        <b/>
        <sz val="11"/>
        <rFont val="Calibri Light"/>
        <family val="2"/>
      </rPr>
      <t xml:space="preserve">
</t>
    </r>
    <r>
      <rPr>
        <sz val="11"/>
        <rFont val="Calibri Light"/>
        <family val="2"/>
      </rPr>
      <t>*Pilares do Refeitorio (15x30): 11un x 3,90ml pé direito</t>
    </r>
  </si>
  <si>
    <r>
      <rPr>
        <sz val="11"/>
        <color rgb="FFFF0000"/>
        <rFont val="Calibri Light"/>
        <family val="2"/>
      </rPr>
      <t>Laje</t>
    </r>
    <r>
      <rPr>
        <sz val="11"/>
        <rFont val="Calibri Light"/>
        <family val="2"/>
      </rPr>
      <t xml:space="preserve">
Triagem: 14,87m²  
WC funcionarios fem: 3,75m² 
WC funcionario masc: 3,75m² 
Cozinha: 48,90m² 
Circulação: 26,06m²       
DML: 3,87m²
Desp. Alimentos: 9,54m²
Desp. Utensilios: 9,54m²                                                                              </t>
    </r>
  </si>
  <si>
    <t xml:space="preserve">Triagem: 14,87m²  
WC funcionarios fem: 3,75m² 
WC funcionario masc: 3,75m² 
Cozinha: 48,90m² 
Circulação: 26,06m²       
DML: 3,87m²
Desp. Alimentos: 9,54m²
Desp. Utensilios: 9,54m²  </t>
  </si>
  <si>
    <t>POSTE DE ACO CONICO CONTINUO CURVO DUPLO, FLANGEADO, COM JANELA DE INSPECAO H=9M</t>
  </si>
  <si>
    <t>65.65</t>
  </si>
  <si>
    <r>
      <rPr>
        <sz val="11"/>
        <color rgb="FFFF0000"/>
        <rFont val="Calibri Light"/>
        <family val="2"/>
      </rPr>
      <t>Paredes  H=1,10cm
Interno:</t>
    </r>
    <r>
      <rPr>
        <sz val="11"/>
        <rFont val="Calibri Light"/>
        <family val="2"/>
      </rPr>
      <t xml:space="preserve">
Vestiário Fem: 17,00ml x 1,10ml altura (-) 1P2 = 17,71m²
Vestiário Fem PCD: 9,60 x 1,10ml (-) 1P4 = 9,57m²
Vestiário Masc: 17,00ml x 1,10ml altura (-) 1P2 = 17,71m²
Vestiário Masc PCD: 9,60 x 1,10ml (-) 1P4 = 9,57m²
</t>
    </r>
    <r>
      <rPr>
        <sz val="11"/>
        <color rgb="FFFF0000"/>
        <rFont val="Calibri Light"/>
        <family val="2"/>
      </rPr>
      <t>Externo:</t>
    </r>
    <r>
      <rPr>
        <sz val="11"/>
        <rFont val="Calibri Light"/>
        <family val="2"/>
      </rPr>
      <t xml:space="preserve">
Perede contorno áreas acima e quadra = 217,84 x 1,10 = 239,62m²</t>
    </r>
  </si>
  <si>
    <r>
      <rPr>
        <sz val="11"/>
        <color rgb="FFFF0000"/>
        <rFont val="Calibri Light"/>
        <family val="2"/>
      </rPr>
      <t>Vestiário:</t>
    </r>
    <r>
      <rPr>
        <sz val="11"/>
        <rFont val="Calibri Light"/>
        <family val="2"/>
      </rPr>
      <t xml:space="preserve">
37,65ml x 3,35 altura (-)2P2, 2P4, 2J2, 2J9
</t>
    </r>
    <r>
      <rPr>
        <sz val="11"/>
        <color rgb="FFFF0000"/>
        <rFont val="Calibri Light"/>
        <family val="2"/>
      </rPr>
      <t xml:space="preserve">Quadra: H=13,30ml
</t>
    </r>
    <r>
      <rPr>
        <sz val="11"/>
        <rFont val="Calibri Light"/>
        <family val="2"/>
      </rPr>
      <t>*Parede em frente ao vestiário - 30,00ml x 13,30ml (-)abertura de acesso 3,00x2,50, Cobogó 5unx5,55compx2,20alturax2lados= 399m²(-) 7,5m²+60,50m²
*Parede Lateral Esq. (arquibancada) - 50,25ml x 13,30ml (-) Cobogó 105,60m²
* Fachada - 399,00m² (-) Cobogó 60,50m²
*Parede Lateral Direita (Acesso) - 503,00m² (-) Cobogó 105,60m²</t>
    </r>
  </si>
  <si>
    <t>FORNECIMENTO E INSTALAÇÃO DE PORTA METÁLICA, 80X2,10M, CHAPA LISA Nº18, INCLUSIVE FECHADURA TIPO TRINCO ROLETE E GUARNIÇÕES - CONFORME ESPECIFICAÇÃO TÉCNICA SEDUC</t>
  </si>
  <si>
    <t>MILCA</t>
  </si>
  <si>
    <t>3317-5000</t>
  </si>
  <si>
    <t>MOINHO</t>
  </si>
  <si>
    <t>DRENO DOS CONDICIONADORES DE AR E DRENAGEM PLUVIAL</t>
  </si>
  <si>
    <t>SDC02079</t>
  </si>
  <si>
    <t>SINAPI 86943</t>
  </si>
  <si>
    <t>LAVATÓRIO LOUÇA BRANCA SUSPENSO, 29,5 X 39CM OU EQUIVALENTE, PADRÃO POPULAR - FORNECIMENTO E INSTALAÇÃO. AF_12/2013</t>
  </si>
  <si>
    <t>Fundo selador e massa acrílica em paredes externas</t>
  </si>
  <si>
    <t>portão 2 folhas = 3*(4,30) = 12,90m</t>
  </si>
  <si>
    <t>Placa em ACM com a logomarca do estado</t>
  </si>
  <si>
    <t>M3XKM</t>
  </si>
  <si>
    <t>M/MES</t>
  </si>
  <si>
    <t>SDC06007</t>
  </si>
  <si>
    <t>93207</t>
  </si>
  <si>
    <t>93208</t>
  </si>
  <si>
    <t>93210</t>
  </si>
  <si>
    <t>72897</t>
  </si>
  <si>
    <t>95302</t>
  </si>
  <si>
    <t>95135</t>
  </si>
  <si>
    <t>41598</t>
  </si>
  <si>
    <t>72915</t>
  </si>
  <si>
    <t>93358</t>
  </si>
  <si>
    <t>94097</t>
  </si>
  <si>
    <t>95241</t>
  </si>
  <si>
    <t>5970</t>
  </si>
  <si>
    <t>92874</t>
  </si>
  <si>
    <t>92410</t>
  </si>
  <si>
    <t>92718</t>
  </si>
  <si>
    <t>CONCRETAGEM DE PILARES, FCK = 25 MPA,  COM USO DE BALDES EM EDIFICAÇÃO COM SEÇÃO MÉDIA DE PILARES MENOR OU IGUAL A 0,25 M² - LANÇAMENTO, ADENSAMENTO E ACABAMENTO. AF_12/2015</t>
  </si>
  <si>
    <t>92775</t>
  </si>
  <si>
    <t>92777</t>
  </si>
  <si>
    <t>92778</t>
  </si>
  <si>
    <t>92779</t>
  </si>
  <si>
    <t>92780</t>
  </si>
  <si>
    <t>92447</t>
  </si>
  <si>
    <t>92776</t>
  </si>
  <si>
    <t>68053</t>
  </si>
  <si>
    <t>85662</t>
  </si>
  <si>
    <t>94216</t>
  </si>
  <si>
    <t>94228</t>
  </si>
  <si>
    <t>94231</t>
  </si>
  <si>
    <t>91341</t>
  </si>
  <si>
    <t>FORNECIMENTO E INSTALAÇÃO DE PORTA METÁLICA, 90X2,10M, CHAPA LISA Nº18, INCLUSIVE FECHADURA TIPO TRINCO ROLETE E GUARNIÇÕES - CONFORME ESPECIFICAÇÃO TÉCNICA SED</t>
  </si>
  <si>
    <t>94581</t>
  </si>
  <si>
    <t>89168</t>
  </si>
  <si>
    <t>93186</t>
  </si>
  <si>
    <t>93187</t>
  </si>
  <si>
    <t>93188</t>
  </si>
  <si>
    <t>93197</t>
  </si>
  <si>
    <t>93196</t>
  </si>
  <si>
    <t>87879</t>
  </si>
  <si>
    <t>CHAPISCO APLICADO EM ALVENARIAS E ESTRUTURAS DE CONCRETO INTERNAS, COM COLHER DE PEDREIRO.  ARGAMASSA TRAÇO 1:3 COM PREPARO EM BETONEIRA 400L. AF_06/2014</t>
  </si>
  <si>
    <t>87530</t>
  </si>
  <si>
    <t>87882</t>
  </si>
  <si>
    <t>90407</t>
  </si>
  <si>
    <t>89170</t>
  </si>
  <si>
    <t>REVESTIMENTO CERÂMICO PARA PAREDES INTERNAS EM PASTILHAS DE PORCELANA 5 X 5 CM (PLACAS DE 30 X 30 CM), ALINHADAS A PRUMO, APLICADO EM PANOS COM VÃOS</t>
  </si>
  <si>
    <t>87242</t>
  </si>
  <si>
    <t>83742</t>
  </si>
  <si>
    <t>87263</t>
  </si>
  <si>
    <t>88495</t>
  </si>
  <si>
    <t>APLICAÇÃO E LIXAMENTO DE MASSA LÁTEX EM PAREDES, UMA DEMÃO. AF_06/2014</t>
  </si>
  <si>
    <t>88487</t>
  </si>
  <si>
    <t>88496</t>
  </si>
  <si>
    <t>88488</t>
  </si>
  <si>
    <t>88485</t>
  </si>
  <si>
    <t>APLICAÇÃO E LIXAMENTO DE MASSA ACRILICA EM PAREDES, UMA DEMÃO</t>
  </si>
  <si>
    <t>88489</t>
  </si>
  <si>
    <t>FORRO DE PVC RÉGUA 100MM COM ESTRUTURA DE FIXAÇÃO DE MADEIRA</t>
  </si>
  <si>
    <t>FORNECIMENTO E INSTALAÇÃO DE PISO PODOTÁTIL, EM CONCRETO, 25x25CM, DIRECIONAL/ALERTA</t>
  </si>
  <si>
    <t>1169 unidades</t>
  </si>
  <si>
    <t>85005</t>
  </si>
  <si>
    <t>FORNECIMENTO E INSTALAÇÃO DE PLACA EM ACM, PARA LOGO DO GOVERNO, 2,50X2,50M, INCLUSIVE INSTALAÇÃO</t>
  </si>
  <si>
    <t>FORNECIMENTO E INSTALAÇÃO DE LETRA CAIXA 70 CM EM CHAPA GALVANIZADA PINTADA COM TINTA AUTOMOTIVA, PARA LETREIRO COM NOME DA INSTITUIÇÃO</t>
  </si>
  <si>
    <t>94994</t>
  </si>
  <si>
    <t>90808</t>
  </si>
  <si>
    <t>SDC01050</t>
  </si>
  <si>
    <t>ARMAÇÃO DE FUNDAÇÕES E ESTRUTURAS DE CONCRETO ARMADO, EXCETO VIGAS, PILARES E LAJES (DE EDIFÍCIOS DE MÚLTIPLOS PAVIMENTOS, EDIFICAÇÃO TÉRREA OU SOBRADO), UTILIZANDO AÇO CA-50 DE 16 MM - MONTAGEM</t>
  </si>
  <si>
    <t>92782</t>
  </si>
  <si>
    <t>89978</t>
  </si>
  <si>
    <t>88497</t>
  </si>
  <si>
    <t>79460</t>
  </si>
  <si>
    <t>PINTURA EPOXI, DUAS DEMAOS</t>
  </si>
  <si>
    <t>79467</t>
  </si>
  <si>
    <t>PINTURA COM TINTA A BASE DE BORRACHA CLORADA , DE FAIXAS DE DEMARCACAO, EM QUADRA POLIESPORTIVA, 5 CM DE LARGURA.</t>
  </si>
  <si>
    <t>ML</t>
  </si>
  <si>
    <t>85180</t>
  </si>
  <si>
    <t>FORNECIMENTO E PLANTIO DE PERIQUITÃO</t>
  </si>
  <si>
    <t>PLANTIO DE ARVORE REGIONAL, ALTURA MAIOR QUE 2,00M, EM CAVAS DE 80X80X80CM</t>
  </si>
  <si>
    <t>PLANTIO DE ARVORE, ALTURA DE 1,00M, EM CAVAS DE 80X80X80CM</t>
  </si>
  <si>
    <t>GRADE DE FERRO PADRÃO ESCOLA COM MURETA DE ALVENARIA H:0,40M E GRADIL EM BARRA CHATA COM 1,80M DE ALTURA, TOTALIZANDO  2,20M DE ALTURA</t>
  </si>
  <si>
    <t>94993</t>
  </si>
  <si>
    <t>94273</t>
  </si>
  <si>
    <t>84665</t>
  </si>
  <si>
    <t>92397</t>
  </si>
  <si>
    <t>94792</t>
  </si>
  <si>
    <t>94489</t>
  </si>
  <si>
    <t>REGISTRO DE ESFERA, PVC, SOLDÁVEL, DN  25 MM, INSTALADO EM RESERVAÇÃO DE ÁGUA DE EDIFICAÇÃO QUE POSSUA RESERVATÓRIO DE FIBRA/FIBROCIMENTO   FORNECIMENTO E INSTALAÇÃO. AF_06/2016</t>
  </si>
  <si>
    <t>VÁLVULA DE RETENÇÃO VERTICAL Ø 32MM (1.1/4") - FORNECIMENTO E INSTALAÇÃO</t>
  </si>
  <si>
    <t>89383</t>
  </si>
  <si>
    <t>89481</t>
  </si>
  <si>
    <t>89402</t>
  </si>
  <si>
    <t>90374</t>
  </si>
  <si>
    <t>94499</t>
  </si>
  <si>
    <t>94500</t>
  </si>
  <si>
    <t>94498</t>
  </si>
  <si>
    <t>89987</t>
  </si>
  <si>
    <t>89985</t>
  </si>
  <si>
    <t>94497</t>
  </si>
  <si>
    <t>89427</t>
  </si>
  <si>
    <t>LUVA COM BUCHA DE LATÃO, PVC, SOLDÁVEL, DN 25MM X 3/4, INSTALADO EM RAMAL DE DISTRIBUIÇÃO DE ÁGUA - FORNECIMENTO E INSTALAÇÃO. AF_12/2014</t>
  </si>
  <si>
    <t>89420</t>
  </si>
  <si>
    <t>94790</t>
  </si>
  <si>
    <t>ADAPTADOR COM FLANGES LIVRES, PVC, SOLDÁVEL LONGO, DN 85 MM X 3 , INSTALADO EM RESERVAÇÃO DE ÁGUA DE EDIFICAÇÃO QUE POSSUA RESERVATÓRIO DE FIBRA/FIBROCIMENTO   FORNECIMENTO E INSTALAÇÃO. AF_06/2016</t>
  </si>
  <si>
    <t>89376</t>
  </si>
  <si>
    <t>89596</t>
  </si>
  <si>
    <t>89610</t>
  </si>
  <si>
    <t>89613</t>
  </si>
  <si>
    <t>89616</t>
  </si>
  <si>
    <t>SDC02002</t>
  </si>
  <si>
    <t>BUCHA DE REDUCAO DE PVC, SOLDAVEL, LONGA, COM 50X25 MM</t>
  </si>
  <si>
    <t>SDC02003</t>
  </si>
  <si>
    <t>BUCHA DE REDUCAO DE PVC, SOLDAVEL, LONGA, COM 60X25 MM</t>
  </si>
  <si>
    <t>BUCHA DE REDUCAO DE PVC, SOLDAVEL, LONGA, COM 85 X 60 MM</t>
  </si>
  <si>
    <t>89501</t>
  </si>
  <si>
    <t>89505</t>
  </si>
  <si>
    <t>89513</t>
  </si>
  <si>
    <t>89521</t>
  </si>
  <si>
    <t>89401</t>
  </si>
  <si>
    <t>TUBO, PVC, SOLDÁVEL, DN 20MM, INSTALADO EM RAMAL DE DISTRIBUIÇÃO DE ÁGUA - FORNECIMENTO E INSTALAÇÃO. AF_12/2014</t>
  </si>
  <si>
    <t>89449</t>
  </si>
  <si>
    <t>89450</t>
  </si>
  <si>
    <t>89451</t>
  </si>
  <si>
    <t>89452</t>
  </si>
  <si>
    <t>89395</t>
  </si>
  <si>
    <t>89625</t>
  </si>
  <si>
    <t>89628</t>
  </si>
  <si>
    <t>89629</t>
  </si>
  <si>
    <t>89631</t>
  </si>
  <si>
    <t>89627</t>
  </si>
  <si>
    <t>89630</t>
  </si>
  <si>
    <t>89632</t>
  </si>
  <si>
    <t>TE DE REDUÇÃO, PVC, SOLDÁVEL, DN 85MM X 60MM, INSTALADO EM PRUMADA DE ÁGUA - FORNECIMENTO E INSTALAÇÃO. AF_12/2014</t>
  </si>
  <si>
    <t>94672</t>
  </si>
  <si>
    <t>JOELHO 90 GRAUS COM BUCHA DE LATÃO, PVC, SOLDÁVEL, DN  25 MM, X 3/4 INSTALADO EM RESERVAÇÃO DE ÁGUA DE EDIFICAÇÃO QUE POSSUA RESERVATÓRIO DE FIBRA/FIBROCIMENTO   FORNECIMENTO E INSTALAÇÃO. AF_06/2016</t>
  </si>
  <si>
    <t>90373</t>
  </si>
  <si>
    <t>89441</t>
  </si>
  <si>
    <t>83486</t>
  </si>
  <si>
    <t>88547</t>
  </si>
  <si>
    <t>94796</t>
  </si>
  <si>
    <t>95469</t>
  </si>
  <si>
    <t>VASO SANITARIO SIFONADO CONVENCIONAL COM  LOUÇA BRANCA - FORNECIMENTO E INSTALAÇÃO. AF_10/2016</t>
  </si>
  <si>
    <t>40729</t>
  </si>
  <si>
    <t>MICTORIO SIFONADO DE LOUCA BRANCA COM PERTENCES, COM REGISTRO DE PRESSAO 1/2" COM CANOPLA CROMADA ACABAMENTO SIMPLES E CONJUNTO PARA FIXACAO  - FORNECIMENTO E INSTALACAO</t>
  </si>
  <si>
    <t>86901</t>
  </si>
  <si>
    <t>86906</t>
  </si>
  <si>
    <t>95544</t>
  </si>
  <si>
    <t>95547</t>
  </si>
  <si>
    <t>9535</t>
  </si>
  <si>
    <t>86942</t>
  </si>
  <si>
    <t>86931</t>
  </si>
  <si>
    <t>VASO SANITÁRIO SIFONADO COM CAIXA ACOPLADA LOUÇA BRANCA, INCLUSO ENGATE FLEXÍVEL EM PLÁSTICO BRANCO, 1/2  X 40CM - FORNECIMENTO E INSTALAÇÃO. AF_12/2013</t>
  </si>
  <si>
    <t>86935</t>
  </si>
  <si>
    <t>SDC02096</t>
  </si>
  <si>
    <t>LAVATÓRIO LOUÇA BRANCA SUSPENSO, 29,5 X 39CM OU EQUIVALENTE, PADRÃO POPULAR, INCLUSO SIFÃO FLEXÍVEL EM PVC, VÁLVULA E ENGATE FLEXÍVEL 30CM EM PLÁSTICO E TORNEIRA DE PRESSÃO CROMADA DE MESA TIPO ALAVANCA PARA PCD, PADRÃO POPULAR - FORNECIMENTO E INSTALAÇÃO</t>
  </si>
  <si>
    <t>95472</t>
  </si>
  <si>
    <t>FORNECIMENTO E INSTALAÇÃO DE DUCHA HIGIENICA PLÁSTICA COM REGISTRO METÁLICO 1/2"</t>
  </si>
  <si>
    <t>89354</t>
  </si>
  <si>
    <t>72289</t>
  </si>
  <si>
    <t>89482</t>
  </si>
  <si>
    <t>89851</t>
  </si>
  <si>
    <t>JOELHO 45 GRAUS, PVC, SERIE NORMAL, ESGOTO PREDIAL, DN 100 MM, JUNTA ELÁSTICA, FORNECIDO E INSTALADO EM SUBCOLETOR AÉREO DE ESGOTO SANITÁRIO. AF_12/2014</t>
  </si>
  <si>
    <t>89802</t>
  </si>
  <si>
    <t>89739</t>
  </si>
  <si>
    <t>89726</t>
  </si>
  <si>
    <t>89748</t>
  </si>
  <si>
    <t>89728</t>
  </si>
  <si>
    <t>89731</t>
  </si>
  <si>
    <t>89805</t>
  </si>
  <si>
    <t>89850</t>
  </si>
  <si>
    <t>89724</t>
  </si>
  <si>
    <t>89797</t>
  </si>
  <si>
    <t>89785</t>
  </si>
  <si>
    <t>REDUÇÃO EXCÊNTRICA, PVC, ESGOTO, DN 100 X 50 MM</t>
  </si>
  <si>
    <t>89549</t>
  </si>
  <si>
    <t>89714</t>
  </si>
  <si>
    <t>89712</t>
  </si>
  <si>
    <t>89713</t>
  </si>
  <si>
    <t>89849</t>
  </si>
  <si>
    <t>89711</t>
  </si>
  <si>
    <t>89803</t>
  </si>
  <si>
    <t>89798</t>
  </si>
  <si>
    <t>89825</t>
  </si>
  <si>
    <t>EXECUÇÃO DE SUMIDOURO EM ALVENARIA DE TIJOLO MACIÇO ASSENTADO EM 1 VEZ COM ESPASSAMENTO ENTRE OS TIJOLOS: DIAMETRO 3,00M PROFUNDIDADE 3,00M</t>
  </si>
  <si>
    <t>83446</t>
  </si>
  <si>
    <t>PINTURA ESMALTE FOSCO, DUAS DEMAOS, SOBRE SUPERFICIE METALICA, INCLUSO UMA DEMAO DE FUNDO ANTICORROSIVO. UTILIZACAO DE REVOLVER ( AR-COMPRIMIDO).</t>
  </si>
  <si>
    <t>92687</t>
  </si>
  <si>
    <t>TUBO DE AÇO GALVANIZADO COM COSTURA, CLASSE MÉDIA, CONEXÃO ROSQUEADA, DN 15 (1/2"), INSTALADO EM RAMAIS E SUB-RAMAIS DE GÁS - FORNECIMENTO E INSTALAÇÃO. AF_12/2015</t>
  </si>
  <si>
    <t>92688</t>
  </si>
  <si>
    <t>92699</t>
  </si>
  <si>
    <t>92701</t>
  </si>
  <si>
    <t>92704</t>
  </si>
  <si>
    <t>92705</t>
  </si>
  <si>
    <t>TÊ, EM FERRO GALVANIZADO, CONEXÃO ROSQUEADA, DN 20 (3/4"), INSTALADO EM RAMAIS E SUB-RAMAIS DE GÁS - FORNECIMENTO E INSTALAÇÃO. AF_12/2015</t>
  </si>
  <si>
    <t>92904</t>
  </si>
  <si>
    <t>92905</t>
  </si>
  <si>
    <t>92692</t>
  </si>
  <si>
    <t>92694</t>
  </si>
  <si>
    <t>92953</t>
  </si>
  <si>
    <t>91926</t>
  </si>
  <si>
    <t>91928</t>
  </si>
  <si>
    <t>91930</t>
  </si>
  <si>
    <t>93043</t>
  </si>
  <si>
    <t>92869</t>
  </si>
  <si>
    <t>95796</t>
  </si>
  <si>
    <t>CONDULETE DE ALUMÍNIO, TIPO T, PARA ELETRODUTO DE AÇO GALVANIZADO DN 25 MM (1''), APARENTE - FORNECIMENTO E INSTALAÇÃO. AF_11/2016_P</t>
  </si>
  <si>
    <t>95781</t>
  </si>
  <si>
    <t>CONDULETE DE ALUMÍNIO, TIPO C, PARA ELETRODUTO DE AÇO GALVANIZADO DN 25 MM (1''), APARENTE - FORNECIMENTO E INSTALAÇÃO. AF_11/2016_P</t>
  </si>
  <si>
    <t>95782</t>
  </si>
  <si>
    <t>CONDULETE DE ALUMÍNIO, TIPO E, ELETRODUTO DE AÇO GALVANIZADO DN 25 MM (1''), APARENTE - FORNECIMENTO E INSTALAÇÃO. AF_11/2016_P</t>
  </si>
  <si>
    <t>95789</t>
  </si>
  <si>
    <t>CONDULETE DE ALUMÍNIO, TIPO LR, PARA ELETRODUTO DE AÇO GALVANIZADO DN 25 MM (1''), APARENTE - FORNECIMENTO E INSTALAÇÃO. AF_11/2016_P</t>
  </si>
  <si>
    <t>95802</t>
  </si>
  <si>
    <t>CONDULETE DE ALUMÍNIO, TIPO X, PARA ELETRODUTO DE AÇO GALVANIZADO DN 25 MM (1''), APARENTE - FORNECIMENTO E INSTALAÇÃO. AF_11/2016_P</t>
  </si>
  <si>
    <t>91937</t>
  </si>
  <si>
    <t>92001</t>
  </si>
  <si>
    <t>92000</t>
  </si>
  <si>
    <t>91953</t>
  </si>
  <si>
    <t>91959</t>
  </si>
  <si>
    <t>91966</t>
  </si>
  <si>
    <t>QUADRO COM BARRAMENTO TRIFÁSICO PARA DISJUNTOR DE ENTRADA 400A, INCLUINDO FIXAÇÃO, PLACA DE ACRÍLICO SEM BARRAMENTOS SECUNDÁRIOS E SEM DISJUNTOR DE ENTRADA - FORNECIMENTO E INSTALAÇÃO</t>
  </si>
  <si>
    <t>93653</t>
  </si>
  <si>
    <t>93654</t>
  </si>
  <si>
    <t>DISJUNTOR MONOPOLAR TIPO DIN, CORRENTE NOMINAL DE 16A - FORNECIMENTO E INSTALAÇÃO. AF_04/2016</t>
  </si>
  <si>
    <t>93660</t>
  </si>
  <si>
    <t>93661</t>
  </si>
  <si>
    <t>DISJUNTOR BIPOLAR TIPO DIN, CORRENTE NOMINAL DE 16A - FORNECIMENTO E INSTALAÇÃO. AF_04/2016</t>
  </si>
  <si>
    <t>93663</t>
  </si>
  <si>
    <t>93671</t>
  </si>
  <si>
    <t>DISJUNTOR TRIPOLAR TIPO DIN, CORRENTE NOMINAL DE 32A - FORNECIMENTO E INSTALAÇÃO. AF_04/2016</t>
  </si>
  <si>
    <t>91836</t>
  </si>
  <si>
    <t>91868</t>
  </si>
  <si>
    <t>91844</t>
  </si>
  <si>
    <t>91871</t>
  </si>
  <si>
    <t>95779</t>
  </si>
  <si>
    <t>CONDULETE DE ALUMÍNIO, TIPO E, PARA ELETRODUTO DE AÇO GALVANIZADO DN 20 MM (3/4''), APARENTE - FORNECIMENTO E INSTALAÇÃO. AF_11/2016_P</t>
  </si>
  <si>
    <t>83370</t>
  </si>
  <si>
    <t>QUADRO DE DISTRIBUICAO PARA TELEFONE N.3, 40X40X12CM EM CHAPA METALICA, DE EMBUTIR, SEM ACESSORIOS, PADRAO TELEBRAS, FORNECIMENTO E INSTALACAO</t>
  </si>
  <si>
    <t>83450</t>
  </si>
  <si>
    <t>83449</t>
  </si>
  <si>
    <t>83447</t>
  </si>
  <si>
    <t>LUMINÁRIA EM LED MODULAR PARA ILUMINAÇÃO PÚBLICA, 150W</t>
  </si>
  <si>
    <t>SDC03128</t>
  </si>
  <si>
    <t>FORNECIMENTO E INSTALAÇÃO DE CURVA 90 GRAUS DE BARRA CHATA DE ALUMÍNIO 3/4" X 1/4", COM CURVA DE 300MM</t>
  </si>
  <si>
    <t>72315</t>
  </si>
  <si>
    <t>SUPORTE GUIA SIMPLES TEL-220</t>
  </si>
  <si>
    <t>72262</t>
  </si>
  <si>
    <t>72263</t>
  </si>
  <si>
    <t>91872</t>
  </si>
  <si>
    <t>72253</t>
  </si>
  <si>
    <t>72254</t>
  </si>
  <si>
    <t>FORNECIMENTO E INSTALAÇÃO DE CAIXA DE INSPEÇÃO TIPO SOLO EM PVC COM DIAMETRO 250MM, INCLUSIVE TAMPA EM AÇO GALVANIZADO REDONDA DE 250MM.</t>
  </si>
  <si>
    <t>83485</t>
  </si>
  <si>
    <t>HASTE DE ATERRAMENTO EM AÇO COM 3,00 M DE COMPRIMENTO E DN = 5/8" REVESTIDA COM BAIXA CAMADA DE COBRE, SEM CONECTOR</t>
  </si>
  <si>
    <t>83638</t>
  </si>
  <si>
    <t>68070</t>
  </si>
  <si>
    <t>91927</t>
  </si>
  <si>
    <t>91884</t>
  </si>
  <si>
    <t>LUVA PARA ELETRODUTO, PVC, ROSCÁVEL, DN 25 MM (3/4"), PARA CIRCUITOS TERMINAIS, INSTALADA EM PAREDE - FORNECIMENTO E INSTALAÇÃO. AF_12/2015</t>
  </si>
  <si>
    <t>91914</t>
  </si>
  <si>
    <t>83635</t>
  </si>
  <si>
    <t>EXTINTOR INCENDIO AGUA-PRESSURIZADA 10L INCL SUPORTE PAREDE CARGA     COMPLETA FORNECIMENTO E COLOCACAO</t>
  </si>
  <si>
    <t>91940</t>
  </si>
  <si>
    <t>SDC03130</t>
  </si>
  <si>
    <t>Execução de sanitário e vestiário em canteiro de obra em chapa de madeira compensada, não incluso mobiliário. af_02/2016</t>
  </si>
  <si>
    <t>Tapume em chapa metálica, trapezoidal esp. 0,43mm com estrutura em madeira</t>
  </si>
  <si>
    <t>Perimetro*2,2 altura tapume 
(3 lados do terreno) 290,67* 2,2 m altura tapume=
639,47</t>
  </si>
  <si>
    <t xml:space="preserve">área de cobertura pergolado refeitório+área de cobertura pergolado ginásio </t>
  </si>
  <si>
    <t xml:space="preserve">Comprimento de calha da área de cobertura da secretária </t>
  </si>
  <si>
    <t>Comprimento do rufo da área de cobertura da secretária 17,80</t>
  </si>
  <si>
    <t>5,20+27,30+2,60+7,20</t>
  </si>
  <si>
    <t>93,60+7,20+73,60+2,60</t>
  </si>
  <si>
    <t>0,40+0,40=  0,80*4= 3,20</t>
  </si>
  <si>
    <t>Fechamento em alvenaria do bloco educacional + parte do muro com o hidrante = 2887,88+2,64. + muro divisa do terreno ( 300x2,50).</t>
  </si>
  <si>
    <t>Área de todo o bloco educacional, descontando o oitão na parte interna aonde não pode ser visto pois a laje vai tampar= 4.574,37 + muro do hidrante (1,20x2,20= 2,64*2=5,28)</t>
  </si>
  <si>
    <t xml:space="preserve">Área bloco educacional + muro do hidrante </t>
  </si>
  <si>
    <t>7.6</t>
  </si>
  <si>
    <t>Pastilha 5x5 cor branco e faixa azul (salas)</t>
  </si>
  <si>
    <t>Pastilha 5x5 cor azul ( circulação)</t>
  </si>
  <si>
    <t>pastilha azul claro, médio e escuro na fachada e no patío coberto e secretaria</t>
  </si>
  <si>
    <t>Impermeabilizante áreas molhadas- banheiros e copa h= 1,10m  e área externa com patio coberto 1,10m. + muro de divisa do terreno (100,51*1,10)= 110,56  e muro com hidrante(1,20*1,10=1,32*2 = 2,64)+ muro ( 300*1,10h = 330m²)</t>
  </si>
  <si>
    <t>OK</t>
  </si>
  <si>
    <t>contrapiso de concreto área de passeio</t>
  </si>
  <si>
    <t>meio fio área de convivencia + meio fio praça na calçada + meio fio estacionamento + bicicletario e acesso a escola=  55,67+102,73+21,67+80,17+34,77+39+34,10+33,98+32,68</t>
  </si>
  <si>
    <t xml:space="preserve">área azul 114,94m²+ área amarelo 74,60m² + área rosa 161,61m²= </t>
  </si>
  <si>
    <t>demarcação das vagas do estacionamento</t>
  </si>
  <si>
    <t>área das linhas brancas de demarcação = 4+2+6</t>
  </si>
  <si>
    <t>8.9</t>
  </si>
  <si>
    <t xml:space="preserve">passarelas+ estacionamento+ bicicletário </t>
  </si>
  <si>
    <t>Aplicação de massa acrilica  em paredes externas</t>
  </si>
  <si>
    <t>área externa do bloco educacional e as paredes do patio coberto , descontando as faixas de pastilha da fachada e o barrado do patio coberto + muro do hidrante(5,28)+  lateral dos muros todos ( (peímetro x altura)- 300*2,50= 750m²)</t>
  </si>
  <si>
    <t>Fundo selador acrílico em paredes externas</t>
  </si>
  <si>
    <t>área externa do bloco educacional e as paredes do patio coberto , descontando as faixas de pastilha da fachada e o barrado do patio coberto= 987,14 + muro divisa do terreno lado interno da escola = 750+ muro do hidrante = 5,28</t>
  </si>
  <si>
    <t xml:space="preserve">Divisorias de granito itaunas nos banheiros </t>
  </si>
  <si>
    <t xml:space="preserve"> 17 unidades</t>
  </si>
  <si>
    <t>7 unidades</t>
  </si>
  <si>
    <t xml:space="preserve">1 nos blodos de salas de aula </t>
  </si>
  <si>
    <t>12.6</t>
  </si>
  <si>
    <t>16 salas de aula + 1 laboratório de fisica + 1 laboratório de quimica + 1 sala de informatica + sala de reunião+ sala professores e biblioteca = 22</t>
  </si>
  <si>
    <t>12.7</t>
  </si>
  <si>
    <t>12.8</t>
  </si>
  <si>
    <t>12.9</t>
  </si>
  <si>
    <t xml:space="preserve">Totem em concreto </t>
  </si>
  <si>
    <t>12.12</t>
  </si>
  <si>
    <t>12.13</t>
  </si>
  <si>
    <t>2 em cada banheiro 2 PCD + portas  = 6</t>
  </si>
  <si>
    <t>12.14</t>
  </si>
  <si>
    <t>12.16</t>
  </si>
  <si>
    <t>Cantoneira aluminio</t>
  </si>
  <si>
    <t>Cantoneira em alumio em pilares: 2 pilares x 4 cantos x 4,10 de pé direito/ 1 pilar x 4 cantos x 5,85 de pé direito</t>
  </si>
  <si>
    <t>12.17</t>
  </si>
  <si>
    <t xml:space="preserve">Banco do jardim </t>
  </si>
  <si>
    <t xml:space="preserve">25 unidaes de banco </t>
  </si>
  <si>
    <t>12.18</t>
  </si>
  <si>
    <t>12.20</t>
  </si>
  <si>
    <t>Gradil da frente da escola</t>
  </si>
  <si>
    <t>12.21</t>
  </si>
  <si>
    <t>1 portao 4x2,50= 10/  1 portão  4,50*2,50=11,25</t>
  </si>
  <si>
    <t>12.22</t>
  </si>
  <si>
    <t xml:space="preserve">letra caixa com o nome da escola </t>
  </si>
  <si>
    <t xml:space="preserve">Letra caixa do nome da escola em cima da secretario com logo do estado </t>
  </si>
  <si>
    <t>12.23</t>
  </si>
  <si>
    <t>Pedestal</t>
  </si>
  <si>
    <t>13.11</t>
  </si>
  <si>
    <t>pintura de acessibilidade PCD na Quadra</t>
  </si>
  <si>
    <t>pintura de acessibilidade PCD no estacionamento e idoso</t>
  </si>
  <si>
    <t xml:space="preserve">conferir alexandre colocou tambem </t>
  </si>
  <si>
    <t xml:space="preserve">LEVANTAMENTO QUANTITATIVOS ESTRUTURAL -  BLOCO 1                </t>
  </si>
  <si>
    <t>FORNECIMENTO DE ATERRO (ESTIMADO VOLUME REFERENTE A CAMADA DE 0,60m EM TODA ÁREA DO BLOCO - COM SAIA DE PLATÔ DE 45°) - m3</t>
  </si>
  <si>
    <t>Execuão de estaca hélice contínua monitorada, diam. 30cm, 12 m de comprimento. Não incluso armação</t>
  </si>
  <si>
    <t>AÇO DAS ESTACAS - CA60 - 5mm (kg)</t>
  </si>
  <si>
    <t>AÇO DAS ESTACAS - CA50 - 8mm (kg)</t>
  </si>
  <si>
    <t>ESCAVAÇÃO  DOS BLOCOS DE COROAMENTO (CONSIDERADO ÁREA DOS BLOCOS E FOLGA DE 20cm PARA CADA LADO) - m3</t>
  </si>
  <si>
    <t>LASTRO DE CONCRETO - BLOCOS DE COROAMENTO (ÁREA DE APILOAMENTO * 5cm) - m2</t>
  </si>
  <si>
    <t>BLOCOS DE COROAMENTO</t>
  </si>
  <si>
    <t>AÇO DOS BLOCOS DE COROAMENTO - CA50 - 6,3mm (kg)</t>
  </si>
  <si>
    <t>AÇO DOS BLOCOS DE COROAMENTO - CA50 - 8mm (kg)</t>
  </si>
  <si>
    <t>AÇO DOS BLOCOS DE COROAMENTO - CA50 - 10mm (kg)</t>
  </si>
  <si>
    <t>LAJE PRÉ-MOLDADA TRELIÇADA, PARA COBERTURA, INCLUSIVE EPS, CAPEAMENTO 4,0cm E ALTURA FINAL 12,0cm, fck=25MPa. INCLUSO ESCORAMENTO</t>
  </si>
  <si>
    <t xml:space="preserve">LEVANTAMENTO QUANTITATIVOS ESTRUTURAL -  BLOCO 02 </t>
  </si>
  <si>
    <t xml:space="preserve">FORNECIMENTO DE ATERRO (ESTIMADO VOLUME REFERENTE A CAMADA DE 0,40m EM TODA ÁREA DO BLOCO 02 - COM SAIA DE PLATÔ DE 45°) </t>
  </si>
  <si>
    <t xml:space="preserve">ESCAVAÇÃO  DOS BLOCOS (CONSIDERADO ÁREA DOS BLOCOS E FOLGA DE 20cm PARA CADA LADO - ALTURA DO BLOCO + 5cm DE LASTRO + ALTURA DO BALDRAME) </t>
  </si>
  <si>
    <t xml:space="preserve">REATERRO DOS BLOCOS + BALDRAMES (ESCAVAÇÃO DOS BLOCOS + ESCAVAÇÃO DAS BALDRAMES - VOLUME DE CONCRETO DOS BLOCOS - VOL. CONCRETO DOS TOCOS DE PILARES - VOL. DE CONCRETO DAS BALDRAMES) </t>
  </si>
  <si>
    <t>BOTAFORA MATERIAL DAS SAPATAS + BALDRAMES (CONSIDERADO 30% DE EMPOLAMENTO)</t>
  </si>
  <si>
    <t>TELA - Q92 (COM PERDA DE 20% DO TRASPASSE)</t>
  </si>
  <si>
    <t>ESTACAS HELICE CONTINUA MONITORADA Diâmetro 30 cm - Comprimento 12m</t>
  </si>
  <si>
    <t>AÇO DAS ESTACAS - CA60 - 5,0mm</t>
  </si>
  <si>
    <t>AÇO DAS ESTACAS - CA50 - 8,0mm</t>
  </si>
  <si>
    <t>BLOCOS DE FUNDAÇÃO</t>
  </si>
  <si>
    <t>TOCO DE PILAR (ENTRE TOPO DO BLOCO E TOPO DA VIGA BALDRAME)</t>
  </si>
  <si>
    <t>4.17</t>
  </si>
  <si>
    <t>MESO E SUPER-ESTRUTURA</t>
  </si>
  <si>
    <t>6.11</t>
  </si>
  <si>
    <t>15.1</t>
  </si>
  <si>
    <t>15.3</t>
  </si>
  <si>
    <t>15.4</t>
  </si>
  <si>
    <t xml:space="preserve">73908/002 </t>
  </si>
  <si>
    <t>SDC04033</t>
  </si>
  <si>
    <t>FORNECIMENTO E INSTALAÇÃO DE LETRA CAIXA 30 CM EM CHAPA GALVANIZADA PINTADA COM TINTA AUTOMOTIVA, PARA LETREIRO COM NOME DA INSTITUIÇÃO</t>
  </si>
  <si>
    <t>muro de divisa do terreno</t>
  </si>
  <si>
    <t>muro divisa do terreno ( 300x2,20).</t>
  </si>
  <si>
    <t>LEVANTAMENTO QUANTITATIVOS REFEITÓRIO (ESTACAS)</t>
  </si>
  <si>
    <t>LEVANTAR DE ACORDO COM A TOPOGRAFIA</t>
  </si>
  <si>
    <t>ESCAVAÇAO REFEITÓRIO - BLOCO SOBRE ESTACAS</t>
  </si>
  <si>
    <t xml:space="preserve">ESCAVAÇÃO  DE BLOCO SOBRE ESTACAS (CONSIDERADO ÁREA DO BLOCO E FOLGA DE 20cm PARA CADA LADO - ALTURA DO BLOCO + 5cm DE LASTRO + ALTURA DO BALDRAME) </t>
  </si>
  <si>
    <t>P1, P2, P3, P4, P5, P6, P8, P25, P26, P27, P28, P29, P30, P32, P11, P14, P18, P20, P21, P22</t>
  </si>
  <si>
    <t>H BLOCO</t>
  </si>
  <si>
    <t>H BALDRAME</t>
  </si>
  <si>
    <t xml:space="preserve">REATERRO DOS BLOCOS (ESCAVAÇÃO DOS BLOCOS - VOLUME DE CONCRETO DOS BLOCOS) </t>
  </si>
  <si>
    <t>BOTAFORA MATERIAL DOS BLOCOS (CONSIDERADO 40% DE EMPOLAMENTO)</t>
  </si>
  <si>
    <t>P9, P10, P12, P13, P15, P16, P17, P19, P23, P24, P31, P7</t>
  </si>
  <si>
    <t xml:space="preserve">APILOAMENTO DE FUNDO DOS BLOCOS - CONSIDERADO ÁREA ESCAVADA </t>
  </si>
  <si>
    <t xml:space="preserve">LASTRO DE CONCRETO - BLOCOS SOBRE ESTACAS (ÁREA DE APILOAMENTO * 5cm)  </t>
  </si>
  <si>
    <t>BLOCO SOBRE ESTACAS</t>
  </si>
  <si>
    <t>AÇO CA60 - 5mm (+ AÇO DAS ESTACAS)</t>
  </si>
  <si>
    <t>AÇO CA50 - 8mm (+ AÇO DAS ESTACAS)</t>
  </si>
  <si>
    <t>HÉLICE CONTÍNUA MONITORADA (53 ESTACAS DE 12 METROS)</t>
  </si>
  <si>
    <t>24.5</t>
  </si>
  <si>
    <t>LEVANTAMENTO QUANTITATIVOS ESTRUTURAL QUADRA POLIESPORTIVA GRANDE</t>
  </si>
  <si>
    <t>UN.</t>
  </si>
  <si>
    <t>ESTACA HÉLICE CONTÍNUA, DIÂMETRO DE 30 CM, COMPRIMENTO TOTAL ATÉ 15 M, PERFURATRIZ COM TORQUE DE 170 KN.M. AF_02/2015 (sem Armação)</t>
  </si>
  <si>
    <t>ESCAVAÇÃO  DOS BLOCOS (CONSIDERADO ÁREA DOS BLOCOS E FOLGA DE 20cm PARA CADA LADO - ALTURA DE ASSENTAMENTO DO BLOCO CONFORME PROJETO) - m3</t>
  </si>
  <si>
    <t>APILOAMENTO DE FUN.O DOS BLOCOS - CONSIDERADO ÁREA ESCAVADA - m2</t>
  </si>
  <si>
    <t>APILOAMENTO DE FUN.O DAS VIGAS BALDRAMES - CONSIDERADO ÁREA ESCAVADA - (VOLUME DE ESCAVAÇÃO DIVIDIDO PELA ALTURA DAS VIGAS) - m2</t>
  </si>
  <si>
    <t>REATERRO DOS BLOCOS - ESCAVAÇÃO MENOS VOLUME DE CONCRETO DOS BLOCOS E DO TOCO DE PILAR (m3)</t>
  </si>
  <si>
    <t>LASTRO COM PREPARO DE FUN.O COM CAMADA DE BRITA - PARA IMPERMEABILIZAÇÃO DE CONTRAPISO ARMADO - (ÁREA INTERNA * 5cm) - m3</t>
  </si>
  <si>
    <t>TELA - Q92 - CONSIDERADO 1,48kg/m2 (m²) - Perda e traspasse de 20%</t>
  </si>
  <si>
    <t>FORMA PARA FUN.AÇÃO (m2)</t>
  </si>
  <si>
    <t>AÇO CA50 - 5,0mm (kg)</t>
  </si>
  <si>
    <t>AÇO CA50 - 8,0 mm (kg)</t>
  </si>
  <si>
    <t>AÇO CA50 - 10,0mm (kg)</t>
  </si>
  <si>
    <t>FÔRMAS BALDRAMES (m2)</t>
  </si>
  <si>
    <t>COBERTURA METÁLICA - QUADRA</t>
  </si>
  <si>
    <t>AÇO CA50 - 32mm (CHUMBADORES DA PLACA BASE)</t>
  </si>
  <si>
    <t>COBERTURA - Vestiário</t>
  </si>
  <si>
    <t>AÇO CA50 - 12.5mm (CHUMBADORES DA PLACA BASE)</t>
  </si>
  <si>
    <t>34.9</t>
  </si>
  <si>
    <t>34.10</t>
  </si>
  <si>
    <t>38.7</t>
  </si>
  <si>
    <t>LEVANTAMENTO QUANTITATIVOS PERGOLADO PLAYGROUND</t>
  </si>
  <si>
    <t>ESCAVAÇAO REFEITÓRIO - BLOCOS SOBRE ESTACA</t>
  </si>
  <si>
    <t xml:space="preserve">ESCAVAÇÃO  DE BLOCO SOBRE ESTACAS E VIGAS DE TRAVAMENTO (CONSIDERADO ÁREA DO BLOCO / VIGA TRAVAMENTO E FOLGA DE 20cm PARA CADA LADO - ALTURA DO BLOCO / VIGA TRAVAMENTO + 5cm DE LASTRO + ALTURA ATÉ O SOLO) </t>
  </si>
  <si>
    <t>P1, P2, P3, P4, P5, P6, P7 e P8</t>
  </si>
  <si>
    <t xml:space="preserve">REATERRO DOS BLOCOS E VIGAS DE TRAVAMENTO (ESCAVAÇÃO DOS BLOCOS / VIGAS DE TRAVAMENTO - VOLUME DE CONCRETO DOS ELEMENTOS) </t>
  </si>
  <si>
    <t>BOTAFORA MATERIAL DOS BLOCOS E VIGAS DE TRAVAMENTO (CONSIDERADO 40% DE EMPOLAMENTO)</t>
  </si>
  <si>
    <t>VIGAS DE TRAVAMENTO</t>
  </si>
  <si>
    <t xml:space="preserve">APILOAMENTO DE FUNDO DOS BLOCOS E VIGAS DE TRAVAMENTO - CONSIDERADO ÁREA ESCAVADA </t>
  </si>
  <si>
    <t xml:space="preserve">LASTRO DE CONCRETO - BLOCOS SOBRE ESTACAS E VIGAS DE TRAVAMENTO (ÁREA DE APILOAMENTO * 5cm)  </t>
  </si>
  <si>
    <t>BLOCOS SOBRE ESTACA</t>
  </si>
  <si>
    <t>AÇO CA60 - 5mm (+ AÇO ESTACAS)</t>
  </si>
  <si>
    <t>AÇO CA60 - 8mm (+ AÇO ESTACAS)</t>
  </si>
  <si>
    <t>HÉLICE CONTÍNUA MONITORADA (11 ESTACAS DE 12 METROS)</t>
  </si>
  <si>
    <t>PILARES DE FUNDAÇÃO</t>
  </si>
  <si>
    <t>47.16</t>
  </si>
  <si>
    <t>47.17</t>
  </si>
  <si>
    <t>47.18</t>
  </si>
  <si>
    <t>Cabo 50mm² EPR</t>
  </si>
  <si>
    <t>Tomada média 2P+T 10A 1 módulo</t>
  </si>
  <si>
    <t>Tomada alta 2P+T 10A 1 módulo</t>
  </si>
  <si>
    <t>Tomada alta 2P+T 20A 1 módulo</t>
  </si>
  <si>
    <t>Caixa retangular 4" x 2"média</t>
  </si>
  <si>
    <t>Caixa retangular 4" x 2" alta</t>
  </si>
  <si>
    <t>Eletroduto corrugado 1" em parede</t>
  </si>
  <si>
    <t>Eletroduto corrugado 3/4" em laje</t>
  </si>
  <si>
    <t>Eletroduto corrugado 3/4" em parede</t>
  </si>
  <si>
    <t>Duto PEAD 1"</t>
  </si>
  <si>
    <t>SDC03066</t>
  </si>
  <si>
    <t>CABO DE COBRE ISOLADO EM EPR FLEXÍVEL 50MM² - 0,6KV/1KV/90°</t>
  </si>
  <si>
    <t>TOMADA MÉDIA DE EMBUTIR (1 MÓDULO), 2P+T 10 A, INCLUINDO SUPORTE E PLACA - FORNECIMENTO E INSTALAÇÃO. AF_12/2015</t>
  </si>
  <si>
    <t>TOMADA ALTA DE EMBUTIR (1 MÓDULO), 2P+T 10 A, INCLUINDO SUPORTE E PLACA - FORNECIMENTO E INSTALAÇÃO. AF_12/2015</t>
  </si>
  <si>
    <t>TOMADA ALTA DE EMBUTIR (1 MÓDULO), 2P+T 20 A, INCLUINDO SUPORTE E PLACA - FORNECIMENTO E INSTALAÇÃO. AF_12/2015</t>
  </si>
  <si>
    <t xml:space="preserve"> CAIXA RETANGULAR 4" X 2" MÉDIA (1,30 M DO PISO), PVC, INSTALADA EM PAREDE - FORNECIMENTO E INSTALAÇÃO. AF_12/2015</t>
  </si>
  <si>
    <t>CAIXA RETANGULAR 4" X 2" ALTA (2,00 M DO PISO), PVC, INSTALADA EM PAREDE - FORNECIMENTO E INSTALAÇÃO. AF_12/2015</t>
  </si>
  <si>
    <t>ELETRODUTO FLEXÍVEL CORRUGADO, PVC, DN 25 MM (3/4"), PARA CIRCUITOS TERMINAIS, INSTALADO EM PAREDE - FORNECIMENTO E INSTALAÇÃO. AF_12/2015</t>
  </si>
  <si>
    <t>Registro de gaveta bruto, latão, roscável, 1 1/4, com acabamento e canopla cromados</t>
  </si>
  <si>
    <t>Valvula pe com crivo bronze 1.1/4"</t>
  </si>
  <si>
    <t>Adaptador curto com bolsa e rosca para registro, pvc, soldável, dn 40mm x 1.1/4</t>
  </si>
  <si>
    <t>Cap pvc, soldavel, 32 mm</t>
  </si>
  <si>
    <t>Joelho 90 graus, pvc, soldável, dn 32mm,</t>
  </si>
  <si>
    <t>Joelho 90 graus, pvc, soldável, dn 40mm,</t>
  </si>
  <si>
    <t>Tubo, pvc, soldável, dn 40mm</t>
  </si>
  <si>
    <t>Tê 90 saldável 32mm</t>
  </si>
  <si>
    <t>Tê 90 saldável 40mm</t>
  </si>
  <si>
    <t>Bucha de reducao de pvc, soldavel, curta com 85 x 75 mm</t>
  </si>
  <si>
    <t>Joelho de redução 90 soldavel 25mmx20mm</t>
  </si>
  <si>
    <t>Tê de redução, pvc, soldável, dn 50mm x 20mm</t>
  </si>
  <si>
    <t>Caixa d'agua tipo taça com capacidade de 5.000 Litros</t>
  </si>
  <si>
    <t>Caixa d'agua tipo taça com capacidade de 10.000 Litros</t>
  </si>
  <si>
    <t>Fornecimento e instalação tanque de lavar duplo em mármore sintéticopreto de dimensões 1,10 x 0,60 m assentado sobre alvenaria</t>
  </si>
  <si>
    <t>Joelho 45 graus, pvc, serie normal, esgoto predial, dn 100 mm</t>
  </si>
  <si>
    <t>Joelho 45 graus, pvc, serie normal, esgoto predial, dn 75 mm</t>
  </si>
  <si>
    <t>Joelho 45 graus, pvc, serie normal, esgoto predial, dn 40 mm</t>
  </si>
  <si>
    <t>Tê, pvc, esgoto, dn 50 x 50 mm</t>
  </si>
  <si>
    <t>Fossa séptica em alvenaria - tijolo comum maciço, dimensoes 350 x 180 x 150 cm (9,45m³)</t>
  </si>
  <si>
    <t>Fossa séptica em alvenaria - tijolo comum maciço, dimensoes 475 x 240 x 180 cm (20,52m³)</t>
  </si>
  <si>
    <t>Execução de sumidouro em alvenaria de tijolo maciço de dimensões 5,7 x 9 x 19 cm assentado em 1 vez com espassamento entre os tijolos: diametro 3,00m profundidade 3,00m</t>
  </si>
  <si>
    <t>SDC02101</t>
  </si>
  <si>
    <t>CAP PVC SOLD. MARROM D= 32mm (1")</t>
  </si>
  <si>
    <t>JOELHO 90 GRAUS, PVC, SOLDÁVEL, DN 40MM, INSTALADO EM PRUMADA DE ÁGUA - FORNECIMENTO E INSTALAÇÃO. AF_12/2014</t>
  </si>
  <si>
    <t xml:space="preserve"> JOELHO 90 GRAUS, PVC, SOLDÁVEL, DN 32MM, INSTALADO EM PRUMADA DE ÁGUA - FORNECIMENTO E INSTALAÇÃO. AF_12/2014</t>
  </si>
  <si>
    <t>TUBO, PVC, SOLDÁVEL, DN 32MM, INSTALADO EM PRUMADA DE ÁGUA - FORNECIMENTO E INSTALAÇÃO. AF_12/2014</t>
  </si>
  <si>
    <t>TUBO, PVC, SOLDÁVEL, DN 40MM, INSTALADO EM PRUMADA DE ÁGUA - FORNECIMENTO E INSTALAÇÃO. AF_12/2014</t>
  </si>
  <si>
    <t xml:space="preserve"> TE, PVC, SOLDÁVEL, DN 32MM, INSTALADO EM PRUMADA DE ÁGUA - FORNECIMENTO E INSTALAÇÃO. AF_12/2014</t>
  </si>
  <si>
    <t>TE, PVC, SOLDÁVEL, DN 40MM, INSTALADO EM PRUMADA DE ÁGUA - FORNECIMENTO E INSTALAÇÃO. AF_12/2014</t>
  </si>
  <si>
    <t>ADAPTADOR CURTO COM BOLSA E ROSCA PARA REGISTRO, PVC, SOLDÁVEL, DN 40MM X 1.1/4, INSTALADO EM PRUMADA DE ÁGUA - FORNECIMENTO E INSTALAÇÃO. AF_12/2014</t>
  </si>
  <si>
    <t>REGISTRO DE GAVETA BRUTO, LATÃO, ROSCÁVEL, 1 1/4, COM ACABAMENTO E CANOPLA CROMADOS, INSTALADO EM RESERVAÇÃO DE ÁGUA DE EDIFICAÇÃO QUE POSSUA RESERVATÓRIO DE FIBRA/FIBROCIMENTO  FORNECIMENTO E INSTALAÇÃO. AF_06/2016</t>
  </si>
  <si>
    <t>SDC02068</t>
  </si>
  <si>
    <t>JOELHO DE REDUCAO, PVC SOLDAVEL, 90 GRAUS, 25 MM X 20 MM, PARA AGUA FRIA PREDIAL INSTALADO EM RAMAL OU SUB-RAMAL DE ÁGUA - FORNECIMENTO E INSTALAÇÃO.</t>
  </si>
  <si>
    <t>PINTURA ESMALTE BRILHANTE (2 DEMAOS) SOBRE SUPERFICIE METALICA, INCLUSIVE PROTECAO COM ZARCAO (1 DEMAO)</t>
  </si>
  <si>
    <t>SDC02100</t>
  </si>
  <si>
    <t>TÊ DE REDUÇÃO, PVC, SOLDÁVEL, DN 50MM X 20MM</t>
  </si>
  <si>
    <t>CISTERNA EM CONCRETO ARMADO, CAP. 24.500 LITROS, CONFORME PROJETO PADRÃO SEDUC - FUNDAÇÕES EM ESTACA</t>
  </si>
  <si>
    <t>CAIXA D'AGUA TIPO TAÇA COM CAPACIDADE DE 5.000 LITROS COM COLUNA SECA, INCLUSIVE INSTALAÇÃO</t>
  </si>
  <si>
    <t>52.6</t>
  </si>
  <si>
    <t>CURVA 90 GRAUS, PVC, SOLDÁVEL, DN 32MM, INSTALADO EM RAMAL DE DISTRIBUIÇÃO DE ÁGUA - FORNECIMENTO E INSTALAÇÃO. AF_12/2014</t>
  </si>
  <si>
    <t>Curva 90 com rosca 32MM</t>
  </si>
  <si>
    <t>Junção simples, pvc, serie r, ESGOTO, dn 75 x 75 mm</t>
  </si>
  <si>
    <t>JUNÇÃO SIMPLES, PVC, SERIE NORMAL, ESGOTO PREDIAL, DN 75 X 75 MM, JUNTA ELÁSTICA, FORNECIDO E INSTALADO EM RAMAL DE DESCARGA OU RAMAL DE ESGOTO SANITÁRIO. AF_12/2014</t>
  </si>
  <si>
    <t>TE, PVC, SERIE NORMAL, ESGOTO PREDIAL, DN 50 X 50 MM, JUNTA ELÁSTICA, FORNECIDO E INSTALADO EM RAMAL DE DESCARGA OU RAMAL DE ESGOTO SANITÁRIO. AF_12/2014</t>
  </si>
  <si>
    <t>Duto PEAD 3"</t>
  </si>
  <si>
    <t>M³</t>
  </si>
  <si>
    <t>Tubo pvc, serie normal, água pluvial, dn 100 mm, fornecido e instalado</t>
  </si>
  <si>
    <t>Tubo de concreto, dn 200 mm, fornecido e instalado</t>
  </si>
  <si>
    <t>Ralo hemisférico</t>
  </si>
  <si>
    <t>Alvenaria em tijolo ceramico macico 5x10x20cm 1/2 vez (espessura 10cm), assentado com argamassa traco 1:2:8 (cimento, cal e areia)</t>
  </si>
  <si>
    <t>Argamassa traco 1:4 (cimento e areia), preparo manual, incluso aditivo impermeabilizante (paredes da vala)</t>
  </si>
  <si>
    <t>Lastro de concreto, e = 5 cm, preparo mecânico, inclusos lançamento e adensamento. Af_07_2016 (fundo da vala)</t>
  </si>
  <si>
    <t>Grelha em ferro fundido simples com requadro, carga máxima 12,5 t, 300 x 1000 mm, e = 15 mm, fornecida e assentada com argamassa 1:4 cimento:areia.</t>
  </si>
  <si>
    <t>Tubo pvc, serie normal, água pluvial, dn 150 mm, fornecido e instalado</t>
  </si>
  <si>
    <t>GRELHA EM FERRO FUNDIDO SIMPLES COM REQUADRO, CARGA MÁXIMA 12,5 T, 300 X 1000 MM, E = 15 MM, FORNECIDA E ASSENTADA COM ARGAMASSA 1:4 CIMENTO:AREIA.</t>
  </si>
  <si>
    <t>73799/001</t>
  </si>
  <si>
    <t>TUBO DE PVC PARA REDE COLETORA DE ESGOTO DE PAREDE MACIÇA, DN 200 MM, JUNTA ELÁSTICA, INSTALADO EM LOCAL COM NÍVEL BAIXO DE INTERFERÊNCIAS - FORNECIMENTO E ASSENTAMENTO. AF_06/2015</t>
  </si>
  <si>
    <t>SDC02050</t>
  </si>
  <si>
    <t>RALO HEMISFÉRICO EM Fº Fº, TIPO ABACAXI 100MM</t>
  </si>
  <si>
    <t>ARGAMASSA TRACO 1:4 (CIMENTO E AREIA), PREPARO MANUAL, INCLUSO ADITIVO IMPERMEABILIZANTE</t>
  </si>
  <si>
    <t>TUBO PVC, SÉRIE R, ÁGUA PLUVIAL, DN 150 MM, FORNECIDO E INSTALADO EM CONDUTORES VERTICAIS DE ÁGUAS PLUVIAIS. AF_12/2014</t>
  </si>
  <si>
    <t>63.15</t>
  </si>
  <si>
    <t>63.16</t>
  </si>
  <si>
    <t>63.17</t>
  </si>
  <si>
    <t xml:space="preserve">Área construida do bloco educacional = 2073,02 </t>
  </si>
  <si>
    <t>Área de pintura = área da porta*qtd de portas*coeficiente de pintura de porta
P2 = (1,89*4)*2=15,02m2
P3 = (1,89*21)*2=79,38m2
P4 = (1,89*2)*2=7,56m2                                                                              P7=(1,68*6)*2=20,16                                                                                          
TOTAL =  122,12M²</t>
  </si>
  <si>
    <t>área de convivencia  ( 1161,93)+  calçada 01+ calçada ao redor do bloco educacional ( 352,60)+ playground ( 65,77)+ calçada 02 ( 590,28) + calçada acesso ao lixo e gas (25,90)+ calçada frontal da edificação (350m²)</t>
  </si>
  <si>
    <t>Área de grama da escola 436,90+1208,05+1221,94+365,55</t>
  </si>
  <si>
    <t>2 canteiros =160,68m² (  30 mudas por m²=  4820,40 und)</t>
  </si>
  <si>
    <t xml:space="preserve">brise do ar condicinado </t>
  </si>
  <si>
    <t xml:space="preserve">3,06 perimetro x 5,70 altura x 3 und= 62,32m²  + 3,06x3,70x4=45,28 </t>
  </si>
  <si>
    <t>148 Und. X 25cm de comprimento</t>
  </si>
  <si>
    <t>596 unidades</t>
  </si>
  <si>
    <t>720 unidades*0,25m=180m</t>
  </si>
  <si>
    <t>14.3</t>
  </si>
  <si>
    <t>14.4</t>
  </si>
  <si>
    <t xml:space="preserve">Limpeza dos vidros </t>
  </si>
  <si>
    <t>limpeza dos azulejos</t>
  </si>
  <si>
    <t>vidros das esquadrias e pele de vidro do bloco educacional, refeitorio e quadra poliesportiva</t>
  </si>
  <si>
    <t xml:space="preserve">azulejos e pastilhas  do bloco educacional, refeitório e quadra poliesportiva </t>
  </si>
  <si>
    <t>SDC01095</t>
  </si>
  <si>
    <t>BRISE METÁLICO, COM PINTURA ESMALTE SINTÉTICO, DIMENSÃO DO METALON 40X30CM E CHAPA 18</t>
  </si>
  <si>
    <t>SDC04067</t>
  </si>
  <si>
    <t>BANCO EM ESTRUTURA METÁLICA, METALON 50X50, CHAPA 14 COM PINTURA ESMALTE</t>
  </si>
  <si>
    <t>17.2</t>
  </si>
  <si>
    <t>73948/003</t>
  </si>
  <si>
    <t>LIMPEZA AZULEJO</t>
  </si>
  <si>
    <t>17.3</t>
  </si>
  <si>
    <t>73948/008</t>
  </si>
  <si>
    <t>LIMPEZA VIDRO COMUM</t>
  </si>
  <si>
    <t>SDC03063</t>
  </si>
  <si>
    <t>CABO DE COBRE ISOLADO EM EPR FLEXÍVEL 16MM² - 0,6KV/1KV/90°</t>
  </si>
  <si>
    <t>SDC03064</t>
  </si>
  <si>
    <t>CABO DE COBRE ISOLADO EM EPR FLEXÍVEL 25MM² - 0,6KV/1KV/90°</t>
  </si>
  <si>
    <t>SDC03065</t>
  </si>
  <si>
    <t>CABO DE COBRE ISOLADO EM EPR FLEXÍVEL 35MM² - 0,6KV/1KV/90°</t>
  </si>
  <si>
    <t>SDC03067</t>
  </si>
  <si>
    <t>CABO DE COBRE ISOLADO EM EPR FLEXÍVEL 70MM² - 0,6KV/1KV/90°</t>
  </si>
  <si>
    <t>SDC03031</t>
  </si>
  <si>
    <t>CABO DE COBRE ISOLADO EM EPR FLEXÍVEL 120MM² - 0,6KV/1KV/90°</t>
  </si>
  <si>
    <t>POSTE DE AÇO CONICO CONTÍNUO CURVO SIMPLES, FLANGEADO, COM JANELA DE INSPEÇÃO H=9M - FORNECIMENTO E INSTALACAO</t>
  </si>
  <si>
    <t>73769/002</t>
  </si>
  <si>
    <t>16.13</t>
  </si>
  <si>
    <t>16.14</t>
  </si>
  <si>
    <t>16.15</t>
  </si>
  <si>
    <t>19.5</t>
  </si>
  <si>
    <t>19.10</t>
  </si>
  <si>
    <t>21.6</t>
  </si>
  <si>
    <t>21.10</t>
  </si>
  <si>
    <t>31.1</t>
  </si>
  <si>
    <t>32.19</t>
  </si>
  <si>
    <t>48.5</t>
  </si>
  <si>
    <t>50.16</t>
  </si>
  <si>
    <t>51.25</t>
  </si>
  <si>
    <t>51.33</t>
  </si>
  <si>
    <t>51.45</t>
  </si>
  <si>
    <t>53.8</t>
  </si>
  <si>
    <t>60.1</t>
  </si>
  <si>
    <t>60.7</t>
  </si>
  <si>
    <t>61.2</t>
  </si>
  <si>
    <t xml:space="preserve">SDC03021 </t>
  </si>
  <si>
    <t>ELETRODUTO ZINCADO, INCLUSIVE CONEXÕES DE 1"</t>
  </si>
  <si>
    <t>SDC03069</t>
  </si>
  <si>
    <t>ELETRODUTO ZINCADO LEVE 3/4" X 3M - FORNECIMENTO E INSTALAÇÃO</t>
  </si>
  <si>
    <t>SDC03070</t>
  </si>
  <si>
    <t>LUVA P/ELETRODUTO ZINCADO 3/4"</t>
  </si>
  <si>
    <t>SDC03022</t>
  </si>
  <si>
    <t>LUVA P/ELETRODUTO ZINCADO 1"</t>
  </si>
  <si>
    <t>SDC03023</t>
  </si>
  <si>
    <t>CURVA 90° DE FERRO ZINCADO P/ ELTRODUTO DE 1"</t>
  </si>
  <si>
    <t>CONDULETE DE PVC, TIPO X, PARA ELETRODUTO DE PVC SOLDÁVEL DN 32 MM (1''), APARENTE - FORNECIMENTO E INSTALAÇÃO. AF_11/2016</t>
  </si>
  <si>
    <t>SDC03123</t>
  </si>
  <si>
    <t>FORNECIMENTO E INSTALAÇÃO DE TAMPA CEGA P/CONDULETE 3/4"</t>
  </si>
  <si>
    <t>SDC03024</t>
  </si>
  <si>
    <t>FORNECIMENTO E INSTALAÇÃO DE TAMPA CEGA P/CONDULETE 1"</t>
  </si>
  <si>
    <t>CAIXA DE INCÊNDIO 60X75X17CM - FORNECIMENTO E INSTALAÇÃO</t>
  </si>
  <si>
    <t>NIPLE, EM FERRO GALVANIZADO, DN 65 (2 1/2"), CONEXÃO ROSQUEADA, INSTALADO EM PRUMADAS - FORNECIMENTO E INSTALAÇÃO. AF_12/2015</t>
  </si>
  <si>
    <t>74169/001</t>
  </si>
  <si>
    <t>REGISTRO/VALVULA GLOBO ANGULAR 45 GRAUS EM LATAO PARA HIDRANTES DE INCÊNDIO PREDIAL DN 2.1/2, COM VOLANTE, CLASSE DE PRESSAO DE ATE 200 PSI - FORNECIMENTO E INSTALACAO</t>
  </si>
  <si>
    <t>CONJUNTO DE MANGUEIRA PARA COMBATE A INCENDIO EM FIBRA DE POLIESTER PURA, COM 1.1/2", REVESTIDA INTERNAMENTE, COM 2 LANCES DE 15M CADA</t>
  </si>
  <si>
    <t>SDC07026</t>
  </si>
  <si>
    <t>FORNECIMENTO E INSTALAÇÃO DE ADAPTADOR STORZ PARA ENGATE RÁPIDO 2 1/2 X 1 1/2 COM TAMPÃO E CORRENTE (INCÊNDIO)</t>
  </si>
  <si>
    <t>SDC07011</t>
  </si>
  <si>
    <t>FORNECIMENTO E INSTALAÇÃO DE ESGUICHO JATO SÓLIDO, EM LATÃO, ENGATE RÁPIDO 1.1/2" X 19MM</t>
  </si>
  <si>
    <t>SDC07010</t>
  </si>
  <si>
    <t>FORNECIMENTO DE CHAVE PARA CONEXÃO DE MANGUEIRA TIPO STORZ ENGATE RÁPIDO DUPLA 1.1/2" X 2.1/2"</t>
  </si>
  <si>
    <t>CAIXA DE INCÊNDIO 45X75X17CM - FORNECIMENTO E INSTALAÇÃO</t>
  </si>
  <si>
    <t>SDC07036</t>
  </si>
  <si>
    <t>COTOVELO 45° DE AÇO GALV. (2.1/2")</t>
  </si>
  <si>
    <t xml:space="preserve">SDC07017 </t>
  </si>
  <si>
    <t>FORNECIMENTO E INSTALAÇÃO DE ADAPTADOR STORZ PARA ENGATE RAPIDO 2.1/2 COM TAMPÃO E CORRENTE</t>
  </si>
  <si>
    <t>SDC07030</t>
  </si>
  <si>
    <t>FORNECIMENTO E INSTALAÇÃO DE TAMPA DE FERRO 60 X 40 CM COM A INSCRIÇÃO INCÊNDIO</t>
  </si>
  <si>
    <t>ASSENTAMENTO DE TAMPÃO DE FERRO FUNDIDO 600MM</t>
  </si>
  <si>
    <t>ALVENARIA EM TIJOLO CERÂMICO MACIÇO 5X10X20CM 1/2 VEZ (ESPESSURA 10CM), ASSENTADO COM ARGAMASSA TRAÇO 1:2:8 (CIMENTO, CAL E AREIA)</t>
  </si>
  <si>
    <t>SDC07015</t>
  </si>
  <si>
    <t>FORNECIMENTO E INSTALAÇÃO DE ACIONADOR MANUAL LIGA DESLIGA, BOTOEIRA, TIPO QUEBRA VIDRO, PARA ACIONAMENTO DA BOMBA DO HIDRANTE</t>
  </si>
  <si>
    <t xml:space="preserve"> FORNECIMENTO E INSTALAÇÃO DE BOMBA TRIFÁSICA 5CV - 220/380V</t>
  </si>
  <si>
    <t>SDC07012</t>
  </si>
  <si>
    <t>TUBO GALVANIZADO SEM CUSTURA C/ROSCA 2 1/2", BARRA DE 6 METROS COM ESPESSURA DE 3,5MM - INSTALADO EM REDE DE ALIMENTAÇÃO PARA HIDRANTE</t>
  </si>
  <si>
    <t>SDC03114</t>
  </si>
  <si>
    <t>FORNECIMENTO E INSTALAÇÃO CHAVE DE PARTIDA PARA BOMBA 7,5CV</t>
  </si>
  <si>
    <t>SDC04049</t>
  </si>
  <si>
    <t>MURETA C/TIJOLO MACIÇO, REBOCADA, INCL. FUNDAÇÕES</t>
  </si>
  <si>
    <t>SDC07014</t>
  </si>
  <si>
    <t xml:space="preserve"> DISJUNTOR TRIPOLAR TIPO DIN, CORRENTE NOMINAL DE 40A - FORNECIMENTO E INSTALAÇÃO. AF_04/2016</t>
  </si>
  <si>
    <t>ELETRODUTO ZINCADO, INCLUSIVE CONEXÕES DE 1" ( CASA DE BOMBA)</t>
  </si>
  <si>
    <t>LUVA P/ELETRODUTO ZINCADO 1" (Casa de Bomba)</t>
  </si>
  <si>
    <t>CURVA 90° DE FERRO ZINCADO P/ ELTRODUTO DE 1" (Casa de Bomba)</t>
  </si>
  <si>
    <t>ABRAÇADEIRA TIPO "D" COM CUNHA, DIÂMETRO 1" (Casa de Bomba)</t>
  </si>
  <si>
    <t>EXTINTOR INCENDIO TP PO QUIMICO 06KG ABC - FORNECIMENTO E INSTALACAO</t>
  </si>
  <si>
    <t>EXTINTOR INCENDIO AGUA-PRESSURIZADA 10L INCL SUPORTE PAREDE CARGA COMPLETA FORNECIMENTO E COLOCACAO</t>
  </si>
  <si>
    <t>APLICACAO DE TINTA A BASE DE EPOXI SOBRE PISO</t>
  </si>
  <si>
    <t>29.7</t>
  </si>
  <si>
    <t>29.8</t>
  </si>
  <si>
    <t>29.9</t>
  </si>
  <si>
    <t>29.10</t>
  </si>
  <si>
    <t>29.11</t>
  </si>
  <si>
    <t>29.12</t>
  </si>
  <si>
    <t>29.13</t>
  </si>
  <si>
    <t>29.14</t>
  </si>
  <si>
    <t>29.15</t>
  </si>
  <si>
    <t>29.16</t>
  </si>
  <si>
    <t>29.17</t>
  </si>
  <si>
    <t>29.18</t>
  </si>
  <si>
    <t>29.19</t>
  </si>
  <si>
    <t>29.20</t>
  </si>
  <si>
    <t>Hidrante de parede</t>
  </si>
  <si>
    <t>30.2</t>
  </si>
  <si>
    <t>30.3</t>
  </si>
  <si>
    <t>30.4</t>
  </si>
  <si>
    <t>30.5</t>
  </si>
  <si>
    <t>30.6</t>
  </si>
  <si>
    <t>30.7</t>
  </si>
  <si>
    <t>Hidrante de recalque</t>
  </si>
  <si>
    <t>30.8</t>
  </si>
  <si>
    <t>30.9</t>
  </si>
  <si>
    <t>30.10</t>
  </si>
  <si>
    <t>30.11</t>
  </si>
  <si>
    <t>Abrigo para registro de gaveta e valvula de retenção</t>
  </si>
  <si>
    <t>30.12</t>
  </si>
  <si>
    <t>FORNECIMENTO E INSTALAÇÃO DE REGISTRO GAVETA BRUTO, D = 65 MM (2 1/2)</t>
  </si>
  <si>
    <t>30.13</t>
  </si>
  <si>
    <t>30.14</t>
  </si>
  <si>
    <t>30.15</t>
  </si>
  <si>
    <t>30.16</t>
  </si>
  <si>
    <t>30.17</t>
  </si>
  <si>
    <t>30.18</t>
  </si>
  <si>
    <t>30.19</t>
  </si>
  <si>
    <t>30.20</t>
  </si>
  <si>
    <t>30.21</t>
  </si>
  <si>
    <t>30.22</t>
  </si>
  <si>
    <t>30.23</t>
  </si>
  <si>
    <t>30.24</t>
  </si>
  <si>
    <t>30.25</t>
  </si>
  <si>
    <t>30.26</t>
  </si>
  <si>
    <t>30.27</t>
  </si>
  <si>
    <t>30.28</t>
  </si>
  <si>
    <t>30.29</t>
  </si>
  <si>
    <t>30.30</t>
  </si>
  <si>
    <t>30.31</t>
  </si>
  <si>
    <t>30.32</t>
  </si>
  <si>
    <t>30.33</t>
  </si>
  <si>
    <t>30.34</t>
  </si>
  <si>
    <t>30.35</t>
  </si>
  <si>
    <t>30.36</t>
  </si>
  <si>
    <t>30.37</t>
  </si>
  <si>
    <t>30.38</t>
  </si>
  <si>
    <t>30.39</t>
  </si>
  <si>
    <t>30.40</t>
  </si>
  <si>
    <t>LUMINARIA DE EMERGENCIA 24 LEDS, POTENCIA 32 W, BATERIA DE LITIO, Bloco Autonomo DE 960 LUMENS</t>
  </si>
  <si>
    <t>69.12</t>
  </si>
  <si>
    <t>69.13</t>
  </si>
  <si>
    <t>69.14</t>
  </si>
  <si>
    <t>69.15</t>
  </si>
  <si>
    <t>69.16</t>
  </si>
  <si>
    <t>69.17</t>
  </si>
  <si>
    <t>69.18</t>
  </si>
  <si>
    <t>69.19</t>
  </si>
  <si>
    <t>69.20</t>
  </si>
  <si>
    <t>70.32</t>
  </si>
  <si>
    <t>70.33</t>
  </si>
  <si>
    <t>70.34</t>
  </si>
  <si>
    <t>70.35</t>
  </si>
  <si>
    <t>70.36</t>
  </si>
  <si>
    <t>70.37</t>
  </si>
  <si>
    <t>70.38</t>
  </si>
  <si>
    <t>70.39</t>
  </si>
  <si>
    <t>70.40</t>
  </si>
  <si>
    <t>Construção de Escola Padrão SEDUC/MT, constituída de:  16 salas de aula, sala de articulação, biblioteca e laboratórios de física, informática e química; Espaços Administrativos – diretoria, secretaria, coordenadoria, sala de professores, arquivo, copa, e sanitários; Refeitório  –  Cozinha com área de higienização, cocção, depósito de alimentos, depósito de utensílios, sanitários e serviços; Quadra Poliesportiva com vestiários feminino e masculino incluindo PCD F/M; instalações elétricas de baixa tensão, posto de transformação, SPDA , instalações hidrossanitárias e instalações combate a incêndio e pânico,  observando as normas vigentes de acessibilidade e segurança, na EE Parque Sabiá – Localizada no município deVárzea Grande/ MT.</t>
  </si>
  <si>
    <t>Várzea Grande/ MT</t>
  </si>
  <si>
    <t>Rua  Juscelino Kubitschek, S/ nº, Parque Sabiá ( São Matheus) - Várzea Grande/ MT</t>
  </si>
  <si>
    <r>
      <t>Alíquota de Várzea Grande</t>
    </r>
    <r>
      <rPr>
        <i/>
        <sz val="11"/>
        <color indexed="10"/>
        <rFont val="Calibri Light"/>
        <family val="2"/>
      </rPr>
      <t xml:space="preserve"> = 5,0%</t>
    </r>
  </si>
  <si>
    <t>QUANTITATIVO EE PARQUE SABIÁ</t>
  </si>
  <si>
    <t>EE. PARQUE SABIÁ</t>
  </si>
  <si>
    <t>MAPA DE COTAÇÃO DE INSUMOS</t>
  </si>
  <si>
    <t>Código</t>
  </si>
  <si>
    <t>Descrição</t>
  </si>
  <si>
    <t>FONTE</t>
  </si>
  <si>
    <t xml:space="preserve">UNI </t>
  </si>
  <si>
    <t>P. UNIT. (R$)</t>
  </si>
  <si>
    <t>MEDIANA TOTAL (R$)</t>
  </si>
  <si>
    <t>AÇOFER INDÚSTRIA E COMÉRCIO LTDA</t>
  </si>
  <si>
    <t>HELTON</t>
  </si>
  <si>
    <t>1KG</t>
  </si>
  <si>
    <t>FERMAT</t>
  </si>
  <si>
    <t>03.658.692/0004-09</t>
  </si>
  <si>
    <t>MARIELE</t>
  </si>
  <si>
    <t>PERFILADOS MULTIAÇO</t>
  </si>
  <si>
    <t>02.019.067/0001-01</t>
  </si>
  <si>
    <t>DALVA</t>
  </si>
  <si>
    <t>Proloja Vidros</t>
  </si>
  <si>
    <t>3624-9925</t>
  </si>
  <si>
    <t>Diego</t>
  </si>
  <si>
    <t>Serralheria Pinheiro</t>
  </si>
  <si>
    <t>99227-5424</t>
  </si>
  <si>
    <t>Geniva</t>
  </si>
  <si>
    <t>Serralheria Jesus</t>
  </si>
  <si>
    <t>99278-6775</t>
  </si>
  <si>
    <t>ELETRODUTODE FERRO ZINCADO LEVE 1" X 3M</t>
  </si>
  <si>
    <t>TAMPA CEGA PARA CONDULETE 1"</t>
  </si>
  <si>
    <t>SERRALHERIA PINHEIRO</t>
  </si>
  <si>
    <t>9'9607-7626</t>
  </si>
  <si>
    <t>GENIVALDO</t>
  </si>
  <si>
    <t>99986-5352</t>
  </si>
  <si>
    <t>MAQ Inox</t>
  </si>
  <si>
    <t>RESERVATÓRIO METÁLICO TIPO TAÇA 10.000 LT, COM COLUNA SECA</t>
  </si>
  <si>
    <t>REGINALDO</t>
  </si>
  <si>
    <t>MOINHO MATERIAIS PARA CONSTRUÇÃO</t>
  </si>
  <si>
    <t>REFRICOLL REFRIGERAÇÃO</t>
  </si>
  <si>
    <t>09.258.198/0001-82</t>
  </si>
  <si>
    <t>ALEXANDRE</t>
  </si>
  <si>
    <t>MAQ-INOXMET</t>
  </si>
  <si>
    <t>VENTILADOR DE TETO</t>
  </si>
  <si>
    <t>Castelli Mat Construção Ltda</t>
  </si>
  <si>
    <t>11.000.062/0001-10</t>
  </si>
  <si>
    <t>Wesley</t>
  </si>
  <si>
    <t>CAIXA DE INSPEÇÃO TIPO SOLO EM PVC COM DIAMETRO 250MM</t>
  </si>
  <si>
    <t>TAMPA CAIXA DE INSPEÇÃO COM DIAMETRO 250MM</t>
  </si>
  <si>
    <t>ELETRODUTO ZINCADO 3/4"</t>
  </si>
  <si>
    <t>TAMPA CEGA PARA CONDULETE 3/4"</t>
  </si>
  <si>
    <t>PISO TÁTIL EM CONCRETO, 25X25CM - DIRECIONAL E E ALERTA</t>
  </si>
  <si>
    <t>GEOBLOCOS</t>
  </si>
  <si>
    <t>13.537.179/0001-62</t>
  </si>
  <si>
    <t>3667-4802</t>
  </si>
  <si>
    <t>CASTELLI</t>
  </si>
  <si>
    <t>LAURIANO</t>
  </si>
  <si>
    <t>Loja das molduras</t>
  </si>
  <si>
    <t>04.586.826/0001-35</t>
  </si>
  <si>
    <t>3023-8979</t>
  </si>
  <si>
    <t>Cristiana</t>
  </si>
  <si>
    <t>Excelência Vidros</t>
  </si>
  <si>
    <t>18.238.971/0001-30</t>
  </si>
  <si>
    <t>2127-5000</t>
  </si>
  <si>
    <t>amanda</t>
  </si>
  <si>
    <t>Empório do Vidro</t>
  </si>
  <si>
    <t>08.117.730/0001-89</t>
  </si>
  <si>
    <t>3023-7878</t>
  </si>
  <si>
    <t>Adriana</t>
  </si>
  <si>
    <t>FORNECIMENTO DE TOTEM EM CONCRETO ARMADO DE ACORDO COM MODELO DA SEDUC</t>
  </si>
  <si>
    <t>CHUVEIRO E LAVA OLHOS  EM AÇO GALVANIZADO COM ACIONAMENTO MANUAL  NO PISO</t>
  </si>
  <si>
    <t>LABORMERD PROD. MED. HOSP. LABORATORIAIS</t>
  </si>
  <si>
    <t>LETRA CAIXA EM CHAPA GALVANIZADA PINTADA COM TINTA AUTOMOTIVA, 30CM INSTALAÇÃO</t>
  </si>
  <si>
    <t>03.199.999/0001-38</t>
  </si>
  <si>
    <t>3624-2644</t>
  </si>
  <si>
    <t>IMAGINARIO MIDIA VISUAL</t>
  </si>
  <si>
    <t>Viveiro Mato Grosso</t>
  </si>
  <si>
    <t>Maxuel</t>
  </si>
  <si>
    <t>Viveiro America</t>
  </si>
  <si>
    <t>INCENDIO BOTOEIRA LIGA DESLIGA PARA BOMBA</t>
  </si>
  <si>
    <t>DIRCEU</t>
  </si>
  <si>
    <t xml:space="preserve">REFERÊNCIA DAS COMPOSIÇÕES PRÓPRIAS </t>
  </si>
  <si>
    <t xml:space="preserve"> SDC02002 </t>
  </si>
  <si>
    <t>ORSE 1083</t>
  </si>
  <si>
    <t>Tipo</t>
  </si>
  <si>
    <t>INHI - INSTALAÇÕES HIDROS SANITÁRIAS</t>
  </si>
  <si>
    <t>Unidade</t>
  </si>
  <si>
    <t xml:space="preserve"> SDC02003 </t>
  </si>
  <si>
    <t>ORSE 1085</t>
  </si>
  <si>
    <t xml:space="preserve"> SDC02004 </t>
  </si>
  <si>
    <t>SEINFRA C3586</t>
  </si>
  <si>
    <t xml:space="preserve"> SDC02005 </t>
  </si>
  <si>
    <t>SAOP CO1004</t>
  </si>
  <si>
    <t xml:space="preserve"> SDC02006 </t>
  </si>
  <si>
    <t>ORSE 1583</t>
  </si>
  <si>
    <t xml:space="preserve"> SDC02007 </t>
  </si>
  <si>
    <t>SAOP CO1005</t>
  </si>
  <si>
    <t xml:space="preserve"> SDC02008 </t>
  </si>
  <si>
    <t xml:space="preserve"> SDC02017 </t>
  </si>
  <si>
    <t>ORSE 1075</t>
  </si>
  <si>
    <t xml:space="preserve"> SDC02026 </t>
  </si>
  <si>
    <t>ORSE 1090</t>
  </si>
  <si>
    <t xml:space="preserve"> SDC01002 </t>
  </si>
  <si>
    <t>SINAPI - I34493</t>
  </si>
  <si>
    <t>FUES - FUNDAÇÕES E ESTRUTURAS</t>
  </si>
  <si>
    <t xml:space="preserve"> SDC01004 </t>
  </si>
  <si>
    <t xml:space="preserve"> SDC01006 </t>
  </si>
  <si>
    <t xml:space="preserve"> SDC01008 </t>
  </si>
  <si>
    <t xml:space="preserve"> SDC01010 </t>
  </si>
  <si>
    <t xml:space="preserve"> SDC01013 </t>
  </si>
  <si>
    <t xml:space="preserve"> SDC01014 </t>
  </si>
  <si>
    <t>REVE - REVESTIMENTO E TRATAMENTO DE SUPERFÍCIES</t>
  </si>
  <si>
    <t xml:space="preserve"> SDC01016 </t>
  </si>
  <si>
    <t xml:space="preserve"> SDC01017 </t>
  </si>
  <si>
    <t xml:space="preserve"> SDC01018 </t>
  </si>
  <si>
    <t>SIURB-SP 15512</t>
  </si>
  <si>
    <t xml:space="preserve"> SDC01019 </t>
  </si>
  <si>
    <t>PINT - PINTURAS</t>
  </si>
  <si>
    <t xml:space="preserve"> SDC01021 </t>
  </si>
  <si>
    <t>COTAÇÃO DE MERCADO</t>
  </si>
  <si>
    <t>MOVT - MOVIMENTO DE TERRA</t>
  </si>
  <si>
    <t xml:space="preserve"> SDC01022 </t>
  </si>
  <si>
    <t>ESQV - ESQUADRIAS/FERRAGENS/VIDROS</t>
  </si>
  <si>
    <t xml:space="preserve"> SDC01024 </t>
  </si>
  <si>
    <t>SEDI - SERVIÇOS DIVERSOS</t>
  </si>
  <si>
    <t xml:space="preserve"> SDC01025 </t>
  </si>
  <si>
    <t xml:space="preserve"> SDC01029 </t>
  </si>
  <si>
    <t xml:space="preserve"> SDC01030 </t>
  </si>
  <si>
    <t xml:space="preserve"> SDC01034 </t>
  </si>
  <si>
    <t>COBE- COBERTURA</t>
  </si>
  <si>
    <t xml:space="preserve"> SDC01035 </t>
  </si>
  <si>
    <t xml:space="preserve"> SDC01036 </t>
  </si>
  <si>
    <t>ASTU - ASSENTAMENTO DE TUBOS E PECAS</t>
  </si>
  <si>
    <t xml:space="preserve"> SDC03001 </t>
  </si>
  <si>
    <t xml:space="preserve"> SDC03003 </t>
  </si>
  <si>
    <t xml:space="preserve"> SDC03004 </t>
  </si>
  <si>
    <t>INEL - INSTALAÇÃO ELÉTRICA/ELETRIFICAÇÃO E ILUMINAÇÃO EXTERNA</t>
  </si>
  <si>
    <t xml:space="preserve"> SDC03007 </t>
  </si>
  <si>
    <t xml:space="preserve"> SDC03009 </t>
  </si>
  <si>
    <t>CPOS 40.02.040</t>
  </si>
  <si>
    <t xml:space="preserve"> SDC03011 </t>
  </si>
  <si>
    <t>ORSE 10765</t>
  </si>
  <si>
    <t xml:space="preserve"> SDC03012 </t>
  </si>
  <si>
    <t xml:space="preserve"> SDC03013 </t>
  </si>
  <si>
    <t xml:space="preserve"> SDC03014 </t>
  </si>
  <si>
    <t>SUDECAP 11.92.38</t>
  </si>
  <si>
    <t xml:space="preserve"> SDC03015 </t>
  </si>
  <si>
    <t>ORSE 9831</t>
  </si>
  <si>
    <t xml:space="preserve"> SDC03016 </t>
  </si>
  <si>
    <t xml:space="preserve"> SDC03017 </t>
  </si>
  <si>
    <t>ORSE 9051</t>
  </si>
  <si>
    <t xml:space="preserve"> SDC03125 </t>
  </si>
  <si>
    <t xml:space="preserve"> SDC03046 </t>
  </si>
  <si>
    <t>SIURB 91194</t>
  </si>
  <si>
    <t xml:space="preserve"> SDC01045 </t>
  </si>
  <si>
    <t>ORSE 2279</t>
  </si>
  <si>
    <t xml:space="preserve"> SDC01050 </t>
  </si>
  <si>
    <t xml:space="preserve"> SDC02031 </t>
  </si>
  <si>
    <t>ORSE 4273</t>
  </si>
  <si>
    <t xml:space="preserve"> SDC02032 </t>
  </si>
  <si>
    <t xml:space="preserve"> SDC02033 </t>
  </si>
  <si>
    <t xml:space="preserve"> SDC02034 </t>
  </si>
  <si>
    <t xml:space="preserve"> SDC02036 </t>
  </si>
  <si>
    <t xml:space="preserve"> SDC02039 </t>
  </si>
  <si>
    <t xml:space="preserve"> SDC02040 </t>
  </si>
  <si>
    <t xml:space="preserve"> SDC02041 </t>
  </si>
  <si>
    <t>COTOVELO FERRO GALV 90G ROSCA MACHO/FEMEA 2"</t>
  </si>
  <si>
    <t xml:space="preserve"> SDC02043 </t>
  </si>
  <si>
    <t>ORSE 4964</t>
  </si>
  <si>
    <t xml:space="preserve"> SDC02045 </t>
  </si>
  <si>
    <t>ORSE 1089</t>
  </si>
  <si>
    <t xml:space="preserve"> SDC02056 </t>
  </si>
  <si>
    <t xml:space="preserve"> SDC02057 </t>
  </si>
  <si>
    <t xml:space="preserve"> SDC01076 </t>
  </si>
  <si>
    <t>URBA - URBANIZAÇÃO</t>
  </si>
  <si>
    <t xml:space="preserve"> SDC02088 </t>
  </si>
  <si>
    <t>SEINFRA C0691</t>
  </si>
  <si>
    <t xml:space="preserve"> SDC02094 </t>
  </si>
  <si>
    <t xml:space="preserve"> SDC02096 </t>
  </si>
  <si>
    <t xml:space="preserve"> SDC02064 </t>
  </si>
  <si>
    <t>FOSSA SÉPTICA EM ALVENARIA - TIJOLO COMUM MACIÇO, DIMENSOES 475 X 240 X 180 CM (20,52M3)</t>
  </si>
  <si>
    <t xml:space="preserve"> SDC02071 </t>
  </si>
  <si>
    <t xml:space="preserve"> SDC02079 </t>
  </si>
  <si>
    <t xml:space="preserve"> SDC01089 </t>
  </si>
  <si>
    <t>PARE - PAREDES/PAINEIS</t>
  </si>
  <si>
    <t xml:space="preserve"> SDC01096 </t>
  </si>
  <si>
    <t>SINAPI 84161</t>
  </si>
  <si>
    <t>PISO - PISOS</t>
  </si>
  <si>
    <t xml:space="preserve"> SDC04001 </t>
  </si>
  <si>
    <t xml:space="preserve"> SDC04002 </t>
  </si>
  <si>
    <t xml:space="preserve"> SDC04003 </t>
  </si>
  <si>
    <t xml:space="preserve"> SDC04004 </t>
  </si>
  <si>
    <t xml:space="preserve"> SDC04005 </t>
  </si>
  <si>
    <t xml:space="preserve"> SDC04007 </t>
  </si>
  <si>
    <t xml:space="preserve"> SDC04009 </t>
  </si>
  <si>
    <t>SETOP ACE-BAR-005</t>
  </si>
  <si>
    <t xml:space="preserve"> SDC04010 </t>
  </si>
  <si>
    <t xml:space="preserve"> SDC04011 </t>
  </si>
  <si>
    <t xml:space="preserve"> SDC04012 </t>
  </si>
  <si>
    <t>CPOS-SP 04.08.080</t>
  </si>
  <si>
    <t xml:space="preserve"> SDC04015 </t>
  </si>
  <si>
    <t xml:space="preserve"> SDC04020 </t>
  </si>
  <si>
    <t xml:space="preserve"> SDC04021 </t>
  </si>
  <si>
    <t xml:space="preserve"> SDC04022 </t>
  </si>
  <si>
    <t xml:space="preserve"> SDC04023 </t>
  </si>
  <si>
    <t xml:space="preserve"> SDC04024 </t>
  </si>
  <si>
    <t xml:space="preserve"> SDC04027 </t>
  </si>
  <si>
    <t xml:space="preserve"> SDC04028 </t>
  </si>
  <si>
    <t xml:space="preserve"> SDC04029 </t>
  </si>
  <si>
    <t>FORNECIMENTO E INSTALAÇÃO DE REGISTRO PARA GÁS 3/4</t>
  </si>
  <si>
    <t>INES - INSTALAÇÕES ESPECIAIS</t>
  </si>
  <si>
    <t xml:space="preserve"> SDC04031 </t>
  </si>
  <si>
    <t xml:space="preserve"> SDC04034 </t>
  </si>
  <si>
    <t xml:space="preserve"> SDC04060 </t>
  </si>
  <si>
    <t xml:space="preserve"> SDC03055 </t>
  </si>
  <si>
    <t xml:space="preserve"> SDC03056 </t>
  </si>
  <si>
    <t>ORSE 10903</t>
  </si>
  <si>
    <t xml:space="preserve"> SDC03057 </t>
  </si>
  <si>
    <t xml:space="preserve"> SDC03058 </t>
  </si>
  <si>
    <t xml:space="preserve"> SDC03062 </t>
  </si>
  <si>
    <t>CABO DE COBRE ISOLADO EM EPR FLEXÍVEL 10MM2 - 0,6KV/1KV/90°</t>
  </si>
  <si>
    <t xml:space="preserve"> SDC07041 </t>
  </si>
  <si>
    <t xml:space="preserve"> SDC05003 </t>
  </si>
  <si>
    <t>ORSE 4656</t>
  </si>
  <si>
    <t>CANT - CANTEIRO DE OBRAS</t>
  </si>
  <si>
    <t xml:space="preserve"> SDC05004 </t>
  </si>
  <si>
    <t>SEINFRA - C1622</t>
  </si>
  <si>
    <t xml:space="preserve"> SDC07001 </t>
  </si>
  <si>
    <t xml:space="preserve"> SDC07002 </t>
  </si>
  <si>
    <t xml:space="preserve"> SDC07003 </t>
  </si>
  <si>
    <t xml:space="preserve"> SDC07004 </t>
  </si>
  <si>
    <t xml:space="preserve"> SDC07005 </t>
  </si>
  <si>
    <t xml:space="preserve"> SDC07006 </t>
  </si>
  <si>
    <t xml:space="preserve"> SDC07007 </t>
  </si>
  <si>
    <t xml:space="preserve"> SDC07008 </t>
  </si>
  <si>
    <t xml:space="preserve"> SDC04044 </t>
  </si>
  <si>
    <t xml:space="preserve"> SDC01027 </t>
  </si>
  <si>
    <t>SEDOP 090822</t>
  </si>
  <si>
    <t xml:space="preserve"> SDC01028 </t>
  </si>
  <si>
    <t xml:space="preserve"> SDC01031 </t>
  </si>
  <si>
    <t xml:space="preserve"> SDC06001 </t>
  </si>
  <si>
    <t xml:space="preserve"> SDC02104</t>
  </si>
  <si>
    <t xml:space="preserve"> SDC04067</t>
  </si>
  <si>
    <t>SBC 200061</t>
  </si>
  <si>
    <t xml:space="preserve"> SDC02019 </t>
  </si>
  <si>
    <t>ORSE 1077</t>
  </si>
  <si>
    <t xml:space="preserve"> SDC02029</t>
  </si>
  <si>
    <t xml:space="preserve"> SDC01095</t>
  </si>
  <si>
    <t>SINAPI 94560</t>
  </si>
  <si>
    <t xml:space="preserve"> SDC02050</t>
  </si>
  <si>
    <t>ORSE 4283</t>
  </si>
  <si>
    <t xml:space="preserve"> SDC03005 </t>
  </si>
  <si>
    <t xml:space="preserve"> SDC03010 </t>
  </si>
  <si>
    <t xml:space="preserve"> SDC03021</t>
  </si>
  <si>
    <t>SEINFRA C 1181</t>
  </si>
  <si>
    <t xml:space="preserve"> SDC03022</t>
  </si>
  <si>
    <t>SEDOP 171339</t>
  </si>
  <si>
    <t xml:space="preserve"> SDC03023</t>
  </si>
  <si>
    <t>SEDOP 171345</t>
  </si>
  <si>
    <t xml:space="preserve"> SDC03024</t>
  </si>
  <si>
    <t xml:space="preserve"> SDC03031</t>
  </si>
  <si>
    <t>ORSE 8072</t>
  </si>
  <si>
    <t xml:space="preserve"> SDC03063 </t>
  </si>
  <si>
    <t>CABO DE COBRE ISOLADO EM EPR FLEXÍVEL 16MM2 - 0,6KV/1KV/90°</t>
  </si>
  <si>
    <t>ORSE 9204</t>
  </si>
  <si>
    <t xml:space="preserve"> SDC03064 </t>
  </si>
  <si>
    <t>CABO DE COBRE ISOLADO EM EPR FLEXÍVEL 25MM2 - 0,6KV/1KV/90°</t>
  </si>
  <si>
    <t>ORSE 8070</t>
  </si>
  <si>
    <t xml:space="preserve"> SDC03065 </t>
  </si>
  <si>
    <t>CABO DE COBRE ISOLADO EM EPR FLEXÍVEL 35MM2 - 0,6KV/1KV/90°</t>
  </si>
  <si>
    <t>ORSE 7916</t>
  </si>
  <si>
    <t xml:space="preserve"> SDC03067 </t>
  </si>
  <si>
    <t>CABO DE COBRE ISOLADO EM EPR FLEXÍVEL 70MM2 - 0,6KV/1KV/90°</t>
  </si>
  <si>
    <t>ORSE 8071</t>
  </si>
  <si>
    <t xml:space="preserve"> SDC03069</t>
  </si>
  <si>
    <t>SEINFRA C1179</t>
  </si>
  <si>
    <t xml:space="preserve"> SDC03070</t>
  </si>
  <si>
    <t>SEDOP 171409</t>
  </si>
  <si>
    <t xml:space="preserve"> SDC03120</t>
  </si>
  <si>
    <t xml:space="preserve"> SDC03121</t>
  </si>
  <si>
    <t xml:space="preserve"> SDC03123</t>
  </si>
  <si>
    <t xml:space="preserve"> SDC03128</t>
  </si>
  <si>
    <t xml:space="preserve"> SDC04033 </t>
  </si>
  <si>
    <t xml:space="preserve"> SDC04049 </t>
  </si>
  <si>
    <t>SEINFRA C1803</t>
  </si>
  <si>
    <t xml:space="preserve"> SDC04061</t>
  </si>
  <si>
    <t xml:space="preserve"> SDC07010</t>
  </si>
  <si>
    <t>FORNECIMENTO DE CHAVE PARA CONEXÃO DE MANGUEIRA TIPO STORZ ENGATE RÁPIDO DUPLA  1.1/2" X 2.1/2"</t>
  </si>
  <si>
    <t>SETOP-MG / INC-CHA-005</t>
  </si>
  <si>
    <t xml:space="preserve"> SDC07011</t>
  </si>
  <si>
    <t>ORSE 10786</t>
  </si>
  <si>
    <t xml:space="preserve"> SDC07015 </t>
  </si>
  <si>
    <t xml:space="preserve"> SDC07017 </t>
  </si>
  <si>
    <t>FORNECIMENTO E INSTALAÇÃO DE ADAPTADOR STORZ PARA ENGATE RAPIDO 2.1/2 X 2.1/2 COM TAMPÃO E CORRENTE</t>
  </si>
  <si>
    <t>ORSE 1510</t>
  </si>
  <si>
    <t xml:space="preserve"> SDC07040</t>
  </si>
  <si>
    <t>Banco</t>
  </si>
  <si>
    <t xml:space="preserve"> SDC06007 </t>
  </si>
  <si>
    <t>Próprio</t>
  </si>
  <si>
    <t>SERT - SERVIÇOS TÉCNICOS</t>
  </si>
  <si>
    <t xml:space="preserve"> 90777 </t>
  </si>
  <si>
    <t>70,04</t>
  </si>
  <si>
    <t xml:space="preserve"> 94295 </t>
  </si>
  <si>
    <t>MES</t>
  </si>
  <si>
    <t>1,0</t>
  </si>
  <si>
    <t xml:space="preserve"> 88326 </t>
  </si>
  <si>
    <t>360,0</t>
  </si>
  <si>
    <t>15,54</t>
  </si>
  <si>
    <t>120,0</t>
  </si>
  <si>
    <t>12,14</t>
  </si>
  <si>
    <t xml:space="preserve"> 93572 </t>
  </si>
  <si>
    <t>Valor Unit</t>
  </si>
  <si>
    <t>27,41</t>
  </si>
  <si>
    <t xml:space="preserve"> 00006081 </t>
  </si>
  <si>
    <t>ARGILA OU BARRO PARA ATERRO/REATERRO (COM TRANSPORTE ATE 10 KM)</t>
  </si>
  <si>
    <t>643,75</t>
  </si>
  <si>
    <t xml:space="preserve"> 00010779 </t>
  </si>
  <si>
    <t>LOCACAO DE CONTAINER 2,30 X 4,30 M, ALT. 2,50 M, P/ SANITARIO, C/ 5 BACIAS, 1 LAVATORIO E 4 MICTORIOS</t>
  </si>
  <si>
    <t>Equipamento</t>
  </si>
  <si>
    <t xml:space="preserve"> 88248 </t>
  </si>
  <si>
    <t>4,0</t>
  </si>
  <si>
    <t>14,25</t>
  </si>
  <si>
    <t xml:space="preserve"> 88267 </t>
  </si>
  <si>
    <t>8,0</t>
  </si>
  <si>
    <t>17,48</t>
  </si>
  <si>
    <t xml:space="preserve"> 88309 </t>
  </si>
  <si>
    <t>17,08</t>
  </si>
  <si>
    <t xml:space="preserve"> 88316 </t>
  </si>
  <si>
    <t>8,12</t>
  </si>
  <si>
    <t>13,88</t>
  </si>
  <si>
    <t xml:space="preserve"> 88262 </t>
  </si>
  <si>
    <t xml:space="preserve"> 00020247 </t>
  </si>
  <si>
    <t>PREGO DE ACO POLIDO COM CABECA 15 X 15 (1 1/4 X 13)</t>
  </si>
  <si>
    <t>8,88</t>
  </si>
  <si>
    <t xml:space="preserve"> 00009836 </t>
  </si>
  <si>
    <t>TUBO PVC  SERIE NORMAL, DN 100 MM, PARA ESGOTO  PREDIAL (NBR 5688)</t>
  </si>
  <si>
    <t>5,0</t>
  </si>
  <si>
    <t>8,82</t>
  </si>
  <si>
    <t xml:space="preserve"> 00000370 </t>
  </si>
  <si>
    <t>0,0189</t>
  </si>
  <si>
    <t>62,75</t>
  </si>
  <si>
    <t xml:space="preserve"> 00012774 </t>
  </si>
  <si>
    <t>113,95</t>
  </si>
  <si>
    <t xml:space="preserve"> 00006189 </t>
  </si>
  <si>
    <t>6,26</t>
  </si>
  <si>
    <t xml:space="preserve"> 00009868 </t>
  </si>
  <si>
    <t>30,0</t>
  </si>
  <si>
    <t>2,99</t>
  </si>
  <si>
    <t xml:space="preserve"> 00004425 </t>
  </si>
  <si>
    <t>25,0</t>
  </si>
  <si>
    <t>9,70</t>
  </si>
  <si>
    <t xml:space="preserve"> 00007258 </t>
  </si>
  <si>
    <t>0,30</t>
  </si>
  <si>
    <t xml:space="preserve"> 00034636 </t>
  </si>
  <si>
    <t>267,90</t>
  </si>
  <si>
    <t xml:space="preserve"> 88238 </t>
  </si>
  <si>
    <t>0,0285</t>
  </si>
  <si>
    <t>13,90</t>
  </si>
  <si>
    <t xml:space="preserve"> 88245 </t>
  </si>
  <si>
    <t>0,1743</t>
  </si>
  <si>
    <t xml:space="preserve"> 92791 </t>
  </si>
  <si>
    <t>7,29</t>
  </si>
  <si>
    <t xml:space="preserve"> 00000337 </t>
  </si>
  <si>
    <t>0,025</t>
  </si>
  <si>
    <t>7,95</t>
  </si>
  <si>
    <t xml:space="preserve"> 00039017 </t>
  </si>
  <si>
    <t>ESPACADOR / DISTANCIADOR CIRCULAR COM ENTRADA LATERAL, EM PLASTICO, PARA VERGALHAO *4,2 A 12,5* MM, COBRIMENTO 20 MM</t>
  </si>
  <si>
    <t>1,19</t>
  </si>
  <si>
    <t>0,12</t>
  </si>
  <si>
    <t>9,96</t>
  </si>
  <si>
    <t>0,0218</t>
  </si>
  <si>
    <t>0,133</t>
  </si>
  <si>
    <t xml:space="preserve"> 92792 </t>
  </si>
  <si>
    <t>7,11</t>
  </si>
  <si>
    <t>0,97</t>
  </si>
  <si>
    <t>9,41</t>
  </si>
  <si>
    <t>0,0162</t>
  </si>
  <si>
    <t>0,0993</t>
  </si>
  <si>
    <t xml:space="preserve"> 92793 </t>
  </si>
  <si>
    <t>7,24</t>
  </si>
  <si>
    <t>0,743</t>
  </si>
  <si>
    <t>7,55</t>
  </si>
  <si>
    <t>0,0121</t>
  </si>
  <si>
    <t>0,0743</t>
  </si>
  <si>
    <t xml:space="preserve"> 92794 </t>
  </si>
  <si>
    <t>5,94</t>
  </si>
  <si>
    <t>6,28</t>
  </si>
  <si>
    <t>0,0089</t>
  </si>
  <si>
    <t>0,0542</t>
  </si>
  <si>
    <t xml:space="preserve"> 92795 </t>
  </si>
  <si>
    <t>5,01</t>
  </si>
  <si>
    <t>0,367</t>
  </si>
  <si>
    <t>294,68</t>
  </si>
  <si>
    <t xml:space="preserve"> 00034493 </t>
  </si>
  <si>
    <t>0,19</t>
  </si>
  <si>
    <t>0,35</t>
  </si>
  <si>
    <t>0,85</t>
  </si>
  <si>
    <t xml:space="preserve"> 92874 </t>
  </si>
  <si>
    <t>0,061</t>
  </si>
  <si>
    <t xml:space="preserve"> 00000231 </t>
  </si>
  <si>
    <t xml:space="preserve"> 00004491 </t>
  </si>
  <si>
    <t>1,1</t>
  </si>
  <si>
    <t>4,32</t>
  </si>
  <si>
    <t xml:space="preserve"> 00005075 </t>
  </si>
  <si>
    <t>PREGO DE ACO POLIDO COM CABECA 18 X 30 (2 3/4 X 10)</t>
  </si>
  <si>
    <t>0,02</t>
  </si>
  <si>
    <t>8,02</t>
  </si>
  <si>
    <t>0,3</t>
  </si>
  <si>
    <t>2,0</t>
  </si>
  <si>
    <t xml:space="preserve"> 00004718 </t>
  </si>
  <si>
    <t>1,2</t>
  </si>
  <si>
    <t>49,70</t>
  </si>
  <si>
    <t>6,89</t>
  </si>
  <si>
    <t xml:space="preserve"> 88315 </t>
  </si>
  <si>
    <t>16,30</t>
  </si>
  <si>
    <t xml:space="preserve"> 88251 </t>
  </si>
  <si>
    <t>13,41</t>
  </si>
  <si>
    <t xml:space="preserve"> 88310 </t>
  </si>
  <si>
    <t>0,003</t>
  </si>
  <si>
    <t>17,02</t>
  </si>
  <si>
    <t xml:space="preserve"> 88240 </t>
  </si>
  <si>
    <t>0,04</t>
  </si>
  <si>
    <t>8,80</t>
  </si>
  <si>
    <t xml:space="preserve"> 88317 </t>
  </si>
  <si>
    <t xml:space="preserve"> 00000179 </t>
  </si>
  <si>
    <t>0,525</t>
  </si>
  <si>
    <t>4,88</t>
  </si>
  <si>
    <t xml:space="preserve"> 00000549 </t>
  </si>
  <si>
    <t>BARRA DE FERRO RETANGULAR, BARRA CHATA, 2" X 1/2" (L X E), 5,06 KG/M</t>
  </si>
  <si>
    <t>0,1037</t>
  </si>
  <si>
    <t>23,68</t>
  </si>
  <si>
    <t xml:space="preserve"> 00007307 </t>
  </si>
  <si>
    <t>0,0025</t>
  </si>
  <si>
    <t>18,98</t>
  </si>
  <si>
    <t xml:space="preserve"> 00010997 </t>
  </si>
  <si>
    <t>0,013</t>
  </si>
  <si>
    <t>12,04</t>
  </si>
  <si>
    <t xml:space="preserve"> 00005318 </t>
  </si>
  <si>
    <t>0,0003</t>
  </si>
  <si>
    <t>10,62</t>
  </si>
  <si>
    <t xml:space="preserve"> 88278 </t>
  </si>
  <si>
    <t>11,24</t>
  </si>
  <si>
    <t>0,06</t>
  </si>
  <si>
    <t>0,01</t>
  </si>
  <si>
    <t>COBE - COBERTURA</t>
  </si>
  <si>
    <t>38,36</t>
  </si>
  <si>
    <t>0,096</t>
  </si>
  <si>
    <t xml:space="preserve"> 88323 </t>
  </si>
  <si>
    <t>0,091</t>
  </si>
  <si>
    <t>15,30</t>
  </si>
  <si>
    <t xml:space="preserve"> 93287 </t>
  </si>
  <si>
    <t>CHOR - CUSTOS HORÁRIOS DE MÁQUINAS E EQUIPAMENTOS</t>
  </si>
  <si>
    <t>0,0007</t>
  </si>
  <si>
    <t>263,45</t>
  </si>
  <si>
    <t xml:space="preserve"> 93288 </t>
  </si>
  <si>
    <t>0,001</t>
  </si>
  <si>
    <t>98,53</t>
  </si>
  <si>
    <t xml:space="preserve"> 00025007 </t>
  </si>
  <si>
    <t>1,16</t>
  </si>
  <si>
    <t>26,53</t>
  </si>
  <si>
    <t xml:space="preserve"> 00011029 </t>
  </si>
  <si>
    <t>4,15</t>
  </si>
  <si>
    <t>1,11</t>
  </si>
  <si>
    <t>3,46</t>
  </si>
  <si>
    <t>1,73</t>
  </si>
  <si>
    <t xml:space="preserve"> 88629 </t>
  </si>
  <si>
    <t>397,36</t>
  </si>
  <si>
    <t xml:space="preserve"> 00000195 </t>
  </si>
  <si>
    <t>3,78</t>
  </si>
  <si>
    <t>0,09</t>
  </si>
  <si>
    <t xml:space="preserve"> 72118 </t>
  </si>
  <si>
    <t>VIDRO TEMPERADO INCOLOR, ESPESSURA 6MM, FORNECIMENTO E INSTALACAO, INCLUSIVE MASSA PARA VEDACAO</t>
  </si>
  <si>
    <t>0,56</t>
  </si>
  <si>
    <t xml:space="preserve"> 00000194 </t>
  </si>
  <si>
    <t>1.350,00</t>
  </si>
  <si>
    <t>0,5</t>
  </si>
  <si>
    <t xml:space="preserve"> 00000075 </t>
  </si>
  <si>
    <t xml:space="preserve"> 88325 </t>
  </si>
  <si>
    <t>0,6</t>
  </si>
  <si>
    <t>15,31</t>
  </si>
  <si>
    <t xml:space="preserve"> 00003104 </t>
  </si>
  <si>
    <t>338,11</t>
  </si>
  <si>
    <t xml:space="preserve"> 00010507 </t>
  </si>
  <si>
    <t>4,2</t>
  </si>
  <si>
    <t>203,40</t>
  </si>
  <si>
    <t xml:space="preserve"> 00011523 </t>
  </si>
  <si>
    <t>11,85</t>
  </si>
  <si>
    <t xml:space="preserve"> 00011499 </t>
  </si>
  <si>
    <t>1.008,96</t>
  </si>
  <si>
    <t>1.790,65</t>
  </si>
  <si>
    <t>2,1</t>
  </si>
  <si>
    <t>3,36</t>
  </si>
  <si>
    <t>0,08</t>
  </si>
  <si>
    <t xml:space="preserve"> 00000193 </t>
  </si>
  <si>
    <t>990,00</t>
  </si>
  <si>
    <t>2,2</t>
  </si>
  <si>
    <t>4,5</t>
  </si>
  <si>
    <t xml:space="preserve"> 00034360 </t>
  </si>
  <si>
    <t>42,55</t>
  </si>
  <si>
    <t xml:space="preserve"> 00034391 </t>
  </si>
  <si>
    <t>526,52</t>
  </si>
  <si>
    <t xml:space="preserve"> 88256 </t>
  </si>
  <si>
    <t>1,29</t>
  </si>
  <si>
    <t>15,89</t>
  </si>
  <si>
    <t>0,65</t>
  </si>
  <si>
    <t xml:space="preserve"> 00036881 </t>
  </si>
  <si>
    <t>PASTILHA CERAMICA/PORCELANA, REVEST INT/EXT E  PISCINA, CORES FRIAS *5 X 5* CM</t>
  </si>
  <si>
    <t>100,38</t>
  </si>
  <si>
    <t xml:space="preserve"> 00037596 </t>
  </si>
  <si>
    <t>7,69</t>
  </si>
  <si>
    <t>2,49</t>
  </si>
  <si>
    <t xml:space="preserve"> 88274 </t>
  </si>
  <si>
    <t>0,4</t>
  </si>
  <si>
    <t>16,29</t>
  </si>
  <si>
    <t>0,2</t>
  </si>
  <si>
    <t xml:space="preserve"> 87373 </t>
  </si>
  <si>
    <t>0,25</t>
  </si>
  <si>
    <t xml:space="preserve"> 00003767 </t>
  </si>
  <si>
    <t>0,69</t>
  </si>
  <si>
    <t xml:space="preserve"> 00004052 </t>
  </si>
  <si>
    <t>MASSA ACRILICA</t>
  </si>
  <si>
    <t>18L</t>
  </si>
  <si>
    <t>0,028</t>
  </si>
  <si>
    <t>123,06</t>
  </si>
  <si>
    <t>12,45</t>
  </si>
  <si>
    <t xml:space="preserve"> 88243 </t>
  </si>
  <si>
    <t>0,18</t>
  </si>
  <si>
    <t>14,61</t>
  </si>
  <si>
    <t xml:space="preserve"> 00006091 </t>
  </si>
  <si>
    <t>0,48</t>
  </si>
  <si>
    <t>11,97</t>
  </si>
  <si>
    <t>0,75</t>
  </si>
  <si>
    <t xml:space="preserve"> 00037395 </t>
  </si>
  <si>
    <t>CENTO</t>
  </si>
  <si>
    <t>0,005</t>
  </si>
  <si>
    <t>46,06</t>
  </si>
  <si>
    <t xml:space="preserve"> 00000345 </t>
  </si>
  <si>
    <t>14,41</t>
  </si>
  <si>
    <t xml:space="preserve"> 00005065 </t>
  </si>
  <si>
    <t>15,26</t>
  </si>
  <si>
    <t xml:space="preserve"> 00005061 </t>
  </si>
  <si>
    <t>7,89</t>
  </si>
  <si>
    <t xml:space="preserve"> 00004415 </t>
  </si>
  <si>
    <t>1,8</t>
  </si>
  <si>
    <t>2,21</t>
  </si>
  <si>
    <t xml:space="preserve"> 00020206 </t>
  </si>
  <si>
    <t>0,9</t>
  </si>
  <si>
    <t>2,51</t>
  </si>
  <si>
    <t xml:space="preserve"> 00036246 </t>
  </si>
  <si>
    <t>ACABAMENTO SIMPLES/CONVENCIONAL PARA FORRO PVC, TIPO "U" OU "C", COR BRANCA, COMPRIMENTO 6 M</t>
  </si>
  <si>
    <t>2,27</t>
  </si>
  <si>
    <t xml:space="preserve"> 00036230 </t>
  </si>
  <si>
    <t>4,8</t>
  </si>
  <si>
    <t>2,3</t>
  </si>
  <si>
    <t xml:space="preserve"> 88631 </t>
  </si>
  <si>
    <t>0,0033</t>
  </si>
  <si>
    <t xml:space="preserve"> 00001380 </t>
  </si>
  <si>
    <t>0,7</t>
  </si>
  <si>
    <t>2,80</t>
  </si>
  <si>
    <t xml:space="preserve"> 00000126 </t>
  </si>
  <si>
    <t>455,00</t>
  </si>
  <si>
    <t>140,00</t>
  </si>
  <si>
    <t xml:space="preserve"> 00000186 </t>
  </si>
  <si>
    <t>3.545,00</t>
  </si>
  <si>
    <t xml:space="preserve"> 00000168 </t>
  </si>
  <si>
    <t>1,6</t>
  </si>
  <si>
    <t>1,25</t>
  </si>
  <si>
    <t xml:space="preserve"> 00001106 </t>
  </si>
  <si>
    <t>2,73</t>
  </si>
  <si>
    <t>0,50</t>
  </si>
  <si>
    <t>0,0182</t>
  </si>
  <si>
    <t xml:space="preserve"> 00001379 </t>
  </si>
  <si>
    <t>2,8</t>
  </si>
  <si>
    <t>0,47</t>
  </si>
  <si>
    <t xml:space="preserve"> 00000185 </t>
  </si>
  <si>
    <t>17,6</t>
  </si>
  <si>
    <t>7,10</t>
  </si>
  <si>
    <t>1,05</t>
  </si>
  <si>
    <t>0,52</t>
  </si>
  <si>
    <t>3,53</t>
  </si>
  <si>
    <t xml:space="preserve"> 88239 </t>
  </si>
  <si>
    <t>3,5</t>
  </si>
  <si>
    <t>13,92</t>
  </si>
  <si>
    <t>2,34</t>
  </si>
  <si>
    <t>1,91</t>
  </si>
  <si>
    <t>12,5</t>
  </si>
  <si>
    <t>7,28</t>
  </si>
  <si>
    <t xml:space="preserve"> 00001347 </t>
  </si>
  <si>
    <t>3,3</t>
  </si>
  <si>
    <t>26,14</t>
  </si>
  <si>
    <t xml:space="preserve"> 00000034 </t>
  </si>
  <si>
    <t>33,5</t>
  </si>
  <si>
    <t>3,54</t>
  </si>
  <si>
    <t xml:space="preserve"> 00004460 </t>
  </si>
  <si>
    <t>2,25</t>
  </si>
  <si>
    <t>4,58</t>
  </si>
  <si>
    <t xml:space="preserve"> 00021015 </t>
  </si>
  <si>
    <t>TUBO ACO GALVANIZADO COM COSTURA, CLASSE LEVE, DN 80 MM ( 3"),  E = 3,35 MM, *7,32* KG/M (NBR 5580)</t>
  </si>
  <si>
    <t>10,5</t>
  </si>
  <si>
    <t>40,07</t>
  </si>
  <si>
    <t>0,45</t>
  </si>
  <si>
    <t xml:space="preserve"> 00002692 </t>
  </si>
  <si>
    <t>5,90</t>
  </si>
  <si>
    <t xml:space="preserve"> 00013284 </t>
  </si>
  <si>
    <t>112,0</t>
  </si>
  <si>
    <t>0,40</t>
  </si>
  <si>
    <t xml:space="preserve"> 00004721 </t>
  </si>
  <si>
    <t>0,16</t>
  </si>
  <si>
    <t xml:space="preserve"> 00000367 </t>
  </si>
  <si>
    <t>50,00</t>
  </si>
  <si>
    <t xml:space="preserve"> 00003768 </t>
  </si>
  <si>
    <t>2,91</t>
  </si>
  <si>
    <t xml:space="preserve"> 00007288 </t>
  </si>
  <si>
    <t>20,70</t>
  </si>
  <si>
    <t xml:space="preserve"> 00004720 </t>
  </si>
  <si>
    <t>0,38</t>
  </si>
  <si>
    <t>63,46</t>
  </si>
  <si>
    <t xml:space="preserve"> 00007701 </t>
  </si>
  <si>
    <t>11,0</t>
  </si>
  <si>
    <t>40,87</t>
  </si>
  <si>
    <t>0,59</t>
  </si>
  <si>
    <t>1.500,00</t>
  </si>
  <si>
    <t xml:space="preserve"> 00000148 </t>
  </si>
  <si>
    <t>QUADRO DE VIDRO TEMPERADO 6MM 4X1,1M</t>
  </si>
  <si>
    <t>2,4</t>
  </si>
  <si>
    <t xml:space="preserve"> 00011795 </t>
  </si>
  <si>
    <t>GRANITO PARA BANCADA, POLIDO, TIPO ANDORINHA/ QUARTZ/ CASTELO/ CORUMBA OU OUTROS EQUIVALENTES DA REGIAO, E=  *2,5* CM</t>
  </si>
  <si>
    <t>240,00</t>
  </si>
  <si>
    <t>248,83</t>
  </si>
  <si>
    <t xml:space="preserve"> 87331 </t>
  </si>
  <si>
    <t>3.800,00</t>
  </si>
  <si>
    <t xml:space="preserve"> 00000144 </t>
  </si>
  <si>
    <t>TOTEM EM CONCRETO ARMADO DE ACORDO COM MODELO DA SEDUC, DIMENSÕES 260X110X15CM, INCLUSIVE PLACA EM AÇO INOX</t>
  </si>
  <si>
    <t>1.400,00</t>
  </si>
  <si>
    <t xml:space="preserve"> 00000248 </t>
  </si>
  <si>
    <t xml:space="preserve"> 00036081 </t>
  </si>
  <si>
    <t>181,83</t>
  </si>
  <si>
    <t>2.250,00</t>
  </si>
  <si>
    <t xml:space="preserve"> 00000189 </t>
  </si>
  <si>
    <t>180,00</t>
  </si>
  <si>
    <t xml:space="preserve"> 00000162 </t>
  </si>
  <si>
    <t>LETRA CAIXA EM CHAPA GALVANIZADA PINTADA COM TINTA AUTOMOTIVA, 30CM INSTALADO</t>
  </si>
  <si>
    <t>298,56</t>
  </si>
  <si>
    <t xml:space="preserve"> 00000190 </t>
  </si>
  <si>
    <t>280,00</t>
  </si>
  <si>
    <t xml:space="preserve"> 00000054 </t>
  </si>
  <si>
    <t>KIT PLAYGROUND, METALICO, CONTENDO: GIRA-GIRA 7 LUGARES; BALANÇO 4 LUGARES; ESCORREGADOR GRANDE; GANGORRA DUPLA E CASINHA CONJUGADA</t>
  </si>
  <si>
    <t xml:space="preserve"> SDC01095 </t>
  </si>
  <si>
    <t>1,697</t>
  </si>
  <si>
    <t>0,848</t>
  </si>
  <si>
    <t xml:space="preserve"> 00000281 </t>
  </si>
  <si>
    <t xml:space="preserve"> 87523 </t>
  </si>
  <si>
    <t xml:space="preserve"> 87242 </t>
  </si>
  <si>
    <t xml:space="preserve"> 87879 </t>
  </si>
  <si>
    <t>2,56</t>
  </si>
  <si>
    <t xml:space="preserve"> 92775 </t>
  </si>
  <si>
    <t>1,01</t>
  </si>
  <si>
    <t>11,94</t>
  </si>
  <si>
    <t xml:space="preserve"> 87536 </t>
  </si>
  <si>
    <t>EMBOÇO, PARA RECEBIMENTO DE CERÂMICA, EM ARGAMASSA TRAÇO 1:2:8, PREPARO MANUAL, APLICADO MANUALMENTE EM FACES INTERNAS DE PAREDES, PARA AMBIENTE COM ÁREA  MAIOR QUE 10M2, ESPESSURA DE 20MM, COM EXECUÇÃO DE TALISCAS. AF_06/2014</t>
  </si>
  <si>
    <t>22,74</t>
  </si>
  <si>
    <t xml:space="preserve"> 00000137 </t>
  </si>
  <si>
    <t xml:space="preserve"> 93358 </t>
  </si>
  <si>
    <t xml:space="preserve"> 89473 </t>
  </si>
  <si>
    <t>ALVENARIA DE BLOCOS DE CONCRETO ESTRUTURAL 14X19X39 CM, (ESPESSURA 14 CM) FBK = 14,0 MPA, PARA PAREDES COM ÁREA LÍQUIDA MAIOR OU IGUAL A 6M², SEM VÃOS, UTILIZANDO COLHER DE PEDREIRO. AF_12/2014</t>
  </si>
  <si>
    <t xml:space="preserve"> 94963 </t>
  </si>
  <si>
    <t>CONCRETO FCK = 15MPA, TRAÇO 1:3,4:3,5 (CIMENTO/ AREIA MÉDIA/ BRITA 1)  - PREPARO MECÂNICO COM BETONEIRA 400 L. AF_07/2016</t>
  </si>
  <si>
    <t>0,11</t>
  </si>
  <si>
    <t xml:space="preserve"> 92873 </t>
  </si>
  <si>
    <t xml:space="preserve"> 89996 </t>
  </si>
  <si>
    <t>2,53</t>
  </si>
  <si>
    <t>5,22</t>
  </si>
  <si>
    <t xml:space="preserve"> 73674 </t>
  </si>
  <si>
    <t>0,32</t>
  </si>
  <si>
    <t>21,00</t>
  </si>
  <si>
    <t xml:space="preserve"> 74007/001 </t>
  </si>
  <si>
    <t>0,064</t>
  </si>
  <si>
    <t xml:space="preserve"> 83534 </t>
  </si>
  <si>
    <t xml:space="preserve"> 94975 </t>
  </si>
  <si>
    <t>CONCRETO FCK = 15MPA, TRAÇO 1:3,4:3,5 (CIMENTO/ AREIA MÉDIA/ BRITA 1)  - PREPARO MANUAL. AF_07/2016</t>
  </si>
  <si>
    <t>0,0184</t>
  </si>
  <si>
    <t xml:space="preserve"> 92917 </t>
  </si>
  <si>
    <t xml:space="preserve"> 87515 </t>
  </si>
  <si>
    <t xml:space="preserve"> 89173 </t>
  </si>
  <si>
    <t>0,8</t>
  </si>
  <si>
    <t>23,09</t>
  </si>
  <si>
    <t xml:space="preserve"> 87904 </t>
  </si>
  <si>
    <t>CHAPISCO APLICADO EM ALVENARIA (COM PRESENÇA DE VÃOS) E ESTRUTURAS DE CONCRETO DE FACHADA, COM COLHER DE PEDREIRO.  ARGAMASSA TRAÇO 1:3 COM PREPARO MANUAL. AF_06/2014</t>
  </si>
  <si>
    <t>6,02</t>
  </si>
  <si>
    <t xml:space="preserve"> 73932/001 </t>
  </si>
  <si>
    <t>0,0036</t>
  </si>
  <si>
    <t>1,12</t>
  </si>
  <si>
    <t>3,252</t>
  </si>
  <si>
    <t>1,626</t>
  </si>
  <si>
    <t>0,027</t>
  </si>
  <si>
    <t xml:space="preserve"> 84190 </t>
  </si>
  <si>
    <t xml:space="preserve"> 00000157 </t>
  </si>
  <si>
    <t>2.310,00</t>
  </si>
  <si>
    <t xml:space="preserve"> 88264 </t>
  </si>
  <si>
    <t>17,68</t>
  </si>
  <si>
    <t xml:space="preserve"> 00000138 </t>
  </si>
  <si>
    <t>188,24</t>
  </si>
  <si>
    <t xml:space="preserve"> SDC04061 </t>
  </si>
  <si>
    <t>3,44</t>
  </si>
  <si>
    <t xml:space="preserve"> 00007253 </t>
  </si>
  <si>
    <t>62,14</t>
  </si>
  <si>
    <t xml:space="preserve"> 00000252 </t>
  </si>
  <si>
    <t>3,00</t>
  </si>
  <si>
    <t xml:space="preserve"> 00025951 </t>
  </si>
  <si>
    <t>1,34</t>
  </si>
  <si>
    <t xml:space="preserve"> 00025963 </t>
  </si>
  <si>
    <t>0,07</t>
  </si>
  <si>
    <t xml:space="preserve"> SDC04067 </t>
  </si>
  <si>
    <t>373,49</t>
  </si>
  <si>
    <t>1,914</t>
  </si>
  <si>
    <t>2,232</t>
  </si>
  <si>
    <t>2,209</t>
  </si>
  <si>
    <t xml:space="preserve"> 00003989 </t>
  </si>
  <si>
    <t>MADEIRA SERRADA APARELHADA DE MACARANDUBA, ANGELIM OU EQUIVALENTE DA REGIAO</t>
  </si>
  <si>
    <t>1.149,42</t>
  </si>
  <si>
    <t xml:space="preserve"> 00000284 </t>
  </si>
  <si>
    <t>5,38</t>
  </si>
  <si>
    <t xml:space="preserve"> 89171 </t>
  </si>
  <si>
    <t>1,44</t>
  </si>
  <si>
    <t>26,13</t>
  </si>
  <si>
    <t xml:space="preserve"> 89170 </t>
  </si>
  <si>
    <t>5,04</t>
  </si>
  <si>
    <t>47,04</t>
  </si>
  <si>
    <t>10,76</t>
  </si>
  <si>
    <t xml:space="preserve"> 74141/002 </t>
  </si>
  <si>
    <t>2,65</t>
  </si>
  <si>
    <t xml:space="preserve"> 68333 </t>
  </si>
  <si>
    <t>39,96</t>
  </si>
  <si>
    <t xml:space="preserve"> 94779 </t>
  </si>
  <si>
    <t xml:space="preserve"> 74238/002 </t>
  </si>
  <si>
    <t>2,59</t>
  </si>
  <si>
    <t xml:space="preserve"> 89709 </t>
  </si>
  <si>
    <t>RALO SIFONADO, PVC, DN 100 X 40 MM, JUNTA SOLDÁVEL, FORNECIDO E INSTALADO EM RAMAL DE DESCARGA OU EM RAMAL DE ESGOTO SANITÁRIO. AF_12/2014</t>
  </si>
  <si>
    <t>7,41</t>
  </si>
  <si>
    <t>11,36</t>
  </si>
  <si>
    <t>0,14</t>
  </si>
  <si>
    <t xml:space="preserve"> 00000122 </t>
  </si>
  <si>
    <t>0,014</t>
  </si>
  <si>
    <t>45,16</t>
  </si>
  <si>
    <t xml:space="preserve"> 00000818 </t>
  </si>
  <si>
    <t>5,57</t>
  </si>
  <si>
    <t xml:space="preserve"> 00020083 </t>
  </si>
  <si>
    <t>39,22</t>
  </si>
  <si>
    <t>20,92</t>
  </si>
  <si>
    <t>0,037</t>
  </si>
  <si>
    <t xml:space="preserve"> 00000830 </t>
  </si>
  <si>
    <t>BUCHA DE REDUCAO DE PVC, SOLDAVEL, CURTA, COM 85 X 75 MM, PARA AGUA FRIA PREDIAL</t>
  </si>
  <si>
    <t>11,11</t>
  </si>
  <si>
    <t>0,056</t>
  </si>
  <si>
    <t>0,24</t>
  </si>
  <si>
    <t xml:space="preserve"> 00000813 </t>
  </si>
  <si>
    <t>BUCHA DE REDUCAO DE PVC, SOLDAVEL, LONGA, COM 50 X 25 MM, PARA AGUA FRIA PREDIAL</t>
  </si>
  <si>
    <t>3,77</t>
  </si>
  <si>
    <t>0,046</t>
  </si>
  <si>
    <t>0,004</t>
  </si>
  <si>
    <t xml:space="preserve"> 00000816 </t>
  </si>
  <si>
    <t>7,06</t>
  </si>
  <si>
    <t>0,31</t>
  </si>
  <si>
    <t>0,007</t>
  </si>
  <si>
    <t>0,078</t>
  </si>
  <si>
    <t xml:space="preserve"> 00000821 </t>
  </si>
  <si>
    <t>12,50</t>
  </si>
  <si>
    <t>0,33</t>
  </si>
  <si>
    <t>0,077</t>
  </si>
  <si>
    <t xml:space="preserve"> 00000817 </t>
  </si>
  <si>
    <t>17,09</t>
  </si>
  <si>
    <t>2,87</t>
  </si>
  <si>
    <t>0,045</t>
  </si>
  <si>
    <t xml:space="preserve"> 00001185 </t>
  </si>
  <si>
    <t xml:space="preserve"> SDC02068 </t>
  </si>
  <si>
    <t>8,32</t>
  </si>
  <si>
    <t xml:space="preserve"> 00003533 </t>
  </si>
  <si>
    <t>JOELHO DE REDUCAO, PVC SOLDAVEL, 90 GRAUS,  25 MM X 20 MM, PARA AGUA FRIA PREDIAL</t>
  </si>
  <si>
    <t>2,24</t>
  </si>
  <si>
    <t>0,23</t>
  </si>
  <si>
    <t>0,042</t>
  </si>
  <si>
    <t xml:space="preserve"> SDC02029 </t>
  </si>
  <si>
    <t>0,144</t>
  </si>
  <si>
    <t>0,026</t>
  </si>
  <si>
    <t xml:space="preserve"> 00007133 </t>
  </si>
  <si>
    <t>64,74</t>
  </si>
  <si>
    <t>0,033</t>
  </si>
  <si>
    <t xml:space="preserve"> 00038383 </t>
  </si>
  <si>
    <t>0,036</t>
  </si>
  <si>
    <t>1,52</t>
  </si>
  <si>
    <t>12,60</t>
  </si>
  <si>
    <t>0,22</t>
  </si>
  <si>
    <t xml:space="preserve"> 00003148 </t>
  </si>
  <si>
    <t>0,0124</t>
  </si>
  <si>
    <t>10,29</t>
  </si>
  <si>
    <t xml:space="preserve"> 00003515 </t>
  </si>
  <si>
    <t>5,59</t>
  </si>
  <si>
    <t xml:space="preserve"> SDC02101 </t>
  </si>
  <si>
    <t>un</t>
  </si>
  <si>
    <t xml:space="preserve"> 94965 </t>
  </si>
  <si>
    <t>CONCRETO FCK = 25MPA, TRAÇO 1:2,3:2,7 (CIMENTO/ AREIA MÉDIA/ BRITA 1)  - PREPARO MECÂNICO COM BETONEIRA 400 L. AF_07/2016</t>
  </si>
  <si>
    <t xml:space="preserve"> 74157/004 </t>
  </si>
  <si>
    <t xml:space="preserve"> 73964/006 </t>
  </si>
  <si>
    <t xml:space="preserve"> 5651 </t>
  </si>
  <si>
    <t>FORMA TABUA PARA CONCRETO EM FUNDACAO C/ REAPROVEITAMENTO 5X</t>
  </si>
  <si>
    <t>8,96</t>
  </si>
  <si>
    <t xml:space="preserve"> 88485 </t>
  </si>
  <si>
    <t>1,56</t>
  </si>
  <si>
    <t xml:space="preserve"> 88489 </t>
  </si>
  <si>
    <t>10,43</t>
  </si>
  <si>
    <t>4,84</t>
  </si>
  <si>
    <t xml:space="preserve"> 95302 </t>
  </si>
  <si>
    <t>1,20</t>
  </si>
  <si>
    <t>1,15</t>
  </si>
  <si>
    <t>IMPE - IMPERMEABILIZAÇÕES E PROTEÇÕES DIVERSAS</t>
  </si>
  <si>
    <t>60,6</t>
  </si>
  <si>
    <t xml:space="preserve"> 92410 </t>
  </si>
  <si>
    <t>8,4</t>
  </si>
  <si>
    <t>14,82</t>
  </si>
  <si>
    <t>76,7</t>
  </si>
  <si>
    <t xml:space="preserve"> 92777 </t>
  </si>
  <si>
    <t>9,97</t>
  </si>
  <si>
    <t xml:space="preserve"> 92778 </t>
  </si>
  <si>
    <t>45,2</t>
  </si>
  <si>
    <t>13,9</t>
  </si>
  <si>
    <t xml:space="preserve"> 74145/001 </t>
  </si>
  <si>
    <t>14,08</t>
  </si>
  <si>
    <t>2,26</t>
  </si>
  <si>
    <t>31,46</t>
  </si>
  <si>
    <t>8,52</t>
  </si>
  <si>
    <t xml:space="preserve"> 00000235 </t>
  </si>
  <si>
    <t>16.900,00</t>
  </si>
  <si>
    <t>48,08</t>
  </si>
  <si>
    <t xml:space="preserve"> 00037401 </t>
  </si>
  <si>
    <t>37,84</t>
  </si>
  <si>
    <t>0,05</t>
  </si>
  <si>
    <t xml:space="preserve"> 00006150 </t>
  </si>
  <si>
    <t>161,20</t>
  </si>
  <si>
    <t xml:space="preserve"> 00001750 </t>
  </si>
  <si>
    <t>426,94</t>
  </si>
  <si>
    <t>1.647,68</t>
  </si>
  <si>
    <t xml:space="preserve"> 00000116 </t>
  </si>
  <si>
    <t>CHUVEIRO E LAVA OLHOS DE EMERGÊNCIA EM AÇO GALVANIZADO COM ACIONAMENTO MANUAL DO CHUVEIRO E DO LAVA-OLHOS</t>
  </si>
  <si>
    <t>1.630,00</t>
  </si>
  <si>
    <t xml:space="preserve"> 87495 </t>
  </si>
  <si>
    <t>ALVENARIA DE VEDAÇÃO DE BLOCOS CERÂMICOS FURADOS NA HORIZONTAL DE 9X19X19CM (ESPESSURA 9CM) DE PAREDES COM ÁREA LÍQUIDA MENOR QUE 6M² SEM VÃOS E ARGAMASSA DE ASSENTAMENTO COM PREPARO EM BETONEIRA. AF_06/2014</t>
  </si>
  <si>
    <t>58,93</t>
  </si>
  <si>
    <t xml:space="preserve"> 87878 </t>
  </si>
  <si>
    <t>CHAPISCO APLICADO EM ALVENARIAS E ESTRUTURAS DE CONCRETO INTERNAS, COM COLHER DE PEDREIRO.  ARGAMASSA TRAÇO 1:3 COM PREPARO MANUAL. AF_06/2014</t>
  </si>
  <si>
    <t>3,1</t>
  </si>
  <si>
    <t>2,92</t>
  </si>
  <si>
    <t xml:space="preserve"> 87528 </t>
  </si>
  <si>
    <t>EMBOÇO, PARA RECEBIMENTO DE CERÂMICA, EM ARGAMASSA TRAÇO 1:2:8, PREPARO MANUAL, APLICADO MANUALMENTE EM FACES INTERNAS DE PAREDES, PARA AMBIENTE COM ÁREA MENOR QUE 5M2, ESPESSURA DE 20MM, COM EXECUÇÃO DE TALISCAS. AF_06/2014</t>
  </si>
  <si>
    <t>28,47</t>
  </si>
  <si>
    <t xml:space="preserve"> 87264 </t>
  </si>
  <si>
    <t>48,48</t>
  </si>
  <si>
    <t xml:space="preserve"> 86883 </t>
  </si>
  <si>
    <t xml:space="preserve"> 86878 </t>
  </si>
  <si>
    <t xml:space="preserve"> 86912 </t>
  </si>
  <si>
    <t>39,90</t>
  </si>
  <si>
    <t xml:space="preserve"> 00000070 </t>
  </si>
  <si>
    <t>4.100,00</t>
  </si>
  <si>
    <t xml:space="preserve"> SDC02054 </t>
  </si>
  <si>
    <t xml:space="preserve"> 00000068 </t>
  </si>
  <si>
    <t>3.160,00</t>
  </si>
  <si>
    <t>0,34</t>
  </si>
  <si>
    <t xml:space="preserve"> 00003146 </t>
  </si>
  <si>
    <t>2,79</t>
  </si>
  <si>
    <t xml:space="preserve"> 00036796 </t>
  </si>
  <si>
    <t>149,92</t>
  </si>
  <si>
    <t xml:space="preserve"> 89043 </t>
  </si>
  <si>
    <t>1,08</t>
  </si>
  <si>
    <t>2,16</t>
  </si>
  <si>
    <t xml:space="preserve"> 86914 </t>
  </si>
  <si>
    <t xml:space="preserve"> 86879 </t>
  </si>
  <si>
    <t xml:space="preserve"> 00036790 </t>
  </si>
  <si>
    <t>TANQUE DUPLO EM MARMORE SINTETICO COM CUBA LISA E ESFREGADOR, *110 X 60* CM</t>
  </si>
  <si>
    <t>145,89</t>
  </si>
  <si>
    <t xml:space="preserve"> 86884 </t>
  </si>
  <si>
    <t>6,21</t>
  </si>
  <si>
    <t xml:space="preserve"> 86904 </t>
  </si>
  <si>
    <t>97,66</t>
  </si>
  <si>
    <t>1,75</t>
  </si>
  <si>
    <t>0,03</t>
  </si>
  <si>
    <t xml:space="preserve"> 00000219 </t>
  </si>
  <si>
    <t>496,02</t>
  </si>
  <si>
    <t xml:space="preserve"> 88242 </t>
  </si>
  <si>
    <t>13,64</t>
  </si>
  <si>
    <t xml:space="preserve"> 00000013 </t>
  </si>
  <si>
    <t>15,38</t>
  </si>
  <si>
    <t xml:space="preserve"> 00000229 </t>
  </si>
  <si>
    <t>83,10</t>
  </si>
  <si>
    <t xml:space="preserve"> 00000055 </t>
  </si>
  <si>
    <t>78,91</t>
  </si>
  <si>
    <t xml:space="preserve"> 00001370 </t>
  </si>
  <si>
    <t>70,06</t>
  </si>
  <si>
    <t>36,96</t>
  </si>
  <si>
    <t xml:space="preserve"> 00011712 </t>
  </si>
  <si>
    <t>21,10</t>
  </si>
  <si>
    <t>32,68</t>
  </si>
  <si>
    <t>0,46</t>
  </si>
  <si>
    <t xml:space="preserve"> 00000301 </t>
  </si>
  <si>
    <t>1,98</t>
  </si>
  <si>
    <t xml:space="preserve"> 00000296 </t>
  </si>
  <si>
    <t xml:space="preserve"> 00010908 </t>
  </si>
  <si>
    <t>JUNCAO DE REDUCAO INVERTIDA, PVC SOLDAVEL, 100 X 50 MM, SERIE NORMAL PARA ESGOTO PREDIAL</t>
  </si>
  <si>
    <t>14,34</t>
  </si>
  <si>
    <t xml:space="preserve"> 00020078 </t>
  </si>
  <si>
    <t>16,53</t>
  </si>
  <si>
    <t>25,39</t>
  </si>
  <si>
    <t>0,37</t>
  </si>
  <si>
    <t xml:space="preserve"> 00000297 </t>
  </si>
  <si>
    <t>1,57</t>
  </si>
  <si>
    <t xml:space="preserve"> 00003669 </t>
  </si>
  <si>
    <t>JUNCAO DE REDUCAO INVERTIDA, PVC SOLDAVEL, 75 X 50 MM, SERIE NORMAL PARA ESGOTO PREDIAL</t>
  </si>
  <si>
    <t>10,49</t>
  </si>
  <si>
    <t>12,58</t>
  </si>
  <si>
    <t>0,051</t>
  </si>
  <si>
    <t xml:space="preserve"> 00020043 </t>
  </si>
  <si>
    <t>1,88</t>
  </si>
  <si>
    <t>8,85</t>
  </si>
  <si>
    <t xml:space="preserve"> 00039319 </t>
  </si>
  <si>
    <t>5,42</t>
  </si>
  <si>
    <t>0,008</t>
  </si>
  <si>
    <t>4,47</t>
  </si>
  <si>
    <t xml:space="preserve"> 94107 </t>
  </si>
  <si>
    <t xml:space="preserve"> 94319 </t>
  </si>
  <si>
    <t>11,78</t>
  </si>
  <si>
    <t>29,30</t>
  </si>
  <si>
    <t>44,75</t>
  </si>
  <si>
    <t>31,48</t>
  </si>
  <si>
    <t xml:space="preserve"> 73994/001 </t>
  </si>
  <si>
    <t>42,47</t>
  </si>
  <si>
    <t>7,09</t>
  </si>
  <si>
    <t>107,6</t>
  </si>
  <si>
    <t>25,38</t>
  </si>
  <si>
    <t xml:space="preserve"> 83627 </t>
  </si>
  <si>
    <t xml:space="preserve"> 83732 </t>
  </si>
  <si>
    <t>IMPERMEABILIZACAO DE SUPERFICIE COM ARGAMASSA DE CIMENTO E AREIA, TRACO 1:3, COM ADITIVO IMPERMEABILIZANTE, E=1,5 CM</t>
  </si>
  <si>
    <t>25,74</t>
  </si>
  <si>
    <t xml:space="preserve"> 72132 </t>
  </si>
  <si>
    <t>21,7</t>
  </si>
  <si>
    <t xml:space="preserve"> 94110 </t>
  </si>
  <si>
    <t>6,25</t>
  </si>
  <si>
    <t>12,27</t>
  </si>
  <si>
    <t>4,42</t>
  </si>
  <si>
    <t>9,42</t>
  </si>
  <si>
    <t>3,14</t>
  </si>
  <si>
    <t>2,5</t>
  </si>
  <si>
    <t xml:space="preserve"> 73873/002 </t>
  </si>
  <si>
    <t>INPR - INSTALAÇÕES DE PRODUÇÃO</t>
  </si>
  <si>
    <t>6,24</t>
  </si>
  <si>
    <t xml:space="preserve"> 92268 </t>
  </si>
  <si>
    <t>32,5</t>
  </si>
  <si>
    <t>24,37</t>
  </si>
  <si>
    <t xml:space="preserve"> 6087 </t>
  </si>
  <si>
    <t xml:space="preserve"> SDC02050 </t>
  </si>
  <si>
    <t xml:space="preserve"> 00011708 </t>
  </si>
  <si>
    <t>RALO FOFO SEMIESFERICO, 100 MM, PARA LAJES/ CALHAS</t>
  </si>
  <si>
    <t>13,00</t>
  </si>
  <si>
    <t>6,72</t>
  </si>
  <si>
    <t>13,44</t>
  </si>
  <si>
    <t>1,89</t>
  </si>
  <si>
    <t xml:space="preserve"> 94962 </t>
  </si>
  <si>
    <t>CONCRETO MAGRO PARA LASTRO, TRAÇO 1:4,5:4,5 (CIMENTO/ AREIA MÉDIA/ BRITA 1)  - PREPARO MECÂNICO COM BETONEIRA 400 L. AF_07/2016</t>
  </si>
  <si>
    <t xml:space="preserve"> 85172 </t>
  </si>
  <si>
    <t>5,5</t>
  </si>
  <si>
    <t xml:space="preserve"> 74100/001 </t>
  </si>
  <si>
    <t xml:space="preserve"> 88484 </t>
  </si>
  <si>
    <t>1,83</t>
  </si>
  <si>
    <t xml:space="preserve"> 88488 </t>
  </si>
  <si>
    <t>11,68</t>
  </si>
  <si>
    <t xml:space="preserve"> 73924/002 </t>
  </si>
  <si>
    <t>25,72</t>
  </si>
  <si>
    <t xml:space="preserve"> 92701 </t>
  </si>
  <si>
    <t>10,0</t>
  </si>
  <si>
    <t>21,36</t>
  </si>
  <si>
    <t xml:space="preserve"> 83370 </t>
  </si>
  <si>
    <t>42,33</t>
  </si>
  <si>
    <t xml:space="preserve"> 00000145 </t>
  </si>
  <si>
    <t>941,00</t>
  </si>
  <si>
    <t>4,54</t>
  </si>
  <si>
    <t xml:space="preserve"> 88247 </t>
  </si>
  <si>
    <t>14,40</t>
  </si>
  <si>
    <t xml:space="preserve"> 00039128 </t>
  </si>
  <si>
    <t>0,94</t>
  </si>
  <si>
    <t>9,05</t>
  </si>
  <si>
    <t xml:space="preserve"> 00000083 </t>
  </si>
  <si>
    <t>1,02</t>
  </si>
  <si>
    <t>4,55</t>
  </si>
  <si>
    <t xml:space="preserve"> 00000086 </t>
  </si>
  <si>
    <t>6,85</t>
  </si>
  <si>
    <t>15,90</t>
  </si>
  <si>
    <t>0,17</t>
  </si>
  <si>
    <t xml:space="preserve"> 00000089 </t>
  </si>
  <si>
    <t>10,35</t>
  </si>
  <si>
    <t>21,26</t>
  </si>
  <si>
    <t>0,21</t>
  </si>
  <si>
    <t xml:space="preserve"> 00000090 </t>
  </si>
  <si>
    <t>14,36</t>
  </si>
  <si>
    <t>38,99</t>
  </si>
  <si>
    <t xml:space="preserve"> 00000092 </t>
  </si>
  <si>
    <t>27,72</t>
  </si>
  <si>
    <t xml:space="preserve"> SDC03031 </t>
  </si>
  <si>
    <t>66,09</t>
  </si>
  <si>
    <t>50,57</t>
  </si>
  <si>
    <t xml:space="preserve"> 00012232 </t>
  </si>
  <si>
    <t>LUMINARIA DE SOBREPOR EM CHAPA DE ACO PARA 2 LAMPADAS FLUORESCENTES DE *18* W, PERFIL COMERCIAL (NAO INCLUI REATOR E LAMPADAS)</t>
  </si>
  <si>
    <t>12,15</t>
  </si>
  <si>
    <t xml:space="preserve"> 00039387 </t>
  </si>
  <si>
    <t>LAMPADA LED TUBULAR BIVOLT 18/20 W, BASE G13</t>
  </si>
  <si>
    <t>41,16</t>
  </si>
  <si>
    <t>1,14</t>
  </si>
  <si>
    <t xml:space="preserve"> 00000230 </t>
  </si>
  <si>
    <t>158,36</t>
  </si>
  <si>
    <t xml:space="preserve"> 00000077 </t>
  </si>
  <si>
    <t xml:space="preserve"> 00000078 </t>
  </si>
  <si>
    <t>5,16</t>
  </si>
  <si>
    <t xml:space="preserve"> SDC03120 </t>
  </si>
  <si>
    <t xml:space="preserve"> 00000254 </t>
  </si>
  <si>
    <t xml:space="preserve"> SDC03121 </t>
  </si>
  <si>
    <t xml:space="preserve"> 00000255 </t>
  </si>
  <si>
    <t>8,18</t>
  </si>
  <si>
    <t xml:space="preserve"> 00000244 </t>
  </si>
  <si>
    <t>1,015</t>
  </si>
  <si>
    <t>1,92</t>
  </si>
  <si>
    <t xml:space="preserve"> 00000164 </t>
  </si>
  <si>
    <t>2.512,00</t>
  </si>
  <si>
    <t xml:space="preserve"> SDC03128 </t>
  </si>
  <si>
    <t>1.327,34</t>
  </si>
  <si>
    <t xml:space="preserve"> 00000199 </t>
  </si>
  <si>
    <t>1.314,28</t>
  </si>
  <si>
    <t xml:space="preserve"> 00004331 </t>
  </si>
  <si>
    <t>1,80</t>
  </si>
  <si>
    <t>6,0</t>
  </si>
  <si>
    <t>3,0</t>
  </si>
  <si>
    <t>6,56</t>
  </si>
  <si>
    <t>20,38</t>
  </si>
  <si>
    <t>12,0</t>
  </si>
  <si>
    <t>1,65</t>
  </si>
  <si>
    <t xml:space="preserve"> 00000084 </t>
  </si>
  <si>
    <t>72,55</t>
  </si>
  <si>
    <t>0,3333</t>
  </si>
  <si>
    <t xml:space="preserve"> 00000073 </t>
  </si>
  <si>
    <t>21,50</t>
  </si>
  <si>
    <t xml:space="preserve"> 00034359 </t>
  </si>
  <si>
    <t>CURVA 90 GRAUS DE BARRA CHATA EM ALUMINIO 3/4 " X 1/4 " X 300 MM</t>
  </si>
  <si>
    <t>10,82</t>
  </si>
  <si>
    <t>0,26</t>
  </si>
  <si>
    <t xml:space="preserve"> 00011962 </t>
  </si>
  <si>
    <t>PARAFUSO ZINCADO, SEXTAVADO, COM ROSCA INTEIRA, DIAMETRO 1/4", COMPRIMENTO 1/2"</t>
  </si>
  <si>
    <t>6,41</t>
  </si>
  <si>
    <t>0,1</t>
  </si>
  <si>
    <t xml:space="preserve"> 00003384 </t>
  </si>
  <si>
    <t>3,27</t>
  </si>
  <si>
    <t>24,05</t>
  </si>
  <si>
    <t xml:space="preserve"> 00000101 </t>
  </si>
  <si>
    <t>14,43</t>
  </si>
  <si>
    <t>4,61</t>
  </si>
  <si>
    <t xml:space="preserve"> 00039129 </t>
  </si>
  <si>
    <t>3,11</t>
  </si>
  <si>
    <t>0,15</t>
  </si>
  <si>
    <t xml:space="preserve"> 00007583 </t>
  </si>
  <si>
    <t>0,98</t>
  </si>
  <si>
    <t xml:space="preserve"> 00000233 </t>
  </si>
  <si>
    <t>13,29</t>
  </si>
  <si>
    <t xml:space="preserve"> 00000234 </t>
  </si>
  <si>
    <t>27,33</t>
  </si>
  <si>
    <t>8,15</t>
  </si>
  <si>
    <t xml:space="preserve"> 00000112 </t>
  </si>
  <si>
    <t>CARTUCHO PARA SOLDA 115MM</t>
  </si>
  <si>
    <t>316,73</t>
  </si>
  <si>
    <t xml:space="preserve"> 00000107 </t>
  </si>
  <si>
    <t>307,27</t>
  </si>
  <si>
    <t xml:space="preserve"> 00004274 </t>
  </si>
  <si>
    <t>52,21</t>
  </si>
  <si>
    <t xml:space="preserve"> 00004350 </t>
  </si>
  <si>
    <t>0,28</t>
  </si>
  <si>
    <t xml:space="preserve"> 00011854 </t>
  </si>
  <si>
    <t>3,76</t>
  </si>
  <si>
    <t xml:space="preserve"> 00007696 </t>
  </si>
  <si>
    <t>32,93</t>
  </si>
  <si>
    <t xml:space="preserve"> 00007572 </t>
  </si>
  <si>
    <t>SUPORTE ISOLADOR REFORCADO DIAMETRO NOMINAL 5/16", COM ROSCA SOBERBA E BUCHA</t>
  </si>
  <si>
    <t>4,51</t>
  </si>
  <si>
    <t>49,71</t>
  </si>
  <si>
    <t xml:space="preserve"> 00038061 </t>
  </si>
  <si>
    <t>28,20</t>
  </si>
  <si>
    <t xml:space="preserve"> 00002510 </t>
  </si>
  <si>
    <t>RELE FOTOELETRICO INTERNO E EXTERNO BIVOLT 1000 W, DE CONECTOR, SEM BASE</t>
  </si>
  <si>
    <t>13,78</t>
  </si>
  <si>
    <t xml:space="preserve"> 00038191 </t>
  </si>
  <si>
    <t>7,92</t>
  </si>
  <si>
    <t xml:space="preserve"> 00000187 </t>
  </si>
  <si>
    <t>24,52</t>
  </si>
  <si>
    <t xml:space="preserve"> 00011950 </t>
  </si>
  <si>
    <t xml:space="preserve"> 00000188 </t>
  </si>
  <si>
    <t>14,87</t>
  </si>
  <si>
    <t>32,65</t>
  </si>
  <si>
    <t xml:space="preserve"> 00037558 </t>
  </si>
  <si>
    <t>26,47</t>
  </si>
  <si>
    <t>79,41</t>
  </si>
  <si>
    <t xml:space="preserve"> 00000057 </t>
  </si>
  <si>
    <t>63,63</t>
  </si>
  <si>
    <t xml:space="preserve"> 00000206 </t>
  </si>
  <si>
    <t>596,64</t>
  </si>
  <si>
    <t xml:space="preserve"> 00000113 </t>
  </si>
  <si>
    <t>578,96</t>
  </si>
  <si>
    <t>227,79</t>
  </si>
  <si>
    <t xml:space="preserve"> 00000079 </t>
  </si>
  <si>
    <t>121,71</t>
  </si>
  <si>
    <t xml:space="preserve"> SDC03069 </t>
  </si>
  <si>
    <t>14,37</t>
  </si>
  <si>
    <t xml:space="preserve"> 00000266 </t>
  </si>
  <si>
    <t>ELETRODUTODE FERRO ZINCADO LEVE 3/4" X 3M</t>
  </si>
  <si>
    <t>13,58</t>
  </si>
  <si>
    <t xml:space="preserve"> SDC03021 </t>
  </si>
  <si>
    <t>18,90</t>
  </si>
  <si>
    <t xml:space="preserve"> 00000277 </t>
  </si>
  <si>
    <t>17,37</t>
  </si>
  <si>
    <t xml:space="preserve"> SDC03070 </t>
  </si>
  <si>
    <t>4,00</t>
  </si>
  <si>
    <t xml:space="preserve"> 00000267 </t>
  </si>
  <si>
    <t xml:space="preserve"> SDC03022 </t>
  </si>
  <si>
    <t>4,13</t>
  </si>
  <si>
    <t xml:space="preserve"> 00000278 </t>
  </si>
  <si>
    <t xml:space="preserve"> SDC03023 </t>
  </si>
  <si>
    <t>14,42</t>
  </si>
  <si>
    <t xml:space="preserve"> 00000279 </t>
  </si>
  <si>
    <t>25,75</t>
  </si>
  <si>
    <t xml:space="preserve"> 00020254 </t>
  </si>
  <si>
    <t>16,13</t>
  </si>
  <si>
    <t xml:space="preserve"> 00037539 </t>
  </si>
  <si>
    <t>14,20</t>
  </si>
  <si>
    <t xml:space="preserve"> 00038094 </t>
  </si>
  <si>
    <t>1,61</t>
  </si>
  <si>
    <t xml:space="preserve"> SDC03123 </t>
  </si>
  <si>
    <t xml:space="preserve"> 00000269 </t>
  </si>
  <si>
    <t xml:space="preserve"> SDC03024 </t>
  </si>
  <si>
    <t xml:space="preserve"> 00000280 </t>
  </si>
  <si>
    <t>213,22</t>
  </si>
  <si>
    <t>0,282</t>
  </si>
  <si>
    <t xml:space="preserve"> 00010905 </t>
  </si>
  <si>
    <t>65,99</t>
  </si>
  <si>
    <t xml:space="preserve"> 00020974 </t>
  </si>
  <si>
    <t>UNIAO TIPO STORZ, COM EMPATACAO INTERNA TIPO ANEL DE EXPANSAO, ENGATE RAPIDO 2 1/2", PARA MANGUEIRA DE COMBATE A INCENDIO PREDIAL</t>
  </si>
  <si>
    <t>110,39</t>
  </si>
  <si>
    <t xml:space="preserve"> SDC07011 </t>
  </si>
  <si>
    <t>85,92</t>
  </si>
  <si>
    <t xml:space="preserve"> 00020966 </t>
  </si>
  <si>
    <t>ESGUICHO TIPO JATO SOLIDO, EM LATAO, ENGATE RAPIDO 1 1/2" X 19 MM, PARA MANGUEIRA EM INSTALACAO PREDIAL COMBATE A INCENDIO</t>
  </si>
  <si>
    <t>49,08</t>
  </si>
  <si>
    <t xml:space="preserve"> SDC07010 </t>
  </si>
  <si>
    <t>15,43</t>
  </si>
  <si>
    <t xml:space="preserve"> 00020971 </t>
  </si>
  <si>
    <t>CHAVE DUPLA PARA CONEXOES TIPO STORZ, ENGATE RAPIDO 1 1/2" X 2 1/2", EM LATAO, PARA INSTALACAO PREDIAL COMBATE A INCENDIO</t>
  </si>
  <si>
    <t>11,99</t>
  </si>
  <si>
    <t>56,99</t>
  </si>
  <si>
    <t xml:space="preserve"> 00000246 </t>
  </si>
  <si>
    <t>ACIONADOR MANUAL LIGA DESLIGA, BOTOEIRA, TIPO QUEBRA VIDRO, PARA ACIONAMENTO DA BOMBA DO HIDRANTE</t>
  </si>
  <si>
    <t>41,21</t>
  </si>
  <si>
    <t>2.656,21</t>
  </si>
  <si>
    <t>6,1</t>
  </si>
  <si>
    <t xml:space="preserve"> 88279 </t>
  </si>
  <si>
    <t>22,34</t>
  </si>
  <si>
    <t xml:space="preserve"> 00000242 </t>
  </si>
  <si>
    <t>2.430,82</t>
  </si>
  <si>
    <t xml:space="preserve"> SDC07040 </t>
  </si>
  <si>
    <t xml:space="preserve"> 00000256 </t>
  </si>
  <si>
    <t>2,68</t>
  </si>
  <si>
    <t>247,39</t>
  </si>
  <si>
    <t>3,86</t>
  </si>
  <si>
    <t>6,32</t>
  </si>
  <si>
    <t>0,1685</t>
  </si>
  <si>
    <t>31,048</t>
  </si>
  <si>
    <t xml:space="preserve"> 00004730 </t>
  </si>
  <si>
    <t>PEDRA DE MAO OU PEDRA RACHAO PARA ARRIMO/FUNDACAO (POSTO PEDREIRA/FORNECEDOR, SEM FRETE)</t>
  </si>
  <si>
    <t>0,138</t>
  </si>
  <si>
    <t>51,96</t>
  </si>
  <si>
    <t>17,908</t>
  </si>
  <si>
    <t>174,9</t>
  </si>
  <si>
    <t>34,55</t>
  </si>
  <si>
    <t xml:space="preserve"> 00038774 </t>
  </si>
  <si>
    <t>LUMINARIA DE EMERGENCIA 30 LEDS, POTENCIA 2 W, BATERIA DE LITIO, AUTONOMIA DE 6 HORAS</t>
  </si>
  <si>
    <t>25,71</t>
  </si>
  <si>
    <t xml:space="preserve"> 00007156 </t>
  </si>
  <si>
    <t>TELA DE ACO SOLDADA NERVURADA, CA-60, Q-196, (3,11 KG/M2), DIAMETRO DO FIO = 5,0 MM, LARGURA =  2,45 M, ESPACAMENTO DA MALHA = 10 X 10 CM</t>
  </si>
  <si>
    <t>1,03</t>
  </si>
  <si>
    <t>17,92</t>
  </si>
  <si>
    <t>0,006</t>
  </si>
  <si>
    <t>0,0367</t>
  </si>
  <si>
    <t xml:space="preserve"> 92796 </t>
  </si>
  <si>
    <t>3,95</t>
  </si>
  <si>
    <t>0,0212</t>
  </si>
  <si>
    <t xml:space="preserve"> 00003452 </t>
  </si>
  <si>
    <t>COTOVELO 90 GRAUS DE FERRO GALVANIZADO, COM ROSCA BSP MACHO/FEMEA, DE 2"</t>
  </si>
  <si>
    <t xml:space="preserve"> 88246 </t>
  </si>
  <si>
    <t>ASSENTADOR DE TUBOS COM ENCARGOS COMPLEMENTARES</t>
  </si>
  <si>
    <t>0,35742</t>
  </si>
  <si>
    <t>20,69</t>
  </si>
  <si>
    <t>0,71484</t>
  </si>
  <si>
    <t xml:space="preserve"> 5631 </t>
  </si>
  <si>
    <t>ESCAVADEIRA HIDRÁULICA SOBRE ESTEIRAS, CAÇAMBA 0,80 M3, PESO OPERACIONAL 17 T, POTENCIA BRUTA 111 HP - CHP DIURNO. AF_06/2014</t>
  </si>
  <si>
    <t>0,07548</t>
  </si>
  <si>
    <t xml:space="preserve"> 5632 </t>
  </si>
  <si>
    <t>ESCAVADEIRA HIDRÁULICA SOBRE ESTEIRAS, CAÇAMBA 0,80 M3, PESO OPERACIONAL 17 T, POTENCIA BRUTA 111 HP - CHI DIURNO. AF_06/2014</t>
  </si>
  <si>
    <t>0,15984</t>
  </si>
  <si>
    <t>49,39</t>
  </si>
  <si>
    <t xml:space="preserve"> 00007759 </t>
  </si>
  <si>
    <t>TUBO CONCRETO ARMADO, CLASSE PA-1, PB, DN 2000 MM, PARA AGUAS PLUVIAIS (NBR 8890)</t>
  </si>
  <si>
    <t>1.204,04</t>
  </si>
  <si>
    <t>0,61</t>
  </si>
  <si>
    <t>0,0112</t>
  </si>
  <si>
    <t xml:space="preserve"> 00011756 </t>
  </si>
  <si>
    <t>REGISTRO OU REGULADOR DE GAS COZINHA, VAZAO DE 2 KG/H, 2,8 KPA</t>
  </si>
  <si>
    <t>22,87</t>
  </si>
  <si>
    <t xml:space="preserve"> 00034345 </t>
  </si>
  <si>
    <t>8,98</t>
  </si>
  <si>
    <t xml:space="preserve"> 00037370 </t>
  </si>
  <si>
    <t>Outros</t>
  </si>
  <si>
    <t>2,15</t>
  </si>
  <si>
    <t xml:space="preserve"> 00037371 </t>
  </si>
  <si>
    <t>0,60</t>
  </si>
  <si>
    <t xml:space="preserve"> 00037372 </t>
  </si>
  <si>
    <t>EXAMES - HORISTA (ENCARGOS COMPLEMENTARES) (COLETADO CAIXA)</t>
  </si>
  <si>
    <t xml:space="preserve"> 00037373 </t>
  </si>
  <si>
    <t>Taxas</t>
  </si>
  <si>
    <t xml:space="preserve">02/2017 SINAPI
02/2017 SEDUC
</t>
  </si>
  <si>
    <t>TINTA ESMALTE SINTÉTICO, COR REF. PANTONE 3125U, GL 3,2L</t>
  </si>
  <si>
    <t>TODIMO CONSTRUÇÃO E ACABAMENTO</t>
  </si>
  <si>
    <t>15.375.991/0001-64</t>
  </si>
  <si>
    <t>WILLIAM</t>
  </si>
  <si>
    <t>CASA DAS TINTAS</t>
  </si>
  <si>
    <t>26.538.876/0001-80</t>
  </si>
  <si>
    <t>DEJAMIL</t>
  </si>
  <si>
    <t>BIGOLIN ACABAMENTOS E ACESSORIOS</t>
  </si>
  <si>
    <t>NELSON</t>
  </si>
  <si>
    <t>TINTA ESMALTE SINTÉTICO, COR REF. PANTONE 308U, GL 3,2L</t>
  </si>
  <si>
    <t>AMERICA PAINEIS - COMUNICAÇÃO VISUAL</t>
  </si>
  <si>
    <t>ISRAEL</t>
  </si>
  <si>
    <t>SÓ TOLDOS</t>
  </si>
  <si>
    <t>ERLEI</t>
  </si>
  <si>
    <t>SOLEIRA DE GRANITO</t>
  </si>
  <si>
    <t>LAJE TRELIÇADA</t>
  </si>
  <si>
    <t>3637-1329</t>
  </si>
  <si>
    <t>SCM ENGENHARIA</t>
  </si>
  <si>
    <t>08.580.820/0001-01</t>
  </si>
  <si>
    <t>3358-7742</t>
  </si>
  <si>
    <t>PREMOLDAR</t>
  </si>
  <si>
    <t>3667-0990</t>
  </si>
  <si>
    <t>CLENEO</t>
  </si>
  <si>
    <t>RESERVATÓRIO METÁLICO TIPO TAÇA 5.000 LT, COM COLUNA SECA</t>
  </si>
  <si>
    <t>BANCADA EM AÇO INOX 2,71X0,6M COM 01 CUBA</t>
  </si>
  <si>
    <t>ELÉTRICA UNIÃO</t>
  </si>
  <si>
    <t>25.211.602/0001-19</t>
  </si>
  <si>
    <t>3632-9300</t>
  </si>
  <si>
    <t>WENDER</t>
  </si>
  <si>
    <t>QUADRO DE COMANDO PARA BOMBA 7,5CV</t>
  </si>
  <si>
    <t>BOMBA SHOPPING</t>
  </si>
  <si>
    <t>14.778.311/00001-90</t>
  </si>
  <si>
    <t>GLADSTON</t>
  </si>
  <si>
    <t>SMA- SISTEMA DE MONTAGEM E AUTOMAÇÃO</t>
  </si>
  <si>
    <t>05.361.1219/0001-30</t>
  </si>
  <si>
    <t>AILTON</t>
  </si>
  <si>
    <t xml:space="preserve"> LUVA P/ELETRODUTO ZINCADO 1"</t>
  </si>
  <si>
    <t>ESCOVODROMO EM AÇO INOX 2370X500X250</t>
  </si>
  <si>
    <t>METAL CALHAS</t>
  </si>
  <si>
    <t>INOX SÃO JOSÉ</t>
  </si>
  <si>
    <t>14.165.383/0001-62</t>
  </si>
  <si>
    <t>66-3421-1843</t>
  </si>
  <si>
    <t>ALECIO</t>
  </si>
  <si>
    <t>SERRALHERIA ANÉSIO</t>
  </si>
  <si>
    <t>ANÉSIO</t>
  </si>
  <si>
    <t>SERRALHERIA GLOBAL</t>
  </si>
  <si>
    <t>ELIAS</t>
  </si>
  <si>
    <t>LETRA CAIXA EM AÇO GALVANIZADO, ALTURA 70CM, INSTALAÇÃO</t>
  </si>
  <si>
    <t>CENTRO OESTE COMUNICAÇÃO VISUAL</t>
  </si>
  <si>
    <t>ARIDES</t>
  </si>
  <si>
    <t>ELETRO FIOS</t>
  </si>
  <si>
    <t>JAQUESON</t>
  </si>
  <si>
    <t>MULTICASA</t>
  </si>
  <si>
    <t>3618-1551</t>
  </si>
  <si>
    <t>CAROLINE</t>
  </si>
  <si>
    <t>DUTO CORRUGADO FLEXIVEL 1"</t>
  </si>
  <si>
    <t>PATRIANE</t>
  </si>
  <si>
    <t>SELCO</t>
  </si>
  <si>
    <t>TOLIGADO</t>
  </si>
  <si>
    <t>LUMINARIA DE EMERGENCIA 1200 LUMENS</t>
  </si>
  <si>
    <t>ELÉTRICA PARANÁ</t>
  </si>
  <si>
    <t>08.139.615/0001-05</t>
  </si>
  <si>
    <t>3388-0819</t>
  </si>
  <si>
    <t>RAFAEL</t>
  </si>
  <si>
    <t>TAMPÃO DE FERRO 60X40 CM</t>
  </si>
  <si>
    <t>9607-7626</t>
  </si>
  <si>
    <t>3653-2049</t>
  </si>
  <si>
    <t xml:space="preserve"> TUBO GALVANIZADO C/ROSCA 2 1/2", BARRA DE 6 METROS, ESPESSURA 3,5MM</t>
  </si>
  <si>
    <t>01.184.625/0001-13</t>
  </si>
  <si>
    <t>3634-2266</t>
  </si>
  <si>
    <t>Elias</t>
  </si>
  <si>
    <t>eletrica uniao</t>
  </si>
  <si>
    <t>Composições Analíticas com Preço Unitário</t>
  </si>
  <si>
    <t>Composições Principais</t>
  </si>
  <si>
    <t>Composição</t>
  </si>
  <si>
    <t xml:space="preserve"> 1.1 </t>
  </si>
  <si>
    <t>27.886,13</t>
  </si>
  <si>
    <t>Composição Auxiliar</t>
  </si>
  <si>
    <t>176,0</t>
  </si>
  <si>
    <t>4.971,35</t>
  </si>
  <si>
    <t>3.536,54</t>
  </si>
  <si>
    <t xml:space="preserve"> 2.7 </t>
  </si>
  <si>
    <t>Insumo da Composição</t>
  </si>
  <si>
    <t xml:space="preserve"> 2.13 </t>
  </si>
  <si>
    <t>1.409,39</t>
  </si>
  <si>
    <t>16,99</t>
  </si>
  <si>
    <t xml:space="preserve"> 3.1 </t>
  </si>
  <si>
    <t xml:space="preserve"> 4.6 </t>
  </si>
  <si>
    <t xml:space="preserve"> 4.8 </t>
  </si>
  <si>
    <t>CORTE E DOBRA DE AÇO CA-50, DIÂMETRO DE 10,0 MM, UTILIZADO EM ESTRUTURAS DIVERSAS, EXCETO LAJES. AF_12/2015</t>
  </si>
  <si>
    <t xml:space="preserve"> 4.9 </t>
  </si>
  <si>
    <t>10,97</t>
  </si>
  <si>
    <t>CORTE E DOBRA DE AÇO CA-60, DIÂMETRO DE 5,0 MM, UTILIZADO EM ESTRUTURAS DIVERSAS, EXCETO LAJES. AF_12/2015</t>
  </si>
  <si>
    <t xml:space="preserve"> 4.10 </t>
  </si>
  <si>
    <t>CORTE E DOBRA DE AÇO CA-50, DIÂMETRO DE 6,3 MM, UTILIZADO EM ESTRUTURAS DIVERSAS, EXCETO LAJES. AF_12/2015</t>
  </si>
  <si>
    <t xml:space="preserve"> 4.11 </t>
  </si>
  <si>
    <t>CORTE E DOBRA DE AÇO CA-50, DIÂMETRO DE 8,0 MM, UTILIZADO EM ESTRUTURAS DIVERSAS, EXCETO LAJES. AF_12/2015</t>
  </si>
  <si>
    <t xml:space="preserve"> 4.12 </t>
  </si>
  <si>
    <t>CORTE E DOBRA DE AÇO CA-50, DIÂMETRO DE 12,5 MM, UTILIZADO EM ESTRUTURAS DIVERSAS, EXCETO LAJES. AF_12/2015</t>
  </si>
  <si>
    <t xml:space="preserve"> 6.2 </t>
  </si>
  <si>
    <t xml:space="preserve"> 6.10 </t>
  </si>
  <si>
    <t>88,81</t>
  </si>
  <si>
    <t>23,69</t>
  </si>
  <si>
    <t>41,95</t>
  </si>
  <si>
    <t xml:space="preserve"> 7.2 </t>
  </si>
  <si>
    <t>87,40</t>
  </si>
  <si>
    <t xml:space="preserve"> 7.4 </t>
  </si>
  <si>
    <t xml:space="preserve"> 8.1 </t>
  </si>
  <si>
    <t xml:space="preserve"> 8.2 </t>
  </si>
  <si>
    <t>2,22</t>
  </si>
  <si>
    <t xml:space="preserve"> 89272 </t>
  </si>
  <si>
    <t>GUINDASTE HIDRÁULICO AUTOPROPELIDO, COM LANÇA TELESCÓPICA 28,80 M, CAPACIDADE MÁXIMA 30 T, POTÊNCIA 97 KW, TRAÇÃO 4 X 4 - CHP DIURNO. AF_11/2014</t>
  </si>
  <si>
    <t>148,95</t>
  </si>
  <si>
    <t xml:space="preserve"> 8.4 </t>
  </si>
  <si>
    <t>CORTE E DOBRA DE AÇO CA-50, DIÂMETRO DE 16,0 MM, UTILIZADO EM ESTRUTURAS DIVERSAS, EXCETO LAJES. AF_12/2015</t>
  </si>
  <si>
    <t xml:space="preserve"> 8.6 </t>
  </si>
  <si>
    <t xml:space="preserve"> 8.7 </t>
  </si>
  <si>
    <t xml:space="preserve"> SDC01081 </t>
  </si>
  <si>
    <t>322,50</t>
  </si>
  <si>
    <t xml:space="preserve"> 00000237 </t>
  </si>
  <si>
    <t xml:space="preserve"> 9.2 </t>
  </si>
  <si>
    <t>1.198,99</t>
  </si>
  <si>
    <t>1.100,00</t>
  </si>
  <si>
    <t xml:space="preserve"> 9.3 </t>
  </si>
  <si>
    <t>1.584,03</t>
  </si>
  <si>
    <t>145,09</t>
  </si>
  <si>
    <t xml:space="preserve"> 9.4 </t>
  </si>
  <si>
    <t>145,43</t>
  </si>
  <si>
    <t>129,95</t>
  </si>
  <si>
    <t xml:space="preserve"> 9.5 </t>
  </si>
  <si>
    <t>3.581,30</t>
  </si>
  <si>
    <t>PUXADOR CONCHA DE EMBUTIR, EM LATAO CROMADO, PARA PORTA / JANELA DE CORRER, LISO, SEM FURO PARA CHAVE, COM FUROS PARA FIXAR PARAFUSOS, *30 X 90* MM (LARGURA X ALTURA)</t>
  </si>
  <si>
    <t xml:space="preserve"> 9.6 </t>
  </si>
  <si>
    <t xml:space="preserve"> 9.7 </t>
  </si>
  <si>
    <t>1.125,79</t>
  </si>
  <si>
    <t xml:space="preserve"> 9.9 </t>
  </si>
  <si>
    <t>770,86</t>
  </si>
  <si>
    <t xml:space="preserve"> 11.6 </t>
  </si>
  <si>
    <t>165,09</t>
  </si>
  <si>
    <t xml:space="preserve"> 12.2 </t>
  </si>
  <si>
    <t>78,90</t>
  </si>
  <si>
    <t>458,69</t>
  </si>
  <si>
    <t xml:space="preserve"> 00000208 </t>
  </si>
  <si>
    <t>SOLEIRA DE GRANITO BRANCO ITAÚNAS</t>
  </si>
  <si>
    <t xml:space="preserve"> 13.6 </t>
  </si>
  <si>
    <t>13,06</t>
  </si>
  <si>
    <t xml:space="preserve"> 13.9 </t>
  </si>
  <si>
    <t xml:space="preserve"> 14.1 </t>
  </si>
  <si>
    <t xml:space="preserve"> 14.2 </t>
  </si>
  <si>
    <t>568,26</t>
  </si>
  <si>
    <t>363,26</t>
  </si>
  <si>
    <t xml:space="preserve"> 15.1 </t>
  </si>
  <si>
    <t xml:space="preserve"> 15.2 </t>
  </si>
  <si>
    <t xml:space="preserve"> 15.3 </t>
  </si>
  <si>
    <t>171,54</t>
  </si>
  <si>
    <t xml:space="preserve"> 15.4 </t>
  </si>
  <si>
    <t>164,27</t>
  </si>
  <si>
    <t xml:space="preserve"> 00038181 </t>
  </si>
  <si>
    <t>PISO TATIL ALERTA OU DIRECIONAL, DE BORRACHA, COLORIDO, 25 X 25 CM, E = 5 MM, PARA COLA</t>
  </si>
  <si>
    <t>153,74</t>
  </si>
  <si>
    <t xml:space="preserve"> 00004791 </t>
  </si>
  <si>
    <t>ADESIVO ACRILICO/COLA DE CONTATO</t>
  </si>
  <si>
    <t>14,29</t>
  </si>
  <si>
    <t xml:space="preserve"> 16.1 </t>
  </si>
  <si>
    <t>1.706,56</t>
  </si>
  <si>
    <t xml:space="preserve"> 16.2 </t>
  </si>
  <si>
    <t>EXECUÇÃO DE BEBEDOURO EM ALVENARIA. INSTALAÇÕES DE ÁGUA E ESGOTO ENCONTRAM-SE NO ITEM INSTALAÇÕES HIDRO-SANITÁRIAS</t>
  </si>
  <si>
    <t>4.761,10</t>
  </si>
  <si>
    <t>2,315</t>
  </si>
  <si>
    <t>79,09</t>
  </si>
  <si>
    <t>9,28</t>
  </si>
  <si>
    <t>ARMAÇÃO DE PILAR OU VIGA DE UMA ESTRUTURA CONVENCIONAL DE CONCRETO ARMADO EM UMA EDIFICAÇÃO TÉRREA OU SOBRADO UTILIZANDO AÇO CA-60 DE 5,0 MM - MONTAGEM. AF_12/2015</t>
  </si>
  <si>
    <t>3.200,00</t>
  </si>
  <si>
    <t xml:space="preserve"> 00000592 </t>
  </si>
  <si>
    <t>CANTONEIRA ALUMINIO ABAS IGUAIS 1 ", E = 1/8 ", 25,40 X 3,17 MM (0,408 KG/M)</t>
  </si>
  <si>
    <t>0,9792</t>
  </si>
  <si>
    <t>36,48</t>
  </si>
  <si>
    <t xml:space="preserve"> 00011964 </t>
  </si>
  <si>
    <t>PARAFUSO DE ACO TIPO CHUMBADOR PARABOLT, DIAMETRO 3/8", COMPRIMENTO 75 MM</t>
  </si>
  <si>
    <t>1,04</t>
  </si>
  <si>
    <t xml:space="preserve"> 16.3 </t>
  </si>
  <si>
    <t xml:space="preserve"> 16.5 </t>
  </si>
  <si>
    <t>353,55</t>
  </si>
  <si>
    <t xml:space="preserve"> 16.6 </t>
  </si>
  <si>
    <t xml:space="preserve"> 16.7 </t>
  </si>
  <si>
    <t>FORNECIMENTO E INSTALAÇÃO DE BICICLETARIO METALICO, CONFORME PROJETO PADRÃO SEDUC</t>
  </si>
  <si>
    <t xml:space="preserve"> 16.8 </t>
  </si>
  <si>
    <t xml:space="preserve"> 16.9 </t>
  </si>
  <si>
    <t>212,79</t>
  </si>
  <si>
    <t xml:space="preserve"> 16.11 </t>
  </si>
  <si>
    <t xml:space="preserve"> 16.12 </t>
  </si>
  <si>
    <t>324,72</t>
  </si>
  <si>
    <t xml:space="preserve"> 16.13 </t>
  </si>
  <si>
    <t xml:space="preserve"> 16.14 </t>
  </si>
  <si>
    <t xml:space="preserve"> SDC04025 </t>
  </si>
  <si>
    <t>290,00</t>
  </si>
  <si>
    <t xml:space="preserve"> 00000161 </t>
  </si>
  <si>
    <t>LETRA CAIXA EM AÇO GALVANIZADO, ALTURA 70CM, INSTALADO</t>
  </si>
  <si>
    <t xml:space="preserve"> 16.15 </t>
  </si>
  <si>
    <t xml:space="preserve"> 18.1 </t>
  </si>
  <si>
    <t xml:space="preserve"> 19.6 </t>
  </si>
  <si>
    <t xml:space="preserve"> 19.8 </t>
  </si>
  <si>
    <t xml:space="preserve"> 19.9 </t>
  </si>
  <si>
    <t xml:space="preserve"> 19.10 </t>
  </si>
  <si>
    <t xml:space="preserve"> 19.11 </t>
  </si>
  <si>
    <t xml:space="preserve"> 21.2 </t>
  </si>
  <si>
    <t xml:space="preserve"> 21.4 </t>
  </si>
  <si>
    <t xml:space="preserve"> 22.2 </t>
  </si>
  <si>
    <t xml:space="preserve"> 22.4 </t>
  </si>
  <si>
    <t xml:space="preserve"> 24.1 </t>
  </si>
  <si>
    <t xml:space="preserve"> 24.2 </t>
  </si>
  <si>
    <t xml:space="preserve"> 24.4 </t>
  </si>
  <si>
    <t xml:space="preserve"> 24.5 </t>
  </si>
  <si>
    <t xml:space="preserve"> 25.5 </t>
  </si>
  <si>
    <t xml:space="preserve"> 26.2 </t>
  </si>
  <si>
    <t xml:space="preserve"> 27.1 </t>
  </si>
  <si>
    <t xml:space="preserve"> 27.2 </t>
  </si>
  <si>
    <t xml:space="preserve"> 27.4 </t>
  </si>
  <si>
    <t>2.523,54</t>
  </si>
  <si>
    <t>155,91</t>
  </si>
  <si>
    <t xml:space="preserve"> 28.2 </t>
  </si>
  <si>
    <t xml:space="preserve"> 28.6 </t>
  </si>
  <si>
    <t xml:space="preserve"> 29.2 </t>
  </si>
  <si>
    <t xml:space="preserve"> 29.3 </t>
  </si>
  <si>
    <t>233,68</t>
  </si>
  <si>
    <t xml:space="preserve"> 31.1 </t>
  </si>
  <si>
    <t xml:space="preserve"> 32.7 </t>
  </si>
  <si>
    <t xml:space="preserve"> 32.9 </t>
  </si>
  <si>
    <t xml:space="preserve"> 32.10 </t>
  </si>
  <si>
    <t xml:space="preserve"> 32.11 </t>
  </si>
  <si>
    <t xml:space="preserve"> 32.12 </t>
  </si>
  <si>
    <t xml:space="preserve"> 32.13 </t>
  </si>
  <si>
    <t xml:space="preserve"> 32.14 </t>
  </si>
  <si>
    <t xml:space="preserve"> 34.2 </t>
  </si>
  <si>
    <t xml:space="preserve"> 34.9 </t>
  </si>
  <si>
    <t xml:space="preserve"> 35.2 </t>
  </si>
  <si>
    <t xml:space="preserve"> 35.4 </t>
  </si>
  <si>
    <t xml:space="preserve"> 35.6 </t>
  </si>
  <si>
    <t xml:space="preserve"> SDC01090 </t>
  </si>
  <si>
    <t>7,79</t>
  </si>
  <si>
    <t xml:space="preserve"> 95276 </t>
  </si>
  <si>
    <t>POLIDORA DE PISO (POLITRIZ), PESO DE 100KG, DIÂMETRO 450 MM, MOTOR ELÉTRICO, POTÊNCIA 4 HP - CHP DIURNO. AF_09/2016</t>
  </si>
  <si>
    <t xml:space="preserve"> 37.2 </t>
  </si>
  <si>
    <t xml:space="preserve"> 38.1 </t>
  </si>
  <si>
    <t xml:space="preserve"> 38.2 </t>
  </si>
  <si>
    <t xml:space="preserve"> 38.5 </t>
  </si>
  <si>
    <t xml:space="preserve"> SDC01094 </t>
  </si>
  <si>
    <t>109,86</t>
  </si>
  <si>
    <t>0,742</t>
  </si>
  <si>
    <t>0,554</t>
  </si>
  <si>
    <t xml:space="preserve"> 93281 </t>
  </si>
  <si>
    <t>GUINCHO ELÉTRICO DE COLUNA, CAPACIDADE 400 KG, COM MOTO FREIO, MOTOR TRIFÁSICO DE 1,25 CV - CHP DIURNO. AF_03/2016</t>
  </si>
  <si>
    <t>0,0264</t>
  </si>
  <si>
    <t>11,09</t>
  </si>
  <si>
    <t xml:space="preserve"> 93282 </t>
  </si>
  <si>
    <t>GUINCHO ELÉTRICO DE COLUNA, CAPACIDADE 400 KG, COM MOTO FREIO, MOTOR TRIFÁSICO DE 1,25 CV - CHI DIURNO. AF_03/2016</t>
  </si>
  <si>
    <t>0,0366</t>
  </si>
  <si>
    <t>10,63</t>
  </si>
  <si>
    <t xml:space="preserve"> 00000142 </t>
  </si>
  <si>
    <t>SELANTE ELASTICO MONOCOMPONENTE A BASE DE POLIURETANO PARA JUNTAS DIVERSAS</t>
  </si>
  <si>
    <t>310ML</t>
  </si>
  <si>
    <t>0,162</t>
  </si>
  <si>
    <t>30,01</t>
  </si>
  <si>
    <t xml:space="preserve"> 00005104 </t>
  </si>
  <si>
    <t>REBITE DE ALUMINIO VAZADO DE REPUXO, 3,2 X 8 MM (1KG = 1025 UNIDADES)</t>
  </si>
  <si>
    <t>0,0048</t>
  </si>
  <si>
    <t>69,38</t>
  </si>
  <si>
    <t xml:space="preserve"> 00013388 </t>
  </si>
  <si>
    <t>SOLDA EM BARRA DE ESTANHO-CHUMBO 50/50</t>
  </si>
  <si>
    <t>58,59</t>
  </si>
  <si>
    <t xml:space="preserve"> 00040870 </t>
  </si>
  <si>
    <t>CALHA QUADRADA DE CHAPA DE ACO GALVANIZADA NUM 24, CORTE 50 CM (COLETADO CAIXA)</t>
  </si>
  <si>
    <t>35,48</t>
  </si>
  <si>
    <t xml:space="preserve"> 38.7 </t>
  </si>
  <si>
    <t xml:space="preserve"> 40.2 </t>
  </si>
  <si>
    <t xml:space="preserve"> 41.2 </t>
  </si>
  <si>
    <t xml:space="preserve"> 42.3 </t>
  </si>
  <si>
    <t xml:space="preserve"> 42.6 </t>
  </si>
  <si>
    <t xml:space="preserve"> SDC01039 </t>
  </si>
  <si>
    <t>16,25</t>
  </si>
  <si>
    <t xml:space="preserve"> 00000217 </t>
  </si>
  <si>
    <t>37,13</t>
  </si>
  <si>
    <t xml:space="preserve"> 42.7 </t>
  </si>
  <si>
    <t xml:space="preserve"> SDC01037 </t>
  </si>
  <si>
    <t>17,72</t>
  </si>
  <si>
    <t xml:space="preserve"> 00000218 </t>
  </si>
  <si>
    <t>45,31</t>
  </si>
  <si>
    <t xml:space="preserve"> 42.12 </t>
  </si>
  <si>
    <t xml:space="preserve"> 43.1 </t>
  </si>
  <si>
    <t xml:space="preserve"> 43.2 </t>
  </si>
  <si>
    <t xml:space="preserve"> 44.1 </t>
  </si>
  <si>
    <t xml:space="preserve"> 44.3 </t>
  </si>
  <si>
    <t xml:space="preserve"> 44.4 </t>
  </si>
  <si>
    <t xml:space="preserve"> 44.5 </t>
  </si>
  <si>
    <t>804,48</t>
  </si>
  <si>
    <t xml:space="preserve"> 00036215 </t>
  </si>
  <si>
    <t>BANCO ARTICULADO PARA BANHO, EM ACO INOX POLIDO, 70* CM X 45* CM</t>
  </si>
  <si>
    <t>787,40</t>
  </si>
  <si>
    <t xml:space="preserve"> 44.6 </t>
  </si>
  <si>
    <t xml:space="preserve"> 44.7 </t>
  </si>
  <si>
    <t xml:space="preserve"> 44.8 </t>
  </si>
  <si>
    <t xml:space="preserve"> SDC04016 </t>
  </si>
  <si>
    <t>2.617,77</t>
  </si>
  <si>
    <t xml:space="preserve"> 00025398 </t>
  </si>
  <si>
    <t>CONJUNTO PARA FUTSAL COM TRAVES OFICIAIS DE 3,00 X 2,00 M EM TUBO DE ACO GALVANIZADO 3" COM REQUADRO EM TUBO DE 1", PINTURA EM PRIMER COM TINTA ESMALTE SINTETICO E REDES DE POLIETILENO FIO 4 MM</t>
  </si>
  <si>
    <t xml:space="preserve"> 44.9 </t>
  </si>
  <si>
    <t xml:space="preserve"> SDC04017 </t>
  </si>
  <si>
    <t>1.589,21</t>
  </si>
  <si>
    <t xml:space="preserve"> 00025399 </t>
  </si>
  <si>
    <t>CONJUNTO PARA QUADRA DE  VOLEI COM POSTES EM TUBO DE ACO GALVANIZADO 3", H = *255* CM, PINTURA EM TINTA ESMALTE SINTETICO, REDE DE NYLON COM 2 MM, MALHA 10 X 10 CM E ANTENAS OFICIAIS EM FIBRA DE VIDRO</t>
  </si>
  <si>
    <t xml:space="preserve"> 44.10 </t>
  </si>
  <si>
    <t xml:space="preserve"> SDC04018 </t>
  </si>
  <si>
    <t>2.356,86</t>
  </si>
  <si>
    <t>22,684</t>
  </si>
  <si>
    <t>10,044</t>
  </si>
  <si>
    <t>12,64</t>
  </si>
  <si>
    <t>6,5</t>
  </si>
  <si>
    <t>18,2</t>
  </si>
  <si>
    <t xml:space="preserve"> 89225 </t>
  </si>
  <si>
    <t>BETONEIRA CAPACIDADE NOMINAL DE 600 L, CAPACIDADE DE MISTURA 360 L, MOTOR ELÉTRICO TRIFÁSICO POTÊNCIA DE 4 CV, SEM CARREGADOR - CHP DIURNO. AF_11/2014</t>
  </si>
  <si>
    <t>0,9282</t>
  </si>
  <si>
    <t>2,96</t>
  </si>
  <si>
    <t>0,8089</t>
  </si>
  <si>
    <t>442,26</t>
  </si>
  <si>
    <t>0,3419</t>
  </si>
  <si>
    <t>0,7995</t>
  </si>
  <si>
    <t>8,928</t>
  </si>
  <si>
    <t>11,3832</t>
  </si>
  <si>
    <t xml:space="preserve"> 00003992 </t>
  </si>
  <si>
    <t>TABUA DE MADEIRA APARELHADA *2,5 X 30* CM, MACARANDUBA, ANGELIM OU EQUIVALENTE DA REGIAO</t>
  </si>
  <si>
    <t>2,6114</t>
  </si>
  <si>
    <t>8,83</t>
  </si>
  <si>
    <t>1,9344</t>
  </si>
  <si>
    <t xml:space="preserve"> 00000033 </t>
  </si>
  <si>
    <t>ACO CA-50, 8,0 MM, VERGALHAO</t>
  </si>
  <si>
    <t>181,7</t>
  </si>
  <si>
    <t>4,16</t>
  </si>
  <si>
    <t>1,86</t>
  </si>
  <si>
    <t>3,16</t>
  </si>
  <si>
    <t xml:space="preserve"> 44.11 </t>
  </si>
  <si>
    <t xml:space="preserve"> SDC04019 </t>
  </si>
  <si>
    <t>993,63</t>
  </si>
  <si>
    <t xml:space="preserve"> 00025400 </t>
  </si>
  <si>
    <t xml:space="preserve"> 46.2 </t>
  </si>
  <si>
    <t xml:space="preserve"> 47.5 </t>
  </si>
  <si>
    <t xml:space="preserve"> 47.7 </t>
  </si>
  <si>
    <t xml:space="preserve"> 47.8 </t>
  </si>
  <si>
    <t xml:space="preserve"> 47.10 </t>
  </si>
  <si>
    <t xml:space="preserve"> 47.11 </t>
  </si>
  <si>
    <t xml:space="preserve"> 47.15 </t>
  </si>
  <si>
    <t xml:space="preserve"> 47.17 </t>
  </si>
  <si>
    <t xml:space="preserve"> 48.1 </t>
  </si>
  <si>
    <t>EXECUÇÃO DE MURO, EM BLOCOS DE CONCRETO ESTRUTURAL, ALTURA 2,20M, COM CHAPISCO E REBOCO</t>
  </si>
  <si>
    <t>361,93</t>
  </si>
  <si>
    <t>54,90</t>
  </si>
  <si>
    <t>74,69</t>
  </si>
  <si>
    <t>270,63</t>
  </si>
  <si>
    <t>143,36</t>
  </si>
  <si>
    <t>4,4</t>
  </si>
  <si>
    <t xml:space="preserve"> 48.2 </t>
  </si>
  <si>
    <t>588,74</t>
  </si>
  <si>
    <t>21,75</t>
  </si>
  <si>
    <t>455,59</t>
  </si>
  <si>
    <t>352,19</t>
  </si>
  <si>
    <t>ARMAÇÃO DE ESTRUTURAS DE CONCRETO ARMADO, EXCETO VIGAS, PILARES, LAJES E FUNDAÇÕES PROFUNDAS (DE EDIFÍCIOS DE MÚLTIPLOS PAVIMENTOS, EDIFICAÇÃO TÉRREA OU SOBRADO), UTILIZANDO AÇO CA-50 DE 8,0 MM - MONTAGEM. AF_12/2015</t>
  </si>
  <si>
    <t>90,44</t>
  </si>
  <si>
    <t>257,00</t>
  </si>
  <si>
    <t xml:space="preserve"> 48.8 </t>
  </si>
  <si>
    <t>FORNECIMENTO E MONTAGEM DE KIT PLAYGROUND, METALICO, CONTENDO: GIRA-GIRA 7 LUGARES; BALANÇO 4 LUGARES; ESCORREGADOR GRANDE; GANGORRA DUPLA E CASINHA CONJUGADA</t>
  </si>
  <si>
    <t>7.400,00</t>
  </si>
  <si>
    <t xml:space="preserve"> 49.1 </t>
  </si>
  <si>
    <t>3.299,25</t>
  </si>
  <si>
    <t>82,78</t>
  </si>
  <si>
    <t>39,99</t>
  </si>
  <si>
    <t>29,86</t>
  </si>
  <si>
    <t>771,28</t>
  </si>
  <si>
    <t xml:space="preserve"> 50.6 </t>
  </si>
  <si>
    <t xml:space="preserve"> SDC02086 </t>
  </si>
  <si>
    <t>14,56</t>
  </si>
  <si>
    <t xml:space="preserve"> 00020080 </t>
  </si>
  <si>
    <t>ADESIVO PLASTICO PARA PVC, FRASCO COM 175 GR</t>
  </si>
  <si>
    <t>14,33</t>
  </si>
  <si>
    <t xml:space="preserve"> 00001402 </t>
  </si>
  <si>
    <t>COLAR TOMADA PVC, COM TRAVAS, SAIDA COM ROSCA, DE 32 MM X 1/2" OU 32 MM X 3/4", PARA LIGACAO PREDIAL DE AGUA</t>
  </si>
  <si>
    <t>9,79</t>
  </si>
  <si>
    <t>0,012</t>
  </si>
  <si>
    <t xml:space="preserve"> 50.10 </t>
  </si>
  <si>
    <t>2,83</t>
  </si>
  <si>
    <t xml:space="preserve"> 95335 </t>
  </si>
  <si>
    <t>CURSO DE CAPACITAÇÃO PARA ENCANADOR OU BOMBEIRO HIDRÁULICO (ENCARGOS COMPLEMENTARES) - HORISTA</t>
  </si>
  <si>
    <t>0,0064</t>
  </si>
  <si>
    <t>0,0055</t>
  </si>
  <si>
    <t xml:space="preserve"> 00001189 </t>
  </si>
  <si>
    <t>CAP PVC, SOLDAVEL, 32 MM, PARA AGUA FRIA PREDIAL</t>
  </si>
  <si>
    <t>1,70</t>
  </si>
  <si>
    <t xml:space="preserve"> 51.12 </t>
  </si>
  <si>
    <t xml:space="preserve"> 51.17 </t>
  </si>
  <si>
    <t xml:space="preserve"> 51.18 </t>
  </si>
  <si>
    <t xml:space="preserve"> 51.19 </t>
  </si>
  <si>
    <t xml:space="preserve"> SDC02100 </t>
  </si>
  <si>
    <t>LIPR - LIGAÇÕES PREDIAIS ÁGUA/ESGOTO/ENERGIA/TELEFONE</t>
  </si>
  <si>
    <t>20,09</t>
  </si>
  <si>
    <t>0,019</t>
  </si>
  <si>
    <t xml:space="preserve"> 00007108 </t>
  </si>
  <si>
    <t>TE DE REDUCAO, PVC, SOLDAVEL, 90 GRAUS, 50 MM X 20 MM, PARA AGUA FRIA PREDIAL</t>
  </si>
  <si>
    <t>8,75</t>
  </si>
  <si>
    <t xml:space="preserve"> 51.20 </t>
  </si>
  <si>
    <t>13,22</t>
  </si>
  <si>
    <t xml:space="preserve"> 51.21 </t>
  </si>
  <si>
    <t>17,47</t>
  </si>
  <si>
    <t xml:space="preserve"> 51.22 </t>
  </si>
  <si>
    <t>25,57</t>
  </si>
  <si>
    <t xml:space="preserve"> 51.23 </t>
  </si>
  <si>
    <t>30,89</t>
  </si>
  <si>
    <t xml:space="preserve"> 51.24 </t>
  </si>
  <si>
    <t xml:space="preserve"> 51.44 </t>
  </si>
  <si>
    <t>71,81</t>
  </si>
  <si>
    <t xml:space="preserve"> 51.47 </t>
  </si>
  <si>
    <t xml:space="preserve"> 52.1 </t>
  </si>
  <si>
    <t>300,71</t>
  </si>
  <si>
    <t>91,35</t>
  </si>
  <si>
    <t>41,64</t>
  </si>
  <si>
    <t>26,64</t>
  </si>
  <si>
    <t>85,43</t>
  </si>
  <si>
    <t>ARMAÇÃO DE PILAR OU VIGA DE UMA ESTRUTURA CONVENCIONAL DE CONCRETO ARMADO EM UMA EDIFICAÇÃO TÉRREA OU SOBRADO UTILIZANDO AÇO CA-50 DE 8,0 MM - MONTAGEM. AF_12/2015</t>
  </si>
  <si>
    <t>ARMAÇÃO DE PILAR OU VIGA DE UMA ESTRUTURA CONVENCIONAL DE CONCRETO ARMADO EM UMA EDIFICAÇÃO TÉRREA OU SOBRADO UTILIZANDO AÇO CA-50 DE 10,0 MM - MONTAGEM. AF_12/2015</t>
  </si>
  <si>
    <t xml:space="preserve"> 52.3 </t>
  </si>
  <si>
    <t xml:space="preserve"> SDC02021 </t>
  </si>
  <si>
    <t>12.641,10</t>
  </si>
  <si>
    <t xml:space="preserve"> 00000202 </t>
  </si>
  <si>
    <t>11.300,00</t>
  </si>
  <si>
    <t xml:space="preserve"> 52.4 </t>
  </si>
  <si>
    <t>18.242,99</t>
  </si>
  <si>
    <t xml:space="preserve"> 92915 </t>
  </si>
  <si>
    <t>ARMAÇÃO DE ESTRUTURAS DE CONCRETO ARMADO, EXCETO VIGAS, PILARES, LAJES E FUNDAÇÕES PROFUNDAS (DE EDIFÍCIOS DE MÚLTIPLOS PAVIMENTOS, EDIFICAÇÃO TÉRREA OU SOBRADO), UTILIZANDO AÇO CA-60 DE 5,0 MM - MONTAGEM. AF_12/2015</t>
  </si>
  <si>
    <t xml:space="preserve"> 92919 </t>
  </si>
  <si>
    <t>ARMAÇÃO DE ESTRUTURAS DE CONCRETO ARMADO, EXCETO VIGAS, PILARES, LAJES E FUNDAÇÕES PROFUNDAS (DE EDIFÍCIOS DE MÚLTIPLOS PAVIMENTOS, EDIFICAÇÃO TÉRREA OU SOBRADO), UTILIZANDO AÇO CA-50 DE 10,0 MM - MONTAGEM. AF_12/2015</t>
  </si>
  <si>
    <t>7,61</t>
  </si>
  <si>
    <t xml:space="preserve"> 53.7 </t>
  </si>
  <si>
    <t xml:space="preserve"> 54.7 </t>
  </si>
  <si>
    <t xml:space="preserve"> 55.4 </t>
  </si>
  <si>
    <t xml:space="preserve"> 55.6 </t>
  </si>
  <si>
    <t>876,77</t>
  </si>
  <si>
    <t>BANCADA/BANCA/PIA DE ACO INOXIDAVEL (AISI 430) COM 2 CUBAS, COM VALVULAS, ESCORREDOR DUPLO, DE *0,55 X 2,00* M</t>
  </si>
  <si>
    <t xml:space="preserve"> 56.2 </t>
  </si>
  <si>
    <t xml:space="preserve"> 57.1 </t>
  </si>
  <si>
    <t>4.622,92</t>
  </si>
  <si>
    <t>58,95</t>
  </si>
  <si>
    <t>REVESTIMENTO CERÂMICO PARA PAREDES INTERNAS COM PLACAS TIPO ESMALTADA EXTRA DE DIMENSÕES 20X20 CM APLICADAS EM AMBIENTES DE ÁREA MENOR QUE 5 M² NA ALTURA INTEIRA DAS PAREDES. AF_06/2014</t>
  </si>
  <si>
    <t>8,29</t>
  </si>
  <si>
    <t xml:space="preserve"> 57.2 </t>
  </si>
  <si>
    <t xml:space="preserve"> SDC02055 </t>
  </si>
  <si>
    <t>3.727,69</t>
  </si>
  <si>
    <t xml:space="preserve"> 00000069 </t>
  </si>
  <si>
    <t>3.300,00</t>
  </si>
  <si>
    <t xml:space="preserve"> 57.3 </t>
  </si>
  <si>
    <t>3.587,69</t>
  </si>
  <si>
    <t xml:space="preserve"> 57.4 </t>
  </si>
  <si>
    <t>161,40</t>
  </si>
  <si>
    <t xml:space="preserve"> 57.6 </t>
  </si>
  <si>
    <t>386,78</t>
  </si>
  <si>
    <t>56,10</t>
  </si>
  <si>
    <t>36,19</t>
  </si>
  <si>
    <t xml:space="preserve"> 58.5 </t>
  </si>
  <si>
    <t xml:space="preserve"> 59.1 </t>
  </si>
  <si>
    <t>668,18</t>
  </si>
  <si>
    <t>550,98</t>
  </si>
  <si>
    <t xml:space="preserve"> 59.2 </t>
  </si>
  <si>
    <t xml:space="preserve"> 59.4 </t>
  </si>
  <si>
    <t>566,73</t>
  </si>
  <si>
    <t>455,89</t>
  </si>
  <si>
    <t xml:space="preserve"> 59.5 </t>
  </si>
  <si>
    <t xml:space="preserve"> 59.7 </t>
  </si>
  <si>
    <t xml:space="preserve"> 60.5 </t>
  </si>
  <si>
    <t xml:space="preserve"> 60.16 </t>
  </si>
  <si>
    <t xml:space="preserve"> 60.20 </t>
  </si>
  <si>
    <t>JUNÇÃO INVERTIDA 45° DE PVC BRANCO COM REDUÇÃO, PONTA BOLSA E VIROLA, Ø 75 X 50 MM</t>
  </si>
  <si>
    <t xml:space="preserve"> 60.21 </t>
  </si>
  <si>
    <t xml:space="preserve"> 61.4 </t>
  </si>
  <si>
    <t xml:space="preserve"> 62.1 </t>
  </si>
  <si>
    <t xml:space="preserve"> SDC02011 </t>
  </si>
  <si>
    <t>7.175,49</t>
  </si>
  <si>
    <t>2,82</t>
  </si>
  <si>
    <t>152,57</t>
  </si>
  <si>
    <t>3,9</t>
  </si>
  <si>
    <t>17,82</t>
  </si>
  <si>
    <t>15,9</t>
  </si>
  <si>
    <t>81,93</t>
  </si>
  <si>
    <t>21,89</t>
  </si>
  <si>
    <t>399,03</t>
  </si>
  <si>
    <t>28,04</t>
  </si>
  <si>
    <t>31,8</t>
  </si>
  <si>
    <t>6,3</t>
  </si>
  <si>
    <t>20,94</t>
  </si>
  <si>
    <t>54,73</t>
  </si>
  <si>
    <t xml:space="preserve"> 62.2 </t>
  </si>
  <si>
    <t>13.549,36</t>
  </si>
  <si>
    <t xml:space="preserve"> 62.3 </t>
  </si>
  <si>
    <t>6.692,02</t>
  </si>
  <si>
    <t>155,76</t>
  </si>
  <si>
    <t>19,89</t>
  </si>
  <si>
    <t>1.240,04</t>
  </si>
  <si>
    <t>134,33</t>
  </si>
  <si>
    <t xml:space="preserve"> 62.4 </t>
  </si>
  <si>
    <t>3.916,24</t>
  </si>
  <si>
    <t>19,83</t>
  </si>
  <si>
    <t xml:space="preserve"> 63.13 </t>
  </si>
  <si>
    <t>28,68</t>
  </si>
  <si>
    <t xml:space="preserve"> 64.1 </t>
  </si>
  <si>
    <t>8.291,91</t>
  </si>
  <si>
    <t>239,35</t>
  </si>
  <si>
    <t>98,12</t>
  </si>
  <si>
    <t>366,76</t>
  </si>
  <si>
    <t>170,60</t>
  </si>
  <si>
    <t xml:space="preserve"> 65.4 </t>
  </si>
  <si>
    <t xml:space="preserve"> 65.5 </t>
  </si>
  <si>
    <t>12,02</t>
  </si>
  <si>
    <t xml:space="preserve"> 65.6 </t>
  </si>
  <si>
    <t xml:space="preserve"> 65.7 </t>
  </si>
  <si>
    <t xml:space="preserve"> 65.8 </t>
  </si>
  <si>
    <t xml:space="preserve"> 65.9 </t>
  </si>
  <si>
    <t xml:space="preserve"> 65.10 </t>
  </si>
  <si>
    <t>121,28</t>
  </si>
  <si>
    <t xml:space="preserve"> 65.12 </t>
  </si>
  <si>
    <t>187,53</t>
  </si>
  <si>
    <t xml:space="preserve"> 65.25 </t>
  </si>
  <si>
    <t xml:space="preserve"> SDC03066 </t>
  </si>
  <si>
    <t>31,01</t>
  </si>
  <si>
    <t xml:space="preserve"> 00000091 </t>
  </si>
  <si>
    <t>20,82</t>
  </si>
  <si>
    <t xml:space="preserve"> 65.29 </t>
  </si>
  <si>
    <t>1.122,11</t>
  </si>
  <si>
    <t>36,33</t>
  </si>
  <si>
    <t>BARRA DE TERRA 12 FUROS VERDE</t>
  </si>
  <si>
    <t>36,40</t>
  </si>
  <si>
    <t xml:space="preserve"> 462 </t>
  </si>
  <si>
    <t>662,67</t>
  </si>
  <si>
    <t xml:space="preserve"> 463 </t>
  </si>
  <si>
    <t>50,48</t>
  </si>
  <si>
    <t xml:space="preserve"> 65.30 </t>
  </si>
  <si>
    <t>43,98</t>
  </si>
  <si>
    <t>19,10</t>
  </si>
  <si>
    <t xml:space="preserve"> 65.31 </t>
  </si>
  <si>
    <t>76,16</t>
  </si>
  <si>
    <t>51,28</t>
  </si>
  <si>
    <t xml:space="preserve"> 65.53 </t>
  </si>
  <si>
    <t xml:space="preserve"> 65.59 </t>
  </si>
  <si>
    <t>2.543,56</t>
  </si>
  <si>
    <t xml:space="preserve"> 65.60 </t>
  </si>
  <si>
    <t xml:space="preserve"> 65.64 </t>
  </si>
  <si>
    <t xml:space="preserve"> 66.1 </t>
  </si>
  <si>
    <t xml:space="preserve"> 66.2 </t>
  </si>
  <si>
    <t xml:space="preserve"> 66.3 </t>
  </si>
  <si>
    <t xml:space="preserve"> 66.5 </t>
  </si>
  <si>
    <t xml:space="preserve"> 66.6 </t>
  </si>
  <si>
    <t xml:space="preserve"> 66.10 </t>
  </si>
  <si>
    <t xml:space="preserve"> 66.11 </t>
  </si>
  <si>
    <t xml:space="preserve"> 66.14 </t>
  </si>
  <si>
    <t>71,54</t>
  </si>
  <si>
    <t xml:space="preserve"> 66.16 </t>
  </si>
  <si>
    <t xml:space="preserve"> 66.19 </t>
  </si>
  <si>
    <t xml:space="preserve"> 66.22 </t>
  </si>
  <si>
    <t>334,73</t>
  </si>
  <si>
    <t xml:space="preserve"> 66.23 </t>
  </si>
  <si>
    <t xml:space="preserve"> 67.3 </t>
  </si>
  <si>
    <t>17,18</t>
  </si>
  <si>
    <t>11,00</t>
  </si>
  <si>
    <t xml:space="preserve"> 68.1 </t>
  </si>
  <si>
    <t xml:space="preserve"> 68.2 </t>
  </si>
  <si>
    <t xml:space="preserve"> 69.1 </t>
  </si>
  <si>
    <t xml:space="preserve"> 69.2 </t>
  </si>
  <si>
    <t>39,76</t>
  </si>
  <si>
    <t xml:space="preserve"> 69.3 </t>
  </si>
  <si>
    <t xml:space="preserve"> 69.4 </t>
  </si>
  <si>
    <t xml:space="preserve"> 69.7 </t>
  </si>
  <si>
    <t xml:space="preserve"> 69.8 </t>
  </si>
  <si>
    <t>ELETRODUTO ZINCADO LEVE 1" X 3M - FORNECIMENTO E INSTALAÇÃO</t>
  </si>
  <si>
    <t xml:space="preserve"> 69.9 </t>
  </si>
  <si>
    <t xml:space="preserve"> 69.10 </t>
  </si>
  <si>
    <t xml:space="preserve"> 69.11 </t>
  </si>
  <si>
    <t xml:space="preserve"> 69.12 </t>
  </si>
  <si>
    <t>CURVA 90° DE FERRO ZINCADO P/ ELETRODUTO DE 1"</t>
  </si>
  <si>
    <t xml:space="preserve"> 69.13 </t>
  </si>
  <si>
    <t xml:space="preserve"> 69.14 </t>
  </si>
  <si>
    <t xml:space="preserve"> 69.15 </t>
  </si>
  <si>
    <t xml:space="preserve"> 69.16 </t>
  </si>
  <si>
    <t xml:space="preserve"> 69.18 </t>
  </si>
  <si>
    <t xml:space="preserve"> 69.19 </t>
  </si>
  <si>
    <t>5,06</t>
  </si>
  <si>
    <t>3,26</t>
  </si>
  <si>
    <t xml:space="preserve"> 70.5 </t>
  </si>
  <si>
    <t xml:space="preserve"> SDC07026 </t>
  </si>
  <si>
    <t>163,19</t>
  </si>
  <si>
    <t xml:space="preserve"> 00020973 </t>
  </si>
  <si>
    <t>UNIAO TIPO STORZ, COM EMPATACAO INTERNA TIPO ANEL DE EXPANSAO, ENGATE RAPIDO 1 1/2", PARA MANGUEIRA DE COMBATE A INCENDIO PREDIAL</t>
  </si>
  <si>
    <t>77,16</t>
  </si>
  <si>
    <t xml:space="preserve"> 00020964 </t>
  </si>
  <si>
    <t>TAMPAO COM CORRENTE, EM LATAO, ENGATE RAPIDO 1 1/2", PARA INSTALACAO PREDIAL DE COMBATE A INCENDIO</t>
  </si>
  <si>
    <t>49,19</t>
  </si>
  <si>
    <t xml:space="preserve"> 70.6 </t>
  </si>
  <si>
    <t xml:space="preserve"> 70.7 </t>
  </si>
  <si>
    <t xml:space="preserve"> 70.9 </t>
  </si>
  <si>
    <t xml:space="preserve"> SDC07036 </t>
  </si>
  <si>
    <t>66,27</t>
  </si>
  <si>
    <t>0,95</t>
  </si>
  <si>
    <t xml:space="preserve"> 00000285 </t>
  </si>
  <si>
    <t>35,82</t>
  </si>
  <si>
    <t xml:space="preserve"> 70.11 </t>
  </si>
  <si>
    <t xml:space="preserve"> 70.12 </t>
  </si>
  <si>
    <t xml:space="preserve"> SDC07030 </t>
  </si>
  <si>
    <t>FORNECIMENTO E INSTALAÇÃO DE REGISTRO GAVETA BRUTO, D = 65 MM (2 1/2)"</t>
  </si>
  <si>
    <t>190,88</t>
  </si>
  <si>
    <t xml:space="preserve"> 00006011 </t>
  </si>
  <si>
    <t>REGISTRO GAVETA BRUTO EM LATAO FORJADO, BITOLA 2 1/2 " (REF 1509)</t>
  </si>
  <si>
    <t>154,04</t>
  </si>
  <si>
    <t xml:space="preserve"> 70.14 </t>
  </si>
  <si>
    <t xml:space="preserve"> SDC07037 </t>
  </si>
  <si>
    <t>FORNECIMENTO E INSTALAÇÃO DE TAMPA DE FERRO  60 X 40 CM COM A INSCRIÇÃO INCÊNDIO</t>
  </si>
  <si>
    <t>272,32</t>
  </si>
  <si>
    <t xml:space="preserve"> 87292 </t>
  </si>
  <si>
    <t>ARGAMASSA TRAÇO 1:2:8 (CIMENTO, CAL E AREIA MÉDIA) PARA EMBOÇO/MASSA ÚNICA/ASSENTAMENTO DE ALVENARIA DE VEDAÇÃO, PREPARO MECÂNICO COM BETONEIRA 400 L. AF_06/2014</t>
  </si>
  <si>
    <t>0,002</t>
  </si>
  <si>
    <t>334,46</t>
  </si>
  <si>
    <t xml:space="preserve"> 00000270 </t>
  </si>
  <si>
    <t>271,32</t>
  </si>
  <si>
    <t xml:space="preserve"> 70.17 </t>
  </si>
  <si>
    <t xml:space="preserve"> 70.18 </t>
  </si>
  <si>
    <t>FORNECIMENTO E INSTALAÇÃO DE BOMBA TRIFÁSICA 5CV - 220/380V</t>
  </si>
  <si>
    <t xml:space="preserve"> 70.19 </t>
  </si>
  <si>
    <t xml:space="preserve"> SDC07012 </t>
  </si>
  <si>
    <t>70,46</t>
  </si>
  <si>
    <t xml:space="preserve"> 00000286 </t>
  </si>
  <si>
    <t>TUBO GALVANIZADO C/ROSCA 2 1/2", BARRA DE 6 METROS, ESPESSURA 3,5MM</t>
  </si>
  <si>
    <t>0,167</t>
  </si>
  <si>
    <t>323,19</t>
  </si>
  <si>
    <t xml:space="preserve"> 70.25 </t>
  </si>
  <si>
    <t xml:space="preserve"> SDC03114 </t>
  </si>
  <si>
    <t>FORNECIMENTO E INSTALAÇÃO DE QUADRO DE COMANDO PARA BOMBA 7,5CV</t>
  </si>
  <si>
    <t>1.380,99</t>
  </si>
  <si>
    <t xml:space="preserve"> 00000245 </t>
  </si>
  <si>
    <t>1.252,67</t>
  </si>
  <si>
    <t xml:space="preserve"> 70.26 </t>
  </si>
  <si>
    <t xml:space="preserve"> 70.27 </t>
  </si>
  <si>
    <t xml:space="preserve"> 70.28 </t>
  </si>
  <si>
    <t xml:space="preserve"> 70.30 </t>
  </si>
  <si>
    <t xml:space="preserve"> 70.33 </t>
  </si>
  <si>
    <t xml:space="preserve"> SDC07014 </t>
  </si>
  <si>
    <t>212,02</t>
  </si>
  <si>
    <t>0,011</t>
  </si>
  <si>
    <t xml:space="preserve"> 00039682 </t>
  </si>
  <si>
    <t>CAIXA DE PROTECAO PARA 1 MEDIDOR TRIFASICO, EM CHAPA DE ACO 20 USG (PADRAO DA CONCESSIONARIA LOCAL)</t>
  </si>
  <si>
    <t>167,72</t>
  </si>
  <si>
    <t>4,86</t>
  </si>
  <si>
    <t xml:space="preserve"> 70.37 </t>
  </si>
  <si>
    <t xml:space="preserve"> 70.38 </t>
  </si>
  <si>
    <t xml:space="preserve"> 70.39 </t>
  </si>
  <si>
    <t xml:space="preserve"> 70.40 </t>
  </si>
  <si>
    <t xml:space="preserve"> 71.1 </t>
  </si>
  <si>
    <t xml:space="preserve"> 71.2 </t>
  </si>
  <si>
    <t xml:space="preserve"> SDC03130 </t>
  </si>
  <si>
    <t>LUMINARIA DE EMERGENCIA 1200 LUMENS DE 24 LEDS, POTENCIA 32 W, BATERIA DE LITIO, AUTONOMIA DE 3 HRS</t>
  </si>
  <si>
    <t>242,95</t>
  </si>
  <si>
    <t xml:space="preserve"> 00000257 </t>
  </si>
  <si>
    <t>BLOCO LUMINÁRIA DE EMERGENCIA 1200 LUMENS</t>
  </si>
  <si>
    <t>210,87</t>
  </si>
  <si>
    <t>Composições Auxiliares</t>
  </si>
  <si>
    <t>0,015</t>
  </si>
  <si>
    <t>143,16</t>
  </si>
  <si>
    <t xml:space="preserve">SDC02002 </t>
  </si>
  <si>
    <t>FOSSA SÉPTICA EM ALVENARIA - TIJOLO COMUM MACIÇO, DIMENSOES 350 X 180 X 150 CM (9,45M3)</t>
  </si>
  <si>
    <t>ORSE 2307</t>
  </si>
  <si>
    <t>SINAPI 88489</t>
  </si>
  <si>
    <t>SINAPI 94228</t>
  </si>
  <si>
    <t>ORSE 1143</t>
  </si>
  <si>
    <t>SINAPI 94674</t>
  </si>
  <si>
    <t>SIURB 39025 / SINAPI 72137</t>
  </si>
  <si>
    <t>SINAPI 73876/001</t>
  </si>
  <si>
    <t>SINAPI - I25398</t>
  </si>
  <si>
    <t>SINAPI - I25399</t>
  </si>
  <si>
    <t>IOPES 200706</t>
  </si>
  <si>
    <t>SINAPI-I25400</t>
  </si>
  <si>
    <t>FORNECIMENTO E INSTALAÇÃO DE LETRA CAIXA CAIXA, EM AÇO GALVANIZADO, PARA LETREIRO COM NOME DA INSTITUIÇÃO</t>
  </si>
  <si>
    <t>CABO DE COBRE ISOLADO EM EPR FLEXÍVEL 50MM2 - 0,6KV/1KV/90°</t>
  </si>
  <si>
    <t>ORSE 7917</t>
  </si>
  <si>
    <t>SETOP ELE-QUA-060</t>
  </si>
  <si>
    <t>SINAPI 68066</t>
  </si>
  <si>
    <t>GRELHA PARA RALO EM PVC BRANCO 15X15</t>
  </si>
  <si>
    <t>ORSE 9419</t>
  </si>
  <si>
    <t xml:space="preserve"> SDC07037</t>
  </si>
  <si>
    <t>ORSE 10332</t>
  </si>
  <si>
    <t xml:space="preserve"> SDC03130</t>
  </si>
  <si>
    <t>ORSE 7860</t>
  </si>
  <si>
    <t xml:space="preserve"> SDC02100</t>
  </si>
  <si>
    <t>ORSE 1181</t>
  </si>
  <si>
    <t xml:space="preserve"> SDC02101</t>
  </si>
  <si>
    <t>SEINFRA C0692</t>
  </si>
  <si>
    <t xml:space="preserve"> SDC07012</t>
  </si>
  <si>
    <t>SINAPI 92342</t>
  </si>
  <si>
    <t xml:space="preserve"> INES - INSTALAÇÕES ESPECIAIS</t>
  </si>
  <si>
    <t xml:space="preserve"> SDC07026</t>
  </si>
  <si>
    <t xml:space="preserve"> SDC07030</t>
  </si>
  <si>
    <t>ORSE 9254</t>
  </si>
  <si>
    <t xml:space="preserve"> SDC07036</t>
  </si>
  <si>
    <t>SINAPI 94474</t>
  </si>
  <si>
    <t xml:space="preserve"> SDC02021</t>
  </si>
  <si>
    <t>SDC02118</t>
  </si>
  <si>
    <t xml:space="preserve"> CISTERNA EM CONCRETO ARMADO, CAP. 25.000 LITROS, CONFORME PROJETO PADRÃO SEDUC - FUNDAÇÕES COM ESTACAS</t>
  </si>
  <si>
    <t xml:space="preserve"> SDC02118 </t>
  </si>
  <si>
    <t>CISTERNA EM CONCRETO ARMADO, CAP. 25.000 LITROS, CONFORME PROJETO PADRÃO SEDUC - FUNDAÇÕES COM ESTACAS</t>
  </si>
  <si>
    <t>55.292,02</t>
  </si>
  <si>
    <t xml:space="preserve"> 90095 </t>
  </si>
  <si>
    <t>ESCAVAÇÃO MECANIZADA DE VALA COM PROF. MAIOR QUE 3,0 M ATÉ 4,5 M (MÉDIA ENTRE MONTANTE E JUSANTE/UMA COMPOSIÇÃO POR TRECHO), COM ESCAVADEIRA HIDRÁULICA (1,2 M3/155 HP), LARG. DE 1,5 M A 2,5 M, EM SOLO DE 1A CATEGORIA, LOCAIS COM BAIXO NÍVEL DE INTERFERÊNCIA. AF_01/2015</t>
  </si>
  <si>
    <t>116,3</t>
  </si>
  <si>
    <t>58,46</t>
  </si>
  <si>
    <t xml:space="preserve"> 72897 </t>
  </si>
  <si>
    <t>80,97</t>
  </si>
  <si>
    <t>17,36</t>
  </si>
  <si>
    <t>809,7</t>
  </si>
  <si>
    <t xml:space="preserve"> 94099 </t>
  </si>
  <si>
    <t>PREPARO DE FUNDO DE VALA COM LARGURA MAIOR OU IGUAL A 1,5 M E MENOR QUE 2,5 M, EM LOCAL COM NÍVEL BAIXO DE INTERFERÊNCIA. AF_06/2016</t>
  </si>
  <si>
    <t>36,92</t>
  </si>
  <si>
    <t>2,06</t>
  </si>
  <si>
    <t xml:space="preserve"> 95241 </t>
  </si>
  <si>
    <t>LASTRO DE CONCRETO MAGRO, APLICADO EM PISOS OU RADIERS, ESPESSURA DE 5 CM. AF_07_2016</t>
  </si>
  <si>
    <t>25,62</t>
  </si>
  <si>
    <t>19,12</t>
  </si>
  <si>
    <t xml:space="preserve"> SDC01117 </t>
  </si>
  <si>
    <t>IMPERMEABILIZAÇÃO DE PAREDE COM SIKATOP 100 OU SIMILAR, 2 DEMÃOS</t>
  </si>
  <si>
    <t>12,57</t>
  </si>
  <si>
    <t xml:space="preserve"> 5970 </t>
  </si>
  <si>
    <t>143,81</t>
  </si>
  <si>
    <t>45,06</t>
  </si>
  <si>
    <t xml:space="preserve"> SDC01118 </t>
  </si>
  <si>
    <t>CONCRETO USINADO BOMBEAVEL, COM ADITIVO IMPERMEABILIZANTE, CLASSE DE RESISTENCIA C25, COM BRITA 0 E 1, SLUMP = 100 +/- 20 MM, EXCLUI SERVICO DE BOMBEAMENTO (NBR 8953)</t>
  </si>
  <si>
    <t>18,04</t>
  </si>
  <si>
    <t>390,57</t>
  </si>
  <si>
    <t>107,66</t>
  </si>
  <si>
    <t>287,0</t>
  </si>
  <si>
    <t>258,94</t>
  </si>
  <si>
    <t>723,04</t>
  </si>
  <si>
    <t>951,89</t>
  </si>
  <si>
    <t>239,16</t>
  </si>
  <si>
    <t xml:space="preserve"> 90808 </t>
  </si>
  <si>
    <t>78,0</t>
  </si>
  <si>
    <t>67,57</t>
  </si>
  <si>
    <t xml:space="preserve"> 92413 </t>
  </si>
  <si>
    <t>MONTAGEM E DESMONTAGEM DE FÔRMA DE PILARES RETANGULARES E ESTRUTURAS SIMILARES COM ÁREA MÉDIA DAS SEÇÕES MAIOR QUE 0,25 M², PÉ-DIREITO SIMPLES, EM MADEIRA SERRADA, 4 UTILIZAÇÕES. AF_12/2015</t>
  </si>
  <si>
    <t>53,96</t>
  </si>
  <si>
    <t xml:space="preserve"> 94971 </t>
  </si>
  <si>
    <t>CONCRETO FCK = 25MPA, TRAÇO 1:2,3:2,7 (CIMENTO/ AREIA MÉDIA/ BRITA 1)  - PREPARO MECÂNICO COM BETONEIRA 600 L. AF_07/2016</t>
  </si>
  <si>
    <t>2,64</t>
  </si>
  <si>
    <t>304,60</t>
  </si>
  <si>
    <t>205,2</t>
  </si>
  <si>
    <t xml:space="preserve"> 92447 </t>
  </si>
  <si>
    <t>78,99</t>
  </si>
  <si>
    <t xml:space="preserve"> 92485 </t>
  </si>
  <si>
    <t>MONTAGEM E DESMONTAGEM DE FÔRMA DE LAJE MACIÇA COM ÁREA MÉDIA MENOR OU IGUAL A 20 M², PÉ-DIREITO SIMPLES, EM MADEIRA SERRADA, 4 UTILIZAÇÕES. AF_12/2015</t>
  </si>
  <si>
    <t>80,39</t>
  </si>
  <si>
    <t>311,72</t>
  </si>
  <si>
    <t>36,9</t>
  </si>
  <si>
    <t>ADMINISTRAÇÃO LOCAL DE OBRA - EE Parque Sabiá</t>
  </si>
  <si>
    <t xml:space="preserve">ADMINISTRAÇÃO LOCAL DE OBRA 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</si>
</sst>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0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10"/>
      <name val="Arial"/>
      <family val="2"/>
    </font>
    <font>
      <sz val="11"/>
      <name val="Arial"/>
      <family val="2"/>
    </font>
    <font>
      <i/>
      <sz val="9"/>
      <color theme="1"/>
      <name val="Calibri Light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Calibri Light"/>
      <family val="2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theme="0"/>
      <name val="Calibri Light"/>
      <family val="2"/>
    </font>
    <font>
      <i/>
      <sz val="12"/>
      <color theme="1"/>
      <name val="Calibri Light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2"/>
      <name val="Calibri Light"/>
      <family val="2"/>
    </font>
    <font>
      <sz val="11"/>
      <name val="Calibri Light"/>
      <family val="2"/>
    </font>
    <font>
      <b/>
      <sz val="12"/>
      <name val="Calibri Light"/>
      <family val="2"/>
    </font>
    <font>
      <sz val="2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color theme="0"/>
      <name val="Arial"/>
      <family val="2"/>
    </font>
    <font>
      <sz val="9"/>
      <name val="Calibri Light"/>
      <family val="2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  <font>
      <b/>
      <sz val="10"/>
      <color theme="0"/>
      <name val="Calibri Light"/>
      <family val="2"/>
    </font>
    <font>
      <b/>
      <sz val="9"/>
      <color rgb="FFFFFFFF"/>
      <name val="Calibri Light"/>
      <family val="2"/>
    </font>
    <font>
      <sz val="9"/>
      <color theme="1"/>
      <name val="Cambria"/>
      <family val="2"/>
      <scheme val="major"/>
    </font>
    <font>
      <sz val="13"/>
      <name val="Calibri"/>
      <family val="2"/>
      <scheme val="minor"/>
    </font>
    <font>
      <sz val="23"/>
      <color rgb="FF000000"/>
      <name val="Calibri"/>
      <family val="2"/>
    </font>
    <font>
      <sz val="11"/>
      <color theme="1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3"/>
      <color rgb="FF000000"/>
      <name val="Calibri"/>
      <family val="2"/>
    </font>
    <font>
      <sz val="14"/>
      <color theme="1"/>
      <name val="Calibri"/>
      <family val="2"/>
      <scheme val="minor"/>
    </font>
    <font>
      <sz val="12"/>
      <color rgb="FF000000"/>
      <name val="Calibri Light"/>
      <family val="2"/>
    </font>
    <font>
      <sz val="12"/>
      <color rgb="FFFF0000"/>
      <name val="Calibri Light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sz val="11"/>
      <color rgb="FF00B0F0"/>
      <name val="Calibri Light"/>
      <family val="2"/>
    </font>
    <font>
      <sz val="11"/>
      <color rgb="FFFF0000"/>
      <name val="Calibri Light"/>
      <family val="2"/>
    </font>
    <font>
      <sz val="12"/>
      <color rgb="FF00B0F0"/>
      <name val="Calibri Light"/>
      <family val="2"/>
    </font>
    <font>
      <sz val="10"/>
      <color rgb="FFFF3300"/>
      <name val="Calibri Light"/>
      <family val="2"/>
    </font>
    <font>
      <b/>
      <sz val="10"/>
      <color rgb="FFFF0000"/>
      <name val="Calibri Light"/>
      <family val="2"/>
    </font>
    <font>
      <sz val="10"/>
      <color rgb="FFFF0000"/>
      <name val="Calibri Light"/>
      <family val="2"/>
    </font>
    <font>
      <b/>
      <sz val="10"/>
      <name val="Calibri Light"/>
      <family val="2"/>
    </font>
    <font>
      <b/>
      <sz val="11"/>
      <name val="Calibri Light"/>
      <family val="2"/>
    </font>
    <font>
      <b/>
      <sz val="9"/>
      <name val="Calibri Light"/>
      <family val="2"/>
    </font>
    <font>
      <b/>
      <sz val="11"/>
      <color rgb="FFFF0000"/>
      <name val="Calibri Light"/>
      <family val="2"/>
    </font>
    <font>
      <sz val="11"/>
      <color rgb="FF0000FF"/>
      <name val="Calibri Light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u/>
      <sz val="10"/>
      <name val="Arial"/>
      <family val="2"/>
    </font>
    <font>
      <b/>
      <sz val="11"/>
      <color theme="0"/>
      <name val="Calibri Light"/>
      <family val="2"/>
    </font>
    <font>
      <b/>
      <i/>
      <sz val="8"/>
      <color theme="1"/>
      <name val="Calibri Light"/>
      <family val="2"/>
    </font>
    <font>
      <i/>
      <sz val="8"/>
      <color theme="1"/>
      <name val="Calibri Light"/>
      <family val="2"/>
    </font>
    <font>
      <b/>
      <i/>
      <sz val="8"/>
      <color indexed="8"/>
      <name val="Calibri Light"/>
      <family val="2"/>
    </font>
    <font>
      <i/>
      <sz val="8"/>
      <color indexed="8"/>
      <name val="Calibri Light"/>
      <family val="2"/>
    </font>
    <font>
      <b/>
      <i/>
      <sz val="10"/>
      <color rgb="FFFF0000"/>
      <name val="Calibri Light"/>
      <family val="2"/>
    </font>
    <font>
      <b/>
      <i/>
      <sz val="10"/>
      <name val="Calibri Light"/>
      <family val="2"/>
    </font>
    <font>
      <i/>
      <sz val="11"/>
      <color rgb="FFFF0000"/>
      <name val="Calibri Light"/>
      <family val="2"/>
    </font>
    <font>
      <i/>
      <sz val="11"/>
      <color indexed="10"/>
      <name val="Calibri Light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"/>
      <family val="1"/>
    </font>
    <font>
      <sz val="8"/>
      <name val="Arial"/>
      <family val="1"/>
    </font>
    <font>
      <sz val="10"/>
      <color rgb="FF000000"/>
      <name val="Arial"/>
      <family val="2"/>
    </font>
    <font>
      <b/>
      <sz val="12"/>
      <name val="Arial"/>
      <family val="1"/>
    </font>
    <font>
      <b/>
      <sz val="8"/>
      <name val="Arial"/>
      <family val="1"/>
    </font>
    <font>
      <sz val="11"/>
      <name val="Arial"/>
      <family val="1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25C177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8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ck">
        <color rgb="FF000000"/>
      </top>
      <bottom/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81" fillId="0" borderId="0"/>
  </cellStyleXfs>
  <cellXfs count="1044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4" xfId="3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3" fontId="3" fillId="0" borderId="0" xfId="3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3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3" applyNumberFormat="1" applyFont="1" applyBorder="1" applyAlignment="1">
      <alignment horizontal="center" vertical="center"/>
    </xf>
    <xf numFmtId="43" fontId="3" fillId="0" borderId="0" xfId="0" applyNumberFormat="1" applyFont="1" applyBorder="1" applyAlignment="1">
      <alignment horizontal="center" vertical="center" wrapText="1"/>
    </xf>
    <xf numFmtId="10" fontId="3" fillId="0" borderId="0" xfId="2" applyNumberFormat="1" applyFont="1" applyBorder="1" applyAlignment="1">
      <alignment horizontal="center" vertical="center" wrapText="1"/>
    </xf>
    <xf numFmtId="43" fontId="3" fillId="5" borderId="0" xfId="0" applyNumberFormat="1" applyFont="1" applyFill="1" applyBorder="1" applyAlignment="1">
      <alignment vertical="center" wrapText="1"/>
    </xf>
    <xf numFmtId="10" fontId="3" fillId="5" borderId="0" xfId="2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3" fontId="2" fillId="0" borderId="3" xfId="0" applyNumberFormat="1" applyFont="1" applyBorder="1" applyAlignment="1">
      <alignment horizontal="center" vertical="center" wrapText="1"/>
    </xf>
    <xf numFmtId="10" fontId="2" fillId="0" borderId="3" xfId="3" applyNumberFormat="1" applyFont="1" applyBorder="1" applyAlignment="1">
      <alignment horizontal="center" vertical="center" wrapText="1"/>
    </xf>
    <xf numFmtId="10" fontId="2" fillId="0" borderId="3" xfId="2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0" fontId="3" fillId="0" borderId="0" xfId="2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10" fontId="2" fillId="0" borderId="10" xfId="3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3" fontId="3" fillId="0" borderId="0" xfId="0" applyNumberFormat="1" applyFont="1" applyBorder="1" applyAlignment="1">
      <alignment horizontal="right" vertical="center" wrapText="1"/>
    </xf>
    <xf numFmtId="43" fontId="2" fillId="0" borderId="10" xfId="0" applyNumberFormat="1" applyFont="1" applyBorder="1" applyAlignment="1">
      <alignment horizontal="right" vertical="center" wrapText="1"/>
    </xf>
    <xf numFmtId="10" fontId="3" fillId="0" borderId="0" xfId="2" applyNumberFormat="1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5" fillId="0" borderId="0" xfId="4" applyFont="1" applyFill="1" applyAlignment="1">
      <alignment vertical="center"/>
    </xf>
    <xf numFmtId="0" fontId="5" fillId="0" borderId="0" xfId="4" applyFont="1"/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/>
    <xf numFmtId="0" fontId="5" fillId="0" borderId="0" xfId="4" applyFont="1" applyAlignment="1">
      <alignment horizontal="center"/>
    </xf>
    <xf numFmtId="2" fontId="5" fillId="0" borderId="0" xfId="4" applyNumberFormat="1" applyFont="1" applyFill="1"/>
    <xf numFmtId="0" fontId="8" fillId="0" borderId="0" xfId="4" applyFont="1" applyFill="1" applyAlignment="1"/>
    <xf numFmtId="0" fontId="8" fillId="0" borderId="0" xfId="4" applyFont="1" applyFill="1"/>
    <xf numFmtId="0" fontId="5" fillId="0" borderId="0" xfId="4" applyFont="1" applyFill="1" applyAlignment="1"/>
    <xf numFmtId="2" fontId="5" fillId="0" borderId="0" xfId="4" applyNumberFormat="1" applyFont="1"/>
    <xf numFmtId="0" fontId="5" fillId="0" borderId="0" xfId="4" applyFont="1" applyAlignment="1"/>
    <xf numFmtId="0" fontId="5" fillId="0" borderId="0" xfId="4" applyFont="1" applyFill="1" applyBorder="1"/>
    <xf numFmtId="0" fontId="5" fillId="0" borderId="0" xfId="4" applyFont="1" applyFill="1" applyBorder="1" applyAlignment="1"/>
    <xf numFmtId="2" fontId="5" fillId="0" borderId="0" xfId="4" applyNumberFormat="1" applyFont="1" applyFill="1" applyBorder="1"/>
    <xf numFmtId="0" fontId="8" fillId="0" borderId="0" xfId="4" applyFont="1" applyFill="1" applyBorder="1" applyAlignment="1"/>
    <xf numFmtId="2" fontId="8" fillId="0" borderId="0" xfId="4" applyNumberFormat="1" applyFont="1" applyFill="1" applyBorder="1"/>
    <xf numFmtId="0" fontId="5" fillId="0" borderId="0" xfId="4" applyFont="1" applyFill="1" applyBorder="1" applyAlignment="1">
      <alignment horizontal="right"/>
    </xf>
    <xf numFmtId="0" fontId="8" fillId="0" borderId="0" xfId="4" applyFont="1" applyFill="1" applyBorder="1"/>
    <xf numFmtId="2" fontId="5" fillId="2" borderId="0" xfId="4" applyNumberFormat="1" applyFont="1" applyFill="1"/>
    <xf numFmtId="0" fontId="13" fillId="0" borderId="0" xfId="0" applyFont="1" applyAlignment="1">
      <alignment vertical="center" wrapText="1"/>
    </xf>
    <xf numFmtId="0" fontId="12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43" fontId="13" fillId="0" borderId="0" xfId="3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/>
    </xf>
    <xf numFmtId="43" fontId="13" fillId="0" borderId="0" xfId="3" applyFont="1" applyAlignment="1">
      <alignment horizontal="right" vertical="center" wrapText="1"/>
    </xf>
    <xf numFmtId="0" fontId="5" fillId="0" borderId="0" xfId="4" applyFont="1" applyFill="1" applyBorder="1" applyAlignment="1">
      <alignment vertical="center" wrapText="1"/>
    </xf>
    <xf numFmtId="2" fontId="5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right" vertical="center" wrapText="1"/>
    </xf>
    <xf numFmtId="43" fontId="12" fillId="0" borderId="5" xfId="3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3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2" fontId="5" fillId="5" borderId="0" xfId="4" applyNumberFormat="1" applyFont="1" applyFill="1" applyAlignment="1">
      <alignment vertical="center"/>
    </xf>
    <xf numFmtId="0" fontId="8" fillId="5" borderId="0" xfId="4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vertical="center" wrapText="1"/>
    </xf>
    <xf numFmtId="10" fontId="3" fillId="0" borderId="0" xfId="2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3" fontId="3" fillId="0" borderId="4" xfId="0" applyNumberFormat="1" applyFont="1" applyFill="1" applyBorder="1" applyAlignment="1">
      <alignment vertical="center" wrapText="1"/>
    </xf>
    <xf numFmtId="10" fontId="3" fillId="0" borderId="4" xfId="2" applyNumberFormat="1" applyFont="1" applyFill="1" applyBorder="1" applyAlignment="1">
      <alignment vertical="center" wrapText="1"/>
    </xf>
    <xf numFmtId="10" fontId="2" fillId="0" borderId="0" xfId="2" applyNumberFormat="1" applyFont="1" applyBorder="1" applyAlignment="1">
      <alignment horizontal="center" vertical="center" wrapText="1"/>
    </xf>
    <xf numFmtId="43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43" fontId="3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43" fontId="6" fillId="0" borderId="0" xfId="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2" fontId="6" fillId="6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5" fillId="0" borderId="0" xfId="4" applyFont="1" applyBorder="1"/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43" fontId="13" fillId="0" borderId="0" xfId="3" applyFont="1" applyFill="1" applyBorder="1" applyAlignment="1">
      <alignment horizontal="center" vertical="center" wrapText="1"/>
    </xf>
    <xf numFmtId="43" fontId="13" fillId="0" borderId="0" xfId="0" applyNumberFormat="1" applyFont="1" applyFill="1" applyAlignment="1">
      <alignment vertical="center" wrapText="1"/>
    </xf>
    <xf numFmtId="0" fontId="21" fillId="0" borderId="5" xfId="0" applyFont="1" applyFill="1" applyBorder="1" applyAlignment="1">
      <alignment horizontal="right" vertical="center" wrapText="1"/>
    </xf>
    <xf numFmtId="43" fontId="19" fillId="0" borderId="0" xfId="3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3" fontId="3" fillId="0" borderId="0" xfId="0" applyNumberFormat="1" applyFont="1" applyBorder="1" applyAlignment="1">
      <alignment vertical="center" wrapText="1"/>
    </xf>
    <xf numFmtId="43" fontId="3" fillId="6" borderId="0" xfId="0" applyNumberFormat="1" applyFont="1" applyFill="1" applyBorder="1" applyAlignment="1">
      <alignment vertical="center" wrapText="1"/>
    </xf>
    <xf numFmtId="10" fontId="3" fillId="6" borderId="0" xfId="2" applyNumberFormat="1" applyFont="1" applyFill="1" applyBorder="1" applyAlignment="1">
      <alignment vertical="center" wrapText="1"/>
    </xf>
    <xf numFmtId="43" fontId="3" fillId="6" borderId="4" xfId="0" applyNumberFormat="1" applyFont="1" applyFill="1" applyBorder="1" applyAlignment="1">
      <alignment vertical="center" wrapText="1"/>
    </xf>
    <xf numFmtId="10" fontId="3" fillId="6" borderId="4" xfId="2" applyNumberFormat="1" applyFont="1" applyFill="1" applyBorder="1" applyAlignment="1">
      <alignment vertical="center" wrapText="1"/>
    </xf>
    <xf numFmtId="0" fontId="5" fillId="0" borderId="11" xfId="4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36" xfId="0" applyNumberFormat="1" applyFill="1" applyBorder="1" applyAlignment="1">
      <alignment horizontal="center" vertical="center"/>
    </xf>
    <xf numFmtId="2" fontId="0" fillId="0" borderId="38" xfId="0" applyNumberFormat="1" applyFill="1" applyBorder="1" applyAlignment="1">
      <alignment horizontal="center" vertical="center"/>
    </xf>
    <xf numFmtId="2" fontId="0" fillId="0" borderId="40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12" borderId="1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12" borderId="12" xfId="0" applyFont="1" applyFill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10" borderId="35" xfId="0" applyFont="1" applyFill="1" applyBorder="1" applyAlignment="1">
      <alignment horizontal="center" vertical="center"/>
    </xf>
    <xf numFmtId="0" fontId="16" fillId="10" borderId="11" xfId="0" applyFont="1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12" borderId="33" xfId="0" applyFont="1" applyFill="1" applyBorder="1" applyAlignment="1">
      <alignment horizontal="center" vertical="center"/>
    </xf>
    <xf numFmtId="0" fontId="28" fillId="0" borderId="0" xfId="4" applyFont="1" applyFill="1" applyBorder="1" applyAlignment="1">
      <alignment horizontal="center"/>
    </xf>
    <xf numFmtId="0" fontId="28" fillId="0" borderId="0" xfId="4" applyFont="1" applyFill="1" applyBorder="1" applyAlignment="1">
      <alignment horizontal="left"/>
    </xf>
    <xf numFmtId="0" fontId="28" fillId="0" borderId="0" xfId="4" applyFont="1" applyFill="1" applyBorder="1" applyAlignment="1">
      <alignment horizontal="right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 wrapText="1"/>
    </xf>
    <xf numFmtId="0" fontId="29" fillId="8" borderId="11" xfId="4" applyFont="1" applyFill="1" applyBorder="1" applyAlignment="1">
      <alignment horizontal="center" vertical="center"/>
    </xf>
    <xf numFmtId="0" fontId="29" fillId="8" borderId="11" xfId="4" applyFont="1" applyFill="1" applyBorder="1" applyAlignment="1">
      <alignment horizontal="center" vertical="center" wrapText="1"/>
    </xf>
    <xf numFmtId="0" fontId="8" fillId="13" borderId="11" xfId="4" applyFont="1" applyFill="1" applyBorder="1" applyAlignment="1">
      <alignment horizontal="center" vertical="center"/>
    </xf>
    <xf numFmtId="0" fontId="8" fillId="13" borderId="11" xfId="4" applyFont="1" applyFill="1" applyBorder="1" applyAlignment="1">
      <alignment horizontal="left" vertical="center"/>
    </xf>
    <xf numFmtId="0" fontId="8" fillId="13" borderId="11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center"/>
    </xf>
    <xf numFmtId="2" fontId="27" fillId="6" borderId="8" xfId="0" applyNumberFormat="1" applyFont="1" applyFill="1" applyBorder="1" applyAlignment="1">
      <alignment horizontal="center" vertical="center"/>
    </xf>
    <xf numFmtId="2" fontId="27" fillId="6" borderId="2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vertical="center" wrapText="1"/>
    </xf>
    <xf numFmtId="43" fontId="13" fillId="6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3" fontId="3" fillId="5" borderId="4" xfId="0" applyNumberFormat="1" applyFont="1" applyFill="1" applyBorder="1" applyAlignment="1">
      <alignment vertical="center" wrapText="1"/>
    </xf>
    <xf numFmtId="10" fontId="3" fillId="5" borderId="4" xfId="2" applyNumberFormat="1" applyFont="1" applyFill="1" applyBorder="1" applyAlignment="1">
      <alignment vertical="center" wrapText="1"/>
    </xf>
    <xf numFmtId="10" fontId="3" fillId="0" borderId="0" xfId="0" applyNumberFormat="1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3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43" fontId="13" fillId="0" borderId="4" xfId="3" applyFont="1" applyFill="1" applyBorder="1" applyAlignment="1">
      <alignment vertical="center" wrapText="1"/>
    </xf>
    <xf numFmtId="43" fontId="12" fillId="0" borderId="4" xfId="3" applyFont="1" applyFill="1" applyBorder="1" applyAlignment="1">
      <alignment vertical="center" wrapText="1"/>
    </xf>
    <xf numFmtId="164" fontId="21" fillId="0" borderId="0" xfId="5" applyFont="1" applyFill="1" applyBorder="1" applyAlignment="1">
      <alignment horizontal="justify" vertical="justify" wrapText="1"/>
    </xf>
    <xf numFmtId="0" fontId="21" fillId="0" borderId="0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17" fontId="3" fillId="0" borderId="6" xfId="0" applyNumberFormat="1" applyFont="1" applyBorder="1" applyAlignment="1">
      <alignment horizontal="left" vertical="center" wrapText="1"/>
    </xf>
    <xf numFmtId="44" fontId="3" fillId="0" borderId="0" xfId="1" applyFont="1" applyBorder="1" applyAlignment="1">
      <alignment horizontal="left" vertical="center" wrapText="1"/>
    </xf>
    <xf numFmtId="0" fontId="17" fillId="0" borderId="0" xfId="0" applyFont="1" applyBorder="1"/>
    <xf numFmtId="0" fontId="34" fillId="8" borderId="25" xfId="0" applyFont="1" applyFill="1" applyBorder="1" applyAlignment="1">
      <alignment horizontal="center" vertical="center" wrapText="1"/>
    </xf>
    <xf numFmtId="0" fontId="34" fillId="8" borderId="27" xfId="0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/>
    </xf>
    <xf numFmtId="0" fontId="32" fillId="0" borderId="0" xfId="0" applyFont="1" applyBorder="1" applyAlignment="1">
      <alignment vertical="center" wrapText="1"/>
    </xf>
    <xf numFmtId="10" fontId="32" fillId="0" borderId="0" xfId="0" applyNumberFormat="1" applyFont="1" applyBorder="1" applyAlignment="1">
      <alignment horizontal="center" vertical="center"/>
    </xf>
    <xf numFmtId="10" fontId="32" fillId="0" borderId="23" xfId="0" applyNumberFormat="1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10" fontId="31" fillId="0" borderId="5" xfId="0" applyNumberFormat="1" applyFont="1" applyBorder="1" applyAlignment="1">
      <alignment horizontal="center" vertical="center"/>
    </xf>
    <xf numFmtId="10" fontId="31" fillId="0" borderId="58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10" fontId="34" fillId="8" borderId="25" xfId="0" applyNumberFormat="1" applyFont="1" applyFill="1" applyBorder="1" applyAlignment="1">
      <alignment horizontal="center" vertical="center"/>
    </xf>
    <xf numFmtId="10" fontId="34" fillId="8" borderId="27" xfId="0" applyNumberFormat="1" applyFont="1" applyFill="1" applyBorder="1" applyAlignment="1">
      <alignment horizontal="center" vertical="center"/>
    </xf>
    <xf numFmtId="4" fontId="17" fillId="0" borderId="0" xfId="3" applyNumberFormat="1" applyFont="1" applyBorder="1" applyAlignment="1">
      <alignment horizontal="center" vertical="center"/>
    </xf>
    <xf numFmtId="4" fontId="13" fillId="0" borderId="6" xfId="3" applyNumberFormat="1" applyFont="1" applyBorder="1" applyAlignment="1">
      <alignment horizontal="center" vertical="center"/>
    </xf>
    <xf numFmtId="4" fontId="12" fillId="0" borderId="3" xfId="3" applyNumberFormat="1" applyFont="1" applyBorder="1" applyAlignment="1">
      <alignment horizontal="center" vertical="center" wrapText="1"/>
    </xf>
    <xf numFmtId="4" fontId="13" fillId="0" borderId="0" xfId="3" applyNumberFormat="1" applyFont="1" applyFill="1" applyBorder="1" applyAlignment="1">
      <alignment horizontal="center" vertical="center" wrapText="1"/>
    </xf>
    <xf numFmtId="4" fontId="13" fillId="0" borderId="0" xfId="3" applyNumberFormat="1" applyFont="1" applyFill="1" applyBorder="1" applyAlignment="1">
      <alignment horizontal="right" vertical="center" wrapText="1"/>
    </xf>
    <xf numFmtId="4" fontId="12" fillId="0" borderId="5" xfId="3" applyNumberFormat="1" applyFont="1" applyBorder="1" applyAlignment="1">
      <alignment vertical="center" wrapText="1"/>
    </xf>
    <xf numFmtId="4" fontId="12" fillId="0" borderId="5" xfId="3" applyNumberFormat="1" applyFont="1" applyFill="1" applyBorder="1" applyAlignment="1">
      <alignment vertical="center" wrapText="1"/>
    </xf>
    <xf numFmtId="4" fontId="12" fillId="0" borderId="5" xfId="3" applyNumberFormat="1" applyFont="1" applyBorder="1" applyAlignment="1">
      <alignment horizontal="right" vertical="center" wrapText="1"/>
    </xf>
    <xf numFmtId="4" fontId="13" fillId="0" borderId="4" xfId="3" applyNumberFormat="1" applyFont="1" applyFill="1" applyBorder="1" applyAlignment="1">
      <alignment vertical="center" wrapText="1"/>
    </xf>
    <xf numFmtId="4" fontId="12" fillId="0" borderId="4" xfId="3" applyNumberFormat="1" applyFont="1" applyFill="1" applyBorder="1" applyAlignment="1">
      <alignment vertical="center" wrapText="1"/>
    </xf>
    <xf numFmtId="4" fontId="19" fillId="0" borderId="0" xfId="3" applyNumberFormat="1" applyFont="1" applyFill="1" applyBorder="1" applyAlignment="1">
      <alignment horizontal="right" vertical="center" wrapText="1"/>
    </xf>
    <xf numFmtId="4" fontId="19" fillId="0" borderId="0" xfId="3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vertical="center" wrapText="1"/>
    </xf>
    <xf numFmtId="4" fontId="13" fillId="0" borderId="0" xfId="3" applyNumberFormat="1" applyFont="1" applyAlignment="1">
      <alignment horizontal="right" vertical="center" wrapText="1"/>
    </xf>
    <xf numFmtId="4" fontId="18" fillId="0" borderId="0" xfId="3" applyNumberFormat="1" applyFont="1" applyBorder="1" applyAlignment="1">
      <alignment horizontal="right" vertical="center"/>
    </xf>
    <xf numFmtId="4" fontId="17" fillId="0" borderId="0" xfId="3" applyNumberFormat="1" applyFont="1" applyBorder="1" applyAlignment="1">
      <alignment horizontal="left" vertical="center" wrapText="1"/>
    </xf>
    <xf numFmtId="4" fontId="17" fillId="0" borderId="0" xfId="3" applyNumberFormat="1" applyFont="1" applyBorder="1" applyAlignment="1">
      <alignment horizontal="left" vertical="center"/>
    </xf>
    <xf numFmtId="4" fontId="12" fillId="0" borderId="0" xfId="3" applyNumberFormat="1" applyFont="1" applyFill="1" applyBorder="1" applyAlignment="1">
      <alignment horizontal="center" vertical="center" wrapText="1"/>
    </xf>
    <xf numFmtId="4" fontId="13" fillId="0" borderId="0" xfId="3" applyNumberFormat="1" applyFont="1" applyBorder="1" applyAlignment="1">
      <alignment horizontal="right" vertical="center" wrapText="1"/>
    </xf>
    <xf numFmtId="4" fontId="12" fillId="0" borderId="5" xfId="3" applyNumberFormat="1" applyFont="1" applyFill="1" applyBorder="1" applyAlignment="1">
      <alignment horizontal="right" vertical="center" wrapText="1"/>
    </xf>
    <xf numFmtId="4" fontId="12" fillId="0" borderId="4" xfId="3" applyNumberFormat="1" applyFont="1" applyFill="1" applyBorder="1" applyAlignment="1">
      <alignment horizontal="right" vertical="center" wrapText="1"/>
    </xf>
    <xf numFmtId="4" fontId="13" fillId="6" borderId="0" xfId="3" applyNumberFormat="1" applyFont="1" applyFill="1" applyBorder="1" applyAlignment="1">
      <alignment horizontal="right" vertical="center" wrapText="1"/>
    </xf>
    <xf numFmtId="4" fontId="13" fillId="0" borderId="0" xfId="3" applyNumberFormat="1" applyFont="1" applyAlignment="1">
      <alignment vertical="center" wrapText="1"/>
    </xf>
    <xf numFmtId="2" fontId="5" fillId="14" borderId="0" xfId="4" applyNumberFormat="1" applyFont="1" applyFill="1" applyAlignment="1">
      <alignment vertical="center"/>
    </xf>
    <xf numFmtId="0" fontId="5" fillId="4" borderId="0" xfId="4" applyFont="1" applyFill="1"/>
    <xf numFmtId="10" fontId="7" fillId="0" borderId="0" xfId="2" applyNumberFormat="1" applyFont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18" borderId="49" xfId="0" applyFont="1" applyFill="1" applyBorder="1" applyAlignment="1">
      <alignment horizontal="center" vertical="center" wrapText="1"/>
    </xf>
    <xf numFmtId="0" fontId="40" fillId="0" borderId="51" xfId="0" applyFont="1" applyFill="1" applyBorder="1" applyAlignment="1">
      <alignment horizontal="center" vertical="center" wrapText="1"/>
    </xf>
    <xf numFmtId="2" fontId="41" fillId="19" borderId="8" xfId="0" applyNumberFormat="1" applyFont="1" applyFill="1" applyBorder="1" applyAlignment="1">
      <alignment horizontal="center" vertical="center" wrapText="1"/>
    </xf>
    <xf numFmtId="0" fontId="40" fillId="0" borderId="54" xfId="0" applyFont="1" applyFill="1" applyBorder="1" applyAlignment="1">
      <alignment horizontal="center" vertical="center" wrapText="1"/>
    </xf>
    <xf numFmtId="0" fontId="40" fillId="18" borderId="12" xfId="0" applyFont="1" applyFill="1" applyBorder="1" applyAlignment="1">
      <alignment horizontal="center" vertical="center" wrapText="1"/>
    </xf>
    <xf numFmtId="0" fontId="40" fillId="0" borderId="49" xfId="0" applyFont="1" applyFill="1" applyBorder="1" applyAlignment="1">
      <alignment horizontal="center" vertical="center" wrapText="1"/>
    </xf>
    <xf numFmtId="0" fontId="40" fillId="18" borderId="33" xfId="0" applyFont="1" applyFill="1" applyBorder="1" applyAlignment="1">
      <alignment horizontal="center" vertical="center" wrapText="1"/>
    </xf>
    <xf numFmtId="0" fontId="40" fillId="18" borderId="11" xfId="0" applyFont="1" applyFill="1" applyBorder="1" applyAlignment="1">
      <alignment horizontal="center" vertical="center" wrapText="1"/>
    </xf>
    <xf numFmtId="0" fontId="40" fillId="18" borderId="6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2" fontId="0" fillId="0" borderId="6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4" fontId="0" fillId="0" borderId="0" xfId="0" applyNumberFormat="1"/>
    <xf numFmtId="0" fontId="12" fillId="6" borderId="0" xfId="0" applyFont="1" applyFill="1" applyBorder="1" applyAlignment="1">
      <alignment horizontal="center" vertical="center" wrapText="1"/>
    </xf>
    <xf numFmtId="0" fontId="8" fillId="5" borderId="0" xfId="4" applyFont="1" applyFill="1" applyBorder="1" applyAlignment="1">
      <alignment horizontal="center" vertical="center" wrapText="1"/>
    </xf>
    <xf numFmtId="165" fontId="47" fillId="4" borderId="0" xfId="4" applyNumberFormat="1" applyFont="1" applyFill="1" applyAlignment="1">
      <alignment vertical="center"/>
    </xf>
    <xf numFmtId="0" fontId="48" fillId="4" borderId="0" xfId="4" applyFont="1" applyFill="1" applyAlignment="1">
      <alignment horizontal="left" vertical="center"/>
    </xf>
    <xf numFmtId="0" fontId="46" fillId="4" borderId="35" xfId="4" applyFont="1" applyFill="1" applyBorder="1" applyAlignment="1">
      <alignment horizontal="center" vertical="center"/>
    </xf>
    <xf numFmtId="0" fontId="46" fillId="4" borderId="11" xfId="4" applyFont="1" applyFill="1" applyBorder="1" applyAlignment="1">
      <alignment horizontal="center" vertical="center"/>
    </xf>
    <xf numFmtId="0" fontId="46" fillId="4" borderId="11" xfId="4" applyFont="1" applyFill="1" applyBorder="1" applyAlignment="1">
      <alignment horizontal="center" vertical="center" wrapText="1"/>
    </xf>
    <xf numFmtId="0" fontId="46" fillId="4" borderId="36" xfId="4" applyFont="1" applyFill="1" applyBorder="1" applyAlignment="1">
      <alignment horizontal="center" vertical="center"/>
    </xf>
    <xf numFmtId="0" fontId="20" fillId="0" borderId="11" xfId="4" applyFont="1" applyFill="1" applyBorder="1" applyAlignment="1">
      <alignment horizontal="center" vertical="center"/>
    </xf>
    <xf numFmtId="0" fontId="20" fillId="0" borderId="11" xfId="4" applyFont="1" applyFill="1" applyBorder="1" applyAlignment="1">
      <alignment horizontal="left" vertical="center"/>
    </xf>
    <xf numFmtId="0" fontId="20" fillId="0" borderId="11" xfId="4" applyFont="1" applyFill="1" applyBorder="1" applyAlignment="1">
      <alignment horizontal="left" vertical="center" wrapText="1"/>
    </xf>
    <xf numFmtId="164" fontId="20" fillId="0" borderId="11" xfId="4" applyNumberFormat="1" applyFont="1" applyFill="1" applyBorder="1" applyAlignment="1">
      <alignment horizontal="center" vertical="center"/>
    </xf>
    <xf numFmtId="0" fontId="49" fillId="0" borderId="0" xfId="4" applyFont="1" applyFill="1" applyAlignment="1">
      <alignment horizontal="left" vertical="center"/>
    </xf>
    <xf numFmtId="0" fontId="20" fillId="0" borderId="0" xfId="4" applyFont="1" applyFill="1" applyAlignment="1">
      <alignment horizontal="left" vertical="center"/>
    </xf>
    <xf numFmtId="0" fontId="20" fillId="6" borderId="11" xfId="4" applyFont="1" applyFill="1" applyBorder="1" applyAlignment="1">
      <alignment horizontal="left" vertical="center"/>
    </xf>
    <xf numFmtId="0" fontId="20" fillId="6" borderId="11" xfId="4" applyFont="1" applyFill="1" applyBorder="1" applyAlignment="1">
      <alignment horizontal="center" vertical="center"/>
    </xf>
    <xf numFmtId="0" fontId="20" fillId="6" borderId="11" xfId="4" applyFont="1" applyFill="1" applyBorder="1" applyAlignment="1">
      <alignment horizontal="left" vertical="center" wrapText="1"/>
    </xf>
    <xf numFmtId="2" fontId="20" fillId="6" borderId="11" xfId="4" applyNumberFormat="1" applyFont="1" applyFill="1" applyBorder="1" applyAlignment="1">
      <alignment horizontal="center" vertical="center"/>
    </xf>
    <xf numFmtId="2" fontId="20" fillId="0" borderId="11" xfId="4" applyNumberFormat="1" applyFont="1" applyFill="1" applyBorder="1" applyAlignment="1">
      <alignment horizontal="center" vertical="center"/>
    </xf>
    <xf numFmtId="0" fontId="20" fillId="4" borderId="0" xfId="4" applyFont="1" applyFill="1" applyAlignment="1">
      <alignment horizontal="center" vertical="center"/>
    </xf>
    <xf numFmtId="0" fontId="20" fillId="4" borderId="0" xfId="4" applyFont="1" applyFill="1" applyAlignment="1">
      <alignment horizontal="left" vertical="center"/>
    </xf>
    <xf numFmtId="0" fontId="20" fillId="0" borderId="0" xfId="4" applyFont="1" applyFill="1" applyAlignment="1">
      <alignment horizontal="center" vertical="center"/>
    </xf>
    <xf numFmtId="0" fontId="50" fillId="0" borderId="0" xfId="4" applyFont="1" applyFill="1" applyAlignment="1">
      <alignment horizontal="left" vertical="center"/>
    </xf>
    <xf numFmtId="165" fontId="20" fillId="14" borderId="0" xfId="4" applyNumberFormat="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43" fontId="51" fillId="0" borderId="0" xfId="3" applyFont="1" applyFill="1" applyBorder="1" applyAlignment="1">
      <alignment horizontal="center" vertical="center" wrapText="1"/>
    </xf>
    <xf numFmtId="0" fontId="51" fillId="0" borderId="0" xfId="0" applyFont="1" applyFill="1" applyAlignment="1">
      <alignment vertical="center" wrapText="1"/>
    </xf>
    <xf numFmtId="43" fontId="12" fillId="0" borderId="5" xfId="3" applyFont="1" applyFill="1" applyBorder="1" applyAlignment="1">
      <alignment horizontal="right" vertical="center" wrapText="1"/>
    </xf>
    <xf numFmtId="43" fontId="13" fillId="0" borderId="0" xfId="3" applyFont="1" applyAlignment="1">
      <alignment vertical="center" wrapText="1"/>
    </xf>
    <xf numFmtId="0" fontId="13" fillId="6" borderId="0" xfId="0" applyFont="1" applyFill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4" xfId="3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0" fontId="52" fillId="0" borderId="0" xfId="2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>
      <alignment horizontal="center" vertical="center"/>
    </xf>
    <xf numFmtId="0" fontId="53" fillId="0" borderId="6" xfId="0" applyFont="1" applyBorder="1" applyAlignment="1">
      <alignment horizontal="left" vertical="center"/>
    </xf>
    <xf numFmtId="0" fontId="54" fillId="0" borderId="6" xfId="0" applyFont="1" applyBorder="1" applyAlignment="1">
      <alignment horizontal="left" vertical="center"/>
    </xf>
    <xf numFmtId="0" fontId="54" fillId="0" borderId="6" xfId="0" applyFont="1" applyBorder="1" applyAlignment="1">
      <alignment vertical="center"/>
    </xf>
    <xf numFmtId="0" fontId="54" fillId="0" borderId="6" xfId="0" applyFont="1" applyBorder="1" applyAlignment="1">
      <alignment horizontal="center" vertical="center"/>
    </xf>
    <xf numFmtId="0" fontId="54" fillId="0" borderId="6" xfId="3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3" applyFont="1" applyFill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vertical="center" wrapText="1"/>
    </xf>
    <xf numFmtId="0" fontId="54" fillId="6" borderId="0" xfId="0" applyFont="1" applyFill="1" applyBorder="1" applyAlignment="1">
      <alignment horizontal="center" vertical="center" wrapText="1"/>
    </xf>
    <xf numFmtId="43" fontId="3" fillId="6" borderId="0" xfId="3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20" fillId="21" borderId="0" xfId="4" applyFont="1" applyFill="1" applyAlignment="1">
      <alignment horizontal="left" vertical="center"/>
    </xf>
    <xf numFmtId="0" fontId="11" fillId="0" borderId="0" xfId="0" applyFont="1"/>
    <xf numFmtId="0" fontId="11" fillId="6" borderId="0" xfId="0" applyFont="1" applyFill="1"/>
    <xf numFmtId="0" fontId="11" fillId="4" borderId="0" xfId="0" applyFont="1" applyFill="1"/>
    <xf numFmtId="0" fontId="55" fillId="4" borderId="11" xfId="0" applyFont="1" applyFill="1" applyBorder="1" applyAlignment="1">
      <alignment horizontal="center"/>
    </xf>
    <xf numFmtId="0" fontId="55" fillId="4" borderId="11" xfId="0" applyFont="1" applyFill="1" applyBorder="1" applyAlignment="1">
      <alignment horizontal="center" vertical="center" wrapText="1"/>
    </xf>
    <xf numFmtId="165" fontId="20" fillId="0" borderId="0" xfId="4" applyNumberFormat="1" applyFont="1" applyFill="1" applyAlignment="1">
      <alignment horizontal="center" vertical="center"/>
    </xf>
    <xf numFmtId="165" fontId="30" fillId="0" borderId="0" xfId="0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11" fillId="0" borderId="0" xfId="0" applyFont="1" applyFill="1"/>
    <xf numFmtId="0" fontId="57" fillId="4" borderId="11" xfId="0" applyFont="1" applyFill="1" applyBorder="1" applyAlignment="1">
      <alignment horizontal="center" vertical="center"/>
    </xf>
    <xf numFmtId="0" fontId="57" fillId="4" borderId="11" xfId="0" applyFont="1" applyFill="1" applyBorder="1" applyAlignment="1">
      <alignment horizontal="center" vertical="center" wrapText="1"/>
    </xf>
    <xf numFmtId="0" fontId="30" fillId="6" borderId="11" xfId="0" applyFont="1" applyFill="1" applyBorder="1" applyAlignment="1">
      <alignment horizontal="center" vertical="center"/>
    </xf>
    <xf numFmtId="0" fontId="11" fillId="0" borderId="0" xfId="4" applyFont="1" applyFill="1" applyBorder="1"/>
    <xf numFmtId="0" fontId="11" fillId="0" borderId="0" xfId="4" applyFont="1" applyFill="1"/>
    <xf numFmtId="0" fontId="50" fillId="0" borderId="0" xfId="4" applyFont="1" applyFill="1" applyAlignment="1">
      <alignment horizontal="center" vertical="center"/>
    </xf>
    <xf numFmtId="0" fontId="56" fillId="4" borderId="11" xfId="4" applyFont="1" applyFill="1" applyBorder="1" applyAlignment="1">
      <alignment horizontal="center" vertical="center"/>
    </xf>
    <xf numFmtId="0" fontId="56" fillId="4" borderId="11" xfId="4" applyFont="1" applyFill="1" applyBorder="1" applyAlignment="1">
      <alignment horizontal="center" vertical="center" wrapText="1"/>
    </xf>
    <xf numFmtId="165" fontId="20" fillId="0" borderId="0" xfId="4" applyNumberFormat="1" applyFont="1" applyFill="1" applyAlignment="1">
      <alignment horizontal="left" vertical="center"/>
    </xf>
    <xf numFmtId="0" fontId="20" fillId="0" borderId="11" xfId="4" quotePrefix="1" applyFont="1" applyFill="1" applyBorder="1" applyAlignment="1">
      <alignment horizontal="center" vertical="center"/>
    </xf>
    <xf numFmtId="0" fontId="56" fillId="6" borderId="11" xfId="4" applyFont="1" applyFill="1" applyBorder="1" applyAlignment="1">
      <alignment horizontal="left" vertical="center" wrapText="1"/>
    </xf>
    <xf numFmtId="0" fontId="50" fillId="0" borderId="0" xfId="4" applyFont="1" applyFill="1" applyBorder="1" applyAlignment="1">
      <alignment horizontal="center" vertical="center"/>
    </xf>
    <xf numFmtId="0" fontId="20" fillId="21" borderId="0" xfId="4" applyFont="1" applyFill="1" applyAlignment="1">
      <alignment horizontal="center" vertical="center"/>
    </xf>
    <xf numFmtId="0" fontId="56" fillId="4" borderId="11" xfId="4" applyFont="1" applyFill="1" applyBorder="1" applyAlignment="1">
      <alignment horizontal="left" vertical="center"/>
    </xf>
    <xf numFmtId="0" fontId="56" fillId="4" borderId="11" xfId="4" applyFont="1" applyFill="1" applyBorder="1" applyAlignment="1">
      <alignment horizontal="left" vertical="center" wrapText="1"/>
    </xf>
    <xf numFmtId="0" fontId="50" fillId="0" borderId="0" xfId="4" applyFont="1" applyFill="1" applyBorder="1" applyAlignment="1">
      <alignment horizontal="left" vertical="center"/>
    </xf>
    <xf numFmtId="0" fontId="56" fillId="0" borderId="11" xfId="4" applyFont="1" applyFill="1" applyBorder="1" applyAlignment="1">
      <alignment horizontal="left" vertical="center" wrapText="1"/>
    </xf>
    <xf numFmtId="2" fontId="20" fillId="0" borderId="0" xfId="4" applyNumberFormat="1" applyFont="1" applyFill="1" applyBorder="1" applyAlignment="1">
      <alignment horizontal="center" vertical="center"/>
    </xf>
    <xf numFmtId="165" fontId="20" fillId="0" borderId="0" xfId="4" applyNumberFormat="1" applyFont="1" applyFill="1" applyAlignment="1">
      <alignment horizontal="right" vertical="center"/>
    </xf>
    <xf numFmtId="0" fontId="20" fillId="0" borderId="0" xfId="4" applyFont="1" applyFill="1"/>
    <xf numFmtId="0" fontId="20" fillId="4" borderId="0" xfId="4" applyFont="1" applyFill="1"/>
    <xf numFmtId="0" fontId="11" fillId="4" borderId="0" xfId="4" applyFont="1" applyFill="1" applyAlignment="1">
      <alignment horizontal="center" vertical="center"/>
    </xf>
    <xf numFmtId="0" fontId="11" fillId="4" borderId="0" xfId="4" applyFont="1" applyFill="1" applyAlignment="1">
      <alignment vertical="center"/>
    </xf>
    <xf numFmtId="0" fontId="11" fillId="0" borderId="0" xfId="4" applyFont="1" applyFill="1" applyAlignment="1">
      <alignment vertical="center"/>
    </xf>
    <xf numFmtId="0" fontId="54" fillId="0" borderId="0" xfId="4" applyFont="1" applyFill="1" applyAlignment="1">
      <alignment vertical="center"/>
    </xf>
    <xf numFmtId="165" fontId="20" fillId="15" borderId="0" xfId="4" applyNumberFormat="1" applyFont="1" applyFill="1" applyAlignment="1">
      <alignment horizontal="center" vertical="center"/>
    </xf>
    <xf numFmtId="0" fontId="50" fillId="6" borderId="0" xfId="4" applyFont="1" applyFill="1" applyAlignment="1">
      <alignment horizontal="left" vertical="center"/>
    </xf>
    <xf numFmtId="0" fontId="20" fillId="15" borderId="11" xfId="4" applyFont="1" applyFill="1" applyBorder="1" applyAlignment="1">
      <alignment horizontal="center" vertical="center"/>
    </xf>
    <xf numFmtId="164" fontId="20" fillId="3" borderId="11" xfId="4" applyNumberFormat="1" applyFont="1" applyFill="1" applyBorder="1" applyAlignment="1">
      <alignment horizontal="center" vertical="center"/>
    </xf>
    <xf numFmtId="0" fontId="20" fillId="3" borderId="0" xfId="4" applyFont="1" applyFill="1" applyAlignment="1">
      <alignment horizontal="left" vertical="center"/>
    </xf>
    <xf numFmtId="0" fontId="20" fillId="0" borderId="0" xfId="4" applyFont="1" applyFill="1" applyAlignment="1">
      <alignment horizontal="right" vertical="center"/>
    </xf>
    <xf numFmtId="0" fontId="59" fillId="0" borderId="0" xfId="4" applyFont="1" applyFill="1" applyAlignment="1">
      <alignment horizontal="left" vertical="center"/>
    </xf>
    <xf numFmtId="0" fontId="56" fillId="0" borderId="11" xfId="4" applyFont="1" applyFill="1" applyBorder="1" applyAlignment="1">
      <alignment horizontal="center" vertical="center"/>
    </xf>
    <xf numFmtId="0" fontId="56" fillId="0" borderId="11" xfId="4" applyFont="1" applyFill="1" applyBorder="1" applyAlignment="1">
      <alignment horizontal="center" vertical="center" wrapText="1"/>
    </xf>
    <xf numFmtId="0" fontId="20" fillId="0" borderId="11" xfId="4" applyFont="1" applyFill="1" applyBorder="1" applyAlignment="1">
      <alignment wrapText="1"/>
    </xf>
    <xf numFmtId="2" fontId="20" fillId="0" borderId="11" xfId="4" applyNumberFormat="1" applyFont="1" applyFill="1" applyBorder="1" applyAlignment="1">
      <alignment vertical="center"/>
    </xf>
    <xf numFmtId="0" fontId="20" fillId="0" borderId="11" xfId="4" applyFont="1" applyFill="1" applyBorder="1" applyAlignment="1">
      <alignment vertical="center" wrapText="1"/>
    </xf>
    <xf numFmtId="0" fontId="59" fillId="0" borderId="0" xfId="4" applyFont="1" applyFill="1" applyBorder="1" applyAlignment="1">
      <alignment horizontal="left" vertical="center"/>
    </xf>
    <xf numFmtId="0" fontId="20" fillId="0" borderId="35" xfId="4" applyFont="1" applyFill="1" applyBorder="1" applyAlignment="1">
      <alignment horizontal="center" vertical="center"/>
    </xf>
    <xf numFmtId="0" fontId="20" fillId="6" borderId="11" xfId="4" applyFont="1" applyFill="1" applyBorder="1" applyAlignment="1">
      <alignment vertical="center" wrapText="1"/>
    </xf>
    <xf numFmtId="2" fontId="20" fillId="6" borderId="36" xfId="4" applyNumberFormat="1" applyFont="1" applyFill="1" applyBorder="1" applyAlignment="1">
      <alignment vertical="center"/>
    </xf>
    <xf numFmtId="0" fontId="20" fillId="6" borderId="11" xfId="4" applyFont="1" applyFill="1" applyBorder="1" applyAlignment="1">
      <alignment horizontal="left" vertical="top" wrapText="1"/>
    </xf>
    <xf numFmtId="0" fontId="20" fillId="0" borderId="11" xfId="4" applyFont="1" applyFill="1" applyBorder="1" applyAlignment="1">
      <alignment horizontal="left" vertical="top" wrapText="1"/>
    </xf>
    <xf numFmtId="2" fontId="59" fillId="0" borderId="0" xfId="4" applyNumberFormat="1" applyFont="1" applyFill="1" applyAlignment="1">
      <alignment horizontal="left" vertical="center"/>
    </xf>
    <xf numFmtId="0" fontId="20" fillId="0" borderId="0" xfId="4" applyFont="1" applyFill="1" applyAlignment="1">
      <alignment horizontal="center"/>
    </xf>
    <xf numFmtId="0" fontId="20" fillId="0" borderId="0" xfId="4" applyFont="1" applyFill="1" applyAlignment="1">
      <alignment horizontal="right"/>
    </xf>
    <xf numFmtId="0" fontId="59" fillId="0" borderId="0" xfId="4" applyFont="1" applyFill="1" applyAlignment="1">
      <alignment horizontal="left"/>
    </xf>
    <xf numFmtId="165" fontId="20" fillId="3" borderId="0" xfId="4" applyNumberFormat="1" applyFont="1" applyFill="1" applyAlignment="1">
      <alignment horizontal="right" vertical="center"/>
    </xf>
    <xf numFmtId="165" fontId="20" fillId="14" borderId="0" xfId="4" applyNumberFormat="1" applyFont="1" applyFill="1" applyAlignment="1">
      <alignment horizontal="right" vertical="center"/>
    </xf>
    <xf numFmtId="0" fontId="20" fillId="3" borderId="11" xfId="4" applyFont="1" applyFill="1" applyBorder="1" applyAlignment="1">
      <alignment horizontal="center" vertical="center"/>
    </xf>
    <xf numFmtId="0" fontId="20" fillId="3" borderId="36" xfId="4" applyFont="1" applyFill="1" applyBorder="1" applyAlignment="1">
      <alignment vertical="center"/>
    </xf>
    <xf numFmtId="43" fontId="13" fillId="0" borderId="11" xfId="3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vertical="center" wrapText="1"/>
    </xf>
    <xf numFmtId="43" fontId="13" fillId="6" borderId="11" xfId="3" applyFont="1" applyFill="1" applyBorder="1" applyAlignment="1">
      <alignment vertical="center" wrapText="1"/>
    </xf>
    <xf numFmtId="0" fontId="13" fillId="6" borderId="11" xfId="0" applyFont="1" applyFill="1" applyBorder="1" applyAlignment="1">
      <alignment vertical="center" wrapText="1"/>
    </xf>
    <xf numFmtId="0" fontId="21" fillId="6" borderId="11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center" vertical="center" wrapText="1"/>
    </xf>
    <xf numFmtId="43" fontId="12" fillId="6" borderId="11" xfId="3" applyFont="1" applyFill="1" applyBorder="1" applyAlignment="1">
      <alignment vertical="center" wrapText="1"/>
    </xf>
    <xf numFmtId="43" fontId="13" fillId="0" borderId="0" xfId="3" applyFont="1" applyBorder="1" applyAlignment="1">
      <alignment horizontal="right" vertical="center" wrapText="1"/>
    </xf>
    <xf numFmtId="43" fontId="13" fillId="6" borderId="11" xfId="3" applyFont="1" applyFill="1" applyBorder="1" applyAlignment="1">
      <alignment horizontal="center" vertical="center" wrapText="1"/>
    </xf>
    <xf numFmtId="164" fontId="60" fillId="6" borderId="11" xfId="5" applyFont="1" applyFill="1" applyBorder="1" applyAlignment="1">
      <alignment horizontal="justify" vertical="justify" wrapText="1"/>
    </xf>
    <xf numFmtId="0" fontId="61" fillId="6" borderId="11" xfId="0" applyFont="1" applyFill="1" applyBorder="1" applyAlignment="1">
      <alignment horizontal="center" vertical="center"/>
    </xf>
    <xf numFmtId="43" fontId="19" fillId="6" borderId="11" xfId="3" applyFont="1" applyFill="1" applyBorder="1" applyAlignment="1">
      <alignment horizontal="center" vertical="center" wrapText="1"/>
    </xf>
    <xf numFmtId="0" fontId="20" fillId="6" borderId="11" xfId="4" quotePrefix="1" applyFont="1" applyFill="1" applyBorder="1" applyAlignment="1">
      <alignment horizontal="center" vertical="center"/>
    </xf>
    <xf numFmtId="0" fontId="20" fillId="6" borderId="0" xfId="4" applyFont="1" applyFill="1" applyAlignment="1">
      <alignment horizontal="left" vertical="center"/>
    </xf>
    <xf numFmtId="0" fontId="50" fillId="0" borderId="0" xfId="4" applyFont="1" applyFill="1"/>
    <xf numFmtId="4" fontId="13" fillId="6" borderId="0" xfId="3" applyNumberFormat="1" applyFont="1" applyFill="1" applyBorder="1" applyAlignment="1">
      <alignment horizontal="center" vertical="center" wrapText="1"/>
    </xf>
    <xf numFmtId="2" fontId="20" fillId="6" borderId="0" xfId="4" applyNumberFormat="1" applyFont="1" applyFill="1"/>
    <xf numFmtId="0" fontId="20" fillId="6" borderId="0" xfId="4" applyFont="1" applyFill="1"/>
    <xf numFmtId="0" fontId="5" fillId="10" borderId="0" xfId="4" applyFont="1" applyFill="1" applyBorder="1" applyAlignment="1">
      <alignment horizontal="center" vertical="center"/>
    </xf>
    <xf numFmtId="0" fontId="5" fillId="10" borderId="0" xfId="4" applyFont="1" applyFill="1" applyBorder="1" applyAlignment="1">
      <alignment horizontal="left" vertical="center"/>
    </xf>
    <xf numFmtId="0" fontId="5" fillId="10" borderId="0" xfId="4" applyFont="1" applyFill="1" applyBorder="1" applyAlignment="1">
      <alignment vertical="center" wrapText="1"/>
    </xf>
    <xf numFmtId="2" fontId="5" fillId="10" borderId="0" xfId="4" applyNumberFormat="1" applyFont="1" applyFill="1" applyBorder="1" applyAlignment="1">
      <alignment vertical="center"/>
    </xf>
    <xf numFmtId="2" fontId="5" fillId="10" borderId="0" xfId="4" applyNumberFormat="1" applyFont="1" applyFill="1" applyAlignment="1">
      <alignment vertical="center"/>
    </xf>
    <xf numFmtId="0" fontId="13" fillId="10" borderId="0" xfId="0" applyFont="1" applyFill="1" applyBorder="1" applyAlignment="1">
      <alignment horizontal="center" vertical="center" wrapText="1"/>
    </xf>
    <xf numFmtId="0" fontId="5" fillId="10" borderId="0" xfId="4" applyFont="1" applyFill="1" applyBorder="1" applyAlignment="1">
      <alignment horizontal="left" vertical="center" wrapText="1"/>
    </xf>
    <xf numFmtId="0" fontId="5" fillId="22" borderId="0" xfId="4" applyFont="1" applyFill="1" applyBorder="1" applyAlignment="1">
      <alignment horizontal="center" vertical="center"/>
    </xf>
    <xf numFmtId="0" fontId="5" fillId="22" borderId="0" xfId="4" applyFont="1" applyFill="1" applyBorder="1" applyAlignment="1">
      <alignment vertical="center" wrapText="1"/>
    </xf>
    <xf numFmtId="0" fontId="13" fillId="22" borderId="0" xfId="0" applyFont="1" applyFill="1" applyBorder="1" applyAlignment="1">
      <alignment horizontal="center" vertical="center" wrapText="1"/>
    </xf>
    <xf numFmtId="2" fontId="5" fillId="22" borderId="0" xfId="4" applyNumberFormat="1" applyFont="1" applyFill="1" applyBorder="1" applyAlignment="1">
      <alignment vertical="center"/>
    </xf>
    <xf numFmtId="0" fontId="5" fillId="10" borderId="0" xfId="4" applyFont="1" applyFill="1" applyBorder="1" applyAlignment="1">
      <alignment vertical="center"/>
    </xf>
    <xf numFmtId="0" fontId="9" fillId="10" borderId="0" xfId="4" applyFont="1" applyFill="1" applyBorder="1" applyAlignment="1">
      <alignment horizontal="center" vertical="center"/>
    </xf>
    <xf numFmtId="164" fontId="5" fillId="10" borderId="0" xfId="5" applyFont="1" applyFill="1" applyBorder="1" applyAlignment="1">
      <alignment horizontal="center" vertical="center"/>
    </xf>
    <xf numFmtId="2" fontId="5" fillId="10" borderId="0" xfId="4" applyNumberFormat="1" applyFont="1" applyFill="1" applyBorder="1" applyAlignment="1">
      <alignment horizontal="center" vertical="center"/>
    </xf>
    <xf numFmtId="0" fontId="62" fillId="10" borderId="0" xfId="4" applyFont="1" applyFill="1" applyBorder="1" applyAlignment="1">
      <alignment vertical="center" wrapText="1"/>
    </xf>
    <xf numFmtId="0" fontId="5" fillId="10" borderId="0" xfId="8" quotePrefix="1" applyFont="1" applyFill="1" applyBorder="1" applyAlignment="1">
      <alignment horizontal="center" vertical="center"/>
    </xf>
    <xf numFmtId="0" fontId="5" fillId="10" borderId="0" xfId="4" applyFont="1" applyFill="1"/>
    <xf numFmtId="0" fontId="5" fillId="10" borderId="0" xfId="4" applyFont="1" applyFill="1" applyAlignment="1">
      <alignment wrapText="1"/>
    </xf>
    <xf numFmtId="0" fontId="5" fillId="10" borderId="0" xfId="4" applyFont="1" applyFill="1" applyAlignment="1">
      <alignment horizontal="left" vertical="center"/>
    </xf>
    <xf numFmtId="0" fontId="5" fillId="10" borderId="0" xfId="4" quotePrefix="1" applyFont="1" applyFill="1" applyBorder="1" applyAlignment="1">
      <alignment horizontal="center" vertical="center" wrapText="1"/>
    </xf>
    <xf numFmtId="0" fontId="5" fillId="10" borderId="0" xfId="4" applyFont="1" applyFill="1" applyAlignment="1">
      <alignment vertical="center"/>
    </xf>
    <xf numFmtId="0" fontId="5" fillId="10" borderId="0" xfId="4" applyFont="1" applyFill="1" applyAlignment="1">
      <alignment horizontal="center"/>
    </xf>
    <xf numFmtId="0" fontId="5" fillId="7" borderId="0" xfId="4" applyFont="1" applyFill="1" applyBorder="1" applyAlignment="1">
      <alignment horizontal="left" vertical="center" wrapText="1"/>
    </xf>
    <xf numFmtId="0" fontId="5" fillId="7" borderId="0" xfId="4" applyFont="1" applyFill="1" applyBorder="1" applyAlignment="1">
      <alignment vertical="center" wrapText="1"/>
    </xf>
    <xf numFmtId="0" fontId="5" fillId="7" borderId="0" xfId="4" applyFont="1" applyFill="1" applyBorder="1" applyAlignment="1">
      <alignment horizontal="center" vertical="center"/>
    </xf>
    <xf numFmtId="2" fontId="5" fillId="7" borderId="0" xfId="4" applyNumberFormat="1" applyFont="1" applyFill="1" applyBorder="1" applyAlignment="1">
      <alignment vertical="center"/>
    </xf>
    <xf numFmtId="2" fontId="5" fillId="7" borderId="0" xfId="4" applyNumberFormat="1" applyFont="1" applyFill="1" applyBorder="1" applyAlignment="1">
      <alignment horizontal="center" vertical="center"/>
    </xf>
    <xf numFmtId="0" fontId="0" fillId="14" borderId="0" xfId="0" applyFill="1"/>
    <xf numFmtId="0" fontId="5" fillId="14" borderId="0" xfId="4" applyFont="1" applyFill="1" applyBorder="1" applyAlignment="1">
      <alignment horizontal="center" vertical="center"/>
    </xf>
    <xf numFmtId="2" fontId="5" fillId="14" borderId="0" xfId="4" applyNumberFormat="1" applyFont="1" applyFill="1" applyBorder="1" applyAlignment="1">
      <alignment vertical="center"/>
    </xf>
    <xf numFmtId="43" fontId="13" fillId="6" borderId="0" xfId="3" applyFont="1" applyFill="1" applyBorder="1" applyAlignment="1">
      <alignment horizontal="right" vertical="center" wrapText="1"/>
    </xf>
    <xf numFmtId="2" fontId="5" fillId="4" borderId="0" xfId="4" applyNumberFormat="1" applyFont="1" applyFill="1" applyAlignment="1">
      <alignment vertical="center"/>
    </xf>
    <xf numFmtId="0" fontId="24" fillId="9" borderId="72" xfId="0" applyFont="1" applyFill="1" applyBorder="1" applyAlignment="1">
      <alignment horizontal="center" vertical="center"/>
    </xf>
    <xf numFmtId="2" fontId="27" fillId="6" borderId="9" xfId="0" applyNumberFormat="1" applyFont="1" applyFill="1" applyBorder="1" applyAlignment="1">
      <alignment horizontal="center" vertical="center"/>
    </xf>
    <xf numFmtId="2" fontId="27" fillId="6" borderId="48" xfId="0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43" fontId="19" fillId="0" borderId="0" xfId="3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/>
    </xf>
    <xf numFmtId="164" fontId="20" fillId="6" borderId="11" xfId="4" applyNumberFormat="1" applyFont="1" applyFill="1" applyBorder="1" applyAlignment="1">
      <alignment vertical="center"/>
    </xf>
    <xf numFmtId="2" fontId="20" fillId="6" borderId="11" xfId="4" applyNumberFormat="1" applyFont="1" applyFill="1" applyBorder="1" applyAlignment="1">
      <alignment vertical="center"/>
    </xf>
    <xf numFmtId="0" fontId="5" fillId="24" borderId="0" xfId="4" applyFont="1" applyFill="1" applyBorder="1" applyAlignment="1">
      <alignment horizontal="center" vertical="center"/>
    </xf>
    <xf numFmtId="0" fontId="5" fillId="24" borderId="0" xfId="4" applyFont="1" applyFill="1" applyBorder="1" applyAlignment="1">
      <alignment horizontal="left" vertical="center"/>
    </xf>
    <xf numFmtId="0" fontId="5" fillId="24" borderId="0" xfId="4" applyFont="1" applyFill="1" applyBorder="1" applyAlignment="1">
      <alignment vertical="center" wrapText="1"/>
    </xf>
    <xf numFmtId="0" fontId="5" fillId="24" borderId="0" xfId="8" quotePrefix="1" applyFont="1" applyFill="1" applyBorder="1" applyAlignment="1">
      <alignment horizontal="center" vertical="center"/>
    </xf>
    <xf numFmtId="2" fontId="5" fillId="24" borderId="0" xfId="4" applyNumberFormat="1" applyFont="1" applyFill="1" applyBorder="1" applyAlignment="1">
      <alignment vertical="center"/>
    </xf>
    <xf numFmtId="0" fontId="5" fillId="24" borderId="0" xfId="4" applyFont="1" applyFill="1" applyAlignment="1">
      <alignment vertic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center"/>
    </xf>
    <xf numFmtId="2" fontId="5" fillId="25" borderId="0" xfId="4" applyNumberFormat="1" applyFont="1" applyFill="1" applyBorder="1" applyAlignment="1">
      <alignment vertical="center"/>
    </xf>
    <xf numFmtId="0" fontId="5" fillId="25" borderId="0" xfId="4" applyFont="1" applyFill="1" applyAlignment="1">
      <alignment vertical="center"/>
    </xf>
    <xf numFmtId="0" fontId="5" fillId="25" borderId="0" xfId="4" applyFont="1" applyFill="1" applyBorder="1" applyAlignment="1">
      <alignment vertical="center" wrapText="1"/>
    </xf>
    <xf numFmtId="0" fontId="5" fillId="25" borderId="0" xfId="4" applyFont="1" applyFill="1" applyBorder="1" applyAlignment="1">
      <alignment horizontal="center" vertical="center"/>
    </xf>
    <xf numFmtId="43" fontId="3" fillId="6" borderId="0" xfId="0" applyNumberFormat="1" applyFont="1" applyFill="1" applyBorder="1" applyAlignment="1">
      <alignment horizontal="center" vertical="center" wrapText="1"/>
    </xf>
    <xf numFmtId="10" fontId="3" fillId="6" borderId="0" xfId="2" applyNumberFormat="1" applyFont="1" applyFill="1" applyBorder="1" applyAlignment="1">
      <alignment horizontal="center" vertical="center" wrapText="1"/>
    </xf>
    <xf numFmtId="0" fontId="11" fillId="0" borderId="0" xfId="4" applyFont="1" applyBorder="1"/>
    <xf numFmtId="0" fontId="63" fillId="23" borderId="58" xfId="4" applyFont="1" applyFill="1" applyBorder="1" applyAlignment="1">
      <alignment horizontal="center"/>
    </xf>
    <xf numFmtId="0" fontId="11" fillId="0" borderId="22" xfId="4" applyFont="1" applyBorder="1"/>
    <xf numFmtId="0" fontId="11" fillId="0" borderId="0" xfId="4" applyFont="1" applyBorder="1" applyAlignment="1">
      <alignment horizontal="center"/>
    </xf>
    <xf numFmtId="10" fontId="3" fillId="0" borderId="23" xfId="12" applyNumberFormat="1" applyFont="1" applyBorder="1" applyAlignment="1">
      <alignment horizontal="center"/>
    </xf>
    <xf numFmtId="0" fontId="11" fillId="0" borderId="64" xfId="4" applyFont="1" applyBorder="1"/>
    <xf numFmtId="10" fontId="3" fillId="0" borderId="58" xfId="12" applyNumberFormat="1" applyFont="1" applyBorder="1" applyAlignment="1">
      <alignment horizontal="center"/>
    </xf>
    <xf numFmtId="0" fontId="11" fillId="0" borderId="73" xfId="4" applyFont="1" applyBorder="1"/>
    <xf numFmtId="0" fontId="18" fillId="0" borderId="74" xfId="4" applyFont="1" applyBorder="1" applyAlignment="1">
      <alignment horizontal="right"/>
    </xf>
    <xf numFmtId="10" fontId="18" fillId="0" borderId="75" xfId="4" applyNumberFormat="1" applyFont="1" applyBorder="1" applyAlignment="1">
      <alignment horizontal="center"/>
    </xf>
    <xf numFmtId="0" fontId="18" fillId="0" borderId="0" xfId="4" applyFont="1" applyBorder="1" applyAlignment="1">
      <alignment horizontal="right"/>
    </xf>
    <xf numFmtId="10" fontId="18" fillId="0" borderId="23" xfId="4" applyNumberFormat="1" applyFont="1" applyBorder="1" applyAlignment="1">
      <alignment horizontal="center"/>
    </xf>
    <xf numFmtId="0" fontId="63" fillId="23" borderId="62" xfId="4" applyFont="1" applyFill="1" applyBorder="1" applyAlignment="1">
      <alignment horizontal="center"/>
    </xf>
    <xf numFmtId="0" fontId="11" fillId="0" borderId="50" xfId="4" applyFont="1" applyBorder="1"/>
    <xf numFmtId="0" fontId="11" fillId="0" borderId="3" xfId="4" applyFont="1" applyBorder="1"/>
    <xf numFmtId="10" fontId="3" fillId="0" borderId="62" xfId="12" applyNumberFormat="1" applyFont="1" applyBorder="1" applyAlignment="1">
      <alignment horizontal="center"/>
    </xf>
    <xf numFmtId="0" fontId="11" fillId="0" borderId="23" xfId="4" applyFont="1" applyBorder="1" applyAlignment="1">
      <alignment horizontal="center"/>
    </xf>
    <xf numFmtId="10" fontId="63" fillId="23" borderId="62" xfId="12" applyNumberFormat="1" applyFont="1" applyFill="1" applyBorder="1" applyAlignment="1">
      <alignment horizontal="center"/>
    </xf>
    <xf numFmtId="0" fontId="11" fillId="0" borderId="22" xfId="4" applyFont="1" applyBorder="1" applyAlignment="1">
      <alignment horizontal="left"/>
    </xf>
    <xf numFmtId="0" fontId="53" fillId="0" borderId="22" xfId="4" applyFont="1" applyBorder="1" applyAlignment="1">
      <alignment horizontal="left"/>
    </xf>
    <xf numFmtId="0" fontId="53" fillId="0" borderId="0" xfId="4" applyFont="1" applyBorder="1"/>
    <xf numFmtId="10" fontId="53" fillId="0" borderId="23" xfId="12" applyNumberFormat="1" applyFont="1" applyBorder="1" applyAlignment="1">
      <alignment horizontal="center"/>
    </xf>
    <xf numFmtId="0" fontId="11" fillId="0" borderId="76" xfId="4" applyFont="1" applyBorder="1"/>
    <xf numFmtId="0" fontId="18" fillId="0" borderId="6" xfId="4" applyFont="1" applyBorder="1" applyAlignment="1">
      <alignment horizontal="right"/>
    </xf>
    <xf numFmtId="10" fontId="18" fillId="0" borderId="77" xfId="4" applyNumberFormat="1" applyFont="1" applyBorder="1" applyAlignment="1">
      <alignment horizontal="center"/>
    </xf>
    <xf numFmtId="0" fontId="33" fillId="23" borderId="50" xfId="4" applyFont="1" applyFill="1" applyBorder="1" applyAlignment="1">
      <alignment vertical="center"/>
    </xf>
    <xf numFmtId="0" fontId="33" fillId="23" borderId="3" xfId="4" applyFont="1" applyFill="1" applyBorder="1" applyAlignment="1">
      <alignment vertical="center"/>
    </xf>
    <xf numFmtId="10" fontId="14" fillId="23" borderId="62" xfId="2" applyNumberFormat="1" applyFont="1" applyFill="1" applyBorder="1" applyAlignment="1" applyProtection="1">
      <alignment horizontal="left" vertical="center"/>
    </xf>
    <xf numFmtId="0" fontId="11" fillId="0" borderId="6" xfId="4" applyFont="1" applyBorder="1"/>
    <xf numFmtId="10" fontId="3" fillId="0" borderId="77" xfId="12" applyNumberFormat="1" applyFont="1" applyBorder="1" applyAlignment="1">
      <alignment horizontal="center"/>
    </xf>
    <xf numFmtId="0" fontId="65" fillId="0" borderId="22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0" fontId="11" fillId="0" borderId="23" xfId="4" applyFont="1" applyBorder="1" applyAlignment="1">
      <alignment vertical="center"/>
    </xf>
    <xf numFmtId="0" fontId="11" fillId="0" borderId="64" xfId="4" applyFont="1" applyBorder="1" applyAlignment="1">
      <alignment vertical="center"/>
    </xf>
    <xf numFmtId="0" fontId="65" fillId="0" borderId="22" xfId="4" applyFont="1" applyBorder="1"/>
    <xf numFmtId="0" fontId="11" fillId="0" borderId="23" xfId="4" applyFont="1" applyBorder="1"/>
    <xf numFmtId="0" fontId="68" fillId="0" borderId="22" xfId="4" applyFont="1" applyBorder="1" applyAlignment="1">
      <alignment horizontal="center" vertical="center"/>
    </xf>
    <xf numFmtId="0" fontId="68" fillId="0" borderId="0" xfId="4" applyFont="1" applyBorder="1" applyAlignment="1">
      <alignment horizontal="center" vertical="center"/>
    </xf>
    <xf numFmtId="0" fontId="69" fillId="0" borderId="23" xfId="4" applyFont="1" applyBorder="1" applyAlignment="1">
      <alignment vertical="center"/>
    </xf>
    <xf numFmtId="0" fontId="70" fillId="0" borderId="24" xfId="4" applyFont="1" applyBorder="1"/>
    <xf numFmtId="0" fontId="50" fillId="0" borderId="25" xfId="4" applyFont="1" applyBorder="1" applyAlignment="1">
      <alignment horizontal="center"/>
    </xf>
    <xf numFmtId="0" fontId="50" fillId="0" borderId="27" xfId="4" applyFont="1" applyBorder="1"/>
    <xf numFmtId="0" fontId="70" fillId="0" borderId="0" xfId="4" applyFont="1" applyBorder="1"/>
    <xf numFmtId="0" fontId="50" fillId="0" borderId="0" xfId="4" applyFont="1" applyBorder="1" applyAlignment="1">
      <alignment horizontal="center"/>
    </xf>
    <xf numFmtId="0" fontId="50" fillId="0" borderId="0" xfId="4" applyFont="1" applyBorder="1"/>
    <xf numFmtId="2" fontId="20" fillId="6" borderId="36" xfId="4" applyNumberFormat="1" applyFont="1" applyFill="1" applyBorder="1" applyAlignment="1">
      <alignment horizontal="center" vertical="center"/>
    </xf>
    <xf numFmtId="43" fontId="19" fillId="0" borderId="0" xfId="3" applyFont="1" applyFill="1" applyBorder="1" applyAlignment="1">
      <alignment horizontal="center" vertical="center" wrapText="1"/>
    </xf>
    <xf numFmtId="0" fontId="8" fillId="5" borderId="0" xfId="4" applyFont="1" applyFill="1" applyBorder="1" applyAlignment="1">
      <alignment horizontal="center" vertical="center" wrapText="1"/>
    </xf>
    <xf numFmtId="10" fontId="17" fillId="0" borderId="0" xfId="2" applyNumberFormat="1" applyFont="1" applyFill="1" applyBorder="1" applyAlignment="1">
      <alignment horizontal="center" vertical="center"/>
    </xf>
    <xf numFmtId="0" fontId="13" fillId="0" borderId="6" xfId="3" applyNumberFormat="1" applyFont="1" applyFill="1" applyBorder="1" applyAlignment="1">
      <alignment horizontal="center" vertical="center"/>
    </xf>
    <xf numFmtId="0" fontId="12" fillId="0" borderId="3" xfId="3" applyNumberFormat="1" applyFont="1" applyFill="1" applyBorder="1" applyAlignment="1">
      <alignment horizontal="center" vertical="center" wrapText="1"/>
    </xf>
    <xf numFmtId="43" fontId="19" fillId="0" borderId="0" xfId="3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horizontal="right" vertical="center" wrapText="1"/>
    </xf>
    <xf numFmtId="43" fontId="13" fillId="0" borderId="0" xfId="3" applyFont="1" applyFill="1" applyAlignment="1">
      <alignment horizontal="right" vertical="center" wrapText="1"/>
    </xf>
    <xf numFmtId="0" fontId="5" fillId="0" borderId="0" xfId="4" applyFont="1" applyFill="1" applyBorder="1" applyAlignment="1">
      <alignment horizontal="left" vertical="center"/>
    </xf>
    <xf numFmtId="2" fontId="5" fillId="0" borderId="0" xfId="4" applyNumberFormat="1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6" borderId="0" xfId="0" applyFont="1" applyFill="1" applyBorder="1" applyAlignment="1">
      <alignment horizontal="center" vertical="center"/>
    </xf>
    <xf numFmtId="0" fontId="5" fillId="6" borderId="0" xfId="4" applyFont="1" applyFill="1"/>
    <xf numFmtId="0" fontId="13" fillId="0" borderId="0" xfId="0" applyFont="1" applyBorder="1" applyAlignment="1">
      <alignment horizontal="center" vertical="center"/>
    </xf>
    <xf numFmtId="0" fontId="5" fillId="0" borderId="0" xfId="4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/>
    </xf>
    <xf numFmtId="0" fontId="5" fillId="7" borderId="0" xfId="4" applyFont="1" applyFill="1"/>
    <xf numFmtId="0" fontId="5" fillId="0" borderId="0" xfId="4" applyFont="1" applyFill="1" applyBorder="1" applyAlignment="1">
      <alignment vertical="center"/>
    </xf>
    <xf numFmtId="0" fontId="5" fillId="0" borderId="0" xfId="4" applyFont="1" applyAlignment="1">
      <alignment horizontal="center" vertical="center"/>
    </xf>
    <xf numFmtId="0" fontId="72" fillId="0" borderId="0" xfId="4" applyFont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164" fontId="5" fillId="0" borderId="0" xfId="5" applyFont="1" applyFill="1" applyBorder="1" applyAlignment="1">
      <alignment horizontal="center" vertical="center"/>
    </xf>
    <xf numFmtId="2" fontId="5" fillId="0" borderId="0" xfId="4" applyNumberFormat="1" applyFont="1" applyFill="1" applyBorder="1" applyAlignment="1">
      <alignment horizontal="center" vertical="center"/>
    </xf>
    <xf numFmtId="0" fontId="62" fillId="0" borderId="0" xfId="4" applyFont="1" applyFill="1" applyBorder="1" applyAlignment="1">
      <alignment vertical="center" wrapText="1"/>
    </xf>
    <xf numFmtId="0" fontId="5" fillId="0" borderId="0" xfId="8" quotePrefix="1" applyFont="1" applyFill="1" applyBorder="1" applyAlignment="1">
      <alignment horizontal="center" vertical="center"/>
    </xf>
    <xf numFmtId="0" fontId="5" fillId="4" borderId="0" xfId="4" applyFont="1" applyFill="1" applyAlignment="1">
      <alignment vertical="center"/>
    </xf>
    <xf numFmtId="0" fontId="5" fillId="6" borderId="0" xfId="4" applyFont="1" applyFill="1" applyBorder="1" applyAlignment="1">
      <alignment horizontal="center" vertical="center"/>
    </xf>
    <xf numFmtId="0" fontId="5" fillId="6" borderId="0" xfId="4" applyFont="1" applyFill="1" applyBorder="1" applyAlignment="1">
      <alignment horizontal="left" vertical="center"/>
    </xf>
    <xf numFmtId="0" fontId="5" fillId="6" borderId="0" xfId="4" applyFont="1" applyFill="1" applyBorder="1" applyAlignment="1">
      <alignment vertical="center" wrapText="1"/>
    </xf>
    <xf numFmtId="2" fontId="5" fillId="6" borderId="0" xfId="4" applyNumberFormat="1" applyFont="1" applyFill="1" applyBorder="1" applyAlignment="1">
      <alignment vertical="center"/>
    </xf>
    <xf numFmtId="2" fontId="5" fillId="6" borderId="0" xfId="4" applyNumberFormat="1" applyFont="1" applyFill="1" applyAlignment="1">
      <alignment vertical="center"/>
    </xf>
    <xf numFmtId="0" fontId="5" fillId="6" borderId="0" xfId="4" applyFont="1" applyFill="1" applyAlignment="1">
      <alignment vertical="center"/>
    </xf>
    <xf numFmtId="0" fontId="5" fillId="0" borderId="0" xfId="4" applyFont="1" applyFill="1" applyAlignment="1">
      <alignment wrapText="1"/>
    </xf>
    <xf numFmtId="0" fontId="5" fillId="0" borderId="0" xfId="4" quotePrefix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5" fillId="25" borderId="0" xfId="4" applyFont="1" applyFill="1"/>
    <xf numFmtId="0" fontId="13" fillId="26" borderId="0" xfId="0" applyFont="1" applyFill="1" applyBorder="1" applyAlignment="1">
      <alignment vertical="center" wrapText="1"/>
    </xf>
    <xf numFmtId="0" fontId="5" fillId="26" borderId="0" xfId="4" applyFont="1" applyFill="1"/>
    <xf numFmtId="0" fontId="13" fillId="7" borderId="0" xfId="0" applyFont="1" applyFill="1" applyBorder="1" applyAlignment="1">
      <alignment vertical="center" wrapText="1"/>
    </xf>
    <xf numFmtId="0" fontId="13" fillId="9" borderId="0" xfId="0" applyFont="1" applyFill="1" applyBorder="1" applyAlignment="1">
      <alignment vertical="center" wrapText="1"/>
    </xf>
    <xf numFmtId="0" fontId="5" fillId="0" borderId="0" xfId="4" applyFont="1" applyFill="1" applyAlignment="1">
      <alignment horizontal="right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3" fontId="19" fillId="0" borderId="0" xfId="3" applyFont="1" applyFill="1" applyBorder="1" applyAlignment="1">
      <alignment horizontal="center" vertical="center" wrapText="1"/>
    </xf>
    <xf numFmtId="2" fontId="41" fillId="27" borderId="9" xfId="0" applyNumberFormat="1" applyFont="1" applyFill="1" applyBorder="1" applyAlignment="1">
      <alignment horizontal="center" vertical="center" wrapText="1"/>
    </xf>
    <xf numFmtId="2" fontId="41" fillId="27" borderId="8" xfId="0" applyNumberFormat="1" applyFont="1" applyFill="1" applyBorder="1" applyAlignment="1">
      <alignment horizontal="center" vertical="center" wrapText="1"/>
    </xf>
    <xf numFmtId="2" fontId="41" fillId="27" borderId="48" xfId="0" applyNumberFormat="1" applyFont="1" applyFill="1" applyBorder="1" applyAlignment="1">
      <alignment horizontal="center" vertical="center" wrapText="1"/>
    </xf>
    <xf numFmtId="2" fontId="41" fillId="0" borderId="9" xfId="0" applyNumberFormat="1" applyFont="1" applyFill="1" applyBorder="1" applyAlignment="1">
      <alignment horizontal="center" vertical="center" wrapText="1"/>
    </xf>
    <xf numFmtId="2" fontId="41" fillId="0" borderId="8" xfId="0" applyNumberFormat="1" applyFont="1" applyFill="1" applyBorder="1" applyAlignment="1">
      <alignment horizontal="center" vertical="center" wrapText="1"/>
    </xf>
    <xf numFmtId="2" fontId="41" fillId="0" borderId="52" xfId="0" applyNumberFormat="1" applyFont="1" applyFill="1" applyBorder="1" applyAlignment="1">
      <alignment horizontal="center" vertical="center" wrapText="1"/>
    </xf>
    <xf numFmtId="2" fontId="41" fillId="0" borderId="36" xfId="0" applyNumberFormat="1" applyFont="1" applyFill="1" applyBorder="1" applyAlignment="1">
      <alignment horizontal="center" vertical="center" wrapText="1"/>
    </xf>
    <xf numFmtId="43" fontId="1" fillId="0" borderId="34" xfId="3" applyFont="1" applyFill="1" applyBorder="1" applyAlignment="1">
      <alignment horizontal="center" vertical="center" wrapText="1"/>
    </xf>
    <xf numFmtId="2" fontId="41" fillId="0" borderId="48" xfId="0" applyNumberFormat="1" applyFont="1" applyFill="1" applyBorder="1" applyAlignment="1">
      <alignment horizontal="center" vertical="center" wrapText="1"/>
    </xf>
    <xf numFmtId="2" fontId="41" fillId="0" borderId="55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48" xfId="0" applyNumberFormat="1" applyFill="1" applyBorder="1" applyAlignment="1">
      <alignment horizontal="center" vertical="center"/>
    </xf>
    <xf numFmtId="2" fontId="0" fillId="0" borderId="55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0" fontId="5" fillId="0" borderId="0" xfId="4" applyFont="1" applyFill="1" applyAlignment="1">
      <alignment horizontal="left" vertical="center"/>
    </xf>
    <xf numFmtId="43" fontId="0" fillId="0" borderId="0" xfId="3" applyFont="1" applyFill="1" applyAlignment="1">
      <alignment horizontal="center" vertical="center" wrapText="1"/>
    </xf>
    <xf numFmtId="0" fontId="16" fillId="12" borderId="49" xfId="0" applyFont="1" applyFill="1" applyBorder="1" applyAlignment="1">
      <alignment horizontal="center" vertical="center"/>
    </xf>
    <xf numFmtId="43" fontId="0" fillId="0" borderId="36" xfId="3" applyFont="1" applyFill="1" applyBorder="1" applyAlignment="1">
      <alignment horizontal="center" vertical="center" wrapText="1"/>
    </xf>
    <xf numFmtId="43" fontId="0" fillId="0" borderId="40" xfId="3" applyFont="1" applyFill="1" applyBorder="1" applyAlignment="1">
      <alignment horizontal="center" vertical="center" wrapText="1"/>
    </xf>
    <xf numFmtId="43" fontId="0" fillId="2" borderId="36" xfId="3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vertical="center" wrapText="1"/>
    </xf>
    <xf numFmtId="2" fontId="24" fillId="9" borderId="72" xfId="0" applyNumberFormat="1" applyFont="1" applyFill="1" applyBorder="1" applyAlignment="1">
      <alignment vertical="center"/>
    </xf>
    <xf numFmtId="2" fontId="73" fillId="6" borderId="8" xfId="0" applyNumberFormat="1" applyFont="1" applyFill="1" applyBorder="1" applyAlignment="1">
      <alignment horizontal="center" vertical="center"/>
    </xf>
    <xf numFmtId="2" fontId="73" fillId="6" borderId="52" xfId="0" applyNumberFormat="1" applyFont="1" applyFill="1" applyBorder="1" applyAlignment="1">
      <alignment horizontal="center" vertical="center"/>
    </xf>
    <xf numFmtId="2" fontId="73" fillId="6" borderId="20" xfId="0" applyNumberFormat="1" applyFont="1" applyFill="1" applyBorder="1" applyAlignment="1">
      <alignment horizontal="center" vertical="center"/>
    </xf>
    <xf numFmtId="0" fontId="16" fillId="12" borderId="46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vertical="center" wrapText="1"/>
    </xf>
    <xf numFmtId="0" fontId="13" fillId="6" borderId="35" xfId="0" applyFont="1" applyFill="1" applyBorder="1" applyAlignment="1">
      <alignment vertical="center" wrapText="1"/>
    </xf>
    <xf numFmtId="0" fontId="19" fillId="0" borderId="35" xfId="0" applyFont="1" applyFill="1" applyBorder="1" applyAlignment="1">
      <alignment vertical="center" wrapText="1"/>
    </xf>
    <xf numFmtId="43" fontId="19" fillId="0" borderId="11" xfId="3" applyFont="1" applyFill="1" applyBorder="1" applyAlignment="1">
      <alignment horizontal="center" vertical="center" wrapText="1"/>
    </xf>
    <xf numFmtId="43" fontId="13" fillId="6" borderId="0" xfId="3" applyFont="1" applyFill="1" applyBorder="1" applyAlignment="1">
      <alignment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5" fillId="7" borderId="0" xfId="4" applyFont="1" applyFill="1" applyAlignment="1">
      <alignment vertical="center"/>
    </xf>
    <xf numFmtId="0" fontId="0" fillId="0" borderId="0" xfId="0"/>
    <xf numFmtId="0" fontId="0" fillId="0" borderId="0" xfId="0"/>
    <xf numFmtId="0" fontId="44" fillId="0" borderId="0" xfId="0" applyFont="1" applyFill="1" applyBorder="1" applyAlignment="1">
      <alignment horizontal="center" vertical="center" wrapText="1"/>
    </xf>
    <xf numFmtId="0" fontId="19" fillId="19" borderId="0" xfId="0" applyFont="1" applyFill="1" applyBorder="1" applyAlignment="1">
      <alignment vertical="center" wrapText="1"/>
    </xf>
    <xf numFmtId="0" fontId="21" fillId="0" borderId="79" xfId="0" applyFont="1" applyFill="1" applyBorder="1" applyAlignment="1">
      <alignment horizontal="center" vertical="center" wrapText="1"/>
    </xf>
    <xf numFmtId="0" fontId="21" fillId="0" borderId="79" xfId="0" applyFont="1" applyFill="1" applyBorder="1" applyAlignment="1">
      <alignment vertical="center" wrapText="1"/>
    </xf>
    <xf numFmtId="0" fontId="19" fillId="0" borderId="79" xfId="3" applyNumberFormat="1" applyFont="1" applyFill="1" applyBorder="1" applyAlignment="1">
      <alignment horizontal="center" vertical="center" wrapText="1"/>
    </xf>
    <xf numFmtId="0" fontId="0" fillId="0" borderId="0" xfId="0" applyFill="1"/>
    <xf numFmtId="0" fontId="21" fillId="0" borderId="5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right" vertical="center" wrapText="1"/>
    </xf>
    <xf numFmtId="43" fontId="21" fillId="0" borderId="5" xfId="3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3" applyNumberFormat="1" applyFont="1" applyFill="1" applyBorder="1" applyAlignment="1">
      <alignment horizontal="center" vertical="center" wrapText="1"/>
    </xf>
    <xf numFmtId="43" fontId="44" fillId="0" borderId="0" xfId="3" applyFont="1" applyFill="1" applyBorder="1" applyAlignment="1">
      <alignment vertical="center" wrapText="1"/>
    </xf>
    <xf numFmtId="43" fontId="19" fillId="0" borderId="0" xfId="3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right" vertical="center" wrapText="1"/>
    </xf>
    <xf numFmtId="43" fontId="12" fillId="6" borderId="5" xfId="3" applyFont="1" applyFill="1" applyBorder="1" applyAlignment="1">
      <alignment vertical="center" wrapText="1"/>
    </xf>
    <xf numFmtId="4" fontId="12" fillId="6" borderId="5" xfId="3" applyNumberFormat="1" applyFont="1" applyFill="1" applyBorder="1" applyAlignment="1">
      <alignment vertical="center" wrapText="1"/>
    </xf>
    <xf numFmtId="4" fontId="12" fillId="6" borderId="5" xfId="3" applyNumberFormat="1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vertical="center" wrapText="1"/>
    </xf>
    <xf numFmtId="43" fontId="13" fillId="6" borderId="4" xfId="3" applyFont="1" applyFill="1" applyBorder="1" applyAlignment="1">
      <alignment vertical="center" wrapText="1"/>
    </xf>
    <xf numFmtId="4" fontId="13" fillId="6" borderId="4" xfId="3" applyNumberFormat="1" applyFont="1" applyFill="1" applyBorder="1" applyAlignment="1">
      <alignment vertical="center" wrapText="1"/>
    </xf>
    <xf numFmtId="4" fontId="12" fillId="6" borderId="4" xfId="3" applyNumberFormat="1" applyFont="1" applyFill="1" applyBorder="1" applyAlignment="1">
      <alignment vertical="center" wrapText="1"/>
    </xf>
    <xf numFmtId="0" fontId="13" fillId="6" borderId="0" xfId="0" applyFont="1" applyFill="1" applyBorder="1" applyAlignment="1">
      <alignment horizontal="left" vertical="center" wrapText="1"/>
    </xf>
    <xf numFmtId="4" fontId="12" fillId="6" borderId="4" xfId="3" applyNumberFormat="1" applyFont="1" applyFill="1" applyBorder="1" applyAlignment="1">
      <alignment horizontal="right" vertical="center" wrapText="1"/>
    </xf>
    <xf numFmtId="43" fontId="12" fillId="6" borderId="4" xfId="3" applyFont="1" applyFill="1" applyBorder="1" applyAlignment="1">
      <alignment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vertical="center" wrapText="1"/>
    </xf>
    <xf numFmtId="0" fontId="13" fillId="6" borderId="0" xfId="3" applyNumberFormat="1" applyFont="1" applyFill="1" applyBorder="1" applyAlignment="1">
      <alignment horizontal="center" vertical="center" wrapText="1"/>
    </xf>
    <xf numFmtId="4" fontId="12" fillId="6" borderId="0" xfId="3" applyNumberFormat="1" applyFont="1" applyFill="1" applyBorder="1" applyAlignment="1">
      <alignment horizontal="center" vertical="center" wrapText="1"/>
    </xf>
    <xf numFmtId="43" fontId="19" fillId="6" borderId="0" xfId="3" applyFont="1" applyFill="1" applyBorder="1" applyAlignment="1">
      <alignment vertical="center" wrapText="1"/>
    </xf>
    <xf numFmtId="4" fontId="19" fillId="6" borderId="0" xfId="3" applyNumberFormat="1" applyFont="1" applyFill="1" applyBorder="1" applyAlignment="1">
      <alignment horizontal="right" vertical="center" wrapText="1"/>
    </xf>
    <xf numFmtId="43" fontId="12" fillId="6" borderId="5" xfId="3" applyFont="1" applyFill="1" applyBorder="1" applyAlignment="1">
      <alignment horizontal="right" vertical="center" wrapText="1"/>
    </xf>
    <xf numFmtId="4" fontId="13" fillId="6" borderId="0" xfId="3" applyNumberFormat="1" applyFont="1" applyFill="1" applyBorder="1" applyAlignment="1">
      <alignment vertical="center" wrapText="1"/>
    </xf>
    <xf numFmtId="4" fontId="12" fillId="6" borderId="0" xfId="3" applyNumberFormat="1" applyFont="1" applyFill="1" applyBorder="1" applyAlignment="1">
      <alignment vertical="center" wrapText="1"/>
    </xf>
    <xf numFmtId="43" fontId="13" fillId="6" borderId="0" xfId="3" applyNumberFormat="1" applyFont="1" applyFill="1" applyBorder="1" applyAlignment="1">
      <alignment vertical="center" wrapText="1"/>
    </xf>
    <xf numFmtId="0" fontId="13" fillId="6" borderId="0" xfId="0" quotePrefix="1" applyFont="1" applyFill="1" applyBorder="1" applyAlignment="1">
      <alignment horizontal="center" vertical="center" wrapText="1"/>
    </xf>
    <xf numFmtId="4" fontId="13" fillId="6" borderId="4" xfId="3" applyNumberFormat="1" applyFont="1" applyFill="1" applyBorder="1" applyAlignment="1">
      <alignment horizontal="right" vertical="center" wrapText="1"/>
    </xf>
    <xf numFmtId="0" fontId="21" fillId="6" borderId="5" xfId="0" applyFont="1" applyFill="1" applyBorder="1" applyAlignment="1">
      <alignment horizontal="right" vertical="center" wrapText="1"/>
    </xf>
    <xf numFmtId="0" fontId="21" fillId="6" borderId="0" xfId="0" applyFont="1" applyFill="1" applyBorder="1" applyAlignment="1">
      <alignment vertical="center" wrapText="1"/>
    </xf>
    <xf numFmtId="43" fontId="12" fillId="6" borderId="0" xfId="3" applyFont="1" applyFill="1" applyBorder="1" applyAlignment="1">
      <alignment vertical="center" wrapText="1"/>
    </xf>
    <xf numFmtId="43" fontId="13" fillId="6" borderId="0" xfId="0" applyNumberFormat="1" applyFont="1" applyFill="1" applyBorder="1" applyAlignment="1">
      <alignment horizontal="center" vertical="center" wrapText="1"/>
    </xf>
    <xf numFmtId="0" fontId="5" fillId="6" borderId="0" xfId="4" quotePrefix="1" applyFont="1" applyFill="1" applyBorder="1" applyAlignment="1">
      <alignment horizontal="center" vertical="center" wrapText="1"/>
    </xf>
    <xf numFmtId="0" fontId="5" fillId="6" borderId="0" xfId="4" applyFont="1" applyFill="1" applyBorder="1" applyAlignment="1">
      <alignment vertical="center"/>
    </xf>
    <xf numFmtId="0" fontId="5" fillId="6" borderId="0" xfId="4" applyFont="1" applyFill="1" applyAlignment="1">
      <alignment wrapText="1"/>
    </xf>
    <xf numFmtId="0" fontId="5" fillId="6" borderId="0" xfId="4" applyFont="1" applyFill="1" applyAlignment="1">
      <alignment horizontal="left" vertical="center"/>
    </xf>
    <xf numFmtId="0" fontId="5" fillId="6" borderId="0" xfId="4" applyFont="1" applyFill="1" applyAlignment="1">
      <alignment horizontal="center"/>
    </xf>
    <xf numFmtId="0" fontId="5" fillId="6" borderId="0" xfId="4" applyFont="1" applyFill="1" applyBorder="1" applyAlignment="1">
      <alignment horizontal="left" vertical="center" wrapText="1"/>
    </xf>
    <xf numFmtId="43" fontId="0" fillId="6" borderId="34" xfId="3" applyFont="1" applyFill="1" applyBorder="1" applyAlignment="1">
      <alignment horizontal="center" vertical="center" wrapText="1"/>
    </xf>
    <xf numFmtId="2" fontId="0" fillId="6" borderId="8" xfId="0" applyNumberFormat="1" applyFill="1" applyBorder="1" applyAlignment="1">
      <alignment horizontal="center" vertical="center"/>
    </xf>
    <xf numFmtId="43" fontId="0" fillId="6" borderId="36" xfId="3" applyFont="1" applyFill="1" applyBorder="1" applyAlignment="1">
      <alignment horizontal="center" vertical="center" wrapText="1"/>
    </xf>
    <xf numFmtId="43" fontId="0" fillId="6" borderId="38" xfId="3" applyFont="1" applyFill="1" applyBorder="1" applyAlignment="1">
      <alignment horizontal="center" vertical="center" wrapText="1"/>
    </xf>
    <xf numFmtId="43" fontId="0" fillId="6" borderId="40" xfId="3" applyFont="1" applyFill="1" applyBorder="1" applyAlignment="1">
      <alignment horizontal="center" vertical="center" wrapText="1"/>
    </xf>
    <xf numFmtId="43" fontId="27" fillId="6" borderId="36" xfId="3" applyFont="1" applyFill="1" applyBorder="1" applyAlignment="1">
      <alignment horizontal="center" vertical="center" wrapText="1"/>
    </xf>
    <xf numFmtId="164" fontId="20" fillId="6" borderId="11" xfId="4" applyNumberFormat="1" applyFont="1" applyFill="1" applyBorder="1" applyAlignment="1">
      <alignment horizontal="center" vertical="center"/>
    </xf>
    <xf numFmtId="165" fontId="20" fillId="6" borderId="11" xfId="4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horizontal="center" vertical="center" wrapText="1"/>
    </xf>
    <xf numFmtId="43" fontId="2" fillId="6" borderId="4" xfId="3" applyFont="1" applyFill="1" applyBorder="1" applyAlignment="1">
      <alignment vertical="center" wrapText="1"/>
    </xf>
    <xf numFmtId="43" fontId="3" fillId="6" borderId="0" xfId="3" applyFont="1" applyFill="1" applyBorder="1" applyAlignment="1">
      <alignment vertical="center" wrapText="1"/>
    </xf>
    <xf numFmtId="43" fontId="11" fillId="6" borderId="0" xfId="3" applyFont="1" applyFill="1" applyBorder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43" fontId="3" fillId="6" borderId="0" xfId="3" applyFont="1" applyFill="1" applyAlignment="1">
      <alignment horizontal="right" vertical="center" wrapText="1"/>
    </xf>
    <xf numFmtId="2" fontId="0" fillId="6" borderId="9" xfId="0" applyNumberForma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2" fontId="27" fillId="6" borderId="52" xfId="0" applyNumberFormat="1" applyFont="1" applyFill="1" applyBorder="1" applyAlignment="1">
      <alignment horizontal="center" vertical="center"/>
    </xf>
    <xf numFmtId="1" fontId="27" fillId="6" borderId="8" xfId="0" applyNumberFormat="1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48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right"/>
    </xf>
    <xf numFmtId="0" fontId="60" fillId="13" borderId="11" xfId="14" applyNumberFormat="1" applyFont="1" applyFill="1" applyBorder="1" applyAlignment="1">
      <alignment horizontal="center" vertical="center" wrapText="1"/>
    </xf>
    <xf numFmtId="0" fontId="60" fillId="13" borderId="11" xfId="14" applyNumberFormat="1" applyFont="1" applyFill="1" applyBorder="1" applyAlignment="1">
      <alignment horizontal="left" vertical="center" wrapText="1"/>
    </xf>
    <xf numFmtId="0" fontId="60" fillId="13" borderId="11" xfId="14" applyNumberFormat="1" applyFont="1" applyFill="1" applyBorder="1" applyAlignment="1">
      <alignment horizontal="center" vertical="center"/>
    </xf>
    <xf numFmtId="14" fontId="60" fillId="13" borderId="11" xfId="14" applyNumberFormat="1" applyFont="1" applyFill="1" applyBorder="1" applyAlignment="1">
      <alignment horizontal="center" vertical="center" wrapText="1"/>
    </xf>
    <xf numFmtId="44" fontId="60" fillId="13" borderId="11" xfId="15" applyFont="1" applyFill="1" applyBorder="1" applyAlignment="1">
      <alignment horizontal="center" vertical="center" wrapText="1"/>
    </xf>
    <xf numFmtId="0" fontId="9" fillId="0" borderId="11" xfId="0" quotePrefix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7" fontId="78" fillId="0" borderId="11" xfId="0" quotePrefix="1" applyNumberFormat="1" applyFont="1" applyFill="1" applyBorder="1" applyAlignment="1">
      <alignment horizontal="center" vertical="center"/>
    </xf>
    <xf numFmtId="0" fontId="5" fillId="6" borderId="11" xfId="14" applyNumberFormat="1" applyFont="1" applyFill="1" applyBorder="1" applyAlignment="1">
      <alignment horizontal="center" vertical="center" wrapText="1"/>
    </xf>
    <xf numFmtId="43" fontId="35" fillId="0" borderId="11" xfId="3" applyNumberFormat="1" applyFont="1" applyBorder="1" applyAlignment="1">
      <alignment horizontal="right" vertical="center"/>
    </xf>
    <xf numFmtId="0" fontId="35" fillId="0" borderId="11" xfId="0" quotePrefix="1" applyFont="1" applyBorder="1" applyAlignment="1">
      <alignment horizontal="center" vertical="center"/>
    </xf>
    <xf numFmtId="0" fontId="35" fillId="0" borderId="11" xfId="0" applyFont="1" applyBorder="1" applyAlignment="1">
      <alignment vertical="center" wrapText="1"/>
    </xf>
    <xf numFmtId="17" fontId="32" fillId="6" borderId="11" xfId="0" quotePrefix="1" applyNumberFormat="1" applyFont="1" applyFill="1" applyBorder="1" applyAlignment="1">
      <alignment horizontal="center" vertical="center"/>
    </xf>
    <xf numFmtId="0" fontId="9" fillId="6" borderId="11" xfId="0" quotePrefix="1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vertical="center" wrapText="1"/>
    </xf>
    <xf numFmtId="17" fontId="78" fillId="6" borderId="11" xfId="0" quotePrefix="1" applyNumberFormat="1" applyFont="1" applyFill="1" applyBorder="1" applyAlignment="1">
      <alignment horizontal="center" vertical="center"/>
    </xf>
    <xf numFmtId="43" fontId="9" fillId="6" borderId="11" xfId="3" applyNumberFormat="1" applyFont="1" applyFill="1" applyBorder="1" applyAlignment="1">
      <alignment horizontal="right" vertical="center"/>
    </xf>
    <xf numFmtId="43" fontId="35" fillId="6" borderId="11" xfId="3" applyNumberFormat="1" applyFont="1" applyFill="1" applyBorder="1" applyAlignment="1">
      <alignment horizontal="right" vertical="center"/>
    </xf>
    <xf numFmtId="17" fontId="32" fillId="0" borderId="11" xfId="0" quotePrefix="1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17" fontId="35" fillId="0" borderId="11" xfId="0" quotePrefix="1" applyNumberFormat="1" applyFont="1" applyBorder="1" applyAlignment="1">
      <alignment horizontal="center" vertical="center"/>
    </xf>
    <xf numFmtId="43" fontId="4" fillId="0" borderId="11" xfId="3" applyNumberFormat="1" applyFont="1" applyBorder="1" applyAlignment="1">
      <alignment horizontal="right" vertical="center"/>
    </xf>
    <xf numFmtId="17" fontId="35" fillId="0" borderId="11" xfId="0" quotePrefix="1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5" fillId="6" borderId="11" xfId="0" quotePrefix="1" applyFont="1" applyFill="1" applyBorder="1" applyAlignment="1">
      <alignment horizontal="center" vertical="center"/>
    </xf>
    <xf numFmtId="0" fontId="35" fillId="6" borderId="11" xfId="0" applyFont="1" applyFill="1" applyBorder="1" applyAlignment="1">
      <alignment vertical="center" wrapText="1"/>
    </xf>
    <xf numFmtId="17" fontId="35" fillId="6" borderId="11" xfId="0" quotePrefix="1" applyNumberFormat="1" applyFont="1" applyFill="1" applyBorder="1" applyAlignment="1">
      <alignment horizontal="center" vertical="center"/>
    </xf>
    <xf numFmtId="0" fontId="35" fillId="6" borderId="11" xfId="0" applyFont="1" applyFill="1" applyBorder="1" applyAlignment="1">
      <alignment horizontal="center" vertical="center"/>
    </xf>
    <xf numFmtId="0" fontId="35" fillId="6" borderId="1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vertical="center" wrapText="1"/>
    </xf>
    <xf numFmtId="0" fontId="4" fillId="6" borderId="11" xfId="0" quotePrefix="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43" fontId="4" fillId="6" borderId="11" xfId="3" applyNumberFormat="1" applyFont="1" applyFill="1" applyBorder="1" applyAlignment="1">
      <alignment horizontal="right" vertical="center"/>
    </xf>
    <xf numFmtId="43" fontId="32" fillId="0" borderId="11" xfId="3" applyNumberFormat="1" applyFont="1" applyFill="1" applyBorder="1" applyAlignment="1">
      <alignment horizontal="right" vertical="center"/>
    </xf>
    <xf numFmtId="17" fontId="4" fillId="0" borderId="11" xfId="0" quotePrefix="1" applyNumberFormat="1" applyFont="1" applyBorder="1" applyAlignment="1">
      <alignment horizontal="center" vertical="center"/>
    </xf>
    <xf numFmtId="0" fontId="35" fillId="0" borderId="11" xfId="0" applyFont="1" applyFill="1" applyBorder="1" applyAlignment="1">
      <alignment vertical="center" wrapText="1"/>
    </xf>
    <xf numFmtId="0" fontId="35" fillId="0" borderId="11" xfId="0" quotePrefix="1" applyFont="1" applyFill="1" applyBorder="1" applyAlignment="1">
      <alignment horizontal="center" vertical="center"/>
    </xf>
    <xf numFmtId="0" fontId="4" fillId="0" borderId="11" xfId="0" quotePrefix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17" fontId="4" fillId="0" borderId="11" xfId="0" quotePrefix="1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3" fontId="4" fillId="0" borderId="11" xfId="3" applyNumberFormat="1" applyFont="1" applyFill="1" applyBorder="1" applyAlignment="1">
      <alignment horizontal="right" vertical="center"/>
    </xf>
    <xf numFmtId="17" fontId="4" fillId="6" borderId="11" xfId="0" quotePrefix="1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left" vertical="center" wrapText="1"/>
    </xf>
    <xf numFmtId="43" fontId="35" fillId="0" borderId="11" xfId="3" applyNumberFormat="1" applyFont="1" applyFill="1" applyBorder="1" applyAlignment="1">
      <alignment horizontal="right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1" xfId="0" quotePrefix="1" applyNumberFormat="1" applyFont="1" applyBorder="1" applyAlignment="1">
      <alignment horizontal="center" vertical="center"/>
    </xf>
    <xf numFmtId="0" fontId="32" fillId="0" borderId="11" xfId="0" quotePrefix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vertical="center" wrapText="1"/>
    </xf>
    <xf numFmtId="0" fontId="32" fillId="0" borderId="11" xfId="0" applyFont="1" applyFill="1" applyBorder="1" applyAlignment="1">
      <alignment horizontal="center" vertical="center"/>
    </xf>
    <xf numFmtId="0" fontId="35" fillId="0" borderId="11" xfId="0" quotePrefix="1" applyFont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5" fillId="0" borderId="0" xfId="0" applyFont="1" applyAlignment="1">
      <alignment horizontal="left"/>
    </xf>
    <xf numFmtId="0" fontId="80" fillId="29" borderId="44" xfId="0" applyFont="1" applyFill="1" applyBorder="1" applyAlignment="1">
      <alignment horizontal="left" vertical="top" wrapText="1"/>
    </xf>
    <xf numFmtId="0" fontId="80" fillId="29" borderId="46" xfId="0" applyFont="1" applyFill="1" applyBorder="1" applyAlignment="1">
      <alignment horizontal="center" vertical="top" wrapText="1"/>
    </xf>
    <xf numFmtId="0" fontId="80" fillId="29" borderId="35" xfId="0" applyFont="1" applyFill="1" applyBorder="1" applyAlignment="1">
      <alignment horizontal="left" vertical="top" wrapText="1"/>
    </xf>
    <xf numFmtId="0" fontId="80" fillId="29" borderId="37" xfId="0" applyFont="1" applyFill="1" applyBorder="1" applyAlignment="1">
      <alignment horizontal="left" vertical="top" wrapText="1"/>
    </xf>
    <xf numFmtId="0" fontId="81" fillId="0" borderId="0" xfId="16"/>
    <xf numFmtId="1" fontId="5" fillId="30" borderId="11" xfId="14" applyNumberFormat="1" applyFont="1" applyFill="1" applyBorder="1" applyAlignment="1">
      <alignment horizontal="center" vertical="center" wrapText="1"/>
    </xf>
    <xf numFmtId="4" fontId="5" fillId="30" borderId="11" xfId="14" applyNumberFormat="1" applyFont="1" applyFill="1" applyBorder="1" applyAlignment="1">
      <alignment horizontal="left" vertical="center" wrapText="1"/>
    </xf>
    <xf numFmtId="44" fontId="8" fillId="6" borderId="11" xfId="15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43" fontId="9" fillId="0" borderId="11" xfId="3" applyNumberFormat="1" applyFont="1" applyBorder="1" applyAlignment="1">
      <alignment horizontal="right" vertical="center"/>
    </xf>
    <xf numFmtId="43" fontId="35" fillId="0" borderId="23" xfId="3" applyNumberFormat="1" applyFont="1" applyBorder="1" applyAlignment="1">
      <alignment horizontal="right" vertical="center"/>
    </xf>
    <xf numFmtId="0" fontId="35" fillId="0" borderId="45" xfId="0" quotePrefix="1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horizontal="center" vertical="center" wrapText="1"/>
    </xf>
    <xf numFmtId="17" fontId="35" fillId="0" borderId="45" xfId="0" quotePrefix="1" applyNumberFormat="1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horizontal="center" vertical="center"/>
    </xf>
    <xf numFmtId="43" fontId="35" fillId="0" borderId="45" xfId="3" applyNumberFormat="1" applyFont="1" applyFill="1" applyBorder="1" applyAlignment="1">
      <alignment horizontal="right" vertical="center"/>
    </xf>
    <xf numFmtId="0" fontId="35" fillId="0" borderId="11" xfId="0" applyFont="1" applyFill="1" applyBorder="1" applyAlignment="1">
      <alignment horizontal="center" vertical="center" wrapText="1"/>
    </xf>
    <xf numFmtId="0" fontId="35" fillId="0" borderId="26" xfId="0" quotePrefix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 wrapText="1"/>
    </xf>
    <xf numFmtId="17" fontId="35" fillId="0" borderId="26" xfId="0" quotePrefix="1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43" fontId="35" fillId="0" borderId="26" xfId="3" applyNumberFormat="1" applyFont="1" applyFill="1" applyBorder="1" applyAlignment="1">
      <alignment horizontal="right" vertical="center"/>
    </xf>
    <xf numFmtId="0" fontId="35" fillId="0" borderId="45" xfId="0" quotePrefix="1" applyFont="1" applyBorder="1" applyAlignment="1">
      <alignment horizontal="center" vertical="center"/>
    </xf>
    <xf numFmtId="0" fontId="35" fillId="0" borderId="45" xfId="0" applyFont="1" applyBorder="1" applyAlignment="1">
      <alignment vertical="center" wrapText="1"/>
    </xf>
    <xf numFmtId="17" fontId="35" fillId="0" borderId="45" xfId="0" quotePrefix="1" applyNumberFormat="1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43" fontId="35" fillId="0" borderId="45" xfId="3" applyNumberFormat="1" applyFont="1" applyBorder="1" applyAlignment="1">
      <alignment horizontal="right" vertical="center"/>
    </xf>
    <xf numFmtId="0" fontId="35" fillId="0" borderId="26" xfId="0" quotePrefix="1" applyFont="1" applyBorder="1" applyAlignment="1">
      <alignment horizontal="center" vertical="center"/>
    </xf>
    <xf numFmtId="0" fontId="35" fillId="0" borderId="26" xfId="0" applyFont="1" applyBorder="1" applyAlignment="1">
      <alignment vertical="center" wrapText="1"/>
    </xf>
    <xf numFmtId="17" fontId="35" fillId="0" borderId="26" xfId="0" quotePrefix="1" applyNumberFormat="1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43" fontId="35" fillId="0" borderId="26" xfId="3" applyNumberFormat="1" applyFont="1" applyBorder="1" applyAlignment="1">
      <alignment horizontal="right" vertical="center"/>
    </xf>
    <xf numFmtId="0" fontId="35" fillId="6" borderId="11" xfId="0" applyFont="1" applyFill="1" applyBorder="1" applyAlignment="1">
      <alignment horizontal="left" vertical="center" wrapText="1"/>
    </xf>
    <xf numFmtId="3" fontId="4" fillId="6" borderId="11" xfId="0" applyNumberFormat="1" applyFont="1" applyFill="1" applyBorder="1" applyAlignment="1">
      <alignment vertical="center" wrapText="1"/>
    </xf>
    <xf numFmtId="0" fontId="76" fillId="29" borderId="80" xfId="16" applyFont="1" applyFill="1" applyBorder="1" applyAlignment="1">
      <alignment horizontal="left" vertical="top" wrapText="1"/>
    </xf>
    <xf numFmtId="0" fontId="76" fillId="29" borderId="80" xfId="16" applyFont="1" applyFill="1" applyBorder="1" applyAlignment="1">
      <alignment horizontal="right" vertical="top" wrapText="1"/>
    </xf>
    <xf numFmtId="0" fontId="76" fillId="29" borderId="80" xfId="16" applyFont="1" applyFill="1" applyBorder="1" applyAlignment="1">
      <alignment horizontal="center" vertical="top" wrapText="1"/>
    </xf>
    <xf numFmtId="0" fontId="77" fillId="31" borderId="80" xfId="16" applyFont="1" applyFill="1" applyBorder="1" applyAlignment="1">
      <alignment horizontal="left" vertical="top" wrapText="1"/>
    </xf>
    <xf numFmtId="0" fontId="77" fillId="31" borderId="80" xfId="16" applyFont="1" applyFill="1" applyBorder="1" applyAlignment="1">
      <alignment horizontal="right" vertical="top" wrapText="1"/>
    </xf>
    <xf numFmtId="0" fontId="77" fillId="31" borderId="80" xfId="16" applyFont="1" applyFill="1" applyBorder="1" applyAlignment="1">
      <alignment horizontal="center" vertical="top" wrapText="1"/>
    </xf>
    <xf numFmtId="0" fontId="77" fillId="32" borderId="80" xfId="16" applyFont="1" applyFill="1" applyBorder="1" applyAlignment="1">
      <alignment horizontal="left" vertical="top" wrapText="1"/>
    </xf>
    <xf numFmtId="0" fontId="77" fillId="32" borderId="80" xfId="16" applyFont="1" applyFill="1" applyBorder="1" applyAlignment="1">
      <alignment horizontal="right" vertical="top" wrapText="1"/>
    </xf>
    <xf numFmtId="0" fontId="77" fillId="32" borderId="80" xfId="16" applyFont="1" applyFill="1" applyBorder="1" applyAlignment="1">
      <alignment horizontal="center" vertical="top" wrapText="1"/>
    </xf>
    <xf numFmtId="0" fontId="77" fillId="31" borderId="83" xfId="16" applyFont="1" applyFill="1" applyBorder="1" applyAlignment="1">
      <alignment horizontal="left" vertical="top" wrapText="1"/>
    </xf>
    <xf numFmtId="0" fontId="77" fillId="33" borderId="80" xfId="16" applyFont="1" applyFill="1" applyBorder="1" applyAlignment="1">
      <alignment horizontal="left" vertical="top" wrapText="1"/>
    </xf>
    <xf numFmtId="0" fontId="77" fillId="33" borderId="80" xfId="16" applyFont="1" applyFill="1" applyBorder="1" applyAlignment="1">
      <alignment horizontal="right" vertical="top" wrapText="1"/>
    </xf>
    <xf numFmtId="0" fontId="77" fillId="33" borderId="80" xfId="16" applyFont="1" applyFill="1" applyBorder="1" applyAlignment="1">
      <alignment horizontal="center" vertical="top" wrapText="1"/>
    </xf>
    <xf numFmtId="0" fontId="77" fillId="29" borderId="45" xfId="0" applyFont="1" applyFill="1" applyBorder="1" applyAlignment="1">
      <alignment horizontal="left" vertical="top" wrapText="1"/>
    </xf>
    <xf numFmtId="0" fontId="77" fillId="29" borderId="11" xfId="0" applyFont="1" applyFill="1" applyBorder="1" applyAlignment="1">
      <alignment horizontal="left" vertical="top" wrapText="1"/>
    </xf>
    <xf numFmtId="0" fontId="77" fillId="29" borderId="26" xfId="0" applyFont="1" applyFill="1" applyBorder="1" applyAlignment="1">
      <alignment horizontal="left" vertical="top" wrapText="1"/>
    </xf>
    <xf numFmtId="0" fontId="80" fillId="6" borderId="44" xfId="0" applyFont="1" applyFill="1" applyBorder="1" applyAlignment="1">
      <alignment horizontal="left" vertical="top" wrapText="1"/>
    </xf>
    <xf numFmtId="0" fontId="77" fillId="6" borderId="45" xfId="0" applyFont="1" applyFill="1" applyBorder="1" applyAlignment="1">
      <alignment horizontal="left" vertical="top" wrapText="1"/>
    </xf>
    <xf numFmtId="0" fontId="80" fillId="6" borderId="46" xfId="0" applyFont="1" applyFill="1" applyBorder="1" applyAlignment="1">
      <alignment horizontal="center" vertical="top" wrapText="1"/>
    </xf>
    <xf numFmtId="0" fontId="80" fillId="6" borderId="35" xfId="0" applyFont="1" applyFill="1" applyBorder="1" applyAlignment="1">
      <alignment horizontal="left" vertical="top" wrapText="1"/>
    </xf>
    <xf numFmtId="0" fontId="77" fillId="6" borderId="11" xfId="0" applyFont="1" applyFill="1" applyBorder="1" applyAlignment="1">
      <alignment horizontal="left" vertical="top" wrapText="1"/>
    </xf>
    <xf numFmtId="0" fontId="80" fillId="6" borderId="37" xfId="0" applyFont="1" applyFill="1" applyBorder="1" applyAlignment="1">
      <alignment horizontal="left" vertical="top" wrapText="1"/>
    </xf>
    <xf numFmtId="0" fontId="77" fillId="6" borderId="26" xfId="0" applyFont="1" applyFill="1" applyBorder="1" applyAlignment="1">
      <alignment horizontal="left" vertical="top" wrapText="1"/>
    </xf>
    <xf numFmtId="0" fontId="76" fillId="29" borderId="80" xfId="0" applyFont="1" applyFill="1" applyBorder="1" applyAlignment="1">
      <alignment horizontal="left" vertical="top" wrapText="1"/>
    </xf>
    <xf numFmtId="0" fontId="76" fillId="29" borderId="80" xfId="0" applyFont="1" applyFill="1" applyBorder="1" applyAlignment="1">
      <alignment horizontal="right" vertical="top" wrapText="1"/>
    </xf>
    <xf numFmtId="0" fontId="76" fillId="29" borderId="80" xfId="0" applyFont="1" applyFill="1" applyBorder="1" applyAlignment="1">
      <alignment horizontal="center" vertical="top" wrapText="1"/>
    </xf>
    <xf numFmtId="0" fontId="77" fillId="31" borderId="80" xfId="0" applyFont="1" applyFill="1" applyBorder="1" applyAlignment="1">
      <alignment horizontal="left" vertical="top" wrapText="1"/>
    </xf>
    <xf numFmtId="0" fontId="77" fillId="31" borderId="80" xfId="0" applyFont="1" applyFill="1" applyBorder="1" applyAlignment="1">
      <alignment horizontal="right" vertical="top" wrapText="1"/>
    </xf>
    <xf numFmtId="0" fontId="77" fillId="31" borderId="80" xfId="0" applyFont="1" applyFill="1" applyBorder="1" applyAlignment="1">
      <alignment horizontal="center" vertical="top" wrapText="1"/>
    </xf>
    <xf numFmtId="0" fontId="77" fillId="32" borderId="80" xfId="0" applyFont="1" applyFill="1" applyBorder="1" applyAlignment="1">
      <alignment horizontal="left" vertical="top" wrapText="1"/>
    </xf>
    <xf numFmtId="0" fontId="77" fillId="32" borderId="80" xfId="0" applyFont="1" applyFill="1" applyBorder="1" applyAlignment="1">
      <alignment horizontal="right" vertical="top" wrapText="1"/>
    </xf>
    <xf numFmtId="0" fontId="77" fillId="32" borderId="80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" fontId="3" fillId="0" borderId="0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164" fontId="8" fillId="5" borderId="0" xfId="5" quotePrefix="1" applyFont="1" applyFill="1" applyBorder="1" applyAlignment="1">
      <alignment horizontal="center" vertical="center"/>
    </xf>
    <xf numFmtId="0" fontId="8" fillId="5" borderId="0" xfId="4" applyFont="1" applyFill="1" applyBorder="1" applyAlignment="1">
      <alignment horizontal="center" vertical="center" wrapText="1"/>
    </xf>
    <xf numFmtId="2" fontId="5" fillId="5" borderId="0" xfId="4" applyNumberFormat="1" applyFont="1" applyFill="1" applyAlignment="1">
      <alignment horizontal="center" vertical="center" wrapText="1"/>
    </xf>
    <xf numFmtId="0" fontId="8" fillId="5" borderId="0" xfId="4" quotePrefix="1" applyFont="1" applyFill="1" applyBorder="1" applyAlignment="1">
      <alignment horizontal="center" vertical="center" wrapText="1"/>
    </xf>
    <xf numFmtId="164" fontId="8" fillId="5" borderId="0" xfId="5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28" borderId="50" xfId="0" applyFont="1" applyFill="1" applyBorder="1" applyAlignment="1">
      <alignment horizontal="center" vertical="center" wrapText="1"/>
    </xf>
    <xf numFmtId="0" fontId="21" fillId="28" borderId="3" xfId="0" applyFont="1" applyFill="1" applyBorder="1" applyAlignment="1">
      <alignment horizontal="center" vertical="center" wrapText="1"/>
    </xf>
    <xf numFmtId="0" fontId="21" fillId="28" borderId="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164" fontId="60" fillId="6" borderId="11" xfId="5" applyFont="1" applyFill="1" applyBorder="1" applyAlignment="1">
      <alignment horizontal="center" vertical="justify" wrapText="1"/>
    </xf>
    <xf numFmtId="4" fontId="77" fillId="33" borderId="80" xfId="16" applyNumberFormat="1" applyFont="1" applyFill="1" applyBorder="1" applyAlignment="1">
      <alignment horizontal="right" vertical="top" wrapText="1"/>
    </xf>
    <xf numFmtId="0" fontId="81" fillId="0" borderId="0" xfId="16"/>
    <xf numFmtId="4" fontId="77" fillId="32" borderId="80" xfId="16" applyNumberFormat="1" applyFont="1" applyFill="1" applyBorder="1" applyAlignment="1">
      <alignment horizontal="right" vertical="top" wrapText="1"/>
    </xf>
    <xf numFmtId="0" fontId="76" fillId="29" borderId="80" xfId="16" applyFont="1" applyFill="1" applyBorder="1" applyAlignment="1">
      <alignment horizontal="right" vertical="top" wrapText="1"/>
    </xf>
    <xf numFmtId="0" fontId="77" fillId="31" borderId="80" xfId="16" applyFont="1" applyFill="1" applyBorder="1" applyAlignment="1">
      <alignment horizontal="right" vertical="top" wrapText="1"/>
    </xf>
    <xf numFmtId="0" fontId="76" fillId="29" borderId="0" xfId="16" applyFont="1" applyFill="1" applyAlignment="1">
      <alignment horizontal="center" wrapText="1"/>
    </xf>
    <xf numFmtId="4" fontId="77" fillId="32" borderId="80" xfId="0" applyNumberFormat="1" applyFont="1" applyFill="1" applyBorder="1" applyAlignment="1">
      <alignment horizontal="right" vertical="top" wrapText="1"/>
    </xf>
    <xf numFmtId="0" fontId="0" fillId="0" borderId="0" xfId="0"/>
    <xf numFmtId="0" fontId="77" fillId="31" borderId="80" xfId="0" applyFont="1" applyFill="1" applyBorder="1" applyAlignment="1">
      <alignment horizontal="right" vertical="top" wrapText="1"/>
    </xf>
    <xf numFmtId="0" fontId="76" fillId="29" borderId="80" xfId="0" applyFont="1" applyFill="1" applyBorder="1" applyAlignment="1">
      <alignment horizontal="right" vertical="top" wrapText="1"/>
    </xf>
    <xf numFmtId="1" fontId="5" fillId="30" borderId="11" xfId="14" applyNumberFormat="1" applyFont="1" applyFill="1" applyBorder="1" applyAlignment="1">
      <alignment horizontal="center" vertical="center" wrapText="1"/>
    </xf>
    <xf numFmtId="4" fontId="5" fillId="30" borderId="11" xfId="14" applyNumberFormat="1" applyFont="1" applyFill="1" applyBorder="1" applyAlignment="1">
      <alignment horizontal="left" vertical="center" wrapText="1"/>
    </xf>
    <xf numFmtId="44" fontId="8" fillId="6" borderId="11" xfId="15" applyFont="1" applyFill="1" applyBorder="1" applyAlignment="1">
      <alignment horizontal="center" vertical="center" wrapText="1"/>
    </xf>
    <xf numFmtId="44" fontId="8" fillId="6" borderId="1" xfId="15" applyFont="1" applyFill="1" applyBorder="1" applyAlignment="1">
      <alignment horizontal="center" vertical="center" wrapText="1"/>
    </xf>
    <xf numFmtId="4" fontId="5" fillId="30" borderId="11" xfId="14" applyNumberFormat="1" applyFont="1" applyFill="1" applyBorder="1" applyAlignment="1">
      <alignment vertical="center" wrapText="1"/>
    </xf>
    <xf numFmtId="44" fontId="8" fillId="6" borderId="46" xfId="15" applyFont="1" applyFill="1" applyBorder="1" applyAlignment="1">
      <alignment horizontal="center" vertical="center" wrapText="1"/>
    </xf>
    <xf numFmtId="44" fontId="8" fillId="6" borderId="36" xfId="15" applyFont="1" applyFill="1" applyBorder="1" applyAlignment="1">
      <alignment horizontal="center" vertical="center" wrapText="1"/>
    </xf>
    <xf numFmtId="44" fontId="8" fillId="6" borderId="38" xfId="15" applyFont="1" applyFill="1" applyBorder="1" applyAlignment="1">
      <alignment horizontal="center" vertical="center" wrapText="1"/>
    </xf>
    <xf numFmtId="1" fontId="5" fillId="30" borderId="44" xfId="14" applyNumberFormat="1" applyFont="1" applyFill="1" applyBorder="1" applyAlignment="1">
      <alignment horizontal="center" vertical="center" wrapText="1"/>
    </xf>
    <xf numFmtId="1" fontId="5" fillId="30" borderId="35" xfId="14" applyNumberFormat="1" applyFont="1" applyFill="1" applyBorder="1" applyAlignment="1">
      <alignment horizontal="center" vertical="center" wrapText="1"/>
    </xf>
    <xf numFmtId="1" fontId="5" fillId="30" borderId="37" xfId="14" applyNumberFormat="1" applyFont="1" applyFill="1" applyBorder="1" applyAlignment="1">
      <alignment horizontal="center" vertical="center" wrapText="1"/>
    </xf>
    <xf numFmtId="4" fontId="5" fillId="30" borderId="45" xfId="14" applyNumberFormat="1" applyFont="1" applyFill="1" applyBorder="1" applyAlignment="1">
      <alignment vertical="center" wrapText="1"/>
    </xf>
    <xf numFmtId="4" fontId="5" fillId="30" borderId="26" xfId="14" applyNumberFormat="1" applyFont="1" applyFill="1" applyBorder="1" applyAlignment="1">
      <alignment vertical="center" wrapText="1"/>
    </xf>
    <xf numFmtId="0" fontId="5" fillId="30" borderId="11" xfId="14" applyNumberFormat="1" applyFont="1" applyFill="1" applyBorder="1" applyAlignment="1">
      <alignment vertical="center" wrapText="1"/>
    </xf>
    <xf numFmtId="1" fontId="5" fillId="30" borderId="28" xfId="14" applyNumberFormat="1" applyFont="1" applyFill="1" applyBorder="1" applyAlignment="1">
      <alignment horizontal="center" vertical="center" wrapText="1"/>
    </xf>
    <xf numFmtId="1" fontId="5" fillId="30" borderId="66" xfId="14" applyNumberFormat="1" applyFont="1" applyFill="1" applyBorder="1" applyAlignment="1">
      <alignment horizontal="center" vertical="center" wrapText="1"/>
    </xf>
    <xf numFmtId="1" fontId="5" fillId="30" borderId="41" xfId="14" applyNumberFormat="1" applyFont="1" applyFill="1" applyBorder="1" applyAlignment="1">
      <alignment horizontal="center" vertical="center" wrapText="1"/>
    </xf>
    <xf numFmtId="4" fontId="5" fillId="30" borderId="29" xfId="14" applyNumberFormat="1" applyFont="1" applyFill="1" applyBorder="1" applyAlignment="1">
      <alignment horizontal="left" vertical="center" wrapText="1"/>
    </xf>
    <xf numFmtId="4" fontId="5" fillId="30" borderId="67" xfId="14" applyNumberFormat="1" applyFont="1" applyFill="1" applyBorder="1" applyAlignment="1">
      <alignment horizontal="left" vertical="center" wrapText="1"/>
    </xf>
    <xf numFmtId="4" fontId="5" fillId="30" borderId="42" xfId="14" applyNumberFormat="1" applyFont="1" applyFill="1" applyBorder="1" applyAlignment="1">
      <alignment horizontal="left" vertical="center" wrapText="1"/>
    </xf>
    <xf numFmtId="44" fontId="8" fillId="6" borderId="30" xfId="15" applyFont="1" applyFill="1" applyBorder="1" applyAlignment="1">
      <alignment horizontal="center" vertical="center" wrapText="1"/>
    </xf>
    <xf numFmtId="44" fontId="8" fillId="6" borderId="68" xfId="15" applyFont="1" applyFill="1" applyBorder="1" applyAlignment="1">
      <alignment horizontal="center" vertical="center" wrapText="1"/>
    </xf>
    <xf numFmtId="44" fontId="8" fillId="6" borderId="43" xfId="15" applyFont="1" applyFill="1" applyBorder="1" applyAlignment="1">
      <alignment horizontal="center" vertical="center" wrapText="1"/>
    </xf>
    <xf numFmtId="0" fontId="5" fillId="30" borderId="11" xfId="14" applyNumberFormat="1" applyFont="1" applyFill="1" applyBorder="1" applyAlignment="1">
      <alignment horizontal="left" vertical="center" wrapText="1"/>
    </xf>
    <xf numFmtId="0" fontId="60" fillId="0" borderId="11" xfId="14" applyNumberFormat="1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79" fillId="29" borderId="16" xfId="0" applyFont="1" applyFill="1" applyBorder="1" applyAlignment="1">
      <alignment horizontal="center" vertical="center" wrapText="1"/>
    </xf>
    <xf numFmtId="0" fontId="79" fillId="29" borderId="17" xfId="0" applyFont="1" applyFill="1" applyBorder="1" applyAlignment="1">
      <alignment horizontal="center" vertical="center" wrapText="1"/>
    </xf>
    <xf numFmtId="0" fontId="79" fillId="29" borderId="31" xfId="0" applyFont="1" applyFill="1" applyBorder="1" applyAlignment="1">
      <alignment horizontal="center" vertical="center" wrapText="1"/>
    </xf>
    <xf numFmtId="0" fontId="43" fillId="0" borderId="78" xfId="0" applyFont="1" applyBorder="1" applyAlignment="1">
      <alignment horizontal="center"/>
    </xf>
    <xf numFmtId="164" fontId="8" fillId="0" borderId="0" xfId="5" quotePrefix="1" applyFont="1" applyFill="1" applyBorder="1" applyAlignment="1">
      <alignment horizontal="center" vertical="center"/>
    </xf>
    <xf numFmtId="0" fontId="8" fillId="5" borderId="0" xfId="4" applyFont="1" applyFill="1" applyBorder="1" applyAlignment="1">
      <alignment horizontal="center" vertical="center"/>
    </xf>
    <xf numFmtId="0" fontId="37" fillId="16" borderId="16" xfId="0" applyFont="1" applyFill="1" applyBorder="1" applyAlignment="1">
      <alignment horizontal="center" vertical="center" wrapText="1"/>
    </xf>
    <xf numFmtId="0" fontId="37" fillId="16" borderId="17" xfId="0" applyFont="1" applyFill="1" applyBorder="1" applyAlignment="1">
      <alignment horizontal="center" vertical="center" wrapText="1"/>
    </xf>
    <xf numFmtId="0" fontId="37" fillId="16" borderId="31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38" fillId="7" borderId="22" xfId="0" applyFont="1" applyFill="1" applyBorder="1" applyAlignment="1">
      <alignment horizontal="center" vertical="center" wrapText="1"/>
    </xf>
    <xf numFmtId="0" fontId="38" fillId="7" borderId="0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4" fillId="9" borderId="13" xfId="0" applyFont="1" applyFill="1" applyBorder="1" applyAlignment="1">
      <alignment horizontal="center" vertical="center" wrapText="1"/>
    </xf>
    <xf numFmtId="0" fontId="24" fillId="9" borderId="14" xfId="0" applyFont="1" applyFill="1" applyBorder="1" applyAlignment="1">
      <alignment horizontal="center" vertical="center" wrapText="1"/>
    </xf>
    <xf numFmtId="0" fontId="24" fillId="9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4" fillId="9" borderId="41" xfId="0" applyFont="1" applyFill="1" applyBorder="1" applyAlignment="1">
      <alignment horizontal="center" vertical="center" wrapText="1"/>
    </xf>
    <xf numFmtId="0" fontId="24" fillId="9" borderId="42" xfId="0" applyFont="1" applyFill="1" applyBorder="1" applyAlignment="1">
      <alignment horizontal="center" vertical="center" wrapText="1"/>
    </xf>
    <xf numFmtId="0" fontId="24" fillId="9" borderId="43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8" fillId="0" borderId="35" xfId="0" applyFont="1" applyFill="1" applyBorder="1" applyAlignment="1">
      <alignment horizontal="left" vertical="center" wrapText="1"/>
    </xf>
    <xf numFmtId="0" fontId="38" fillId="0" borderId="11" xfId="0" applyFont="1" applyFill="1" applyBorder="1" applyAlignment="1">
      <alignment horizontal="left" vertical="center" wrapText="1"/>
    </xf>
    <xf numFmtId="0" fontId="42" fillId="20" borderId="13" xfId="0" applyFont="1" applyFill="1" applyBorder="1" applyAlignment="1">
      <alignment horizontal="center" vertical="center" wrapText="1"/>
    </xf>
    <xf numFmtId="0" fontId="42" fillId="20" borderId="14" xfId="0" applyFont="1" applyFill="1" applyBorder="1" applyAlignment="1">
      <alignment horizontal="center" vertical="center" wrapText="1"/>
    </xf>
    <xf numFmtId="0" fontId="42" fillId="20" borderId="15" xfId="0" applyFont="1" applyFill="1" applyBorder="1" applyAlignment="1">
      <alignment horizontal="center" vertical="center" wrapText="1"/>
    </xf>
    <xf numFmtId="0" fontId="38" fillId="0" borderId="32" xfId="0" applyFont="1" applyFill="1" applyBorder="1" applyAlignment="1">
      <alignment horizontal="left" vertical="center" wrapText="1"/>
    </xf>
    <xf numFmtId="0" fontId="38" fillId="0" borderId="33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4" fillId="9" borderId="28" xfId="0" applyFont="1" applyFill="1" applyBorder="1" applyAlignment="1">
      <alignment horizontal="center" vertical="center" wrapText="1"/>
    </xf>
    <xf numFmtId="0" fontId="24" fillId="9" borderId="29" xfId="0" applyFont="1" applyFill="1" applyBorder="1" applyAlignment="1">
      <alignment horizontal="center" vertical="center" wrapText="1"/>
    </xf>
    <xf numFmtId="0" fontId="24" fillId="9" borderId="30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4" fillId="9" borderId="13" xfId="0" applyFont="1" applyFill="1" applyBorder="1" applyAlignment="1">
      <alignment horizontal="center" vertical="center"/>
    </xf>
    <xf numFmtId="0" fontId="24" fillId="9" borderId="14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24" fillId="9" borderId="16" xfId="0" applyFont="1" applyFill="1" applyBorder="1" applyAlignment="1">
      <alignment horizontal="center" vertical="center"/>
    </xf>
    <xf numFmtId="0" fontId="24" fillId="9" borderId="17" xfId="0" applyFont="1" applyFill="1" applyBorder="1" applyAlignment="1">
      <alignment horizontal="center" vertical="center"/>
    </xf>
    <xf numFmtId="0" fontId="46" fillId="4" borderId="35" xfId="4" quotePrefix="1" applyFont="1" applyFill="1" applyBorder="1" applyAlignment="1">
      <alignment horizontal="center" vertical="center" wrapText="1"/>
    </xf>
    <xf numFmtId="0" fontId="46" fillId="4" borderId="11" xfId="4" quotePrefix="1" applyFont="1" applyFill="1" applyBorder="1" applyAlignment="1">
      <alignment horizontal="center" vertical="center" wrapText="1"/>
    </xf>
    <xf numFmtId="0" fontId="46" fillId="4" borderId="36" xfId="4" quotePrefix="1" applyFont="1" applyFill="1" applyBorder="1" applyAlignment="1">
      <alignment horizontal="center" vertical="center" wrapText="1"/>
    </xf>
    <xf numFmtId="43" fontId="51" fillId="0" borderId="0" xfId="3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2" fillId="0" borderId="3" xfId="3" applyNumberFormat="1" applyFont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43" fontId="19" fillId="0" borderId="0" xfId="3" applyFont="1" applyFill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 wrapText="1"/>
    </xf>
    <xf numFmtId="0" fontId="22" fillId="11" borderId="16" xfId="0" applyFont="1" applyFill="1" applyBorder="1" applyAlignment="1">
      <alignment horizontal="center" vertical="center" wrapText="1"/>
    </xf>
    <xf numFmtId="0" fontId="22" fillId="11" borderId="17" xfId="0" applyFont="1" applyFill="1" applyBorder="1" applyAlignment="1">
      <alignment horizontal="center" vertical="center" wrapText="1"/>
    </xf>
    <xf numFmtId="0" fontId="22" fillId="11" borderId="31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26" fillId="10" borderId="50" xfId="0" applyFont="1" applyFill="1" applyBorder="1" applyAlignment="1">
      <alignment horizontal="center" vertical="center"/>
    </xf>
    <xf numFmtId="0" fontId="26" fillId="10" borderId="3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23" fillId="3" borderId="1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164" fontId="56" fillId="4" borderId="11" xfId="5" quotePrefix="1" applyFont="1" applyFill="1" applyBorder="1" applyAlignment="1">
      <alignment horizontal="center" vertical="center"/>
    </xf>
    <xf numFmtId="0" fontId="56" fillId="21" borderId="11" xfId="4" applyFont="1" applyFill="1" applyBorder="1" applyAlignment="1">
      <alignment horizontal="center" vertical="center" wrapText="1"/>
    </xf>
    <xf numFmtId="0" fontId="55" fillId="4" borderId="8" xfId="0" applyFont="1" applyFill="1" applyBorder="1" applyAlignment="1">
      <alignment horizontal="center" vertical="center" wrapText="1"/>
    </xf>
    <xf numFmtId="0" fontId="55" fillId="4" borderId="3" xfId="0" applyFont="1" applyFill="1" applyBorder="1" applyAlignment="1">
      <alignment horizontal="center" vertical="center" wrapText="1"/>
    </xf>
    <xf numFmtId="0" fontId="55" fillId="4" borderId="1" xfId="0" applyFont="1" applyFill="1" applyBorder="1" applyAlignment="1">
      <alignment horizontal="center" vertical="center" wrapText="1"/>
    </xf>
    <xf numFmtId="0" fontId="57" fillId="4" borderId="8" xfId="0" quotePrefix="1" applyFont="1" applyFill="1" applyBorder="1" applyAlignment="1">
      <alignment horizontal="center" vertical="center" wrapText="1"/>
    </xf>
    <xf numFmtId="0" fontId="57" fillId="4" borderId="3" xfId="0" quotePrefix="1" applyFont="1" applyFill="1" applyBorder="1" applyAlignment="1">
      <alignment horizontal="center" vertical="center" wrapText="1"/>
    </xf>
    <xf numFmtId="0" fontId="57" fillId="4" borderId="1" xfId="0" quotePrefix="1" applyFont="1" applyFill="1" applyBorder="1" applyAlignment="1">
      <alignment horizontal="center" vertical="center" wrapText="1"/>
    </xf>
    <xf numFmtId="0" fontId="56" fillId="4" borderId="11" xfId="4" quotePrefix="1" applyFont="1" applyFill="1" applyBorder="1" applyAlignment="1">
      <alignment horizontal="center" vertical="center" wrapText="1"/>
    </xf>
    <xf numFmtId="164" fontId="56" fillId="4" borderId="11" xfId="5" applyFont="1" applyFill="1" applyBorder="1" applyAlignment="1">
      <alignment horizontal="center" vertical="center"/>
    </xf>
    <xf numFmtId="0" fontId="56" fillId="4" borderId="11" xfId="4" applyFont="1" applyFill="1" applyBorder="1" applyAlignment="1">
      <alignment horizontal="center" vertical="center" wrapText="1"/>
    </xf>
    <xf numFmtId="164" fontId="56" fillId="4" borderId="8" xfId="5" quotePrefix="1" applyFont="1" applyFill="1" applyBorder="1" applyAlignment="1">
      <alignment horizontal="center" vertical="center"/>
    </xf>
    <xf numFmtId="164" fontId="56" fillId="4" borderId="3" xfId="5" quotePrefix="1" applyFont="1" applyFill="1" applyBorder="1" applyAlignment="1">
      <alignment horizontal="center" vertical="center"/>
    </xf>
    <xf numFmtId="164" fontId="56" fillId="4" borderId="1" xfId="5" quotePrefix="1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/>
    </xf>
    <xf numFmtId="0" fontId="74" fillId="10" borderId="50" xfId="0" applyFont="1" applyFill="1" applyBorder="1" applyAlignment="1">
      <alignment horizontal="center" vertical="center"/>
    </xf>
    <xf numFmtId="0" fontId="74" fillId="10" borderId="3" xfId="0" applyFont="1" applyFill="1" applyBorder="1" applyAlignment="1">
      <alignment horizontal="center" vertical="center"/>
    </xf>
    <xf numFmtId="0" fontId="74" fillId="10" borderId="1" xfId="0" applyFont="1" applyFill="1" applyBorder="1" applyAlignment="1">
      <alignment horizontal="center" vertical="center"/>
    </xf>
    <xf numFmtId="0" fontId="27" fillId="0" borderId="35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0" fontId="36" fillId="9" borderId="13" xfId="0" applyFont="1" applyFill="1" applyBorder="1" applyAlignment="1">
      <alignment horizontal="center" vertical="center"/>
    </xf>
    <xf numFmtId="0" fontId="36" fillId="9" borderId="14" xfId="0" applyFont="1" applyFill="1" applyBorder="1" applyAlignment="1">
      <alignment horizontal="center" vertical="center"/>
    </xf>
    <xf numFmtId="0" fontId="36" fillId="9" borderId="15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39" fillId="17" borderId="13" xfId="0" applyFont="1" applyFill="1" applyBorder="1" applyAlignment="1">
      <alignment horizontal="center" vertical="center" wrapText="1"/>
    </xf>
    <xf numFmtId="0" fontId="39" fillId="17" borderId="14" xfId="0" applyFont="1" applyFill="1" applyBorder="1" applyAlignment="1">
      <alignment horizontal="center" vertical="center" wrapText="1"/>
    </xf>
    <xf numFmtId="0" fontId="39" fillId="17" borderId="47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left" vertical="center" wrapText="1"/>
    </xf>
    <xf numFmtId="0" fontId="38" fillId="0" borderId="26" xfId="0" applyFont="1" applyFill="1" applyBorder="1" applyAlignment="1">
      <alignment horizontal="left" vertical="center" wrapText="1"/>
    </xf>
    <xf numFmtId="0" fontId="39" fillId="17" borderId="16" xfId="0" applyFont="1" applyFill="1" applyBorder="1" applyAlignment="1">
      <alignment horizontal="center" vertical="center" wrapText="1"/>
    </xf>
    <xf numFmtId="0" fontId="39" fillId="17" borderId="17" xfId="0" applyFont="1" applyFill="1" applyBorder="1" applyAlignment="1">
      <alignment horizontal="center" vertical="center" wrapText="1"/>
    </xf>
    <xf numFmtId="0" fontId="39" fillId="17" borderId="31" xfId="0" applyFont="1" applyFill="1" applyBorder="1" applyAlignment="1">
      <alignment horizontal="center" vertical="center" wrapText="1"/>
    </xf>
    <xf numFmtId="0" fontId="38" fillId="0" borderId="64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3" xfId="0" applyFont="1" applyFill="1" applyBorder="1" applyAlignment="1">
      <alignment horizontal="left" vertical="center" wrapText="1"/>
    </xf>
    <xf numFmtId="0" fontId="38" fillId="0" borderId="61" xfId="0" applyFont="1" applyFill="1" applyBorder="1" applyAlignment="1">
      <alignment horizontal="left" vertical="center" wrapText="1"/>
    </xf>
    <xf numFmtId="0" fontId="39" fillId="17" borderId="70" xfId="0" applyFont="1" applyFill="1" applyBorder="1" applyAlignment="1">
      <alignment horizontal="center" vertical="center" wrapText="1"/>
    </xf>
    <xf numFmtId="0" fontId="39" fillId="17" borderId="15" xfId="0" applyFont="1" applyFill="1" applyBorder="1" applyAlignment="1">
      <alignment horizontal="center" vertical="center" wrapText="1"/>
    </xf>
    <xf numFmtId="0" fontId="38" fillId="0" borderId="39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38" fillId="0" borderId="50" xfId="0" applyFont="1" applyFill="1" applyBorder="1" applyAlignment="1">
      <alignment horizontal="left" vertical="center" wrapText="1"/>
    </xf>
    <xf numFmtId="0" fontId="42" fillId="20" borderId="41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wrapText="1"/>
    </xf>
    <xf numFmtId="0" fontId="42" fillId="20" borderId="43" xfId="0" applyFont="1" applyFill="1" applyBorder="1" applyAlignment="1">
      <alignment horizontal="center" vertical="center" wrapText="1"/>
    </xf>
    <xf numFmtId="0" fontId="38" fillId="0" borderId="59" xfId="0" applyFont="1" applyFill="1" applyBorder="1" applyAlignment="1">
      <alignment horizontal="left" vertical="center" wrapText="1"/>
    </xf>
    <xf numFmtId="0" fontId="38" fillId="0" borderId="60" xfId="0" applyFont="1" applyFill="1" applyBorder="1" applyAlignment="1">
      <alignment horizontal="left" vertical="center" wrapText="1"/>
    </xf>
    <xf numFmtId="0" fontId="38" fillId="0" borderId="71" xfId="0" applyFont="1" applyFill="1" applyBorder="1" applyAlignment="1">
      <alignment horizontal="left" vertical="center" wrapText="1"/>
    </xf>
    <xf numFmtId="0" fontId="38" fillId="0" borderId="56" xfId="0" applyFont="1" applyFill="1" applyBorder="1" applyAlignment="1">
      <alignment horizontal="left" vertical="center" wrapText="1"/>
    </xf>
    <xf numFmtId="0" fontId="38" fillId="0" borderId="57" xfId="0" applyFont="1" applyFill="1" applyBorder="1" applyAlignment="1">
      <alignment horizontal="left" vertical="center" wrapText="1"/>
    </xf>
    <xf numFmtId="0" fontId="42" fillId="20" borderId="16" xfId="0" applyFont="1" applyFill="1" applyBorder="1" applyAlignment="1">
      <alignment horizontal="center" vertical="center" wrapText="1"/>
    </xf>
    <xf numFmtId="0" fontId="42" fillId="20" borderId="17" xfId="0" applyFont="1" applyFill="1" applyBorder="1" applyAlignment="1">
      <alignment horizontal="center" vertical="center" wrapText="1"/>
    </xf>
    <xf numFmtId="0" fontId="42" fillId="20" borderId="31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left" vertical="center" wrapText="1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42" fillId="20" borderId="70" xfId="0" applyFont="1" applyFill="1" applyBorder="1" applyAlignment="1">
      <alignment horizontal="center" vertical="center" wrapText="1"/>
    </xf>
    <xf numFmtId="17" fontId="3" fillId="0" borderId="0" xfId="0" applyNumberFormat="1" applyFont="1" applyBorder="1" applyAlignment="1">
      <alignment horizontal="left" vertical="top" wrapText="1"/>
    </xf>
    <xf numFmtId="17" fontId="3" fillId="0" borderId="6" xfId="0" applyNumberFormat="1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3" applyNumberFormat="1" applyFont="1" applyBorder="1" applyAlignment="1">
      <alignment horizontal="center" vertical="center" wrapText="1"/>
    </xf>
    <xf numFmtId="0" fontId="2" fillId="0" borderId="2" xfId="3" applyNumberFormat="1" applyFont="1" applyBorder="1" applyAlignment="1">
      <alignment horizontal="center" vertical="center" wrapText="1"/>
    </xf>
    <xf numFmtId="0" fontId="28" fillId="0" borderId="12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14" fontId="10" fillId="0" borderId="0" xfId="4" applyNumberFormat="1" applyFont="1" applyFill="1" applyBorder="1" applyAlignment="1">
      <alignment horizont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4" fillId="8" borderId="24" xfId="0" applyFont="1" applyFill="1" applyBorder="1" applyAlignment="1">
      <alignment horizontal="center" vertical="center"/>
    </xf>
    <xf numFmtId="0" fontId="34" fillId="8" borderId="25" xfId="0" applyFont="1" applyFill="1" applyBorder="1" applyAlignment="1">
      <alignment horizontal="center" vertical="center"/>
    </xf>
    <xf numFmtId="0" fontId="33" fillId="8" borderId="16" xfId="0" applyFont="1" applyFill="1" applyBorder="1" applyAlignment="1">
      <alignment horizontal="center" vertical="center"/>
    </xf>
    <xf numFmtId="0" fontId="33" fillId="8" borderId="17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4" fillId="8" borderId="21" xfId="0" applyFont="1" applyFill="1" applyBorder="1" applyAlignment="1">
      <alignment horizontal="center" vertical="center" wrapText="1"/>
    </xf>
    <xf numFmtId="0" fontId="34" fillId="8" borderId="24" xfId="0" applyFont="1" applyFill="1" applyBorder="1" applyAlignment="1">
      <alignment horizontal="center" vertical="center" wrapText="1"/>
    </xf>
    <xf numFmtId="0" fontId="34" fillId="8" borderId="18" xfId="0" applyFont="1" applyFill="1" applyBorder="1" applyAlignment="1">
      <alignment horizontal="center" vertical="center" wrapText="1"/>
    </xf>
    <xf numFmtId="0" fontId="34" fillId="8" borderId="25" xfId="0" applyFont="1" applyFill="1" applyBorder="1" applyAlignment="1">
      <alignment horizontal="center" vertical="center" wrapText="1"/>
    </xf>
    <xf numFmtId="0" fontId="34" fillId="8" borderId="19" xfId="0" applyFont="1" applyFill="1" applyBorder="1" applyAlignment="1">
      <alignment horizontal="center" vertical="center" wrapText="1"/>
    </xf>
    <xf numFmtId="0" fontId="64" fillId="0" borderId="65" xfId="4" applyFont="1" applyBorder="1" applyAlignment="1">
      <alignment horizontal="center" vertical="center"/>
    </xf>
    <xf numFmtId="0" fontId="64" fillId="0" borderId="4" xfId="4" applyFont="1" applyBorder="1" applyAlignment="1">
      <alignment horizontal="center" vertical="center"/>
    </xf>
    <xf numFmtId="0" fontId="64" fillId="0" borderId="63" xfId="4" applyFont="1" applyBorder="1" applyAlignment="1">
      <alignment horizontal="center" vertical="center"/>
    </xf>
    <xf numFmtId="0" fontId="65" fillId="0" borderId="0" xfId="4" applyFont="1" applyBorder="1" applyAlignment="1">
      <alignment horizontal="left" vertical="center" wrapText="1"/>
    </xf>
    <xf numFmtId="0" fontId="65" fillId="0" borderId="23" xfId="4" applyFont="1" applyBorder="1" applyAlignment="1">
      <alignment horizontal="left" vertical="center" wrapText="1"/>
    </xf>
    <xf numFmtId="0" fontId="65" fillId="0" borderId="5" xfId="4" applyFont="1" applyBorder="1" applyAlignment="1">
      <alignment horizontal="left" vertical="center" wrapText="1"/>
    </xf>
    <xf numFmtId="0" fontId="65" fillId="0" borderId="58" xfId="4" applyFont="1" applyBorder="1" applyAlignment="1">
      <alignment horizontal="left" vertical="center" wrapText="1"/>
    </xf>
    <xf numFmtId="0" fontId="63" fillId="8" borderId="16" xfId="4" applyFont="1" applyFill="1" applyBorder="1" applyAlignment="1">
      <alignment horizontal="center"/>
    </xf>
    <xf numFmtId="0" fontId="63" fillId="8" borderId="17" xfId="4" applyFont="1" applyFill="1" applyBorder="1" applyAlignment="1">
      <alignment horizontal="center"/>
    </xf>
    <xf numFmtId="0" fontId="63" fillId="8" borderId="31" xfId="4" applyFont="1" applyFill="1" applyBorder="1" applyAlignment="1">
      <alignment horizontal="center"/>
    </xf>
    <xf numFmtId="0" fontId="63" fillId="23" borderId="64" xfId="4" applyFont="1" applyFill="1" applyBorder="1" applyAlignment="1">
      <alignment horizontal="center"/>
    </xf>
    <xf numFmtId="0" fontId="63" fillId="23" borderId="5" xfId="4" applyFont="1" applyFill="1" applyBorder="1" applyAlignment="1">
      <alignment horizontal="center"/>
    </xf>
    <xf numFmtId="0" fontId="11" fillId="0" borderId="0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63" fillId="23" borderId="50" xfId="4" applyFont="1" applyFill="1" applyBorder="1" applyAlignment="1">
      <alignment horizontal="center"/>
    </xf>
    <xf numFmtId="0" fontId="63" fillId="23" borderId="3" xfId="4" applyFont="1" applyFill="1" applyBorder="1" applyAlignment="1">
      <alignment horizontal="center"/>
    </xf>
    <xf numFmtId="43" fontId="13" fillId="6" borderId="0" xfId="0" applyNumberFormat="1" applyFont="1" applyFill="1" applyAlignment="1">
      <alignment vertical="center" wrapText="1"/>
    </xf>
    <xf numFmtId="0" fontId="13" fillId="6" borderId="0" xfId="0" applyFont="1" applyFill="1" applyAlignment="1">
      <alignment horizontal="center" vertical="center" wrapText="1"/>
    </xf>
    <xf numFmtId="10" fontId="13" fillId="6" borderId="0" xfId="2" applyNumberFormat="1" applyFont="1" applyFill="1" applyAlignment="1">
      <alignment horizontal="center" vertical="center" wrapText="1"/>
    </xf>
    <xf numFmtId="4" fontId="13" fillId="6" borderId="0" xfId="0" applyNumberFormat="1" applyFont="1" applyFill="1" applyAlignment="1">
      <alignment horizontal="center" vertical="center" wrapText="1"/>
    </xf>
    <xf numFmtId="0" fontId="19" fillId="6" borderId="0" xfId="0" applyFont="1" applyFill="1" applyAlignment="1">
      <alignment vertical="center" wrapText="1"/>
    </xf>
  </cellXfs>
  <cellStyles count="17">
    <cellStyle name="Moeda" xfId="1" builtinId="4"/>
    <cellStyle name="Moeda 2" xfId="15"/>
    <cellStyle name="Normal" xfId="0" builtinId="0"/>
    <cellStyle name="Normal 2" xfId="4"/>
    <cellStyle name="Normal 2 2" xfId="7"/>
    <cellStyle name="Normal 2 2 2" xfId="9"/>
    <cellStyle name="Normal 2 3" xfId="16"/>
    <cellStyle name="Normal 3" xfId="6"/>
    <cellStyle name="Normal 3 3" xfId="14"/>
    <cellStyle name="Normal 35" xfId="8"/>
    <cellStyle name="Porcentagem" xfId="2" builtinId="5"/>
    <cellStyle name="Porcentagem 2" xfId="12"/>
    <cellStyle name="Porcentagem 2 2" xfId="13"/>
    <cellStyle name="Separador de milhares" xfId="3" builtinId="3"/>
    <cellStyle name="Separador de milhares 2" xfId="10"/>
    <cellStyle name="Separador de milhares 3" xfId="11"/>
    <cellStyle name="Vírgula 2" xfId="5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FFFF00"/>
      <color rgb="FF99CC00"/>
      <color rgb="FFFF3300"/>
      <color rgb="FFFFCCFF"/>
      <color rgb="FFDC3624"/>
      <color rgb="FFFF9933"/>
      <color rgb="FFFF6600"/>
      <color rgb="FFFF00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HP\Users\pmc\Documents\Downloads\REVIS&#195;O%2002%20-%20L&#211;GICA\LOGICA%20EM%2022-07-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2217423100/Desktop/S&#195;O%20SIM&#195;O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arina/Desktop/VEXTENSO/VExtenso.xl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498658112/Desktop/QUANTITATIVO%20MARIO%20DE%20CASTRO/Planilha%20Mario%20de%20Castro/Quantifica&#231;&#227;o%20E.E%20MARIO%20DE%20CASTRO%20-%20GLAUC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NAPI-SINTETICO"/>
      <sheetName val="SINAPI-01-2014"/>
      <sheetName val="MAPA COTAÇÃO (MC01)"/>
      <sheetName val="estimativa de custo IRMA DULCE"/>
      <sheetName val="ELÉTRICA"/>
      <sheetName val="INFRA"/>
      <sheetName val="LÓGICA 2"/>
      <sheetName val="LÓGICA 22"/>
    </sheetNames>
    <sheetDataSet>
      <sheetData sheetId="0"/>
      <sheetData sheetId="1"/>
      <sheetData sheetId="2"/>
      <sheetData sheetId="3">
        <row r="6">
          <cell r="B6" t="str">
            <v>CASA IRMÃ DULCE</v>
          </cell>
        </row>
        <row r="7">
          <cell r="I7">
            <v>0.27279999999999999</v>
          </cell>
        </row>
      </sheetData>
      <sheetData sheetId="4">
        <row r="25">
          <cell r="F25">
            <v>25.390000000000004</v>
          </cell>
        </row>
      </sheetData>
      <sheetData sheetId="5">
        <row r="27">
          <cell r="F27">
            <v>2.8000000000000003</v>
          </cell>
        </row>
        <row r="44">
          <cell r="F44">
            <v>10.09</v>
          </cell>
        </row>
        <row r="62">
          <cell r="F62">
            <v>12.790000000000001</v>
          </cell>
        </row>
        <row r="80">
          <cell r="F80">
            <v>46.55</v>
          </cell>
        </row>
        <row r="98">
          <cell r="F98">
            <v>27</v>
          </cell>
        </row>
        <row r="116">
          <cell r="F116">
            <v>29.27</v>
          </cell>
        </row>
        <row r="134">
          <cell r="F134">
            <v>22.459999999999997</v>
          </cell>
        </row>
        <row r="152">
          <cell r="F152">
            <v>21.23</v>
          </cell>
        </row>
        <row r="170">
          <cell r="F170">
            <v>6.5099999999999989</v>
          </cell>
        </row>
        <row r="188">
          <cell r="F188">
            <v>4.9800000000000004</v>
          </cell>
        </row>
        <row r="206">
          <cell r="F206">
            <v>22.68</v>
          </cell>
        </row>
        <row r="224">
          <cell r="F224">
            <v>13.27</v>
          </cell>
        </row>
        <row r="242">
          <cell r="F242">
            <v>2.9060000000000006</v>
          </cell>
        </row>
        <row r="261">
          <cell r="F261">
            <v>2.6460000000000004</v>
          </cell>
        </row>
        <row r="279">
          <cell r="F279">
            <v>0.39760000000000001</v>
          </cell>
        </row>
        <row r="297">
          <cell r="F297">
            <v>3.98</v>
          </cell>
        </row>
        <row r="315">
          <cell r="F315">
            <v>4.2699999999999996</v>
          </cell>
        </row>
        <row r="334">
          <cell r="F334">
            <v>125.10000000000001</v>
          </cell>
        </row>
        <row r="352">
          <cell r="F352">
            <v>9.11</v>
          </cell>
        </row>
        <row r="370">
          <cell r="F370">
            <v>43.54</v>
          </cell>
        </row>
        <row r="388">
          <cell r="F388">
            <v>11.78</v>
          </cell>
        </row>
        <row r="406">
          <cell r="F406">
            <v>104.63000000000001</v>
          </cell>
        </row>
        <row r="424">
          <cell r="F424">
            <v>92.77</v>
          </cell>
        </row>
        <row r="442">
          <cell r="F442">
            <v>130.80000000000001</v>
          </cell>
        </row>
        <row r="460">
          <cell r="F460">
            <v>68.009999999999991</v>
          </cell>
        </row>
        <row r="478">
          <cell r="F478">
            <v>6.5399999999999991</v>
          </cell>
        </row>
        <row r="496">
          <cell r="F496">
            <v>77.89</v>
          </cell>
        </row>
        <row r="514">
          <cell r="F514">
            <v>33.94</v>
          </cell>
        </row>
        <row r="532">
          <cell r="F532">
            <v>3.9999999999999996</v>
          </cell>
        </row>
      </sheetData>
      <sheetData sheetId="6">
        <row r="24">
          <cell r="F24">
            <v>8.7899999999999991</v>
          </cell>
        </row>
        <row r="42">
          <cell r="F42">
            <v>20.28</v>
          </cell>
        </row>
        <row r="78">
          <cell r="F78">
            <v>54.65</v>
          </cell>
        </row>
        <row r="96">
          <cell r="F96">
            <v>1.37</v>
          </cell>
        </row>
        <row r="116">
          <cell r="F116">
            <v>93.740000000000009</v>
          </cell>
        </row>
        <row r="134">
          <cell r="F134">
            <v>22.82</v>
          </cell>
        </row>
        <row r="155">
          <cell r="F155">
            <v>372.28999999999996</v>
          </cell>
        </row>
        <row r="177">
          <cell r="F177">
            <v>1567.1299999999997</v>
          </cell>
        </row>
        <row r="195">
          <cell r="F195">
            <v>1038.8</v>
          </cell>
        </row>
        <row r="213">
          <cell r="F213">
            <v>300.60000000000002</v>
          </cell>
        </row>
        <row r="231">
          <cell r="F231">
            <v>41.78</v>
          </cell>
        </row>
        <row r="249">
          <cell r="F249">
            <v>48.029999999999994</v>
          </cell>
        </row>
        <row r="267">
          <cell r="F267">
            <v>55.91</v>
          </cell>
        </row>
        <row r="285">
          <cell r="F285">
            <v>11.819999999999999</v>
          </cell>
        </row>
        <row r="303">
          <cell r="F303">
            <v>1.5000000000000002</v>
          </cell>
        </row>
        <row r="321">
          <cell r="F321">
            <v>2.59</v>
          </cell>
        </row>
        <row r="339">
          <cell r="F339">
            <v>3821.9100000000003</v>
          </cell>
        </row>
        <row r="357">
          <cell r="F357">
            <v>24.71</v>
          </cell>
        </row>
        <row r="374">
          <cell r="F374">
            <v>16.48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PLANILHA ORÇAMENTARIA"/>
      <sheetName val="ARQ - BLOCO DE SALAS"/>
      <sheetName val="MAPA COTAÇÃO"/>
      <sheetName val="REFERENCIAS COMP."/>
      <sheetName val="CPU"/>
      <sheetName val="Quant Bloco Salas + Urbaniz (2"/>
      <sheetName val="INCÊNDIO"/>
      <sheetName val="DRENAGEM"/>
      <sheetName val="HIDROSANITÁRIO"/>
      <sheetName val="SPDA"/>
      <sheetName val="ELÉTRICO"/>
      <sheetName val="LÓGICA"/>
      <sheetName val="ARQ - QUADRA e VESTIÁRIOS"/>
      <sheetName val="ARQ - REFEITÓRIO"/>
      <sheetName val="Quant Const. Refeitorio"/>
      <sheetName val="EST - QUADRA"/>
      <sheetName val="GLP"/>
      <sheetName val="PERGOLADO METÁLICO"/>
      <sheetName val="EST - REFEITÓRIO"/>
      <sheetName val="EST - BLOCOS 01_02"/>
      <sheetName val="CRONOGRAMA"/>
      <sheetName val="ENCARGOS SOCIAIS"/>
      <sheetName val="BDI - Aliquota ISSQN - 5,0%"/>
      <sheetName val="BDI_ Equip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8">
          <cell r="E128">
            <v>241.78999999999996</v>
          </cell>
        </row>
        <row r="129">
          <cell r="E129">
            <v>1708.3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definedNames>
      <definedName name="VExtenso"/>
    </defined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LVENARIA"/>
      <sheetName val="PINTURA "/>
      <sheetName val="FORRO PVC  E PINT. LAJE  E COBE"/>
      <sheetName val="IMPERMEABILIZAÇAO BLOCO EDUC."/>
      <sheetName val="PASTILHA AZUL BLOCO  EDUC."/>
      <sheetName val="CHAPISCO REB BLOCO EDUCACIONAL "/>
      <sheetName val="PISO BLOCO EDUCACIONAL "/>
      <sheetName val="DIVISÓRIAS MARMORITE"/>
      <sheetName val="BRISE BLOCO EDUC."/>
      <sheetName val="REVESTIMENTO G"/>
      <sheetName val="EMBOÇO E PINTURA"/>
      <sheetName val="IMPERMEABILIZAÇÃO"/>
      <sheetName val="FORRO"/>
      <sheetName val="REV. EXTERNO"/>
      <sheetName val="BWC COMPLEMENTARES"/>
      <sheetName val="COBERTURA"/>
    </sheetNames>
    <sheetDataSet>
      <sheetData sheetId="0" refreshError="1"/>
      <sheetData sheetId="1" refreshError="1"/>
      <sheetData sheetId="2" refreshError="1">
        <row r="11">
          <cell r="F11">
            <v>64.850000000000009</v>
          </cell>
        </row>
      </sheetData>
      <sheetData sheetId="3" refreshError="1"/>
      <sheetData sheetId="4" refreshError="1">
        <row r="12">
          <cell r="M12">
            <v>220.72000000000003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tabColor theme="8" tint="0.59999389629810485"/>
  </sheetPr>
  <dimension ref="A1:G159"/>
  <sheetViews>
    <sheetView showGridLines="0" tabSelected="1" workbookViewId="0">
      <selection activeCell="D29" sqref="D29"/>
    </sheetView>
  </sheetViews>
  <sheetFormatPr defaultRowHeight="12.75" outlineLevelRow="1"/>
  <cols>
    <col min="1" max="1" width="10.7109375" style="3" customWidth="1"/>
    <col min="2" max="2" width="55.85546875" style="4" customWidth="1"/>
    <col min="3" max="3" width="12.7109375" style="4" customWidth="1"/>
    <col min="4" max="4" width="17.42578125" style="3" customWidth="1"/>
    <col min="5" max="16384" width="9.140625" style="4"/>
  </cols>
  <sheetData>
    <row r="1" spans="1:4" ht="109.5" customHeight="1">
      <c r="A1" s="38" t="s">
        <v>2</v>
      </c>
      <c r="B1" s="770" t="str">
        <f>'PLANILHA ORÇAMENTARIA'!B1:C1</f>
        <v>Construção de Escola Padrão SEDUC/MT, constituída de:  16 salas de aula, sala de articulação, biblioteca e laboratórios de física, informática e química; Espaços Administrativos – diretoria, secretaria, coordenadoria, sala de professores, arquivo, copa, e sanitários; Refeitório  –  Cozinha com área de higienização, cocção, depósito de alimentos, depósito de utensílios, sanitários e serviços; Quadra Poliesportiva com vestiários feminino e masculino incluindo PCD F/M; instalações elétricas de baixa tensão, posto de transformação, SPDA , instalações hidrossanitárias e instalações combate a incêndio e pânico,  observando as normas vigentes de acessibilidade e segurança, na EE Parque Sabiá – Localizada no município deVárzea Grande/ MT.</v>
      </c>
      <c r="C1" s="770"/>
      <c r="D1" s="770"/>
    </row>
    <row r="2" spans="1:4">
      <c r="A2" s="92" t="s">
        <v>44</v>
      </c>
      <c r="B2" s="8" t="str">
        <f>'PLANILHA ORÇAMENTARIA'!B2</f>
        <v>Várzea Grande/ MT</v>
      </c>
      <c r="C2" s="8"/>
    </row>
    <row r="3" spans="1:4">
      <c r="A3" s="98" t="s">
        <v>45</v>
      </c>
      <c r="B3" s="99" t="str">
        <f>'PLANILHA ORÇAMENTARIA'!B3</f>
        <v>Rua  Juscelino Kubitschek, S/ nº, Parque Sabiá ( São Matheus) - Várzea Grande/ MT</v>
      </c>
      <c r="C3" s="99"/>
      <c r="D3" s="100"/>
    </row>
    <row r="4" spans="1:4">
      <c r="A4" s="25"/>
      <c r="B4" s="8"/>
      <c r="C4" s="8"/>
      <c r="D4" s="9"/>
    </row>
    <row r="5" spans="1:4">
      <c r="A5" s="25" t="s">
        <v>34</v>
      </c>
      <c r="B5" s="28">
        <f>'PLANILHA ORÇAMENTARIA'!E2</f>
        <v>0.26729999999999998</v>
      </c>
      <c r="C5" s="108" t="s">
        <v>48</v>
      </c>
      <c r="D5" s="186">
        <f>D100/4392.02</f>
        <v>1897.1137358208748</v>
      </c>
    </row>
    <row r="6" spans="1:4">
      <c r="A6" s="25" t="s">
        <v>46</v>
      </c>
      <c r="B6" s="774" t="str">
        <f>'PLANILHA ORÇAMENTARIA'!H2</f>
        <v xml:space="preserve">02/2017 SINAPI
02/2017 SEDUC
</v>
      </c>
      <c r="C6" s="108" t="s">
        <v>248</v>
      </c>
      <c r="D6" s="34" t="s">
        <v>446</v>
      </c>
    </row>
    <row r="7" spans="1:4" ht="26.25" customHeight="1">
      <c r="A7" s="92"/>
      <c r="B7" s="774"/>
      <c r="C7" s="8"/>
      <c r="D7" s="9"/>
    </row>
    <row r="8" spans="1:4" ht="13.5" thickBot="1">
      <c r="A8" s="11"/>
      <c r="B8" s="185"/>
      <c r="C8" s="12"/>
      <c r="D8" s="13"/>
    </row>
    <row r="9" spans="1:4" ht="13.5" thickTop="1">
      <c r="A9" s="771" t="s">
        <v>49</v>
      </c>
      <c r="B9" s="771"/>
      <c r="C9" s="771"/>
      <c r="D9" s="771"/>
    </row>
    <row r="10" spans="1:4" s="3" customFormat="1">
      <c r="A10" s="24" t="s">
        <v>0</v>
      </c>
      <c r="B10" s="24" t="s">
        <v>1</v>
      </c>
      <c r="C10" s="2" t="s">
        <v>3</v>
      </c>
      <c r="D10" s="24" t="s">
        <v>37</v>
      </c>
    </row>
    <row r="11" spans="1:4" s="3" customFormat="1">
      <c r="A11" s="773" t="s">
        <v>652</v>
      </c>
      <c r="B11" s="773"/>
      <c r="C11" s="773"/>
      <c r="D11" s="773"/>
    </row>
    <row r="12" spans="1:4" s="3" customFormat="1" outlineLevel="1">
      <c r="A12" s="3" t="s">
        <v>15</v>
      </c>
      <c r="B12" s="94" t="str">
        <f>'PLANILHA ORÇAMENTARIA'!C8</f>
        <v>ADMINISTRAÇÃO DE OBRA</v>
      </c>
      <c r="C12" s="16">
        <f>D12/$D$100</f>
        <v>4.2414072419554305E-2</v>
      </c>
      <c r="D12" s="35">
        <f>'PLANILHA ORÇAMENTARIA'!H10</f>
        <v>353400.9</v>
      </c>
    </row>
    <row r="13" spans="1:4" s="3" customFormat="1" outlineLevel="1">
      <c r="A13" s="3" t="s">
        <v>17</v>
      </c>
      <c r="B13" s="94" t="str">
        <f>'PLANILHA ORÇAMENTARIA'!C11</f>
        <v>SERVIÇOS  PRELIMINARES</v>
      </c>
      <c r="C13" s="16">
        <f>D13/$D$100</f>
        <v>1.3616997271177465E-2</v>
      </c>
      <c r="D13" s="35">
        <f>'PLANILHA ORÇAMENTARIA'!H25</f>
        <v>113459.02</v>
      </c>
    </row>
    <row r="14" spans="1:4" s="3" customFormat="1">
      <c r="A14" s="95"/>
      <c r="B14" s="27"/>
      <c r="C14" s="103"/>
      <c r="D14" s="104">
        <f>SUM(D12:D13)</f>
        <v>466859.92000000004</v>
      </c>
    </row>
    <row r="15" spans="1:4" s="3" customFormat="1">
      <c r="A15" s="773" t="s">
        <v>604</v>
      </c>
      <c r="B15" s="773"/>
      <c r="C15" s="773"/>
      <c r="D15" s="773"/>
    </row>
    <row r="16" spans="1:4" outlineLevel="1">
      <c r="A16" s="3" t="s">
        <v>20</v>
      </c>
      <c r="B16" s="94" t="str">
        <f>'PLANILHA ORÇAMENTARIA'!C28</f>
        <v>MOVIMENTAÇÃO DE TERRA (PLATÔ)</v>
      </c>
      <c r="C16" s="16">
        <f t="shared" ref="C16:C30" si="0">D16/$D$100</f>
        <v>4.65357160199153E-3</v>
      </c>
      <c r="D16" s="35">
        <f>'PLANILHA ORÇAMENTARIA'!H31</f>
        <v>38774.31</v>
      </c>
    </row>
    <row r="17" spans="1:4" outlineLevel="1">
      <c r="A17" s="3" t="s">
        <v>23</v>
      </c>
      <c r="B17" s="4" t="str">
        <f>'PLANILHA ORÇAMENTARIA'!C32</f>
        <v>FUNDAÇÃO</v>
      </c>
      <c r="C17" s="16">
        <f t="shared" si="0"/>
        <v>5.3534340591697635E-2</v>
      </c>
      <c r="D17" s="35">
        <f>'PLANILHA ORÇAMENTARIA'!H50</f>
        <v>446056.77</v>
      </c>
    </row>
    <row r="18" spans="1:4" outlineLevel="1">
      <c r="A18" s="3" t="s">
        <v>29</v>
      </c>
      <c r="B18" s="4" t="str">
        <f>'PLANILHA ORÇAMENTARIA'!C51</f>
        <v>MESO ESTRUTURA</v>
      </c>
      <c r="C18" s="16">
        <f t="shared" si="0"/>
        <v>1.5081194771901126E-2</v>
      </c>
      <c r="D18" s="35">
        <f>'PLANILHA ORÇAMENTARIA'!H58</f>
        <v>125658.95</v>
      </c>
    </row>
    <row r="19" spans="1:4" outlineLevel="1">
      <c r="A19" s="3" t="s">
        <v>32</v>
      </c>
      <c r="B19" s="4" t="str">
        <f>'PLANILHA ORÇAMENTARIA'!C59</f>
        <v>SUPER ESTRUTURA</v>
      </c>
      <c r="C19" s="16">
        <f t="shared" si="0"/>
        <v>6.0793601015031694E-2</v>
      </c>
      <c r="D19" s="35">
        <f>'PLANILHA ORÇAMENTARIA'!H71</f>
        <v>506542.1</v>
      </c>
    </row>
    <row r="20" spans="1:4" outlineLevel="1">
      <c r="A20" s="3" t="s">
        <v>126</v>
      </c>
      <c r="B20" s="4" t="str">
        <f>'PLANILHA ORÇAMENTARIA'!C72</f>
        <v>CONTRAPISO ARMADO</v>
      </c>
      <c r="C20" s="16">
        <f t="shared" si="0"/>
        <v>2.4441660274257745E-2</v>
      </c>
      <c r="D20" s="35">
        <f>'PLANILHA ORÇAMENTARIA'!H78</f>
        <v>203651.86000000002</v>
      </c>
    </row>
    <row r="21" spans="1:4" outlineLevel="1">
      <c r="A21" s="3" t="s">
        <v>139</v>
      </c>
      <c r="B21" s="4" t="str">
        <f>'PLANILHA ORÇAMENTARIA'!C79</f>
        <v>COBERTURA</v>
      </c>
      <c r="C21" s="16">
        <f t="shared" si="0"/>
        <v>7.5108532432221334E-2</v>
      </c>
      <c r="D21" s="35">
        <f>'PLANILHA ORÇAMENTARIA'!H89</f>
        <v>625816.41999999993</v>
      </c>
    </row>
    <row r="22" spans="1:4" outlineLevel="1">
      <c r="A22" s="3" t="s">
        <v>140</v>
      </c>
      <c r="B22" s="4" t="str">
        <f>'PLANILHA ORÇAMENTARIA'!C90</f>
        <v>ESQUADRIAS</v>
      </c>
      <c r="C22" s="16">
        <f t="shared" si="0"/>
        <v>4.0420815320565309E-2</v>
      </c>
      <c r="D22" s="35">
        <f>'PLANILHA ORÇAMENTARIA'!H100</f>
        <v>336792.75999999995</v>
      </c>
    </row>
    <row r="23" spans="1:4" outlineLevel="1">
      <c r="A23" s="3" t="s">
        <v>141</v>
      </c>
      <c r="B23" s="4" t="str">
        <f>'PLANILHA ORÇAMENTARIA'!C101</f>
        <v>ELEMENTOS DE VEDAÇÃO</v>
      </c>
      <c r="C23" s="16">
        <f t="shared" si="0"/>
        <v>2.7591571626131725E-2</v>
      </c>
      <c r="D23" s="35">
        <f>'PLANILHA ORÇAMENTARIA'!H108</f>
        <v>229897.43</v>
      </c>
    </row>
    <row r="24" spans="1:4" outlineLevel="1">
      <c r="A24" s="3" t="s">
        <v>194</v>
      </c>
      <c r="B24" s="4" t="str">
        <f>'PLANILHA ORÇAMENTARIA'!C109</f>
        <v>REVESTIMENTO</v>
      </c>
      <c r="C24" s="16">
        <f t="shared" si="0"/>
        <v>7.0720306144043066E-2</v>
      </c>
      <c r="D24" s="35">
        <f>'PLANILHA ORÇAMENTARIA'!H118</f>
        <v>589253.00999999989</v>
      </c>
    </row>
    <row r="25" spans="1:4" outlineLevel="1">
      <c r="A25" s="3" t="s">
        <v>195</v>
      </c>
      <c r="B25" s="4" t="str">
        <f>'PLANILHA ORÇAMENTARIA'!C119</f>
        <v>PISOS</v>
      </c>
      <c r="C25" s="16">
        <f t="shared" si="0"/>
        <v>2.2459415923921117E-2</v>
      </c>
      <c r="D25" s="35">
        <f>'PLANILHA ORÇAMENTARIA'!H122</f>
        <v>187135.47999999998</v>
      </c>
    </row>
    <row r="26" spans="1:4" outlineLevel="1">
      <c r="A26" s="3" t="s">
        <v>142</v>
      </c>
      <c r="B26" s="4" t="str">
        <f>'PLANILHA ORÇAMENTARIA'!C123</f>
        <v>PINTURA INTERNA E EXTERNA</v>
      </c>
      <c r="C26" s="16">
        <f t="shared" si="0"/>
        <v>2.0117137744331298E-2</v>
      </c>
      <c r="D26" s="35">
        <f>'PLANILHA ORÇAMENTARIA'!H133</f>
        <v>167619.23999999996</v>
      </c>
    </row>
    <row r="27" spans="1:4" outlineLevel="1">
      <c r="A27" s="3" t="s">
        <v>146</v>
      </c>
      <c r="B27" s="4" t="str">
        <f>'PLANILHA ORÇAMENTARIA'!C134</f>
        <v>FORROS E DIVISÓRIAS</v>
      </c>
      <c r="C27" s="16">
        <f t="shared" si="0"/>
        <v>3.1132509965628406E-3</v>
      </c>
      <c r="D27" s="35">
        <f>'PLANILHA ORÇAMENTARIA'!H137</f>
        <v>25940.11</v>
      </c>
    </row>
    <row r="28" spans="1:4" outlineLevel="1">
      <c r="A28" s="3" t="s">
        <v>198</v>
      </c>
      <c r="B28" s="4" t="str">
        <f>'PLANILHA ORÇAMENTARIA'!C138</f>
        <v>ACESSIBILIDADE</v>
      </c>
      <c r="C28" s="16">
        <f t="shared" si="0"/>
        <v>2.3361493977384479E-2</v>
      </c>
      <c r="D28" s="35">
        <f>'PLANILHA ORÇAMENTARIA'!H143</f>
        <v>194651.74</v>
      </c>
    </row>
    <row r="29" spans="1:4" outlineLevel="1">
      <c r="A29" s="3" t="s">
        <v>199</v>
      </c>
      <c r="B29" s="4" t="str">
        <f>'PLANILHA ORÇAMENTARIA'!C144</f>
        <v>SERVIÇOS COMPLEMENTARES</v>
      </c>
      <c r="C29" s="16">
        <f t="shared" si="0"/>
        <v>1.6155106989303225E-2</v>
      </c>
      <c r="D29" s="35">
        <f>'PLANILHA ORÇAMENTARIA'!H160</f>
        <v>134606.96000000002</v>
      </c>
    </row>
    <row r="30" spans="1:4" outlineLevel="1">
      <c r="A30" s="3" t="s">
        <v>200</v>
      </c>
      <c r="B30" s="4" t="str">
        <f>'PLANILHA ORÇAMENTARIA'!C161</f>
        <v>LIMPEZA</v>
      </c>
      <c r="C30" s="16">
        <f t="shared" si="0"/>
        <v>2.6073630567795517E-3</v>
      </c>
      <c r="D30" s="35">
        <f>'PLANILHA ORÇAMENTARIA'!H165</f>
        <v>21724.97</v>
      </c>
    </row>
    <row r="31" spans="1:4">
      <c r="A31" s="95"/>
      <c r="B31" s="27"/>
      <c r="C31" s="103"/>
      <c r="D31" s="104">
        <f>SUM(D16:D30)</f>
        <v>3834122.11</v>
      </c>
    </row>
    <row r="32" spans="1:4">
      <c r="A32" s="773" t="s">
        <v>638</v>
      </c>
      <c r="B32" s="773"/>
      <c r="C32" s="773"/>
      <c r="D32" s="773"/>
    </row>
    <row r="33" spans="1:4" outlineLevel="1">
      <c r="A33" s="3" t="s">
        <v>166</v>
      </c>
      <c r="B33" s="4" t="str">
        <f>'PLANILHA ORÇAMENTARIA'!C168</f>
        <v>MOVIMENTAÇÃO DE TERRA (PLATÔ)</v>
      </c>
      <c r="C33" s="16">
        <f t="shared" ref="C33:C45" si="1">D33/$D$100</f>
        <v>1.033516936872324E-3</v>
      </c>
      <c r="D33" s="35">
        <f>'PLANILHA ORÇAMENTARIA'!H171</f>
        <v>8611.43</v>
      </c>
    </row>
    <row r="34" spans="1:4" outlineLevel="1">
      <c r="A34" s="3" t="s">
        <v>167</v>
      </c>
      <c r="B34" s="4" t="str">
        <f>'PLANILHA ORÇAMENTARIA'!C172</f>
        <v>FUNDAÇÃO</v>
      </c>
      <c r="C34" s="16">
        <f t="shared" si="1"/>
        <v>1.6643074008982212E-2</v>
      </c>
      <c r="D34" s="35">
        <f>'PLANILHA ORÇAMENTARIA'!H189</f>
        <v>138672.78</v>
      </c>
    </row>
    <row r="35" spans="1:4" outlineLevel="1">
      <c r="A35" s="3" t="s">
        <v>170</v>
      </c>
      <c r="B35" s="4" t="str">
        <f>'PLANILHA ORÇAMENTARIA'!C190</f>
        <v>MESO ESTRUTURA</v>
      </c>
      <c r="C35" s="16">
        <f t="shared" si="1"/>
        <v>4.9058158734890675E-3</v>
      </c>
      <c r="D35" s="35">
        <f>'PLANILHA ORÇAMENTARIA'!H195</f>
        <v>40876.050000000003</v>
      </c>
    </row>
    <row r="36" spans="1:4" outlineLevel="1">
      <c r="A36" s="3" t="s">
        <v>348</v>
      </c>
      <c r="B36" s="4" t="str">
        <f>'PLANILHA ORÇAMENTARIA'!C196</f>
        <v>SUPER ESTRUTURA</v>
      </c>
      <c r="C36" s="16">
        <f t="shared" si="1"/>
        <v>5.181966306757135E-3</v>
      </c>
      <c r="D36" s="35">
        <f>'PLANILHA ORÇAMENTARIA'!H207</f>
        <v>43176.979999999996</v>
      </c>
    </row>
    <row r="37" spans="1:4" outlineLevel="1">
      <c r="A37" s="3" t="s">
        <v>337</v>
      </c>
      <c r="B37" s="4" t="str">
        <f>'PLANILHA ORÇAMENTARIA'!C208</f>
        <v>CONTRAPISO ARMADO</v>
      </c>
      <c r="C37" s="16">
        <f t="shared" si="1"/>
        <v>2.4063779935364119E-3</v>
      </c>
      <c r="D37" s="35">
        <f>'PLANILHA ORÇAMENTARIA'!H214</f>
        <v>20050.329999999998</v>
      </c>
    </row>
    <row r="38" spans="1:4" outlineLevel="1">
      <c r="A38" s="3" t="s">
        <v>349</v>
      </c>
      <c r="B38" s="4" t="str">
        <f>'PLANILHA ORÇAMENTARIA'!C215</f>
        <v>ELEMENTOS DE VEDAÇÃO</v>
      </c>
      <c r="C38" s="16">
        <f t="shared" si="1"/>
        <v>4.171196168621538E-3</v>
      </c>
      <c r="D38" s="35">
        <f>'PLANILHA ORÇAMENTARIA'!H222</f>
        <v>34755.08</v>
      </c>
    </row>
    <row r="39" spans="1:4" outlineLevel="1">
      <c r="A39" s="3" t="s">
        <v>344</v>
      </c>
      <c r="B39" s="4" t="str">
        <f>'PLANILHA ORÇAMENTARIA'!C223</f>
        <v>COBERTURA</v>
      </c>
      <c r="C39" s="16">
        <f t="shared" si="1"/>
        <v>1.0789493257384028E-2</v>
      </c>
      <c r="D39" s="35">
        <f>'PLANILHA ORÇAMENTARIA'!H229</f>
        <v>89899.799999999988</v>
      </c>
    </row>
    <row r="40" spans="1:4" outlineLevel="1">
      <c r="A40" s="3" t="s">
        <v>350</v>
      </c>
      <c r="B40" s="4" t="str">
        <f>'PLANILHA ORÇAMENTARIA'!C230</f>
        <v>REVESTIMENTO</v>
      </c>
      <c r="C40" s="16">
        <f t="shared" si="1"/>
        <v>8.5228149089146259E-3</v>
      </c>
      <c r="D40" s="35">
        <f>'PLANILHA ORÇAMENTARIA'!H238</f>
        <v>71013.47</v>
      </c>
    </row>
    <row r="41" spans="1:4" outlineLevel="1">
      <c r="A41" s="3" t="s">
        <v>351</v>
      </c>
      <c r="B41" s="4" t="str">
        <f>'PLANILHA ORÇAMENTARIA'!C239</f>
        <v>PISOS</v>
      </c>
      <c r="C41" s="16">
        <f t="shared" si="1"/>
        <v>5.5991641746232276E-3</v>
      </c>
      <c r="D41" s="35">
        <f>'PLANILHA ORÇAMENTARIA'!H243</f>
        <v>46653.140000000007</v>
      </c>
    </row>
    <row r="42" spans="1:4" outlineLevel="1">
      <c r="A42" s="3" t="s">
        <v>352</v>
      </c>
      <c r="B42" s="4" t="str">
        <f>'PLANILHA ORÇAMENTARIA'!C244</f>
        <v>ESQUADRIAS</v>
      </c>
      <c r="C42" s="16">
        <f t="shared" si="1"/>
        <v>4.0291501936051653E-3</v>
      </c>
      <c r="D42" s="35">
        <f>'PLANILHA ORÇAMENTARIA'!H249</f>
        <v>33571.53</v>
      </c>
    </row>
    <row r="43" spans="1:4" outlineLevel="1">
      <c r="A43" s="3" t="s">
        <v>353</v>
      </c>
      <c r="B43" s="4" t="str">
        <f>'PLANILHA ORÇAMENTARIA'!C250</f>
        <v>PINTURA INTERNA E EXTERNA</v>
      </c>
      <c r="C43" s="16">
        <f t="shared" si="1"/>
        <v>1.8822498887554561E-3</v>
      </c>
      <c r="D43" s="35">
        <f>'PLANILHA ORÇAMENTARIA'!H258</f>
        <v>15683.209999999997</v>
      </c>
    </row>
    <row r="44" spans="1:4" outlineLevel="1">
      <c r="A44" s="3" t="s">
        <v>2243</v>
      </c>
      <c r="B44" s="4" t="str">
        <f>'PLANILHA ORÇAMENTARIA'!C259</f>
        <v>SERVIÇOS COMPLEMENTARES</v>
      </c>
      <c r="C44" s="16">
        <f t="shared" si="1"/>
        <v>2.4053278458608649E-3</v>
      </c>
      <c r="D44" s="35">
        <f>'PLANILHA ORÇAMENTARIA'!H266</f>
        <v>20041.579999999998</v>
      </c>
    </row>
    <row r="45" spans="1:4" outlineLevel="1">
      <c r="A45" s="3" t="s">
        <v>354</v>
      </c>
      <c r="B45" s="4" t="str">
        <f>'PLANILHA ORÇAMENTARIA'!C267</f>
        <v>LIMPEZA</v>
      </c>
      <c r="C45" s="16">
        <f t="shared" si="1"/>
        <v>1.1990886201584857E-4</v>
      </c>
      <c r="D45" s="35">
        <f>'PLANILHA ORÇAMENTARIA'!H269</f>
        <v>999.1</v>
      </c>
    </row>
    <row r="46" spans="1:4">
      <c r="A46" s="95"/>
      <c r="B46" s="27"/>
      <c r="C46" s="103"/>
      <c r="D46" s="104">
        <f>SUM(D33:D45)</f>
        <v>564004.47999999986</v>
      </c>
    </row>
    <row r="47" spans="1:4" s="3" customFormat="1">
      <c r="A47" s="773" t="s">
        <v>1796</v>
      </c>
      <c r="B47" s="773"/>
      <c r="C47" s="773"/>
      <c r="D47" s="773"/>
    </row>
    <row r="48" spans="1:4" outlineLevel="1">
      <c r="A48" s="3" t="s">
        <v>171</v>
      </c>
      <c r="B48" s="94" t="str">
        <f>'PLANILHA ORÇAMENTARIA'!C272</f>
        <v>MOVIMENTAÇÃO DE TERRA (PLATÔ)</v>
      </c>
      <c r="C48" s="16">
        <f t="shared" ref="C48:C62" si="2">D48/$D$100</f>
        <v>3.0666544439878697E-3</v>
      </c>
      <c r="D48" s="35">
        <f>'PLANILHA ORÇAMENTARIA'!H275</f>
        <v>25551.86</v>
      </c>
    </row>
    <row r="49" spans="1:4" outlineLevel="1">
      <c r="A49" s="3" t="s">
        <v>172</v>
      </c>
      <c r="B49" s="4" t="str">
        <f>'PLANILHA ORÇAMENTARIA'!C276</f>
        <v>FUNDAÇÃO</v>
      </c>
      <c r="C49" s="16">
        <f t="shared" si="2"/>
        <v>2.0623286120738129E-2</v>
      </c>
      <c r="D49" s="35">
        <f>'PLANILHA ORÇAMENTARIA'!H296</f>
        <v>171836.55</v>
      </c>
    </row>
    <row r="50" spans="1:4" outlineLevel="1">
      <c r="A50" s="3" t="s">
        <v>173</v>
      </c>
      <c r="B50" s="94" t="str">
        <f>'PLANILHA ORÇAMENTARIA'!C297</f>
        <v>MESO ESTRUTURA</v>
      </c>
      <c r="C50" s="16">
        <f t="shared" si="2"/>
        <v>1.4224352279625228E-2</v>
      </c>
      <c r="D50" s="35">
        <f>'PLANILHA ORÇAMENTARIA'!H306</f>
        <v>118519.59999999999</v>
      </c>
    </row>
    <row r="51" spans="1:4" outlineLevel="1">
      <c r="A51" s="3" t="s">
        <v>174</v>
      </c>
      <c r="B51" s="4" t="str">
        <f>'PLANILHA ORÇAMENTARIA'!C307</f>
        <v>SUPER ESTRUTURA</v>
      </c>
      <c r="C51" s="16">
        <f t="shared" si="2"/>
        <v>1.6838621107519179E-2</v>
      </c>
      <c r="D51" s="35">
        <f>'PLANILHA ORÇAMENTARIA'!H318</f>
        <v>140302.11000000002</v>
      </c>
    </row>
    <row r="52" spans="1:4" outlineLevel="1">
      <c r="A52" s="3" t="s">
        <v>175</v>
      </c>
      <c r="B52" s="4" t="str">
        <f>'PLANILHA ORÇAMENTARIA'!C319</f>
        <v>CONTRAPISO ARMADO</v>
      </c>
      <c r="C52" s="16">
        <f t="shared" si="2"/>
        <v>1.2324195872790737E-2</v>
      </c>
      <c r="D52" s="35">
        <f>'PLANILHA ORÇAMENTARIA'!H326</f>
        <v>102687.19</v>
      </c>
    </row>
    <row r="53" spans="1:4" outlineLevel="1">
      <c r="A53" s="3" t="s">
        <v>176</v>
      </c>
      <c r="B53" s="94" t="str">
        <f>'PLANILHA ORÇAMENTARIA'!C327</f>
        <v>ELEMENTOS DE VEDAÇÃO</v>
      </c>
      <c r="C53" s="16">
        <f t="shared" si="2"/>
        <v>2.106987852216935E-2</v>
      </c>
      <c r="D53" s="35">
        <f>'PLANILHA ORÇAMENTARIA'!H335</f>
        <v>175557.63</v>
      </c>
    </row>
    <row r="54" spans="1:4" outlineLevel="1">
      <c r="A54" s="3" t="s">
        <v>177</v>
      </c>
      <c r="B54" s="94" t="str">
        <f>'PLANILHA ORÇAMENTARIA'!C336</f>
        <v>ESQUADRIAS</v>
      </c>
      <c r="C54" s="16">
        <f t="shared" si="2"/>
        <v>2.7921686448066398E-3</v>
      </c>
      <c r="D54" s="35">
        <f>'PLANILHA ORÇAMENTARIA'!H340</f>
        <v>23264.799999999999</v>
      </c>
    </row>
    <row r="55" spans="1:4" outlineLevel="1">
      <c r="A55" s="3" t="s">
        <v>178</v>
      </c>
      <c r="B55" s="4" t="str">
        <f>'PLANILHA ORÇAMENTARIA'!C341</f>
        <v>COBERTURA</v>
      </c>
      <c r="C55" s="16">
        <f t="shared" si="2"/>
        <v>7.8087967011037762E-2</v>
      </c>
      <c r="D55" s="35">
        <f>'PLANILHA ORÇAMENTARIA'!H349</f>
        <v>650641.54999999993</v>
      </c>
    </row>
    <row r="56" spans="1:4" outlineLevel="1">
      <c r="A56" s="3" t="s">
        <v>179</v>
      </c>
      <c r="B56" s="124" t="str">
        <f>'PLANILHA ORÇAMENTARIA'!C350</f>
        <v>REVESTIMENTO</v>
      </c>
      <c r="C56" s="16">
        <f t="shared" si="2"/>
        <v>2.1669268010477E-2</v>
      </c>
      <c r="D56" s="35">
        <f>'PLANILHA ORÇAMENTARIA'!H356</f>
        <v>180551.84</v>
      </c>
    </row>
    <row r="57" spans="1:4" outlineLevel="1">
      <c r="A57" s="3" t="s">
        <v>180</v>
      </c>
      <c r="B57" s="124" t="str">
        <f>'PLANILHA ORÇAMENTARIA'!C357</f>
        <v>PISOS</v>
      </c>
      <c r="C57" s="16">
        <f>D57/$D$100</f>
        <v>2.6777001478345088E-3</v>
      </c>
      <c r="D57" s="35">
        <f>'PLANILHA ORÇAMENTARIA'!H361</f>
        <v>22311.03</v>
      </c>
    </row>
    <row r="58" spans="1:4" outlineLevel="1">
      <c r="A58" s="3" t="s">
        <v>387</v>
      </c>
      <c r="B58" s="4" t="str">
        <f>'PLANILHA ORÇAMENTARIA'!C362</f>
        <v>ARQUIBANCADA</v>
      </c>
      <c r="C58" s="16">
        <f t="shared" si="2"/>
        <v>5.5233411121112129E-3</v>
      </c>
      <c r="D58" s="35">
        <f>'PLANILHA ORÇAMENTARIA'!H369</f>
        <v>46021.369999999995</v>
      </c>
    </row>
    <row r="59" spans="1:4" outlineLevel="1">
      <c r="A59" s="3" t="s">
        <v>391</v>
      </c>
      <c r="B59" s="4" t="str">
        <f>'PLANILHA ORÇAMENTARIA'!C370</f>
        <v>PINTURA</v>
      </c>
      <c r="C59" s="16">
        <f t="shared" si="2"/>
        <v>1.7961831457402135E-2</v>
      </c>
      <c r="D59" s="35">
        <f>'PLANILHA ORÇAMENTARIA'!H383</f>
        <v>149660.88</v>
      </c>
    </row>
    <row r="60" spans="1:4" outlineLevel="1">
      <c r="A60" s="3" t="s">
        <v>393</v>
      </c>
      <c r="B60" s="4" t="str">
        <f>'PLANILHA ORÇAMENTARIA'!C384</f>
        <v>FORROS E DIVISÓRIAS</v>
      </c>
      <c r="C60" s="16">
        <f t="shared" si="2"/>
        <v>1.9247250617671959E-3</v>
      </c>
      <c r="D60" s="35">
        <f>'PLANILHA ORÇAMENTARIA'!H387</f>
        <v>16037.119999999999</v>
      </c>
    </row>
    <row r="61" spans="1:4" outlineLevel="1">
      <c r="A61" s="3" t="s">
        <v>395</v>
      </c>
      <c r="B61" s="4" t="str">
        <f>'PLANILHA ORÇAMENTARIA'!C388</f>
        <v>SERVIÇOS COMPLEMENTARES</v>
      </c>
      <c r="C61" s="16">
        <f t="shared" si="2"/>
        <v>5.5859455157678314E-3</v>
      </c>
      <c r="D61" s="35">
        <f>'PLANILHA ORÇAMENTARIA'!H400</f>
        <v>46543</v>
      </c>
    </row>
    <row r="62" spans="1:4" outlineLevel="1">
      <c r="A62" s="3" t="s">
        <v>398</v>
      </c>
      <c r="B62" s="4" t="str">
        <f>'PLANILHA ORÇAMENTARIA'!C401</f>
        <v>LIMPEZA</v>
      </c>
      <c r="C62" s="16">
        <f t="shared" si="2"/>
        <v>4.9647621627284667E-4</v>
      </c>
      <c r="D62" s="35">
        <f>'PLANILHA ORÇAMENTARIA'!H403</f>
        <v>4136.72</v>
      </c>
    </row>
    <row r="63" spans="1:4">
      <c r="A63" s="95"/>
      <c r="B63" s="27"/>
      <c r="C63" s="103"/>
      <c r="D63" s="104">
        <f>SUM(D48:D62)</f>
        <v>1873623.2500000002</v>
      </c>
    </row>
    <row r="64" spans="1:4" s="27" customFormat="1">
      <c r="A64" s="773" t="s">
        <v>648</v>
      </c>
      <c r="B64" s="773"/>
      <c r="C64" s="773"/>
      <c r="D64" s="773"/>
    </row>
    <row r="65" spans="1:4" s="27" customFormat="1" outlineLevel="1">
      <c r="A65" s="3" t="s">
        <v>400</v>
      </c>
      <c r="B65" s="4" t="str">
        <f>'PLANILHA ORÇAMENTARIA'!C406</f>
        <v>URBANIZAÇÃO E PAISAGISMO</v>
      </c>
      <c r="C65" s="16">
        <f>D65/$D$100</f>
        <v>7.1846531317881429E-3</v>
      </c>
      <c r="D65" s="35">
        <f>'PLANILHA ORÇAMENTARIA'!H411</f>
        <v>59863.689999999995</v>
      </c>
    </row>
    <row r="66" spans="1:4" s="27" customFormat="1" outlineLevel="1">
      <c r="A66" s="3" t="s">
        <v>402</v>
      </c>
      <c r="B66" s="4" t="str">
        <f>'PLANILHA ORÇAMENTARIA'!C412</f>
        <v>PERGOLADOS METÁLICOS</v>
      </c>
      <c r="C66" s="16">
        <f>D66/$D$100</f>
        <v>5.5164197388027818E-3</v>
      </c>
      <c r="D66" s="35">
        <f>'PLANILHA ORÇAMENTARIA'!H431</f>
        <v>45963.700000000004</v>
      </c>
    </row>
    <row r="67" spans="1:4" s="27" customFormat="1" ht="13.5" customHeight="1" outlineLevel="1">
      <c r="A67" s="3" t="s">
        <v>404</v>
      </c>
      <c r="B67" s="4" t="str">
        <f>'PLANILHA ORÇAMENTARIA'!C432</f>
        <v>MUROS, CERCAS, FECHAMENTOS E CALÇADAS DE ÁREAS DE CONVIVENCIA</v>
      </c>
      <c r="C67" s="16">
        <f>D67/$D$100</f>
        <v>5.3635715247366655E-2</v>
      </c>
      <c r="D67" s="35">
        <f>'PLANILHA ORÇAMENTARIA'!H441</f>
        <v>446901.43999999994</v>
      </c>
    </row>
    <row r="68" spans="1:4" s="27" customFormat="1" outlineLevel="1">
      <c r="A68" s="3" t="s">
        <v>410</v>
      </c>
      <c r="B68" s="4" t="str">
        <f>'PLANILHA ORÇAMENTARIA'!C442</f>
        <v>ITENS COMPLEMENTARES</v>
      </c>
      <c r="C68" s="16">
        <f>D68/$D$100</f>
        <v>5.0180616578953557E-4</v>
      </c>
      <c r="D68" s="35">
        <f>'PLANILHA ORÇAMENTARIA'!H444</f>
        <v>4181.13</v>
      </c>
    </row>
    <row r="69" spans="1:4" s="27" customFormat="1">
      <c r="A69" s="95"/>
      <c r="C69" s="103"/>
      <c r="D69" s="104">
        <f>SUM(D65:D68)</f>
        <v>556909.96</v>
      </c>
    </row>
    <row r="70" spans="1:4" s="27" customFormat="1">
      <c r="A70" s="773" t="s">
        <v>192</v>
      </c>
      <c r="B70" s="773"/>
      <c r="C70" s="773"/>
      <c r="D70" s="773"/>
    </row>
    <row r="71" spans="1:4" s="27" customFormat="1" outlineLevel="1">
      <c r="A71" s="3" t="s">
        <v>411</v>
      </c>
      <c r="B71" s="4" t="str">
        <f>'PLANILHA ORÇAMENTARIA'!C447</f>
        <v>ALIMENTAÇÃO</v>
      </c>
      <c r="C71" s="16">
        <f t="shared" ref="C71:C84" si="3">D71/$D$100</f>
        <v>3.472328291304705E-4</v>
      </c>
      <c r="D71" s="35">
        <f>'PLANILHA ORÇAMENTARIA'!H464</f>
        <v>2893.2</v>
      </c>
    </row>
    <row r="72" spans="1:4" s="27" customFormat="1" outlineLevel="1">
      <c r="A72" s="3" t="s">
        <v>413</v>
      </c>
      <c r="B72" s="4" t="str">
        <f>'PLANILHA ORÇAMENTARIA'!C465</f>
        <v>ÁGUA FRIA - RAMAL DE DISTRIBUIÇÃO ESCOLAR</v>
      </c>
      <c r="C72" s="16">
        <f t="shared" si="3"/>
        <v>3.1767651281486751E-3</v>
      </c>
      <c r="D72" s="35">
        <f>'PLANILHA ORÇAMENTARIA'!H515</f>
        <v>26469.320000000003</v>
      </c>
    </row>
    <row r="73" spans="1:4" s="27" customFormat="1" outlineLevel="1">
      <c r="A73" s="3" t="s">
        <v>421</v>
      </c>
      <c r="B73" s="4" t="str">
        <f>'PLANILHA ORÇAMENTARIA'!C516</f>
        <v>CISTERNA E CAIXAS D'ÁGUA</v>
      </c>
      <c r="C73" s="16">
        <f t="shared" si="3"/>
        <v>1.5375651379449323E-2</v>
      </c>
      <c r="D73" s="35">
        <f>'PLANILHA ORÇAMENTARIA'!H523</f>
        <v>128112.41</v>
      </c>
    </row>
    <row r="74" spans="1:4" s="27" customFormat="1" outlineLevel="1">
      <c r="A74" s="3" t="s">
        <v>425</v>
      </c>
      <c r="B74" s="4" t="str">
        <f>'PLANILHA ORÇAMENTARIA'!C524</f>
        <v xml:space="preserve">LOUÇAS PARA OS BANHEIROS COLETIVOS </v>
      </c>
      <c r="C74" s="16">
        <f t="shared" si="3"/>
        <v>8.7151815602056501E-4</v>
      </c>
      <c r="D74" s="35">
        <f>'PLANILHA ORÇAMENTARIA'!H533</f>
        <v>7261.63</v>
      </c>
    </row>
    <row r="75" spans="1:4" s="27" customFormat="1" outlineLevel="1">
      <c r="A75" s="3" t="s">
        <v>429</v>
      </c>
      <c r="B75" s="4" t="str">
        <f>'PLANILHA ORÇAMENTARIA'!C534</f>
        <v>LOUÇAS PARA VESTIÁRIOS</v>
      </c>
      <c r="C75" s="16">
        <f t="shared" si="3"/>
        <v>3.8491572823540107E-4</v>
      </c>
      <c r="D75" s="35">
        <f>'PLANILHA ORÇAMENTARIA'!H543</f>
        <v>3207.18</v>
      </c>
    </row>
    <row r="76" spans="1:4" s="27" customFormat="1" outlineLevel="1">
      <c r="A76" s="3" t="s">
        <v>432</v>
      </c>
      <c r="B76" s="4" t="str">
        <f>'PLANILHA ORÇAMENTARIA'!C544</f>
        <v>BANHEIROS FUNCIONÁRIOS E COPA</v>
      </c>
      <c r="C76" s="16">
        <f t="shared" si="3"/>
        <v>3.268959692880268E-4</v>
      </c>
      <c r="D76" s="35">
        <f>'PLANILHA ORÇAMENTARIA'!H551</f>
        <v>2723.75</v>
      </c>
    </row>
    <row r="77" spans="1:4" s="27" customFormat="1" outlineLevel="1">
      <c r="A77" s="3" t="s">
        <v>434</v>
      </c>
      <c r="B77" s="4" t="str">
        <f>'PLANILHA ORÇAMENTARIA'!C552</f>
        <v>LOUÇAS LABORATÓRIOS</v>
      </c>
      <c r="C77" s="16">
        <f t="shared" si="3"/>
        <v>6.1609463744585833E-4</v>
      </c>
      <c r="D77" s="35">
        <f>'PLANILHA ORÇAMENTARIA'!H555</f>
        <v>5133.3999999999996</v>
      </c>
    </row>
    <row r="78" spans="1:4" s="27" customFormat="1" ht="25.5" outlineLevel="1">
      <c r="A78" s="3" t="s">
        <v>437</v>
      </c>
      <c r="B78" s="4" t="str">
        <f>'PLANILHA ORÇAMENTARIA'!C556</f>
        <v>ACESSORIOS COMPLEMENTARES E LOUÇAS PARA COZINHA, ÁREA DE SERVIÇO E REFEITÓRIO</v>
      </c>
      <c r="C78" s="16">
        <f t="shared" si="3"/>
        <v>2.7509764522122256E-3</v>
      </c>
      <c r="D78" s="35">
        <f>'PLANILHA ORÇAMENTARIA'!H563</f>
        <v>22921.58</v>
      </c>
    </row>
    <row r="79" spans="1:4" s="27" customFormat="1" outlineLevel="1">
      <c r="A79" s="3" t="s">
        <v>440</v>
      </c>
      <c r="B79" s="4" t="str">
        <f>'PLANILHA ORÇAMENTARIA'!C564</f>
        <v>BANHEIROS FUNCIONÁRIOS REFEITÓRIO</v>
      </c>
      <c r="C79" s="16">
        <f t="shared" si="3"/>
        <v>2.1290513948717316E-4</v>
      </c>
      <c r="D79" s="35">
        <f>'PLANILHA ORÇAMENTARIA'!H571</f>
        <v>1773.9599999999998</v>
      </c>
    </row>
    <row r="80" spans="1:4" s="27" customFormat="1" outlineLevel="1">
      <c r="A80" s="3" t="s">
        <v>983</v>
      </c>
      <c r="B80" s="4" t="str">
        <f>'PLANILHA ORÇAMENTARIA'!C572</f>
        <v>ACESSORIOS E LOUÇAS PARA BANHEIROS PCDs</v>
      </c>
      <c r="C80" s="16">
        <f t="shared" si="3"/>
        <v>1.3240477923671349E-3</v>
      </c>
      <c r="D80" s="35">
        <f>'PLANILHA ORÇAMENTARIA'!H582</f>
        <v>11032.18</v>
      </c>
    </row>
    <row r="81" spans="1:7" s="27" customFormat="1" outlineLevel="1">
      <c r="A81" s="3" t="s">
        <v>984</v>
      </c>
      <c r="B81" s="4" t="str">
        <f>'PLANILHA ORÇAMENTARIA'!C583</f>
        <v>INSTALAÇÕES SANITARIAS</v>
      </c>
      <c r="C81" s="16">
        <f t="shared" si="3"/>
        <v>2.3604211309169458E-3</v>
      </c>
      <c r="D81" s="35">
        <f>'PLANILHA ORÇAMENTARIA'!H612</f>
        <v>19667.41</v>
      </c>
    </row>
    <row r="82" spans="1:7" s="27" customFormat="1" outlineLevel="1">
      <c r="A82" s="3" t="s">
        <v>985</v>
      </c>
      <c r="B82" s="4" t="str">
        <f>'PLANILHA ORÇAMENTARIA'!C613</f>
        <v>VENTILAÇÃO ESGOTO</v>
      </c>
      <c r="C82" s="16">
        <f t="shared" si="3"/>
        <v>1.7724332459438045E-4</v>
      </c>
      <c r="D82" s="35">
        <f>'PLANILHA ORÇAMENTARIA'!H620</f>
        <v>1476.8200000000002</v>
      </c>
    </row>
    <row r="83" spans="1:7" s="27" customFormat="1" outlineLevel="1">
      <c r="A83" s="3" t="s">
        <v>986</v>
      </c>
      <c r="B83" s="4" t="str">
        <f>'PLANILHA ORÇAMENTARIA'!C621</f>
        <v>SISTEMA DE TRATAMENTO DE ESGOTO</v>
      </c>
      <c r="C83" s="16">
        <f t="shared" si="3"/>
        <v>6.9748192241886548E-3</v>
      </c>
      <c r="D83" s="35">
        <f>'PLANILHA ORÇAMENTARIA'!H626</f>
        <v>58115.32</v>
      </c>
    </row>
    <row r="84" spans="1:7" s="27" customFormat="1" ht="25.5" outlineLevel="1">
      <c r="A84" s="3" t="s">
        <v>987</v>
      </c>
      <c r="B84" s="4" t="str">
        <f>'PLANILHA ORÇAMENTARIA'!C627</f>
        <v>DRENO DOS CONDICIONADORES DE AR E DRENAGEM PLUVIAL</v>
      </c>
      <c r="C84" s="16">
        <f t="shared" si="3"/>
        <v>8.948526774049663E-3</v>
      </c>
      <c r="D84" s="35">
        <f>'PLANILHA ORÇAMENTARIA'!H645</f>
        <v>74560.569999999992</v>
      </c>
    </row>
    <row r="85" spans="1:7" s="27" customFormat="1">
      <c r="A85" s="95"/>
      <c r="C85" s="103"/>
      <c r="D85" s="104">
        <f>SUM(D71:D84)</f>
        <v>365348.73</v>
      </c>
    </row>
    <row r="86" spans="1:7" s="27" customFormat="1">
      <c r="A86" s="773" t="s">
        <v>191</v>
      </c>
      <c r="B86" s="773"/>
      <c r="C86" s="773"/>
      <c r="D86" s="773"/>
    </row>
    <row r="87" spans="1:7" s="27" customFormat="1" outlineLevel="1">
      <c r="A87" s="3" t="s">
        <v>988</v>
      </c>
      <c r="B87" s="4" t="str">
        <f>'PLANILHA ORÇAMENTARIA'!C648</f>
        <v>INSTALAÇÕES DE GÁS</v>
      </c>
      <c r="C87" s="16">
        <f>D87/$D$100</f>
        <v>3.8109643115209575E-3</v>
      </c>
      <c r="D87" s="35">
        <f>'PLANILHA ORÇAMENTARIA'!H664</f>
        <v>31753.57</v>
      </c>
    </row>
    <row r="88" spans="1:7" s="27" customFormat="1">
      <c r="A88" s="95"/>
      <c r="C88" s="103"/>
      <c r="D88" s="104">
        <f>SUM(D87)</f>
        <v>31753.57</v>
      </c>
    </row>
    <row r="89" spans="1:7" ht="15" customHeight="1">
      <c r="A89" s="773" t="s">
        <v>2525</v>
      </c>
      <c r="B89" s="773"/>
      <c r="C89" s="773"/>
      <c r="D89" s="773"/>
    </row>
    <row r="90" spans="1:7" outlineLevel="1">
      <c r="A90" s="3" t="s">
        <v>989</v>
      </c>
      <c r="B90" s="4" t="str">
        <f>'PLANILHA ORÇAMENTARIA'!C667</f>
        <v>INSTALAÇÕES ELÉTRICAS - BAIXA TENSÃO</v>
      </c>
      <c r="C90" s="16">
        <f>D90/$D$100</f>
        <v>5.2847744440075048E-2</v>
      </c>
      <c r="D90" s="35">
        <f>'PLANILHA ORÇAMENTARIA'!H733</f>
        <v>440335.94</v>
      </c>
    </row>
    <row r="91" spans="1:7" ht="25.5" outlineLevel="1">
      <c r="A91" s="3" t="s">
        <v>990</v>
      </c>
      <c r="B91" s="4" t="str">
        <f>'PLANILHA ORÇAMENTARIA'!C734</f>
        <v>SPDA - SISTEMA DE PROTEÇÃO CONTRA DESCARGA ATMOSFERICAS</v>
      </c>
      <c r="C91" s="16">
        <f>D91/$D$100</f>
        <v>1.3334128293123441E-2</v>
      </c>
      <c r="D91" s="35">
        <f>'PLANILHA ORÇAMENTARIA'!H764</f>
        <v>111102.11</v>
      </c>
    </row>
    <row r="92" spans="1:7">
      <c r="A92" s="95"/>
      <c r="B92" s="27"/>
      <c r="C92" s="103"/>
      <c r="D92" s="104">
        <f>SUM(D90:D91)</f>
        <v>551438.05000000005</v>
      </c>
    </row>
    <row r="93" spans="1:7" ht="15.75">
      <c r="A93" s="773" t="s">
        <v>210</v>
      </c>
      <c r="B93" s="773"/>
      <c r="C93" s="773"/>
      <c r="D93" s="773"/>
      <c r="E93" s="93"/>
      <c r="F93" s="93"/>
      <c r="G93" s="77"/>
    </row>
    <row r="94" spans="1:7" outlineLevel="1">
      <c r="A94" s="3" t="s">
        <v>991</v>
      </c>
      <c r="B94" s="4" t="str">
        <f>'PLANILHA ORÇAMENTARIA'!C767</f>
        <v>EXTINTORES DE INCÊNDIO</v>
      </c>
      <c r="C94" s="16">
        <f>D94/$D$100</f>
        <v>4.1552243226030517E-4</v>
      </c>
      <c r="D94" s="35">
        <f>'PLANILHA ORÇAMENTARIA'!H772</f>
        <v>3462.2</v>
      </c>
    </row>
    <row r="95" spans="1:7" outlineLevel="1">
      <c r="A95" s="3" t="s">
        <v>992</v>
      </c>
      <c r="B95" s="4" t="str">
        <f>'PLANILHA ORÇAMENTARIA'!C773</f>
        <v>SINALIZAÇÃO - SAIDA DE EMERGENCIA</v>
      </c>
      <c r="C95" s="16">
        <f>D95/$D$100</f>
        <v>2.44832029161336E-4</v>
      </c>
      <c r="D95" s="35">
        <f>'PLANILHA ORÇAMENTARIA'!H776</f>
        <v>2039.98</v>
      </c>
    </row>
    <row r="96" spans="1:7" outlineLevel="1">
      <c r="A96" s="3" t="s">
        <v>1446</v>
      </c>
      <c r="B96" s="4" t="str">
        <f>'PLANILHA ORÇAMENTARIA'!C777</f>
        <v>SISTEMA DE ALARME DE EMERGENCIA</v>
      </c>
      <c r="C96" s="16">
        <f>D96/$D$100</f>
        <v>1.7367414268317101E-3</v>
      </c>
      <c r="D96" s="35">
        <f>'PLANILHA ORÇAMENTARIA'!H798</f>
        <v>14470.81</v>
      </c>
    </row>
    <row r="97" spans="1:4" outlineLevel="1">
      <c r="A97" s="3" t="s">
        <v>2212</v>
      </c>
      <c r="B97" s="4" t="str">
        <f>'PLANILHA ORÇAMENTARIA'!C799</f>
        <v>SISTEMA DE ACIONAMENTO DO HIDRANTE</v>
      </c>
      <c r="C97" s="16">
        <f>D97/$D$100</f>
        <v>7.792477406225783E-3</v>
      </c>
      <c r="D97" s="35">
        <f>'PLANILHA ORÇAMENTARIA'!H840</f>
        <v>64928.180000000008</v>
      </c>
    </row>
    <row r="98" spans="1:4" outlineLevel="1">
      <c r="A98" s="3" t="s">
        <v>2224</v>
      </c>
      <c r="B98" s="4" t="str">
        <f>'PLANILHA ORÇAMENTARIA'!C841</f>
        <v>LUMINARIA DE EMERGENCIA</v>
      </c>
      <c r="C98" s="16">
        <f>D98/$D$100</f>
        <v>3.8408161093882404E-4</v>
      </c>
      <c r="D98" s="35">
        <f>'PLANILHA ORÇAMENTARIA'!H844</f>
        <v>3200.23</v>
      </c>
    </row>
    <row r="99" spans="1:4" ht="13.5" thickBot="1">
      <c r="A99" s="95"/>
      <c r="B99" s="27"/>
      <c r="C99" s="103"/>
      <c r="D99" s="104">
        <f>SUM(D94:D98)</f>
        <v>88101.400000000009</v>
      </c>
    </row>
    <row r="100" spans="1:4" ht="13.5" thickTop="1">
      <c r="A100" s="31"/>
      <c r="B100" s="32" t="s">
        <v>43</v>
      </c>
      <c r="C100" s="33">
        <f>SUM(C12:C99)</f>
        <v>1</v>
      </c>
      <c r="D100" s="36">
        <f>D99+D92+D88+D85+D69+D63+D46+D31+D14</f>
        <v>8332161.4699999997</v>
      </c>
    </row>
    <row r="101" spans="1:4">
      <c r="A101" s="772" t="str">
        <f>'PLANILHA ORÇAMENTARIA'!A847:H847</f>
        <v>oito milhões, trezentos e trinta e dois mil, cento e sessenta e um reais e quarenta e sete centavos</v>
      </c>
      <c r="B101" s="772"/>
      <c r="C101" s="772"/>
      <c r="D101" s="772"/>
    </row>
    <row r="102" spans="1:4">
      <c r="A102" s="171"/>
      <c r="B102" s="171"/>
      <c r="C102" s="171"/>
      <c r="D102" s="226"/>
    </row>
    <row r="103" spans="1:4">
      <c r="A103" s="4"/>
      <c r="D103" s="4"/>
    </row>
    <row r="104" spans="1:4">
      <c r="A104" s="4"/>
      <c r="D104" s="4"/>
    </row>
    <row r="113" spans="1:4">
      <c r="A113" s="4"/>
      <c r="D113" s="4"/>
    </row>
    <row r="114" spans="1:4">
      <c r="A114" s="4"/>
      <c r="D114" s="4"/>
    </row>
    <row r="129" spans="1:4">
      <c r="A129" s="4"/>
      <c r="D129" s="4"/>
    </row>
    <row r="130" spans="1:4">
      <c r="A130" s="4"/>
      <c r="D130" s="4"/>
    </row>
    <row r="149" spans="3:4">
      <c r="C149" s="105"/>
      <c r="D149" s="105"/>
    </row>
    <row r="150" spans="3:4">
      <c r="C150" s="105"/>
      <c r="D150" s="105"/>
    </row>
    <row r="151" spans="3:4">
      <c r="C151" s="105"/>
      <c r="D151" s="105"/>
    </row>
    <row r="152" spans="3:4">
      <c r="C152" s="105"/>
      <c r="D152" s="106"/>
    </row>
    <row r="153" spans="3:4">
      <c r="C153" s="105"/>
      <c r="D153" s="106"/>
    </row>
    <row r="154" spans="3:4">
      <c r="C154" s="105"/>
      <c r="D154" s="106"/>
    </row>
    <row r="155" spans="3:4">
      <c r="C155" s="105"/>
      <c r="D155" s="106"/>
    </row>
    <row r="156" spans="3:4">
      <c r="C156" s="105"/>
      <c r="D156" s="106"/>
    </row>
    <row r="157" spans="3:4">
      <c r="C157" s="105"/>
      <c r="D157" s="106"/>
    </row>
    <row r="158" spans="3:4">
      <c r="C158" s="105"/>
      <c r="D158" s="106"/>
    </row>
    <row r="159" spans="3:4">
      <c r="C159" s="105"/>
      <c r="D159" s="106"/>
    </row>
  </sheetData>
  <mergeCells count="13">
    <mergeCell ref="B1:D1"/>
    <mergeCell ref="A9:D9"/>
    <mergeCell ref="A101:D101"/>
    <mergeCell ref="A15:D15"/>
    <mergeCell ref="A32:D32"/>
    <mergeCell ref="A89:D89"/>
    <mergeCell ref="A93:D93"/>
    <mergeCell ref="A47:D47"/>
    <mergeCell ref="A11:D11"/>
    <mergeCell ref="A64:D64"/>
    <mergeCell ref="A70:D70"/>
    <mergeCell ref="A86:D86"/>
    <mergeCell ref="B6:B7"/>
  </mergeCells>
  <conditionalFormatting sqref="A11:D101">
    <cfRule type="expression" dxfId="60" priority="1">
      <formula>EVEN(ROW())=ROW()</formula>
    </cfRule>
  </conditionalFormatting>
  <pageMargins left="0.511811024" right="0.511811024" top="0.890625" bottom="0.92031249999999998" header="0.31496062000000002" footer="0.31496062000000002"/>
  <pageSetup paperSize="9" scale="95" orientation="portrait" r:id="rId1"/>
  <headerFooter>
    <oddHeader>&amp;L&amp;G&amp;C&amp;"-,Negrito"&amp;9&amp;K00-045GOVERNO DO ESTADO DE MATO GROSSO&amp;"-,Regular"SECRETARIA DE ESTADO DE EDUCAÇÃOSECRETARIA ADJUNTA DE ESTRUTURA ESCOLAR&amp;R&amp;G</oddHeader>
    <oddFooter>&amp;L&amp;"-,Negrito"&amp;7&amp;K00-049Secretaria de Estado de Educação, Esporte e Lazer de Mato Grosso&amp;"-,Regular"Rua Engenheiro Edgar Prado Arze, 215 - Centro Político AdministrativoCEP: 78049-909 | Cuiabá-MTFone: (65) 3613-6300&amp;C&amp;9&amp;K00-049&amp;P / &amp;N&amp;R&amp;7&amp;K00-049&amp;A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>
    <tabColor theme="8" tint="0.59999389629810485"/>
  </sheetPr>
  <dimension ref="A1:K850"/>
  <sheetViews>
    <sheetView showGridLines="0" zoomScale="80" zoomScaleNormal="80" zoomScalePageLayoutView="85" workbookViewId="0">
      <selection activeCell="C14" sqref="C14"/>
    </sheetView>
  </sheetViews>
  <sheetFormatPr defaultRowHeight="15" outlineLevelRow="2"/>
  <cols>
    <col min="1" max="1" width="10.7109375" style="63" customWidth="1"/>
    <col min="2" max="2" width="19.7109375" style="63" customWidth="1"/>
    <col min="3" max="3" width="61.42578125" style="58" customWidth="1"/>
    <col min="4" max="4" width="11" style="63" customWidth="1"/>
    <col min="5" max="5" width="14" style="494" customWidth="1"/>
    <col min="6" max="6" width="13.28515625" style="214" customWidth="1"/>
    <col min="7" max="7" width="13.28515625" style="223" customWidth="1"/>
    <col min="8" max="8" width="18.42578125" style="223" customWidth="1"/>
    <col min="9" max="9" width="15.42578125" style="281" bestFit="1" customWidth="1"/>
    <col min="10" max="16384" width="9.140625" style="58"/>
  </cols>
  <sheetData>
    <row r="1" spans="1:9" ht="80.25" customHeight="1">
      <c r="A1" s="85" t="s">
        <v>519</v>
      </c>
      <c r="B1" s="775" t="s">
        <v>3305</v>
      </c>
      <c r="C1" s="775"/>
      <c r="D1" s="775"/>
      <c r="E1" s="775"/>
      <c r="F1" s="775"/>
      <c r="G1" s="775"/>
      <c r="H1" s="775"/>
    </row>
    <row r="2" spans="1:9" ht="42.75">
      <c r="A2" s="86" t="s">
        <v>520</v>
      </c>
      <c r="B2" s="87" t="s">
        <v>3306</v>
      </c>
      <c r="C2" s="88"/>
      <c r="D2" s="84" t="s">
        <v>34</v>
      </c>
      <c r="E2" s="489">
        <v>0.26729999999999998</v>
      </c>
      <c r="F2" s="201"/>
      <c r="G2" s="215" t="s">
        <v>46</v>
      </c>
      <c r="H2" s="216" t="s">
        <v>4533</v>
      </c>
    </row>
    <row r="3" spans="1:9">
      <c r="A3" s="86" t="s">
        <v>521</v>
      </c>
      <c r="B3" s="87" t="s">
        <v>3307</v>
      </c>
      <c r="C3" s="88"/>
      <c r="D3" s="84"/>
      <c r="E3" s="489"/>
      <c r="F3" s="201"/>
      <c r="G3" s="215"/>
      <c r="H3" s="217"/>
    </row>
    <row r="4" spans="1:9" ht="16.5" thickBot="1">
      <c r="A4" s="59"/>
      <c r="B4" s="60"/>
      <c r="C4" s="61"/>
      <c r="D4" s="62"/>
      <c r="E4" s="490"/>
      <c r="F4" s="202"/>
      <c r="G4" s="202"/>
      <c r="H4" s="202"/>
    </row>
    <row r="5" spans="1:9" ht="16.5" thickTop="1">
      <c r="A5" s="776" t="s">
        <v>36</v>
      </c>
      <c r="B5" s="776"/>
      <c r="C5" s="776"/>
      <c r="D5" s="776"/>
      <c r="E5" s="776"/>
      <c r="F5" s="776"/>
      <c r="G5" s="776"/>
      <c r="H5" s="776"/>
    </row>
    <row r="6" spans="1:9" s="63" customFormat="1" ht="15.75">
      <c r="A6" s="82" t="s">
        <v>0</v>
      </c>
      <c r="B6" s="82" t="s">
        <v>4</v>
      </c>
      <c r="C6" s="82" t="s">
        <v>1</v>
      </c>
      <c r="D6" s="82" t="s">
        <v>5</v>
      </c>
      <c r="E6" s="491" t="s">
        <v>6</v>
      </c>
      <c r="F6" s="203" t="s">
        <v>50</v>
      </c>
      <c r="G6" s="203" t="s">
        <v>7</v>
      </c>
      <c r="H6" s="203" t="s">
        <v>8</v>
      </c>
      <c r="I6" s="1040"/>
    </row>
    <row r="7" spans="1:9" s="63" customFormat="1" ht="15.75">
      <c r="A7" s="778" t="s">
        <v>652</v>
      </c>
      <c r="B7" s="778"/>
      <c r="C7" s="778"/>
      <c r="D7" s="778"/>
      <c r="E7" s="778"/>
      <c r="F7" s="778"/>
      <c r="G7" s="778"/>
      <c r="H7" s="778"/>
      <c r="I7" s="1040"/>
    </row>
    <row r="8" spans="1:9" s="63" customFormat="1" ht="15.75" outlineLevel="1">
      <c r="A8" s="175" t="s">
        <v>15</v>
      </c>
      <c r="B8" s="175"/>
      <c r="C8" s="176" t="s">
        <v>68</v>
      </c>
      <c r="D8" s="175"/>
      <c r="E8" s="177"/>
      <c r="F8" s="204"/>
      <c r="G8" s="218"/>
      <c r="H8" s="218"/>
      <c r="I8" s="1040"/>
    </row>
    <row r="9" spans="1:9" s="63" customFormat="1" outlineLevel="2">
      <c r="A9" s="64" t="s">
        <v>16</v>
      </c>
      <c r="B9" s="68" t="s">
        <v>2623</v>
      </c>
      <c r="C9" s="69" t="s">
        <v>5294</v>
      </c>
      <c r="D9" s="68" t="s">
        <v>1460</v>
      </c>
      <c r="E9" s="70">
        <v>10</v>
      </c>
      <c r="F9" s="205">
        <v>27886.13</v>
      </c>
      <c r="G9" s="219">
        <f>TRUNC(F9*(1+$E$2),2)</f>
        <v>35340.089999999997</v>
      </c>
      <c r="H9" s="219">
        <f>TRUNC((G9*E9),2)</f>
        <v>353400.9</v>
      </c>
      <c r="I9" s="1040"/>
    </row>
    <row r="10" spans="1:9" s="63" customFormat="1" ht="15.75" outlineLevel="1">
      <c r="A10" s="66"/>
      <c r="B10" s="66"/>
      <c r="C10" s="67" t="s">
        <v>14</v>
      </c>
      <c r="D10" s="66"/>
      <c r="E10" s="81"/>
      <c r="F10" s="206"/>
      <c r="G10" s="208"/>
      <c r="H10" s="208">
        <f>SUM(H9)</f>
        <v>353400.9</v>
      </c>
      <c r="I10" s="1041"/>
    </row>
    <row r="11" spans="1:9" s="63" customFormat="1" ht="15.75" outlineLevel="1">
      <c r="A11" s="175" t="s">
        <v>17</v>
      </c>
      <c r="B11" s="175"/>
      <c r="C11" s="176" t="s">
        <v>9</v>
      </c>
      <c r="D11" s="175"/>
      <c r="E11" s="177"/>
      <c r="F11" s="204"/>
      <c r="G11" s="218"/>
      <c r="H11" s="218"/>
      <c r="I11" s="1040"/>
    </row>
    <row r="12" spans="1:9" s="63" customFormat="1" outlineLevel="2">
      <c r="A12" s="64" t="s">
        <v>18</v>
      </c>
      <c r="B12" s="68" t="s">
        <v>954</v>
      </c>
      <c r="C12" s="69" t="s">
        <v>953</v>
      </c>
      <c r="D12" s="68" t="s">
        <v>108</v>
      </c>
      <c r="E12" s="70">
        <f>(5*2.5)+(0.6*1.2)</f>
        <v>13.22</v>
      </c>
      <c r="F12" s="205">
        <v>367.93</v>
      </c>
      <c r="G12" s="219">
        <f>TRUNC(F12*(1+$E$2),2)</f>
        <v>466.27</v>
      </c>
      <c r="H12" s="219">
        <f>TRUNC((G12*E12),2)</f>
        <v>6164.08</v>
      </c>
      <c r="I12" s="1040"/>
    </row>
    <row r="13" spans="1:9" s="63" customFormat="1" ht="45" outlineLevel="2">
      <c r="A13" s="64" t="s">
        <v>19</v>
      </c>
      <c r="B13" s="68" t="s">
        <v>72</v>
      </c>
      <c r="C13" s="69" t="s">
        <v>955</v>
      </c>
      <c r="D13" s="68" t="s">
        <v>108</v>
      </c>
      <c r="E13" s="70">
        <f>'Quant Bloco Salas 18_03_2017'!E8</f>
        <v>8454.25</v>
      </c>
      <c r="F13" s="205">
        <v>0.54</v>
      </c>
      <c r="G13" s="219">
        <f t="shared" ref="G13:G24" si="0">TRUNC(F13*(1+$E$2),2)</f>
        <v>0.68</v>
      </c>
      <c r="H13" s="219">
        <f t="shared" ref="H13:H24" si="1">TRUNC((G13*E13),2)</f>
        <v>5748.89</v>
      </c>
      <c r="I13" s="1040"/>
    </row>
    <row r="14" spans="1:9" s="63" customFormat="1" ht="45" outlineLevel="2">
      <c r="A14" s="64" t="s">
        <v>77</v>
      </c>
      <c r="B14" s="68" t="s">
        <v>957</v>
      </c>
      <c r="C14" s="69" t="s">
        <v>956</v>
      </c>
      <c r="D14" s="68" t="s">
        <v>108</v>
      </c>
      <c r="E14" s="70">
        <f>'Quant Bloco Salas 18_03_2017'!E9</f>
        <v>2073.0700000000002</v>
      </c>
      <c r="F14" s="205">
        <v>4.25</v>
      </c>
      <c r="G14" s="219">
        <f t="shared" si="0"/>
        <v>5.38</v>
      </c>
      <c r="H14" s="219">
        <f t="shared" si="1"/>
        <v>11153.11</v>
      </c>
      <c r="I14" s="1040"/>
    </row>
    <row r="15" spans="1:9" s="63" customFormat="1" ht="45" outlineLevel="2">
      <c r="A15" s="64" t="s">
        <v>78</v>
      </c>
      <c r="B15" s="68" t="s">
        <v>2624</v>
      </c>
      <c r="C15" s="69" t="s">
        <v>958</v>
      </c>
      <c r="D15" s="68" t="s">
        <v>108</v>
      </c>
      <c r="E15" s="70">
        <f>'ARQ - BLOCO DE SALAS'!F10</f>
        <v>20.3</v>
      </c>
      <c r="F15" s="205">
        <v>558.67999999999995</v>
      </c>
      <c r="G15" s="219">
        <f t="shared" si="0"/>
        <v>708.01</v>
      </c>
      <c r="H15" s="219">
        <f t="shared" si="1"/>
        <v>14372.6</v>
      </c>
      <c r="I15" s="1040"/>
    </row>
    <row r="16" spans="1:9" s="63" customFormat="1" ht="45" outlineLevel="2">
      <c r="A16" s="64" t="s">
        <v>83</v>
      </c>
      <c r="B16" s="68" t="s">
        <v>2625</v>
      </c>
      <c r="C16" s="69" t="s">
        <v>959</v>
      </c>
      <c r="D16" s="68" t="s">
        <v>108</v>
      </c>
      <c r="E16" s="70">
        <f>'ARQ - BLOCO DE SALAS'!F11</f>
        <v>21.8</v>
      </c>
      <c r="F16" s="205">
        <v>425.03</v>
      </c>
      <c r="G16" s="219">
        <f t="shared" si="0"/>
        <v>538.64</v>
      </c>
      <c r="H16" s="219">
        <f t="shared" si="1"/>
        <v>11742.35</v>
      </c>
      <c r="I16" s="1040"/>
    </row>
    <row r="17" spans="1:9" s="63" customFormat="1" ht="45" outlineLevel="2">
      <c r="A17" s="64" t="s">
        <v>92</v>
      </c>
      <c r="B17" s="68" t="s">
        <v>2626</v>
      </c>
      <c r="C17" s="69" t="s">
        <v>960</v>
      </c>
      <c r="D17" s="68" t="s">
        <v>108</v>
      </c>
      <c r="E17" s="70">
        <f>'ARQ - BLOCO DE SALAS'!F12</f>
        <v>14.5</v>
      </c>
      <c r="F17" s="205">
        <v>311.89</v>
      </c>
      <c r="G17" s="219">
        <f t="shared" si="0"/>
        <v>395.25</v>
      </c>
      <c r="H17" s="219">
        <f t="shared" si="1"/>
        <v>5731.12</v>
      </c>
      <c r="I17" s="1040"/>
    </row>
    <row r="18" spans="1:9" s="63" customFormat="1" ht="45" outlineLevel="2">
      <c r="A18" s="64" t="s">
        <v>93</v>
      </c>
      <c r="B18" s="68" t="s">
        <v>1458</v>
      </c>
      <c r="C18" s="69" t="s">
        <v>1459</v>
      </c>
      <c r="D18" s="68" t="s">
        <v>1460</v>
      </c>
      <c r="E18" s="70">
        <f>'ARQ - BLOCO DE SALAS'!F13</f>
        <v>10</v>
      </c>
      <c r="F18" s="205">
        <v>643.75</v>
      </c>
      <c r="G18" s="219">
        <f t="shared" si="0"/>
        <v>815.82</v>
      </c>
      <c r="H18" s="219">
        <f t="shared" si="1"/>
        <v>8158.2</v>
      </c>
      <c r="I18" s="1040"/>
    </row>
    <row r="19" spans="1:9" s="63" customFormat="1" ht="45" outlineLevel="2">
      <c r="A19" s="64" t="s">
        <v>298</v>
      </c>
      <c r="B19" s="68" t="s">
        <v>314</v>
      </c>
      <c r="C19" s="69" t="s">
        <v>961</v>
      </c>
      <c r="D19" s="68" t="s">
        <v>108</v>
      </c>
      <c r="E19" s="70">
        <f>'ARQ - BLOCO DE SALAS'!F14</f>
        <v>639.47</v>
      </c>
      <c r="F19" s="205">
        <v>45.97</v>
      </c>
      <c r="G19" s="219">
        <f t="shared" si="0"/>
        <v>58.25</v>
      </c>
      <c r="H19" s="219">
        <f t="shared" si="1"/>
        <v>37249.120000000003</v>
      </c>
      <c r="I19" s="1040"/>
    </row>
    <row r="20" spans="1:9" s="63" customFormat="1" ht="30" outlineLevel="2">
      <c r="A20" s="64" t="s">
        <v>252</v>
      </c>
      <c r="B20" s="68" t="s">
        <v>2627</v>
      </c>
      <c r="C20" s="69" t="s">
        <v>962</v>
      </c>
      <c r="D20" s="68" t="s">
        <v>284</v>
      </c>
      <c r="E20" s="70">
        <f>'Quant Bloco Salas 18_03_2017'!E15</f>
        <v>24</v>
      </c>
      <c r="F20" s="205">
        <v>17.36</v>
      </c>
      <c r="G20" s="219">
        <f t="shared" si="0"/>
        <v>22</v>
      </c>
      <c r="H20" s="219">
        <f t="shared" si="1"/>
        <v>528</v>
      </c>
      <c r="I20" s="1040"/>
    </row>
    <row r="21" spans="1:9" ht="48.75" customHeight="1" outlineLevel="2">
      <c r="A21" s="64" t="s">
        <v>253</v>
      </c>
      <c r="B21" s="68" t="s">
        <v>2628</v>
      </c>
      <c r="C21" s="69" t="s">
        <v>530</v>
      </c>
      <c r="D21" s="68" t="s">
        <v>2621</v>
      </c>
      <c r="E21" s="70">
        <f>E20*10</f>
        <v>240</v>
      </c>
      <c r="F21" s="205">
        <v>1.2</v>
      </c>
      <c r="G21" s="219">
        <f t="shared" si="0"/>
        <v>1.52</v>
      </c>
      <c r="H21" s="219">
        <f t="shared" si="1"/>
        <v>364.8</v>
      </c>
    </row>
    <row r="22" spans="1:9" ht="39" customHeight="1" outlineLevel="2">
      <c r="A22" s="64" t="s">
        <v>254</v>
      </c>
      <c r="B22" s="68" t="s">
        <v>2629</v>
      </c>
      <c r="C22" s="69" t="s">
        <v>2562</v>
      </c>
      <c r="D22" s="68" t="s">
        <v>2622</v>
      </c>
      <c r="E22" s="70">
        <f>40*8</f>
        <v>320</v>
      </c>
      <c r="F22" s="205">
        <v>21.94</v>
      </c>
      <c r="G22" s="219">
        <f t="shared" si="0"/>
        <v>27.8</v>
      </c>
      <c r="H22" s="219">
        <f t="shared" si="1"/>
        <v>8896</v>
      </c>
    </row>
    <row r="23" spans="1:9" s="63" customFormat="1" ht="30" outlineLevel="2">
      <c r="A23" s="64" t="s">
        <v>2111</v>
      </c>
      <c r="B23" s="68" t="s">
        <v>2630</v>
      </c>
      <c r="C23" s="69" t="s">
        <v>963</v>
      </c>
      <c r="D23" s="68" t="s">
        <v>57</v>
      </c>
      <c r="E23" s="70">
        <f>'ARQ - BLOCO DE SALAS'!F17</f>
        <v>1</v>
      </c>
      <c r="F23" s="205">
        <v>1234.6300000000001</v>
      </c>
      <c r="G23" s="219">
        <f t="shared" si="0"/>
        <v>1564.64</v>
      </c>
      <c r="H23" s="219">
        <f t="shared" si="1"/>
        <v>1564.64</v>
      </c>
      <c r="I23" s="1040"/>
    </row>
    <row r="24" spans="1:9" s="63" customFormat="1" outlineLevel="2">
      <c r="A24" s="64" t="s">
        <v>2550</v>
      </c>
      <c r="B24" s="68" t="s">
        <v>1461</v>
      </c>
      <c r="C24" s="69" t="s">
        <v>1462</v>
      </c>
      <c r="D24" s="68" t="s">
        <v>57</v>
      </c>
      <c r="E24" s="70">
        <f>'ARQ - BLOCO DE SALAS'!F16</f>
        <v>1</v>
      </c>
      <c r="F24" s="205">
        <v>1409.39</v>
      </c>
      <c r="G24" s="219">
        <f t="shared" si="0"/>
        <v>1786.11</v>
      </c>
      <c r="H24" s="219">
        <f t="shared" si="1"/>
        <v>1786.11</v>
      </c>
      <c r="I24" s="1040"/>
    </row>
    <row r="25" spans="1:9" s="63" customFormat="1" ht="15.75" outlineLevel="1">
      <c r="A25" s="79"/>
      <c r="B25" s="79"/>
      <c r="C25" s="80" t="s">
        <v>14</v>
      </c>
      <c r="D25" s="79"/>
      <c r="E25" s="81"/>
      <c r="F25" s="207"/>
      <c r="G25" s="207"/>
      <c r="H25" s="220">
        <f>SUM(H12:H24)</f>
        <v>113459.02</v>
      </c>
      <c r="I25" s="1040"/>
    </row>
    <row r="26" spans="1:9" s="63" customFormat="1" ht="15.75">
      <c r="A26" s="66"/>
      <c r="B26" s="66"/>
      <c r="C26" s="67" t="s">
        <v>651</v>
      </c>
      <c r="D26" s="66"/>
      <c r="E26" s="279"/>
      <c r="F26" s="208"/>
      <c r="G26" s="206"/>
      <c r="H26" s="208">
        <f>H25+H10</f>
        <v>466859.92000000004</v>
      </c>
      <c r="I26" s="1042"/>
    </row>
    <row r="27" spans="1:9" s="63" customFormat="1" ht="15.75">
      <c r="A27" s="778" t="s">
        <v>604</v>
      </c>
      <c r="B27" s="778"/>
      <c r="C27" s="778"/>
      <c r="D27" s="778"/>
      <c r="E27" s="778"/>
      <c r="F27" s="778"/>
      <c r="G27" s="778"/>
      <c r="H27" s="778"/>
      <c r="I27" s="1040"/>
    </row>
    <row r="28" spans="1:9" ht="15.75" outlineLevel="1">
      <c r="A28" s="178" t="s">
        <v>20</v>
      </c>
      <c r="B28" s="178"/>
      <c r="C28" s="179" t="s">
        <v>533</v>
      </c>
      <c r="D28" s="178"/>
      <c r="E28" s="180"/>
      <c r="F28" s="209"/>
      <c r="G28" s="205"/>
      <c r="H28" s="210"/>
    </row>
    <row r="29" spans="1:9" outlineLevel="2">
      <c r="A29" s="64" t="s">
        <v>21</v>
      </c>
      <c r="B29" s="68" t="s">
        <v>654</v>
      </c>
      <c r="C29" s="69" t="s">
        <v>653</v>
      </c>
      <c r="D29" s="68" t="s">
        <v>284</v>
      </c>
      <c r="E29" s="70">
        <f>'EST - BLOCOS 01_02'!I4+'EST - BLOCOS 01_02'!T4</f>
        <v>951.05</v>
      </c>
      <c r="F29" s="205">
        <v>27.41</v>
      </c>
      <c r="G29" s="219">
        <f t="shared" ref="G29:G30" si="2">TRUNC(F29*(1+$E$2),2)</f>
        <v>34.729999999999997</v>
      </c>
      <c r="H29" s="219">
        <f t="shared" ref="H29" si="3">TRUNC((G29*E29),2)</f>
        <v>33029.96</v>
      </c>
    </row>
    <row r="30" spans="1:9" ht="45" outlineLevel="2">
      <c r="A30" s="64" t="s">
        <v>22</v>
      </c>
      <c r="B30" s="68" t="s">
        <v>156</v>
      </c>
      <c r="C30" s="69" t="s">
        <v>522</v>
      </c>
      <c r="D30" s="68" t="s">
        <v>284</v>
      </c>
      <c r="E30" s="70">
        <f>'EST - BLOCOS 01_02'!I6+'EST - BLOCOS 01_02'!T6</f>
        <v>951.05200000000002</v>
      </c>
      <c r="F30" s="205">
        <v>4.7699999999999996</v>
      </c>
      <c r="G30" s="219">
        <f t="shared" si="2"/>
        <v>6.04</v>
      </c>
      <c r="H30" s="219">
        <f t="shared" ref="H30" si="4">TRUNC((G30*E30),2)</f>
        <v>5744.35</v>
      </c>
    </row>
    <row r="31" spans="1:9" ht="15.75" outlineLevel="1">
      <c r="A31" s="588"/>
      <c r="B31" s="588"/>
      <c r="C31" s="589" t="s">
        <v>14</v>
      </c>
      <c r="D31" s="588"/>
      <c r="E31" s="590"/>
      <c r="F31" s="591"/>
      <c r="G31" s="591"/>
      <c r="H31" s="592">
        <f>SUM(H29:H30)</f>
        <v>38774.31</v>
      </c>
    </row>
    <row r="32" spans="1:9" ht="15.75" outlineLevel="1">
      <c r="A32" s="421" t="s">
        <v>23</v>
      </c>
      <c r="B32" s="421"/>
      <c r="C32" s="593" t="s">
        <v>157</v>
      </c>
      <c r="D32" s="421"/>
      <c r="E32" s="594"/>
      <c r="F32" s="595"/>
      <c r="G32" s="222"/>
      <c r="H32" s="596"/>
    </row>
    <row r="33" spans="1:9" ht="45" outlineLevel="2">
      <c r="A33" s="64" t="s">
        <v>24</v>
      </c>
      <c r="B33" s="68" t="s">
        <v>2631</v>
      </c>
      <c r="C33" s="69" t="s">
        <v>523</v>
      </c>
      <c r="D33" s="68" t="s">
        <v>284</v>
      </c>
      <c r="E33" s="70">
        <f>'EST - BLOCOS 01_02'!K13</f>
        <v>156.24</v>
      </c>
      <c r="F33" s="205">
        <v>10.44</v>
      </c>
      <c r="G33" s="219">
        <f t="shared" ref="G33:G49" si="5">TRUNC(F33*(1+$E$2),2)</f>
        <v>13.23</v>
      </c>
      <c r="H33" s="219">
        <f t="shared" ref="H33" si="6">TRUNC((G33*E33),2)</f>
        <v>2067.0500000000002</v>
      </c>
    </row>
    <row r="34" spans="1:9" outlineLevel="2">
      <c r="A34" s="64" t="s">
        <v>25</v>
      </c>
      <c r="B34" s="68" t="s">
        <v>2632</v>
      </c>
      <c r="C34" s="69" t="s">
        <v>524</v>
      </c>
      <c r="D34" s="68" t="s">
        <v>284</v>
      </c>
      <c r="E34" s="70">
        <f>'EST - BLOCOS 01_02'!K14</f>
        <v>204.31571428571428</v>
      </c>
      <c r="F34" s="205">
        <v>54.9</v>
      </c>
      <c r="G34" s="219">
        <f t="shared" si="5"/>
        <v>69.569999999999993</v>
      </c>
      <c r="H34" s="219">
        <f t="shared" ref="H34:H49" si="7">TRUNC((G34*E34),2)</f>
        <v>14214.24</v>
      </c>
    </row>
    <row r="35" spans="1:9" ht="45" outlineLevel="2">
      <c r="A35" s="64" t="s">
        <v>26</v>
      </c>
      <c r="B35" s="68" t="s">
        <v>2633</v>
      </c>
      <c r="C35" s="69" t="s">
        <v>525</v>
      </c>
      <c r="D35" s="68" t="s">
        <v>108</v>
      </c>
      <c r="E35" s="70">
        <f>'EST - BLOCOS 01_02'!K15+'EST - BLOCOS 01_02'!K16</f>
        <v>502.52619047619044</v>
      </c>
      <c r="F35" s="205">
        <v>4.18</v>
      </c>
      <c r="G35" s="219">
        <f t="shared" si="5"/>
        <v>5.29</v>
      </c>
      <c r="H35" s="219">
        <f t="shared" si="7"/>
        <v>2658.36</v>
      </c>
    </row>
    <row r="36" spans="1:9" ht="45" outlineLevel="2">
      <c r="A36" s="64" t="s">
        <v>27</v>
      </c>
      <c r="B36" s="68" t="s">
        <v>2634</v>
      </c>
      <c r="C36" s="69" t="s">
        <v>526</v>
      </c>
      <c r="D36" s="68" t="s">
        <v>108</v>
      </c>
      <c r="E36" s="70">
        <f>'EST - BLOCOS 01_02'!K19+'EST - BLOCOS 01_02'!K20</f>
        <v>502.52619047619044</v>
      </c>
      <c r="F36" s="205">
        <v>19.12</v>
      </c>
      <c r="G36" s="219">
        <f t="shared" si="5"/>
        <v>24.23</v>
      </c>
      <c r="H36" s="219">
        <f t="shared" si="7"/>
        <v>12176.2</v>
      </c>
    </row>
    <row r="37" spans="1:9" ht="30" outlineLevel="2">
      <c r="A37" s="64" t="s">
        <v>28</v>
      </c>
      <c r="B37" s="68" t="s">
        <v>2635</v>
      </c>
      <c r="C37" s="69" t="s">
        <v>534</v>
      </c>
      <c r="D37" s="68" t="s">
        <v>108</v>
      </c>
      <c r="E37" s="70">
        <f>'EST - BLOCOS 01_02'!K30+'EST - BLOCOS 01_02'!K41</f>
        <v>1116.31</v>
      </c>
      <c r="F37" s="205">
        <v>45.06</v>
      </c>
      <c r="G37" s="219">
        <f t="shared" si="5"/>
        <v>57.1</v>
      </c>
      <c r="H37" s="219">
        <f t="shared" si="7"/>
        <v>63741.3</v>
      </c>
    </row>
    <row r="38" spans="1:9" ht="60" outlineLevel="2">
      <c r="A38" s="64" t="s">
        <v>51</v>
      </c>
      <c r="B38" s="68" t="s">
        <v>80</v>
      </c>
      <c r="C38" s="69" t="s">
        <v>536</v>
      </c>
      <c r="D38" s="68" t="s">
        <v>284</v>
      </c>
      <c r="E38" s="70">
        <f>'EST - BLOCOS 01_02'!K31+'EST - BLOCOS 01_02'!K42</f>
        <v>98.596000000000004</v>
      </c>
      <c r="F38" s="205">
        <v>294.68</v>
      </c>
      <c r="G38" s="219">
        <f t="shared" si="5"/>
        <v>373.44</v>
      </c>
      <c r="H38" s="219">
        <f t="shared" si="7"/>
        <v>36819.69</v>
      </c>
    </row>
    <row r="39" spans="1:9" ht="45" outlineLevel="2">
      <c r="A39" s="64" t="s">
        <v>52</v>
      </c>
      <c r="B39" s="68" t="s">
        <v>2636</v>
      </c>
      <c r="C39" s="69" t="s">
        <v>535</v>
      </c>
      <c r="D39" s="68" t="s">
        <v>284</v>
      </c>
      <c r="E39" s="70">
        <f>E38</f>
        <v>98.596000000000004</v>
      </c>
      <c r="F39" s="205">
        <v>23.69</v>
      </c>
      <c r="G39" s="219">
        <f t="shared" si="5"/>
        <v>30.02</v>
      </c>
      <c r="H39" s="219">
        <f t="shared" si="7"/>
        <v>2959.85</v>
      </c>
    </row>
    <row r="40" spans="1:9" ht="72.75" customHeight="1" outlineLevel="2">
      <c r="A40" s="64" t="s">
        <v>53</v>
      </c>
      <c r="B40" s="68" t="s">
        <v>538</v>
      </c>
      <c r="C40" s="69" t="s">
        <v>537</v>
      </c>
      <c r="D40" s="68" t="s">
        <v>94</v>
      </c>
      <c r="E40" s="70">
        <f>'EST - BLOCOS 01_02'!K36+'EST - BLOCOS 01_02'!K47</f>
        <v>2306</v>
      </c>
      <c r="F40" s="205">
        <v>7.55</v>
      </c>
      <c r="G40" s="219">
        <f t="shared" si="5"/>
        <v>9.56</v>
      </c>
      <c r="H40" s="219">
        <f t="shared" si="7"/>
        <v>22045.360000000001</v>
      </c>
    </row>
    <row r="41" spans="1:9" ht="75" outlineLevel="2">
      <c r="A41" s="64" t="s">
        <v>54</v>
      </c>
      <c r="B41" s="68" t="s">
        <v>542</v>
      </c>
      <c r="C41" s="69" t="s">
        <v>541</v>
      </c>
      <c r="D41" s="68" t="s">
        <v>94</v>
      </c>
      <c r="E41" s="70">
        <f>'EST - BLOCOS 01_02'!K11+'EST - BLOCOS 01_02'!K44</f>
        <v>2090.6</v>
      </c>
      <c r="F41" s="205">
        <v>10.97</v>
      </c>
      <c r="G41" s="219">
        <f t="shared" si="5"/>
        <v>13.9</v>
      </c>
      <c r="H41" s="219">
        <f t="shared" si="7"/>
        <v>29059.34</v>
      </c>
    </row>
    <row r="42" spans="1:9" ht="75" outlineLevel="2">
      <c r="A42" s="64" t="s">
        <v>55</v>
      </c>
      <c r="B42" s="68" t="s">
        <v>544</v>
      </c>
      <c r="C42" s="69" t="s">
        <v>543</v>
      </c>
      <c r="D42" s="68" t="s">
        <v>94</v>
      </c>
      <c r="E42" s="70">
        <f>'EST - BLOCOS 01_02'!K34+'EST - BLOCOS 01_02'!K45</f>
        <v>1384</v>
      </c>
      <c r="F42" s="205">
        <v>9.9600000000000009</v>
      </c>
      <c r="G42" s="219">
        <f t="shared" si="5"/>
        <v>12.62</v>
      </c>
      <c r="H42" s="219">
        <f t="shared" si="7"/>
        <v>17466.080000000002</v>
      </c>
    </row>
    <row r="43" spans="1:9" ht="75" outlineLevel="2">
      <c r="A43" s="64" t="s">
        <v>547</v>
      </c>
      <c r="B43" s="68" t="s">
        <v>546</v>
      </c>
      <c r="C43" s="69" t="s">
        <v>545</v>
      </c>
      <c r="D43" s="68" t="s">
        <v>94</v>
      </c>
      <c r="E43" s="70">
        <f>'EST - BLOCOS 01_02'!K46+'EST - BLOCOS 01_02'!K35+'EST - BLOCOS 01_02'!K12</f>
        <v>3590.48</v>
      </c>
      <c r="F43" s="205">
        <v>9.41</v>
      </c>
      <c r="G43" s="219">
        <f t="shared" si="5"/>
        <v>11.92</v>
      </c>
      <c r="H43" s="219">
        <f t="shared" si="7"/>
        <v>42798.52</v>
      </c>
    </row>
    <row r="44" spans="1:9" ht="64.5" customHeight="1" outlineLevel="2">
      <c r="A44" s="64" t="s">
        <v>548</v>
      </c>
      <c r="B44" s="68" t="s">
        <v>540</v>
      </c>
      <c r="C44" s="69" t="s">
        <v>539</v>
      </c>
      <c r="D44" s="68" t="s">
        <v>57</v>
      </c>
      <c r="E44" s="70">
        <f>'EST - BLOCOS 01_02'!K37</f>
        <v>249</v>
      </c>
      <c r="F44" s="205">
        <v>6.28</v>
      </c>
      <c r="G44" s="219">
        <f t="shared" si="5"/>
        <v>7.95</v>
      </c>
      <c r="H44" s="219">
        <f t="shared" si="7"/>
        <v>1979.55</v>
      </c>
    </row>
    <row r="45" spans="1:9" outlineLevel="2">
      <c r="A45" s="64" t="s">
        <v>549</v>
      </c>
      <c r="B45" s="68" t="s">
        <v>268</v>
      </c>
      <c r="C45" s="69" t="s">
        <v>527</v>
      </c>
      <c r="D45" s="68" t="s">
        <v>284</v>
      </c>
      <c r="E45" s="70">
        <f>'EST - BLOCOS 01_02'!K17</f>
        <v>261.95971428571431</v>
      </c>
      <c r="F45" s="205">
        <v>41.64</v>
      </c>
      <c r="G45" s="219">
        <f t="shared" si="5"/>
        <v>52.77</v>
      </c>
      <c r="H45" s="219">
        <f t="shared" si="7"/>
        <v>13823.61</v>
      </c>
    </row>
    <row r="46" spans="1:9" ht="75" outlineLevel="2">
      <c r="A46" s="64" t="s">
        <v>550</v>
      </c>
      <c r="B46" s="68" t="s">
        <v>529</v>
      </c>
      <c r="C46" s="69" t="s">
        <v>528</v>
      </c>
      <c r="D46" s="68" t="s">
        <v>284</v>
      </c>
      <c r="E46" s="70">
        <f>'EST - BLOCOS 01_02'!K18</f>
        <v>133.00880000000001</v>
      </c>
      <c r="F46" s="205">
        <v>1.44</v>
      </c>
      <c r="G46" s="219">
        <f t="shared" si="5"/>
        <v>1.82</v>
      </c>
      <c r="H46" s="219">
        <f t="shared" si="7"/>
        <v>242.07</v>
      </c>
      <c r="I46" s="1039"/>
    </row>
    <row r="47" spans="1:9" ht="45" outlineLevel="2">
      <c r="A47" s="64" t="s">
        <v>551</v>
      </c>
      <c r="B47" s="68" t="s">
        <v>2628</v>
      </c>
      <c r="C47" s="69" t="s">
        <v>530</v>
      </c>
      <c r="D47" s="68" t="s">
        <v>2621</v>
      </c>
      <c r="E47" s="70">
        <f>E46*10</f>
        <v>1330.0880000000002</v>
      </c>
      <c r="F47" s="205">
        <v>1.2</v>
      </c>
      <c r="G47" s="219">
        <f t="shared" si="5"/>
        <v>1.52</v>
      </c>
      <c r="H47" s="219">
        <f t="shared" si="7"/>
        <v>2021.73</v>
      </c>
    </row>
    <row r="48" spans="1:9" ht="45" outlineLevel="2">
      <c r="A48" s="64" t="s">
        <v>552</v>
      </c>
      <c r="B48" s="68" t="s">
        <v>153</v>
      </c>
      <c r="C48" s="69" t="s">
        <v>531</v>
      </c>
      <c r="D48" s="68" t="s">
        <v>108</v>
      </c>
      <c r="E48" s="70">
        <f>'EST - BLOCOS 01_02'!K21</f>
        <v>858.93000000000006</v>
      </c>
      <c r="F48" s="205">
        <v>8.6</v>
      </c>
      <c r="G48" s="219">
        <f t="shared" si="5"/>
        <v>10.89</v>
      </c>
      <c r="H48" s="219">
        <f t="shared" si="7"/>
        <v>9353.74</v>
      </c>
    </row>
    <row r="49" spans="1:9" ht="60" outlineLevel="2">
      <c r="A49" s="64" t="s">
        <v>2971</v>
      </c>
      <c r="B49" s="68">
        <v>90808</v>
      </c>
      <c r="C49" s="69" t="s">
        <v>647</v>
      </c>
      <c r="D49" s="68" t="s">
        <v>76</v>
      </c>
      <c r="E49" s="70">
        <f>'EST - BLOCOS 01_02'!K10</f>
        <v>2016</v>
      </c>
      <c r="F49" s="205">
        <v>67.569999999999993</v>
      </c>
      <c r="G49" s="219">
        <f t="shared" si="5"/>
        <v>85.63</v>
      </c>
      <c r="H49" s="219">
        <f t="shared" si="7"/>
        <v>172630.08</v>
      </c>
    </row>
    <row r="50" spans="1:9" ht="15.75" outlineLevel="1">
      <c r="A50" s="588"/>
      <c r="B50" s="588"/>
      <c r="C50" s="589" t="s">
        <v>14</v>
      </c>
      <c r="D50" s="588"/>
      <c r="E50" s="590"/>
      <c r="F50" s="591"/>
      <c r="G50" s="592"/>
      <c r="H50" s="592">
        <f>SUM(H33:H49)</f>
        <v>446056.77</v>
      </c>
    </row>
    <row r="51" spans="1:9" ht="15.75" outlineLevel="1">
      <c r="A51" s="421" t="s">
        <v>29</v>
      </c>
      <c r="B51" s="421"/>
      <c r="C51" s="593" t="s">
        <v>158</v>
      </c>
      <c r="D51" s="421"/>
      <c r="E51" s="594"/>
      <c r="F51" s="595"/>
      <c r="G51" s="598"/>
      <c r="H51" s="596"/>
    </row>
    <row r="52" spans="1:9" ht="81" customHeight="1" outlineLevel="2">
      <c r="A52" s="227" t="s">
        <v>30</v>
      </c>
      <c r="B52" s="227" t="s">
        <v>2637</v>
      </c>
      <c r="C52" s="245" t="s">
        <v>553</v>
      </c>
      <c r="D52" s="227" t="s">
        <v>108</v>
      </c>
      <c r="E52" s="570">
        <f>'EST - BLOCOS 01_02'!K50</f>
        <v>604.23</v>
      </c>
      <c r="F52" s="222">
        <v>85.43</v>
      </c>
      <c r="G52" s="219">
        <f t="shared" ref="G52:G57" si="8">TRUNC(F52*(1+$E$2),2)</f>
        <v>108.26</v>
      </c>
      <c r="H52" s="219">
        <f t="shared" ref="H52" si="9">TRUNC((G52*E52),2)</f>
        <v>65413.93</v>
      </c>
    </row>
    <row r="53" spans="1:9" ht="75" outlineLevel="2">
      <c r="A53" s="227" t="s">
        <v>31</v>
      </c>
      <c r="B53" s="227" t="s">
        <v>2638</v>
      </c>
      <c r="C53" s="169" t="s">
        <v>2639</v>
      </c>
      <c r="D53" s="227" t="s">
        <v>284</v>
      </c>
      <c r="E53" s="570">
        <f>'EST - BLOCOS 01_02'!K51</f>
        <v>38.61</v>
      </c>
      <c r="F53" s="222">
        <v>468.39</v>
      </c>
      <c r="G53" s="219">
        <f t="shared" si="8"/>
        <v>593.59</v>
      </c>
      <c r="H53" s="219">
        <f t="shared" ref="H53:H57" si="10">TRUNC((G53*E53),2)</f>
        <v>22918.5</v>
      </c>
    </row>
    <row r="54" spans="1:9" ht="60" outlineLevel="2">
      <c r="A54" s="227" t="s">
        <v>84</v>
      </c>
      <c r="B54" s="227" t="s">
        <v>2640</v>
      </c>
      <c r="C54" s="169" t="s">
        <v>554</v>
      </c>
      <c r="D54" s="227" t="s">
        <v>94</v>
      </c>
      <c r="E54" s="570">
        <f>'EST - BLOCOS 01_02'!K53</f>
        <v>963</v>
      </c>
      <c r="F54" s="222">
        <v>11.94</v>
      </c>
      <c r="G54" s="219">
        <f t="shared" si="8"/>
        <v>15.13</v>
      </c>
      <c r="H54" s="219">
        <f t="shared" si="10"/>
        <v>14570.19</v>
      </c>
    </row>
    <row r="55" spans="1:9" ht="60" outlineLevel="2">
      <c r="A55" s="227" t="s">
        <v>85</v>
      </c>
      <c r="B55" s="227" t="s">
        <v>2641</v>
      </c>
      <c r="C55" s="245" t="s">
        <v>556</v>
      </c>
      <c r="D55" s="227" t="s">
        <v>94</v>
      </c>
      <c r="E55" s="570">
        <f>'EST - BLOCOS 01_02'!K54</f>
        <v>103</v>
      </c>
      <c r="F55" s="222">
        <v>9.9700000000000006</v>
      </c>
      <c r="G55" s="219">
        <f t="shared" si="8"/>
        <v>12.63</v>
      </c>
      <c r="H55" s="219">
        <f t="shared" si="10"/>
        <v>1300.8900000000001</v>
      </c>
    </row>
    <row r="56" spans="1:9" ht="60" outlineLevel="2">
      <c r="A56" s="227" t="s">
        <v>86</v>
      </c>
      <c r="B56" s="227" t="s">
        <v>2642</v>
      </c>
      <c r="C56" s="245" t="s">
        <v>557</v>
      </c>
      <c r="D56" s="227" t="s">
        <v>94</v>
      </c>
      <c r="E56" s="570">
        <f>'EST - BLOCOS 01_02'!K55</f>
        <v>1975</v>
      </c>
      <c r="F56" s="222">
        <v>8.02</v>
      </c>
      <c r="G56" s="219">
        <f t="shared" si="8"/>
        <v>10.16</v>
      </c>
      <c r="H56" s="219">
        <f t="shared" si="10"/>
        <v>20066</v>
      </c>
    </row>
    <row r="57" spans="1:9" ht="60" outlineLevel="2">
      <c r="A57" s="227" t="s">
        <v>87</v>
      </c>
      <c r="B57" s="227" t="s">
        <v>2643</v>
      </c>
      <c r="C57" s="597" t="s">
        <v>598</v>
      </c>
      <c r="D57" s="227" t="s">
        <v>94</v>
      </c>
      <c r="E57" s="570">
        <f>'EST - BLOCOS 01_02'!K56</f>
        <v>167</v>
      </c>
      <c r="F57" s="222">
        <v>6.57</v>
      </c>
      <c r="G57" s="219">
        <f t="shared" si="8"/>
        <v>8.32</v>
      </c>
      <c r="H57" s="219">
        <f t="shared" si="10"/>
        <v>1389.44</v>
      </c>
    </row>
    <row r="58" spans="1:9" ht="15.75" outlineLevel="1">
      <c r="A58" s="588"/>
      <c r="B58" s="588"/>
      <c r="C58" s="589" t="s">
        <v>14</v>
      </c>
      <c r="D58" s="588"/>
      <c r="E58" s="590"/>
      <c r="F58" s="591"/>
      <c r="G58" s="592"/>
      <c r="H58" s="592">
        <f>SUM(H52:H57)</f>
        <v>125658.95</v>
      </c>
    </row>
    <row r="59" spans="1:9" ht="15.75" outlineLevel="1">
      <c r="A59" s="421" t="s">
        <v>32</v>
      </c>
      <c r="B59" s="421"/>
      <c r="C59" s="593" t="s">
        <v>159</v>
      </c>
      <c r="D59" s="421"/>
      <c r="E59" s="594"/>
      <c r="F59" s="595"/>
      <c r="G59" s="598"/>
      <c r="H59" s="596"/>
    </row>
    <row r="60" spans="1:9" ht="60" outlineLevel="2">
      <c r="A60" s="227" t="s">
        <v>33</v>
      </c>
      <c r="B60" s="227" t="s">
        <v>2645</v>
      </c>
      <c r="C60" s="245" t="s">
        <v>560</v>
      </c>
      <c r="D60" s="227" t="s">
        <v>108</v>
      </c>
      <c r="E60" s="570">
        <f>'EST - BLOCOS 01_02'!K58</f>
        <v>1361.58</v>
      </c>
      <c r="F60" s="222">
        <v>78.989999999999995</v>
      </c>
      <c r="G60" s="219">
        <f t="shared" ref="G60:G70" si="11">TRUNC(F60*(1+$E$2),2)</f>
        <v>100.1</v>
      </c>
      <c r="H60" s="219">
        <f t="shared" ref="H60" si="12">TRUNC((G60*E60),2)</f>
        <v>136294.15</v>
      </c>
    </row>
    <row r="61" spans="1:9" ht="60" outlineLevel="2">
      <c r="A61" s="227" t="s">
        <v>124</v>
      </c>
      <c r="B61" s="227" t="s">
        <v>80</v>
      </c>
      <c r="C61" s="245" t="s">
        <v>536</v>
      </c>
      <c r="D61" s="227" t="s">
        <v>284</v>
      </c>
      <c r="E61" s="570">
        <f>'EST - BLOCOS 01_02'!K59</f>
        <v>105.34</v>
      </c>
      <c r="F61" s="222">
        <v>294.68</v>
      </c>
      <c r="G61" s="219">
        <f t="shared" si="11"/>
        <v>373.44</v>
      </c>
      <c r="H61" s="219">
        <f t="shared" ref="H61:H70" si="13">TRUNC((G61*E61),2)</f>
        <v>39338.160000000003</v>
      </c>
      <c r="I61" s="1039"/>
    </row>
    <row r="62" spans="1:9" ht="45" outlineLevel="2">
      <c r="A62" s="227" t="s">
        <v>125</v>
      </c>
      <c r="B62" s="227">
        <v>92874</v>
      </c>
      <c r="C62" s="245" t="s">
        <v>535</v>
      </c>
      <c r="D62" s="227" t="s">
        <v>284</v>
      </c>
      <c r="E62" s="570">
        <f>'EST - BLOCOS 01_02'!K60</f>
        <v>105.34</v>
      </c>
      <c r="F62" s="222">
        <v>23.69</v>
      </c>
      <c r="G62" s="219">
        <f t="shared" si="11"/>
        <v>30.02</v>
      </c>
      <c r="H62" s="219">
        <f t="shared" si="13"/>
        <v>3162.3</v>
      </c>
    </row>
    <row r="63" spans="1:9" ht="60" outlineLevel="2">
      <c r="A63" s="227" t="s">
        <v>299</v>
      </c>
      <c r="B63" s="227" t="s">
        <v>2640</v>
      </c>
      <c r="C63" s="245" t="s">
        <v>554</v>
      </c>
      <c r="D63" s="227" t="s">
        <v>94</v>
      </c>
      <c r="E63" s="570">
        <f>'EST - BLOCOS 01_02'!K61</f>
        <v>1261</v>
      </c>
      <c r="F63" s="222">
        <v>11.94</v>
      </c>
      <c r="G63" s="219">
        <f t="shared" si="11"/>
        <v>15.13</v>
      </c>
      <c r="H63" s="219">
        <f t="shared" si="13"/>
        <v>19078.93</v>
      </c>
    </row>
    <row r="64" spans="1:9" ht="60" outlineLevel="2">
      <c r="A64" s="227" t="s">
        <v>300</v>
      </c>
      <c r="B64" s="227" t="s">
        <v>2646</v>
      </c>
      <c r="C64" s="245" t="s">
        <v>555</v>
      </c>
      <c r="D64" s="227" t="s">
        <v>94</v>
      </c>
      <c r="E64" s="570">
        <f>'EST - BLOCOS 01_02'!K62</f>
        <v>952</v>
      </c>
      <c r="F64" s="222">
        <v>10.7</v>
      </c>
      <c r="G64" s="219">
        <f t="shared" si="11"/>
        <v>13.56</v>
      </c>
      <c r="H64" s="219">
        <f t="shared" si="13"/>
        <v>12909.12</v>
      </c>
    </row>
    <row r="65" spans="1:9" ht="60" outlineLevel="2">
      <c r="A65" s="227" t="s">
        <v>301</v>
      </c>
      <c r="B65" s="227" t="s">
        <v>2641</v>
      </c>
      <c r="C65" s="245" t="s">
        <v>556</v>
      </c>
      <c r="D65" s="227" t="s">
        <v>94</v>
      </c>
      <c r="E65" s="570">
        <f>'EST - BLOCOS 01_02'!K63</f>
        <v>817</v>
      </c>
      <c r="F65" s="222">
        <v>9.9700000000000006</v>
      </c>
      <c r="G65" s="219">
        <f t="shared" si="11"/>
        <v>12.63</v>
      </c>
      <c r="H65" s="219">
        <f t="shared" si="13"/>
        <v>10318.709999999999</v>
      </c>
    </row>
    <row r="66" spans="1:9" ht="60" outlineLevel="2">
      <c r="A66" s="227" t="s">
        <v>302</v>
      </c>
      <c r="B66" s="227" t="s">
        <v>2642</v>
      </c>
      <c r="C66" s="245" t="s">
        <v>557</v>
      </c>
      <c r="D66" s="227" t="s">
        <v>94</v>
      </c>
      <c r="E66" s="570">
        <f>'EST - BLOCOS 01_02'!K64</f>
        <v>2825</v>
      </c>
      <c r="F66" s="222">
        <v>8.02</v>
      </c>
      <c r="G66" s="219">
        <f t="shared" si="11"/>
        <v>10.16</v>
      </c>
      <c r="H66" s="219">
        <f t="shared" si="13"/>
        <v>28702</v>
      </c>
    </row>
    <row r="67" spans="1:9" ht="60" outlineLevel="2">
      <c r="A67" s="227" t="s">
        <v>303</v>
      </c>
      <c r="B67" s="227" t="s">
        <v>2643</v>
      </c>
      <c r="C67" s="245" t="s">
        <v>598</v>
      </c>
      <c r="D67" s="227" t="s">
        <v>94</v>
      </c>
      <c r="E67" s="570">
        <f>'EST - BLOCOS 01_02'!K65</f>
        <v>318</v>
      </c>
      <c r="F67" s="222">
        <v>6.57</v>
      </c>
      <c r="G67" s="219">
        <f t="shared" si="11"/>
        <v>8.32</v>
      </c>
      <c r="H67" s="219">
        <f t="shared" si="13"/>
        <v>2645.76</v>
      </c>
    </row>
    <row r="68" spans="1:9" ht="60" outlineLevel="2">
      <c r="A68" s="227" t="s">
        <v>599</v>
      </c>
      <c r="B68" s="227" t="s">
        <v>2644</v>
      </c>
      <c r="C68" s="245" t="s">
        <v>558</v>
      </c>
      <c r="D68" s="227" t="s">
        <v>94</v>
      </c>
      <c r="E68" s="570">
        <f>'EST - BLOCOS 01_02'!K66</f>
        <v>135</v>
      </c>
      <c r="F68" s="222">
        <v>5.0599999999999996</v>
      </c>
      <c r="G68" s="219">
        <f t="shared" si="11"/>
        <v>6.41</v>
      </c>
      <c r="H68" s="219">
        <f t="shared" si="13"/>
        <v>865.35</v>
      </c>
    </row>
    <row r="69" spans="1:9" ht="60" outlineLevel="2">
      <c r="A69" s="227" t="s">
        <v>600</v>
      </c>
      <c r="B69" s="227" t="s">
        <v>602</v>
      </c>
      <c r="C69" s="245" t="s">
        <v>601</v>
      </c>
      <c r="D69" s="227" t="s">
        <v>108</v>
      </c>
      <c r="E69" s="570">
        <f>'EST - BLOCOS 01_02'!K68</f>
        <v>1968.0700000000002</v>
      </c>
      <c r="F69" s="222">
        <v>88.81</v>
      </c>
      <c r="G69" s="219">
        <f t="shared" si="11"/>
        <v>112.54</v>
      </c>
      <c r="H69" s="219">
        <f t="shared" si="13"/>
        <v>221486.59</v>
      </c>
    </row>
    <row r="70" spans="1:9" ht="45" outlineLevel="2">
      <c r="A70" s="227" t="s">
        <v>2973</v>
      </c>
      <c r="B70" s="227">
        <v>85662</v>
      </c>
      <c r="C70" s="245" t="s">
        <v>603</v>
      </c>
      <c r="D70" s="227" t="s">
        <v>108</v>
      </c>
      <c r="E70" s="570">
        <f>'EST - BLOCOS 01_02'!K69</f>
        <v>2361.6840000000002</v>
      </c>
      <c r="F70" s="222">
        <v>10.61</v>
      </c>
      <c r="G70" s="219">
        <f t="shared" si="11"/>
        <v>13.44</v>
      </c>
      <c r="H70" s="219">
        <f t="shared" si="13"/>
        <v>31741.03</v>
      </c>
    </row>
    <row r="71" spans="1:9" ht="15.75" outlineLevel="1">
      <c r="A71" s="588"/>
      <c r="B71" s="588"/>
      <c r="C71" s="589" t="s">
        <v>14</v>
      </c>
      <c r="D71" s="588"/>
      <c r="E71" s="590"/>
      <c r="F71" s="591"/>
      <c r="G71" s="592"/>
      <c r="H71" s="592">
        <f>SUM(H60:H70)</f>
        <v>506542.1</v>
      </c>
    </row>
    <row r="72" spans="1:9" ht="15.75" outlineLevel="1">
      <c r="A72" s="421" t="s">
        <v>126</v>
      </c>
      <c r="B72" s="421"/>
      <c r="C72" s="593" t="s">
        <v>154</v>
      </c>
      <c r="D72" s="421"/>
      <c r="E72" s="594"/>
      <c r="F72" s="595"/>
      <c r="G72" s="598"/>
      <c r="H72" s="596"/>
    </row>
    <row r="73" spans="1:9" ht="45" outlineLevel="2">
      <c r="A73" s="227" t="s">
        <v>96</v>
      </c>
      <c r="B73" s="227" t="s">
        <v>2647</v>
      </c>
      <c r="C73" s="245" t="s">
        <v>532</v>
      </c>
      <c r="D73" s="227" t="s">
        <v>108</v>
      </c>
      <c r="E73" s="570">
        <f>'EST - BLOCOS 01_02'!K25</f>
        <v>1895.8899999999999</v>
      </c>
      <c r="F73" s="222">
        <v>4.55</v>
      </c>
      <c r="G73" s="219">
        <f t="shared" ref="G73:G77" si="14">TRUNC(F73*(1+$E$2),2)</f>
        <v>5.76</v>
      </c>
      <c r="H73" s="219">
        <f t="shared" ref="H73" si="15">TRUNC((G73*E73),2)</f>
        <v>10920.32</v>
      </c>
    </row>
    <row r="74" spans="1:9" outlineLevel="2">
      <c r="A74" s="227" t="s">
        <v>97</v>
      </c>
      <c r="B74" s="227" t="s">
        <v>656</v>
      </c>
      <c r="C74" s="245" t="s">
        <v>657</v>
      </c>
      <c r="D74" s="227" t="s">
        <v>284</v>
      </c>
      <c r="E74" s="570">
        <f>'EST - BLOCOS 01_02'!K24</f>
        <v>980.59349999999995</v>
      </c>
      <c r="F74" s="222">
        <v>87.4</v>
      </c>
      <c r="G74" s="219">
        <f t="shared" si="14"/>
        <v>110.76</v>
      </c>
      <c r="H74" s="219">
        <f t="shared" ref="H74:H77" si="16">TRUNC((G74*E74),2)</f>
        <v>108610.53</v>
      </c>
    </row>
    <row r="75" spans="1:9" ht="45" outlineLevel="2">
      <c r="A75" s="227" t="s">
        <v>99</v>
      </c>
      <c r="B75" s="227" t="s">
        <v>2648</v>
      </c>
      <c r="C75" s="245" t="s">
        <v>603</v>
      </c>
      <c r="D75" s="227" t="s">
        <v>108</v>
      </c>
      <c r="E75" s="570">
        <f>'EST - BLOCOS 01_02'!K28</f>
        <v>2275.0680000000002</v>
      </c>
      <c r="F75" s="222">
        <v>10.61</v>
      </c>
      <c r="G75" s="219">
        <f t="shared" si="14"/>
        <v>13.44</v>
      </c>
      <c r="H75" s="219">
        <f t="shared" si="16"/>
        <v>30576.91</v>
      </c>
    </row>
    <row r="76" spans="1:9" ht="60" outlineLevel="2">
      <c r="A76" s="227" t="s">
        <v>100</v>
      </c>
      <c r="B76" s="227" t="s">
        <v>80</v>
      </c>
      <c r="C76" s="245" t="s">
        <v>536</v>
      </c>
      <c r="D76" s="227" t="s">
        <v>284</v>
      </c>
      <c r="E76" s="570">
        <f>'EST - BLOCOS 01_02'!K26</f>
        <v>132.71230000000003</v>
      </c>
      <c r="F76" s="222">
        <v>294.68</v>
      </c>
      <c r="G76" s="219">
        <f t="shared" si="14"/>
        <v>373.44</v>
      </c>
      <c r="H76" s="219">
        <f t="shared" si="16"/>
        <v>49560.08</v>
      </c>
    </row>
    <row r="77" spans="1:9" ht="45" outlineLevel="2">
      <c r="A77" s="227" t="s">
        <v>127</v>
      </c>
      <c r="B77" s="227" t="s">
        <v>2636</v>
      </c>
      <c r="C77" s="245" t="s">
        <v>535</v>
      </c>
      <c r="D77" s="227" t="s">
        <v>284</v>
      </c>
      <c r="E77" s="570">
        <f>'EST - BLOCOS 01_02'!K27</f>
        <v>132.71230000000003</v>
      </c>
      <c r="F77" s="222">
        <v>23.69</v>
      </c>
      <c r="G77" s="219">
        <f t="shared" si="14"/>
        <v>30.02</v>
      </c>
      <c r="H77" s="219">
        <f t="shared" si="16"/>
        <v>3984.02</v>
      </c>
    </row>
    <row r="78" spans="1:9" ht="15.75" outlineLevel="1">
      <c r="A78" s="588"/>
      <c r="B78" s="588"/>
      <c r="C78" s="589" t="s">
        <v>14</v>
      </c>
      <c r="D78" s="588"/>
      <c r="E78" s="590"/>
      <c r="F78" s="591"/>
      <c r="G78" s="592"/>
      <c r="H78" s="592">
        <f>SUM(H73:H77)</f>
        <v>203651.86000000002</v>
      </c>
    </row>
    <row r="79" spans="1:9" ht="15.75" outlineLevel="1">
      <c r="A79" s="421" t="s">
        <v>139</v>
      </c>
      <c r="B79" s="421"/>
      <c r="C79" s="593" t="s">
        <v>75</v>
      </c>
      <c r="D79" s="421"/>
      <c r="E79" s="594"/>
      <c r="F79" s="595"/>
      <c r="G79" s="598"/>
      <c r="H79" s="596"/>
    </row>
    <row r="80" spans="1:9" s="71" customFormat="1" ht="45" outlineLevel="2">
      <c r="A80" s="227" t="s">
        <v>102</v>
      </c>
      <c r="B80" s="227" t="s">
        <v>607</v>
      </c>
      <c r="C80" s="245" t="s">
        <v>606</v>
      </c>
      <c r="D80" s="227" t="s">
        <v>94</v>
      </c>
      <c r="E80" s="570">
        <f>'EST - BLOCOS 01_02'!K71</f>
        <v>33535.83</v>
      </c>
      <c r="F80" s="222">
        <v>6.89</v>
      </c>
      <c r="G80" s="219">
        <f t="shared" ref="G80:G88" si="17">TRUNC(F80*(1+$E$2),2)</f>
        <v>8.73</v>
      </c>
      <c r="H80" s="219">
        <f t="shared" ref="H80" si="18">TRUNC((G80*E80),2)</f>
        <v>292767.78999999998</v>
      </c>
      <c r="I80" s="1039"/>
    </row>
    <row r="81" spans="1:9" s="71" customFormat="1" outlineLevel="2">
      <c r="A81" s="227" t="s">
        <v>103</v>
      </c>
      <c r="B81" s="227" t="s">
        <v>609</v>
      </c>
      <c r="C81" s="245" t="s">
        <v>608</v>
      </c>
      <c r="D81" s="227" t="s">
        <v>94</v>
      </c>
      <c r="E81" s="570">
        <f>E80</f>
        <v>33535.83</v>
      </c>
      <c r="F81" s="222">
        <v>2.2200000000000002</v>
      </c>
      <c r="G81" s="219">
        <f t="shared" si="17"/>
        <v>2.81</v>
      </c>
      <c r="H81" s="219">
        <f t="shared" ref="H81:H88" si="19">TRUNC((G81*E81),2)</f>
        <v>94235.68</v>
      </c>
      <c r="I81" s="1039"/>
    </row>
    <row r="82" spans="1:9" ht="30" outlineLevel="2">
      <c r="A82" s="227" t="s">
        <v>104</v>
      </c>
      <c r="B82" s="227" t="s">
        <v>1449</v>
      </c>
      <c r="C82" s="245" t="s">
        <v>1448</v>
      </c>
      <c r="D82" s="227" t="s">
        <v>108</v>
      </c>
      <c r="E82" s="570">
        <f>'EST - BLOCOS 01_02'!K72</f>
        <v>1772.04</v>
      </c>
      <c r="F82" s="222">
        <v>21.24</v>
      </c>
      <c r="G82" s="219">
        <f t="shared" si="17"/>
        <v>26.91</v>
      </c>
      <c r="H82" s="219">
        <f t="shared" si="19"/>
        <v>47685.59</v>
      </c>
    </row>
    <row r="83" spans="1:9" ht="75" outlineLevel="2">
      <c r="A83" s="227" t="s">
        <v>105</v>
      </c>
      <c r="B83" s="227" t="s">
        <v>2687</v>
      </c>
      <c r="C83" s="245" t="s">
        <v>2688</v>
      </c>
      <c r="D83" s="227" t="s">
        <v>94</v>
      </c>
      <c r="E83" s="570">
        <f>'EST - BLOCOS 01_02'!K73</f>
        <v>308.18</v>
      </c>
      <c r="F83" s="222">
        <v>4.84</v>
      </c>
      <c r="G83" s="219">
        <f t="shared" si="17"/>
        <v>6.13</v>
      </c>
      <c r="H83" s="219">
        <f t="shared" si="19"/>
        <v>1889.14</v>
      </c>
    </row>
    <row r="84" spans="1:9" ht="45" outlineLevel="2">
      <c r="A84" s="227" t="s">
        <v>106</v>
      </c>
      <c r="B84" s="227" t="s">
        <v>2649</v>
      </c>
      <c r="C84" s="245" t="s">
        <v>924</v>
      </c>
      <c r="D84" s="227" t="s">
        <v>108</v>
      </c>
      <c r="E84" s="570">
        <f>'ARQ - BLOCO DE SALAS'!F21</f>
        <v>34.5</v>
      </c>
      <c r="F84" s="222">
        <v>104.02</v>
      </c>
      <c r="G84" s="219">
        <f t="shared" si="17"/>
        <v>131.82</v>
      </c>
      <c r="H84" s="219">
        <f t="shared" si="19"/>
        <v>4547.79</v>
      </c>
    </row>
    <row r="85" spans="1:9" ht="45" outlineLevel="2">
      <c r="A85" s="227" t="s">
        <v>107</v>
      </c>
      <c r="B85" s="227" t="s">
        <v>829</v>
      </c>
      <c r="C85" s="245" t="s">
        <v>830</v>
      </c>
      <c r="D85" s="227" t="s">
        <v>108</v>
      </c>
      <c r="E85" s="570">
        <f>'ARQ - BLOCO DE SALAS'!F22</f>
        <v>2434.4</v>
      </c>
      <c r="F85" s="222">
        <v>38.36</v>
      </c>
      <c r="G85" s="219">
        <f t="shared" si="17"/>
        <v>48.61</v>
      </c>
      <c r="H85" s="219">
        <f t="shared" si="19"/>
        <v>118336.18</v>
      </c>
      <c r="I85" s="1039"/>
    </row>
    <row r="86" spans="1:9" ht="30" outlineLevel="2">
      <c r="A86" s="227" t="s">
        <v>2115</v>
      </c>
      <c r="B86" s="227" t="s">
        <v>2112</v>
      </c>
      <c r="C86" s="245" t="s">
        <v>2113</v>
      </c>
      <c r="D86" s="227" t="s">
        <v>108</v>
      </c>
      <c r="E86" s="570">
        <f>'ARQ - BLOCO DE SALAS'!F23</f>
        <v>158.58000000000001</v>
      </c>
      <c r="F86" s="222">
        <v>322.5</v>
      </c>
      <c r="G86" s="219">
        <f t="shared" si="17"/>
        <v>408.7</v>
      </c>
      <c r="H86" s="219">
        <f t="shared" si="19"/>
        <v>64811.64</v>
      </c>
    </row>
    <row r="87" spans="1:9" ht="45" outlineLevel="2">
      <c r="A87" s="227" t="s">
        <v>2116</v>
      </c>
      <c r="B87" s="227" t="s">
        <v>2650</v>
      </c>
      <c r="C87" s="245" t="s">
        <v>1790</v>
      </c>
      <c r="D87" s="227" t="s">
        <v>101</v>
      </c>
      <c r="E87" s="570">
        <f>'ARQ - BLOCO DE SALAS'!F24</f>
        <v>13.8</v>
      </c>
      <c r="F87" s="222">
        <v>54.91</v>
      </c>
      <c r="G87" s="219">
        <f t="shared" si="17"/>
        <v>69.58</v>
      </c>
      <c r="H87" s="219">
        <f t="shared" si="19"/>
        <v>960.2</v>
      </c>
    </row>
    <row r="88" spans="1:9" ht="45" outlineLevel="2">
      <c r="A88" s="227" t="s">
        <v>2908</v>
      </c>
      <c r="B88" s="227" t="s">
        <v>2651</v>
      </c>
      <c r="C88" s="245" t="s">
        <v>1791</v>
      </c>
      <c r="D88" s="227" t="s">
        <v>101</v>
      </c>
      <c r="E88" s="570">
        <f>'ARQ - BLOCO DE SALAS'!F25</f>
        <v>17.8</v>
      </c>
      <c r="F88" s="222">
        <v>25.82</v>
      </c>
      <c r="G88" s="219">
        <f t="shared" si="17"/>
        <v>32.72</v>
      </c>
      <c r="H88" s="219">
        <f t="shared" si="19"/>
        <v>582.41</v>
      </c>
    </row>
    <row r="89" spans="1:9" ht="15.75" outlineLevel="1">
      <c r="A89" s="588"/>
      <c r="B89" s="588"/>
      <c r="C89" s="589" t="s">
        <v>14</v>
      </c>
      <c r="D89" s="588"/>
      <c r="E89" s="590"/>
      <c r="F89" s="591"/>
      <c r="G89" s="592"/>
      <c r="H89" s="592">
        <f>SUM(H80:H88)</f>
        <v>625816.41999999993</v>
      </c>
    </row>
    <row r="90" spans="1:9" ht="15.75" outlineLevel="1">
      <c r="A90" s="421" t="s">
        <v>140</v>
      </c>
      <c r="B90" s="421"/>
      <c r="C90" s="593" t="s">
        <v>79</v>
      </c>
      <c r="D90" s="421"/>
      <c r="E90" s="599"/>
      <c r="F90" s="596"/>
      <c r="G90" s="598"/>
      <c r="H90" s="596"/>
    </row>
    <row r="91" spans="1:9" ht="45" outlineLevel="2">
      <c r="A91" s="227" t="s">
        <v>110</v>
      </c>
      <c r="B91" s="227" t="s">
        <v>2652</v>
      </c>
      <c r="C91" s="245" t="s">
        <v>800</v>
      </c>
      <c r="D91" s="227" t="s">
        <v>108</v>
      </c>
      <c r="E91" s="570">
        <f>'ARQ - BLOCO DE SALAS'!F28</f>
        <v>10.88</v>
      </c>
      <c r="F91" s="222">
        <v>872.45</v>
      </c>
      <c r="G91" s="219">
        <f t="shared" ref="G91:G99" si="20">TRUNC(F91*(1+$E$2),2)</f>
        <v>1105.6500000000001</v>
      </c>
      <c r="H91" s="219">
        <f t="shared" ref="H91" si="21">TRUNC((G91*E91),2)</f>
        <v>12029.47</v>
      </c>
    </row>
    <row r="92" spans="1:9" ht="60" outlineLevel="2">
      <c r="A92" s="227" t="s">
        <v>112</v>
      </c>
      <c r="B92" s="227" t="s">
        <v>818</v>
      </c>
      <c r="C92" s="245" t="s">
        <v>2653</v>
      </c>
      <c r="D92" s="227" t="s">
        <v>57</v>
      </c>
      <c r="E92" s="570">
        <f>'ARQ - BLOCO DE SALAS'!F29+'ARQ - BLOCO DE SALAS'!F31</f>
        <v>6</v>
      </c>
      <c r="F92" s="222">
        <v>1198.99</v>
      </c>
      <c r="G92" s="219">
        <f t="shared" si="20"/>
        <v>1519.48</v>
      </c>
      <c r="H92" s="219">
        <f t="shared" ref="H92:H99" si="22">TRUNC((G92*E92),2)</f>
        <v>9116.8799999999992</v>
      </c>
    </row>
    <row r="93" spans="1:9" ht="75" outlineLevel="2">
      <c r="A93" s="227" t="s">
        <v>113</v>
      </c>
      <c r="B93" s="227" t="s">
        <v>816</v>
      </c>
      <c r="C93" s="245" t="s">
        <v>817</v>
      </c>
      <c r="D93" s="227" t="s">
        <v>57</v>
      </c>
      <c r="E93" s="570">
        <f>'ARQ - BLOCO DE SALAS'!F30</f>
        <v>21</v>
      </c>
      <c r="F93" s="222">
        <v>1584.03</v>
      </c>
      <c r="G93" s="219">
        <f t="shared" si="20"/>
        <v>2007.44</v>
      </c>
      <c r="H93" s="219">
        <f t="shared" si="22"/>
        <v>42156.24</v>
      </c>
    </row>
    <row r="94" spans="1:9" s="71" customFormat="1" ht="30" outlineLevel="2">
      <c r="A94" s="227" t="s">
        <v>129</v>
      </c>
      <c r="B94" s="227" t="s">
        <v>1797</v>
      </c>
      <c r="C94" s="245" t="s">
        <v>1798</v>
      </c>
      <c r="D94" s="227" t="s">
        <v>57</v>
      </c>
      <c r="E94" s="570">
        <f>'ARQ - BLOCO DE SALAS'!F31</f>
        <v>2</v>
      </c>
      <c r="F94" s="222">
        <v>145.43</v>
      </c>
      <c r="G94" s="219">
        <f t="shared" si="20"/>
        <v>184.3</v>
      </c>
      <c r="H94" s="219">
        <f t="shared" si="22"/>
        <v>368.6</v>
      </c>
      <c r="I94" s="281"/>
    </row>
    <row r="95" spans="1:9" ht="45" outlineLevel="2">
      <c r="A95" s="227" t="s">
        <v>130</v>
      </c>
      <c r="B95" s="227" t="s">
        <v>803</v>
      </c>
      <c r="C95" s="245" t="s">
        <v>804</v>
      </c>
      <c r="D95" s="227" t="s">
        <v>57</v>
      </c>
      <c r="E95" s="570">
        <f>'ARQ - BLOCO DE SALAS'!F32</f>
        <v>1</v>
      </c>
      <c r="F95" s="222">
        <v>3581.3</v>
      </c>
      <c r="G95" s="219">
        <f t="shared" si="20"/>
        <v>4538.58</v>
      </c>
      <c r="H95" s="219">
        <f t="shared" si="22"/>
        <v>4538.58</v>
      </c>
    </row>
    <row r="96" spans="1:9" ht="30" outlineLevel="2">
      <c r="A96" s="227" t="s">
        <v>131</v>
      </c>
      <c r="B96" s="227" t="s">
        <v>801</v>
      </c>
      <c r="C96" s="245" t="s">
        <v>802</v>
      </c>
      <c r="D96" s="227" t="s">
        <v>57</v>
      </c>
      <c r="E96" s="570">
        <f>'ARQ - BLOCO DE SALAS'!F33</f>
        <v>1</v>
      </c>
      <c r="F96" s="222">
        <v>1790.65</v>
      </c>
      <c r="G96" s="219">
        <f t="shared" si="20"/>
        <v>2269.29</v>
      </c>
      <c r="H96" s="219">
        <f t="shared" si="22"/>
        <v>2269.29</v>
      </c>
    </row>
    <row r="97" spans="1:9" ht="60" outlineLevel="2">
      <c r="A97" s="227" t="s">
        <v>993</v>
      </c>
      <c r="B97" s="227" t="s">
        <v>1871</v>
      </c>
      <c r="C97" s="245" t="s">
        <v>2610</v>
      </c>
      <c r="D97" s="227" t="s">
        <v>57</v>
      </c>
      <c r="E97" s="570">
        <f>'ARQ - BLOCO DE SALAS'!F34</f>
        <v>6</v>
      </c>
      <c r="F97" s="222">
        <v>1125.79</v>
      </c>
      <c r="G97" s="219">
        <f t="shared" si="20"/>
        <v>1426.71</v>
      </c>
      <c r="H97" s="219">
        <f t="shared" si="22"/>
        <v>8560.26</v>
      </c>
    </row>
    <row r="98" spans="1:9" ht="45" outlineLevel="2">
      <c r="A98" s="227" t="s">
        <v>1762</v>
      </c>
      <c r="B98" s="227" t="s">
        <v>2654</v>
      </c>
      <c r="C98" s="245" t="s">
        <v>820</v>
      </c>
      <c r="D98" s="227" t="s">
        <v>108</v>
      </c>
      <c r="E98" s="570">
        <f>'ARQ - BLOCO DE SALAS'!G35+'ARQ - BLOCO DE SALAS'!G36+'ARQ - BLOCO DE SALAS'!G37+'ARQ - BLOCO DE SALAS'!G38+'ARQ - BLOCO DE SALAS'!G39</f>
        <v>186.31999999999996</v>
      </c>
      <c r="F98" s="222">
        <v>857.15</v>
      </c>
      <c r="G98" s="219">
        <f t="shared" si="20"/>
        <v>1086.26</v>
      </c>
      <c r="H98" s="219">
        <f t="shared" si="22"/>
        <v>202391.96</v>
      </c>
    </row>
    <row r="99" spans="1:9" s="71" customFormat="1" outlineLevel="2">
      <c r="A99" s="227" t="s">
        <v>1763</v>
      </c>
      <c r="B99" s="227" t="s">
        <v>951</v>
      </c>
      <c r="C99" s="245" t="s">
        <v>952</v>
      </c>
      <c r="D99" s="227" t="s">
        <v>108</v>
      </c>
      <c r="E99" s="570">
        <f>'ARQ - BLOCO DE SALAS'!F40+'ARQ - BLOCO DE SALAS'!F41</f>
        <v>56.67</v>
      </c>
      <c r="F99" s="222">
        <v>770.86</v>
      </c>
      <c r="G99" s="219">
        <f t="shared" si="20"/>
        <v>976.91</v>
      </c>
      <c r="H99" s="219">
        <f t="shared" si="22"/>
        <v>55361.48</v>
      </c>
      <c r="I99" s="281"/>
    </row>
    <row r="100" spans="1:9" ht="15.75" outlineLevel="1">
      <c r="A100" s="588"/>
      <c r="B100" s="588"/>
      <c r="C100" s="589" t="s">
        <v>14</v>
      </c>
      <c r="D100" s="588"/>
      <c r="E100" s="590"/>
      <c r="F100" s="591"/>
      <c r="G100" s="592"/>
      <c r="H100" s="592">
        <f>SUM(H91:H99)</f>
        <v>336792.75999999995</v>
      </c>
    </row>
    <row r="101" spans="1:9" ht="15.75" outlineLevel="1">
      <c r="A101" s="421" t="s">
        <v>141</v>
      </c>
      <c r="B101" s="421"/>
      <c r="C101" s="593" t="s">
        <v>95</v>
      </c>
      <c r="D101" s="421"/>
      <c r="E101" s="599"/>
      <c r="F101" s="596"/>
      <c r="G101" s="598"/>
      <c r="H101" s="596"/>
    </row>
    <row r="102" spans="1:9" s="71" customFormat="1" ht="90" outlineLevel="2">
      <c r="A102" s="227" t="s">
        <v>114</v>
      </c>
      <c r="B102" s="227" t="s">
        <v>2655</v>
      </c>
      <c r="C102" s="245" t="s">
        <v>658</v>
      </c>
      <c r="D102" s="227" t="s">
        <v>108</v>
      </c>
      <c r="E102" s="570">
        <f>'Quant Bloco Salas 18_03_2017'!E53</f>
        <v>2890.52</v>
      </c>
      <c r="F102" s="222">
        <v>57.74</v>
      </c>
      <c r="G102" s="219">
        <f t="shared" ref="G102:G107" si="23">TRUNC(F102*(1+$E$2),2)</f>
        <v>73.17</v>
      </c>
      <c r="H102" s="219">
        <f t="shared" ref="H102" si="24">TRUNC((G102*E102),2)</f>
        <v>211499.34</v>
      </c>
      <c r="I102" s="281"/>
    </row>
    <row r="103" spans="1:9" s="71" customFormat="1" ht="30" outlineLevel="2">
      <c r="A103" s="227" t="s">
        <v>132</v>
      </c>
      <c r="B103" s="227" t="s">
        <v>2656</v>
      </c>
      <c r="C103" s="245" t="s">
        <v>840</v>
      </c>
      <c r="D103" s="227" t="s">
        <v>101</v>
      </c>
      <c r="E103" s="570">
        <f>'ARQ - BLOCO DE SALAS'!E50</f>
        <v>3.2</v>
      </c>
      <c r="F103" s="222">
        <v>33.25</v>
      </c>
      <c r="G103" s="219">
        <f t="shared" si="23"/>
        <v>42.13</v>
      </c>
      <c r="H103" s="219">
        <f t="shared" ref="H103:H107" si="25">TRUNC((G103*E103),2)</f>
        <v>134.81</v>
      </c>
      <c r="I103" s="281"/>
    </row>
    <row r="104" spans="1:9" s="71" customFormat="1" ht="30" outlineLevel="2">
      <c r="A104" s="227" t="s">
        <v>994</v>
      </c>
      <c r="B104" s="227" t="s">
        <v>2657</v>
      </c>
      <c r="C104" s="245" t="s">
        <v>841</v>
      </c>
      <c r="D104" s="227" t="s">
        <v>101</v>
      </c>
      <c r="E104" s="570">
        <f>'ARQ - BLOCO DE SALAS'!E49</f>
        <v>177</v>
      </c>
      <c r="F104" s="222">
        <v>38.15</v>
      </c>
      <c r="G104" s="219">
        <f t="shared" si="23"/>
        <v>48.34</v>
      </c>
      <c r="H104" s="219">
        <f t="shared" si="25"/>
        <v>8556.18</v>
      </c>
      <c r="I104" s="281"/>
    </row>
    <row r="105" spans="1:9" s="71" customFormat="1" ht="30" outlineLevel="2">
      <c r="A105" s="227" t="s">
        <v>995</v>
      </c>
      <c r="B105" s="227" t="s">
        <v>2658</v>
      </c>
      <c r="C105" s="245" t="s">
        <v>842</v>
      </c>
      <c r="D105" s="227" t="s">
        <v>101</v>
      </c>
      <c r="E105" s="570">
        <f>'ARQ - BLOCO DE SALAS'!E48</f>
        <v>42.3</v>
      </c>
      <c r="F105" s="222">
        <v>32.380000000000003</v>
      </c>
      <c r="G105" s="219">
        <f t="shared" si="23"/>
        <v>41.03</v>
      </c>
      <c r="H105" s="219">
        <f t="shared" si="25"/>
        <v>1735.56</v>
      </c>
      <c r="I105" s="281"/>
    </row>
    <row r="106" spans="1:9" s="71" customFormat="1" ht="45" outlineLevel="2">
      <c r="A106" s="227" t="s">
        <v>996</v>
      </c>
      <c r="B106" s="227" t="s">
        <v>2659</v>
      </c>
      <c r="C106" s="245" t="s">
        <v>843</v>
      </c>
      <c r="D106" s="227" t="s">
        <v>101</v>
      </c>
      <c r="E106" s="570">
        <f>'ARQ - BLOCO DE SALAS'!E52</f>
        <v>177</v>
      </c>
      <c r="F106" s="222">
        <v>34.97</v>
      </c>
      <c r="G106" s="219">
        <f t="shared" si="23"/>
        <v>44.31</v>
      </c>
      <c r="H106" s="219">
        <f t="shared" si="25"/>
        <v>7842.87</v>
      </c>
      <c r="I106" s="281"/>
    </row>
    <row r="107" spans="1:9" s="71" customFormat="1" ht="45" outlineLevel="2">
      <c r="A107" s="227" t="s">
        <v>997</v>
      </c>
      <c r="B107" s="227" t="s">
        <v>2660</v>
      </c>
      <c r="C107" s="245" t="s">
        <v>844</v>
      </c>
      <c r="D107" s="227" t="s">
        <v>101</v>
      </c>
      <c r="E107" s="570">
        <f>'ARQ - BLOCO DE SALAS'!E53</f>
        <v>3.2</v>
      </c>
      <c r="F107" s="222">
        <v>31.73</v>
      </c>
      <c r="G107" s="219">
        <f t="shared" si="23"/>
        <v>40.21</v>
      </c>
      <c r="H107" s="219">
        <f t="shared" si="25"/>
        <v>128.66999999999999</v>
      </c>
      <c r="I107" s="281"/>
    </row>
    <row r="108" spans="1:9" s="71" customFormat="1" ht="15.75" outlineLevel="1">
      <c r="A108" s="600"/>
      <c r="B108" s="588"/>
      <c r="C108" s="589" t="s">
        <v>14</v>
      </c>
      <c r="D108" s="588"/>
      <c r="E108" s="590"/>
      <c r="F108" s="591"/>
      <c r="G108" s="592"/>
      <c r="H108" s="592">
        <f>SUM(H102:H107)</f>
        <v>229897.43</v>
      </c>
      <c r="I108" s="281"/>
    </row>
    <row r="109" spans="1:9" ht="15.75" outlineLevel="1">
      <c r="A109" s="421" t="s">
        <v>194</v>
      </c>
      <c r="B109" s="421"/>
      <c r="C109" s="593" t="s">
        <v>81</v>
      </c>
      <c r="D109" s="421"/>
      <c r="E109" s="599"/>
      <c r="F109" s="596"/>
      <c r="G109" s="598"/>
      <c r="H109" s="596"/>
    </row>
    <row r="110" spans="1:9" s="71" customFormat="1" ht="60" outlineLevel="2">
      <c r="A110" s="227" t="s">
        <v>116</v>
      </c>
      <c r="B110" s="227" t="s">
        <v>2661</v>
      </c>
      <c r="C110" s="245" t="s">
        <v>2662</v>
      </c>
      <c r="D110" s="227" t="s">
        <v>108</v>
      </c>
      <c r="E110" s="570">
        <f>'ARQ - BLOCO DE SALAS'!F64</f>
        <v>4579.6499999999996</v>
      </c>
      <c r="F110" s="222">
        <v>2.56</v>
      </c>
      <c r="G110" s="219">
        <f t="shared" ref="G110:G117" si="26">TRUNC(F110*(1+$E$2),2)</f>
        <v>3.24</v>
      </c>
      <c r="H110" s="219">
        <f t="shared" ref="H110" si="27">TRUNC((G110*E110),2)</f>
        <v>14838.06</v>
      </c>
      <c r="I110" s="281"/>
    </row>
    <row r="111" spans="1:9" s="71" customFormat="1" ht="75" outlineLevel="2">
      <c r="A111" s="227" t="s">
        <v>133</v>
      </c>
      <c r="B111" s="227" t="s">
        <v>2663</v>
      </c>
      <c r="C111" s="245" t="s">
        <v>1869</v>
      </c>
      <c r="D111" s="227" t="s">
        <v>108</v>
      </c>
      <c r="E111" s="570">
        <f>'ARQ - BLOCO DE SALAS'!F65</f>
        <v>4579.6499999999996</v>
      </c>
      <c r="F111" s="222">
        <v>26.04</v>
      </c>
      <c r="G111" s="219">
        <f t="shared" si="26"/>
        <v>33</v>
      </c>
      <c r="H111" s="219">
        <f t="shared" ref="H111:H117" si="28">TRUNC((G111*E111),2)</f>
        <v>151128.45000000001</v>
      </c>
      <c r="I111" s="281"/>
    </row>
    <row r="112" spans="1:9" ht="60" outlineLevel="2">
      <c r="A112" s="227" t="s">
        <v>134</v>
      </c>
      <c r="B112" s="227" t="s">
        <v>2664</v>
      </c>
      <c r="C112" s="245" t="s">
        <v>2117</v>
      </c>
      <c r="D112" s="227" t="s">
        <v>108</v>
      </c>
      <c r="E112" s="570">
        <f>'ARQ - BLOCO DE SALAS'!E66</f>
        <v>1717</v>
      </c>
      <c r="F112" s="222">
        <v>3.76</v>
      </c>
      <c r="G112" s="219">
        <f t="shared" si="26"/>
        <v>4.76</v>
      </c>
      <c r="H112" s="219">
        <f t="shared" si="28"/>
        <v>8172.92</v>
      </c>
    </row>
    <row r="113" spans="1:9" ht="75" outlineLevel="2">
      <c r="A113" s="227" t="s">
        <v>135</v>
      </c>
      <c r="B113" s="227" t="s">
        <v>2665</v>
      </c>
      <c r="C113" s="245" t="s">
        <v>1868</v>
      </c>
      <c r="D113" s="227" t="s">
        <v>108</v>
      </c>
      <c r="E113" s="570">
        <f>'ARQ - BLOCO DE SALAS'!E67</f>
        <v>1717</v>
      </c>
      <c r="F113" s="222">
        <v>33.15</v>
      </c>
      <c r="G113" s="219">
        <f t="shared" si="26"/>
        <v>42.01</v>
      </c>
      <c r="H113" s="219">
        <f t="shared" si="28"/>
        <v>72131.17</v>
      </c>
    </row>
    <row r="114" spans="1:9" s="71" customFormat="1" ht="90" outlineLevel="2">
      <c r="A114" s="227" t="s">
        <v>147</v>
      </c>
      <c r="B114" s="227" t="s">
        <v>2666</v>
      </c>
      <c r="C114" s="245" t="s">
        <v>787</v>
      </c>
      <c r="D114" s="227" t="s">
        <v>108</v>
      </c>
      <c r="E114" s="570">
        <f>'ARQ - BLOCO DE SALAS'!F68</f>
        <v>220.72</v>
      </c>
      <c r="F114" s="222">
        <v>47.04</v>
      </c>
      <c r="G114" s="219">
        <f t="shared" si="26"/>
        <v>59.61</v>
      </c>
      <c r="H114" s="219">
        <f t="shared" si="28"/>
        <v>13157.11</v>
      </c>
      <c r="I114" s="281"/>
    </row>
    <row r="115" spans="1:9" s="71" customFormat="1" ht="60" outlineLevel="2">
      <c r="A115" s="227" t="s">
        <v>297</v>
      </c>
      <c r="B115" s="227" t="s">
        <v>786</v>
      </c>
      <c r="C115" s="245" t="s">
        <v>2667</v>
      </c>
      <c r="D115" s="227" t="s">
        <v>108</v>
      </c>
      <c r="E115" s="570">
        <f>'ARQ - BLOCO DE SALAS'!E69+'ARQ - BLOCO DE SALAS'!E70</f>
        <v>1134.3399999999999</v>
      </c>
      <c r="F115" s="222">
        <v>165.09</v>
      </c>
      <c r="G115" s="219">
        <f t="shared" si="26"/>
        <v>209.21</v>
      </c>
      <c r="H115" s="219">
        <f t="shared" si="28"/>
        <v>237315.27</v>
      </c>
      <c r="I115" s="281"/>
    </row>
    <row r="116" spans="1:9" s="71" customFormat="1" ht="60" outlineLevel="2">
      <c r="A116" s="227" t="s">
        <v>324</v>
      </c>
      <c r="B116" s="227" t="s">
        <v>2668</v>
      </c>
      <c r="C116" s="245" t="s">
        <v>795</v>
      </c>
      <c r="D116" s="227" t="s">
        <v>108</v>
      </c>
      <c r="E116" s="570">
        <f>'ARQ - BLOCO DE SALAS'!E71</f>
        <v>353.24</v>
      </c>
      <c r="F116" s="222">
        <v>165.09</v>
      </c>
      <c r="G116" s="219">
        <f t="shared" si="26"/>
        <v>209.21</v>
      </c>
      <c r="H116" s="219">
        <f t="shared" si="28"/>
        <v>73901.34</v>
      </c>
      <c r="I116" s="281"/>
    </row>
    <row r="117" spans="1:9" s="71" customFormat="1" ht="30" outlineLevel="2">
      <c r="A117" s="227" t="s">
        <v>325</v>
      </c>
      <c r="B117" s="227" t="s">
        <v>2669</v>
      </c>
      <c r="C117" s="245" t="s">
        <v>788</v>
      </c>
      <c r="D117" s="227" t="s">
        <v>108</v>
      </c>
      <c r="E117" s="570">
        <f>'Quant Bloco Salas 18_03_2017'!E66</f>
        <v>673.74</v>
      </c>
      <c r="F117" s="222">
        <v>21.8</v>
      </c>
      <c r="G117" s="219">
        <f t="shared" si="26"/>
        <v>27.62</v>
      </c>
      <c r="H117" s="219">
        <f t="shared" si="28"/>
        <v>18608.689999999999</v>
      </c>
      <c r="I117" s="281"/>
    </row>
    <row r="118" spans="1:9" s="71" customFormat="1" ht="15.75" outlineLevel="1">
      <c r="A118" s="588"/>
      <c r="B118" s="588"/>
      <c r="C118" s="589" t="s">
        <v>14</v>
      </c>
      <c r="D118" s="588"/>
      <c r="E118" s="590"/>
      <c r="F118" s="591"/>
      <c r="G118" s="592"/>
      <c r="H118" s="592">
        <f>SUM(H110:H117)</f>
        <v>589253.00999999989</v>
      </c>
      <c r="I118" s="281"/>
    </row>
    <row r="119" spans="1:9" s="71" customFormat="1" ht="15.75" outlineLevel="1">
      <c r="A119" s="421" t="s">
        <v>195</v>
      </c>
      <c r="B119" s="421"/>
      <c r="C119" s="593" t="s">
        <v>11</v>
      </c>
      <c r="D119" s="421"/>
      <c r="E119" s="599"/>
      <c r="F119" s="596"/>
      <c r="G119" s="598"/>
      <c r="H119" s="596"/>
      <c r="I119" s="281"/>
    </row>
    <row r="120" spans="1:9" s="71" customFormat="1" ht="60" outlineLevel="2">
      <c r="A120" s="227" t="s">
        <v>117</v>
      </c>
      <c r="B120" s="227" t="s">
        <v>2670</v>
      </c>
      <c r="C120" s="245" t="s">
        <v>789</v>
      </c>
      <c r="D120" s="227" t="s">
        <v>108</v>
      </c>
      <c r="E120" s="570">
        <f>'ARQ - BLOCO DE SALAS'!F77</f>
        <v>1976.65</v>
      </c>
      <c r="F120" s="222">
        <v>73.47</v>
      </c>
      <c r="G120" s="219">
        <f t="shared" ref="G120:G121" si="29">TRUNC(F120*(1+$E$2),2)</f>
        <v>93.1</v>
      </c>
      <c r="H120" s="219">
        <f t="shared" ref="H120" si="30">TRUNC((G120*E120),2)</f>
        <v>184026.11</v>
      </c>
      <c r="I120" s="281"/>
    </row>
    <row r="121" spans="1:9" s="71" customFormat="1" ht="45" outlineLevel="2">
      <c r="A121" s="227" t="s">
        <v>118</v>
      </c>
      <c r="B121" s="227" t="s">
        <v>2598</v>
      </c>
      <c r="C121" s="245" t="s">
        <v>2599</v>
      </c>
      <c r="D121" s="227" t="s">
        <v>101</v>
      </c>
      <c r="E121" s="570">
        <f>'ARQ - BLOCO DE SALAS'!F78</f>
        <v>31.1</v>
      </c>
      <c r="F121" s="222">
        <v>78.900000000000006</v>
      </c>
      <c r="G121" s="219">
        <f t="shared" si="29"/>
        <v>99.98</v>
      </c>
      <c r="H121" s="219">
        <f t="shared" ref="H121" si="31">TRUNC((G121*E121),2)</f>
        <v>3109.37</v>
      </c>
      <c r="I121" s="281"/>
    </row>
    <row r="122" spans="1:9" s="71" customFormat="1" ht="15.75" outlineLevel="1">
      <c r="A122" s="600"/>
      <c r="B122" s="588"/>
      <c r="C122" s="589" t="s">
        <v>14</v>
      </c>
      <c r="D122" s="588"/>
      <c r="E122" s="590"/>
      <c r="F122" s="591"/>
      <c r="G122" s="592"/>
      <c r="H122" s="592">
        <f>SUM(H120:H121)</f>
        <v>187135.47999999998</v>
      </c>
      <c r="I122" s="281"/>
    </row>
    <row r="123" spans="1:9" s="71" customFormat="1" ht="15.75" outlineLevel="1">
      <c r="A123" s="421" t="s">
        <v>142</v>
      </c>
      <c r="B123" s="421"/>
      <c r="C123" s="593" t="s">
        <v>792</v>
      </c>
      <c r="D123" s="421"/>
      <c r="E123" s="599"/>
      <c r="F123" s="596"/>
      <c r="G123" s="598"/>
      <c r="H123" s="596"/>
      <c r="I123" s="281"/>
    </row>
    <row r="124" spans="1:9" s="71" customFormat="1" ht="30" outlineLevel="2">
      <c r="A124" s="227" t="s">
        <v>119</v>
      </c>
      <c r="B124" s="168" t="s">
        <v>2671</v>
      </c>
      <c r="C124" s="169" t="s">
        <v>2672</v>
      </c>
      <c r="D124" s="227" t="s">
        <v>108</v>
      </c>
      <c r="E124" s="570">
        <f>'ARQ - BLOCO DE SALAS'!F87</f>
        <v>1916.87</v>
      </c>
      <c r="F124" s="222">
        <v>7.8</v>
      </c>
      <c r="G124" s="219">
        <f t="shared" ref="G124:G132" si="32">TRUNC(F124*(1+$E$2),2)</f>
        <v>9.8800000000000008</v>
      </c>
      <c r="H124" s="219">
        <f t="shared" ref="H124" si="33">TRUNC((G124*E124),2)</f>
        <v>18938.669999999998</v>
      </c>
      <c r="I124" s="281"/>
    </row>
    <row r="125" spans="1:9" ht="30" outlineLevel="2">
      <c r="A125" s="227" t="s">
        <v>121</v>
      </c>
      <c r="B125" s="168" t="s">
        <v>2673</v>
      </c>
      <c r="C125" s="169" t="s">
        <v>791</v>
      </c>
      <c r="D125" s="227" t="s">
        <v>108</v>
      </c>
      <c r="E125" s="570">
        <f>'ARQ - BLOCO DE SALAS'!F88</f>
        <v>1916.87</v>
      </c>
      <c r="F125" s="222">
        <v>8.31</v>
      </c>
      <c r="G125" s="219">
        <f t="shared" si="32"/>
        <v>10.53</v>
      </c>
      <c r="H125" s="219">
        <f t="shared" ref="H125:H132" si="34">TRUNC((G125*E125),2)</f>
        <v>20184.64</v>
      </c>
    </row>
    <row r="126" spans="1:9" ht="30" outlineLevel="2">
      <c r="A126" s="227" t="s">
        <v>143</v>
      </c>
      <c r="B126" s="227" t="s">
        <v>2674</v>
      </c>
      <c r="C126" s="245" t="s">
        <v>2121</v>
      </c>
      <c r="D126" s="227" t="s">
        <v>108</v>
      </c>
      <c r="E126" s="570">
        <f>'ARQ - BLOCO DE SALAS'!E89</f>
        <v>1717</v>
      </c>
      <c r="F126" s="222">
        <v>18.760000000000002</v>
      </c>
      <c r="G126" s="219">
        <f t="shared" si="32"/>
        <v>23.77</v>
      </c>
      <c r="H126" s="219">
        <f t="shared" si="34"/>
        <v>40813.089999999997</v>
      </c>
    </row>
    <row r="127" spans="1:9" ht="30" outlineLevel="2">
      <c r="A127" s="227" t="s">
        <v>144</v>
      </c>
      <c r="B127" s="227" t="s">
        <v>2675</v>
      </c>
      <c r="C127" s="245" t="s">
        <v>1789</v>
      </c>
      <c r="D127" s="227" t="s">
        <v>108</v>
      </c>
      <c r="E127" s="570">
        <f>'ARQ - BLOCO DE SALAS'!E90</f>
        <v>1717</v>
      </c>
      <c r="F127" s="222">
        <v>11.68</v>
      </c>
      <c r="G127" s="219">
        <f t="shared" si="32"/>
        <v>14.8</v>
      </c>
      <c r="H127" s="219">
        <f t="shared" si="34"/>
        <v>25411.599999999999</v>
      </c>
    </row>
    <row r="128" spans="1:9" s="71" customFormat="1" ht="30" outlineLevel="2">
      <c r="A128" s="227" t="s">
        <v>145</v>
      </c>
      <c r="B128" s="168" t="s">
        <v>2676</v>
      </c>
      <c r="C128" s="169" t="s">
        <v>839</v>
      </c>
      <c r="D128" s="227" t="s">
        <v>108</v>
      </c>
      <c r="E128" s="570">
        <f>'Quant Bloco Salas 18_03_2017'!E82</f>
        <v>1742.42</v>
      </c>
      <c r="F128" s="222">
        <v>1.56</v>
      </c>
      <c r="G128" s="219">
        <f t="shared" si="32"/>
        <v>1.97</v>
      </c>
      <c r="H128" s="219">
        <f t="shared" si="34"/>
        <v>3432.56</v>
      </c>
      <c r="I128" s="281"/>
    </row>
    <row r="129" spans="1:8" ht="30" outlineLevel="2">
      <c r="A129" s="227" t="s">
        <v>181</v>
      </c>
      <c r="B129" s="227" t="s">
        <v>1986</v>
      </c>
      <c r="C129" s="245" t="s">
        <v>2677</v>
      </c>
      <c r="D129" s="227" t="s">
        <v>108</v>
      </c>
      <c r="E129" s="570">
        <f>'Quant Bloco Salas 18_03_2017'!E84</f>
        <v>1742.42</v>
      </c>
      <c r="F129" s="222">
        <v>13.06</v>
      </c>
      <c r="G129" s="219">
        <f t="shared" si="32"/>
        <v>16.55</v>
      </c>
      <c r="H129" s="219">
        <f t="shared" si="34"/>
        <v>28837.05</v>
      </c>
    </row>
    <row r="130" spans="1:8" ht="30" outlineLevel="2">
      <c r="A130" s="227" t="s">
        <v>185</v>
      </c>
      <c r="B130" s="168" t="s">
        <v>2678</v>
      </c>
      <c r="C130" s="169" t="s">
        <v>794</v>
      </c>
      <c r="D130" s="227" t="s">
        <v>108</v>
      </c>
      <c r="E130" s="570">
        <f>'Quant Bloco Salas 18_03_2017'!E86</f>
        <v>1742.4199999999998</v>
      </c>
      <c r="F130" s="222">
        <v>10.43</v>
      </c>
      <c r="G130" s="219">
        <f t="shared" si="32"/>
        <v>13.21</v>
      </c>
      <c r="H130" s="219">
        <f t="shared" si="34"/>
        <v>23017.360000000001</v>
      </c>
    </row>
    <row r="131" spans="1:8" ht="45" outlineLevel="2">
      <c r="A131" s="227" t="s">
        <v>186</v>
      </c>
      <c r="B131" s="168">
        <v>95468</v>
      </c>
      <c r="C131" s="169" t="s">
        <v>3089</v>
      </c>
      <c r="D131" s="227" t="s">
        <v>108</v>
      </c>
      <c r="E131" s="570">
        <v>122.12</v>
      </c>
      <c r="F131" s="222">
        <v>30.79</v>
      </c>
      <c r="G131" s="219">
        <f t="shared" si="32"/>
        <v>39.020000000000003</v>
      </c>
      <c r="H131" s="219">
        <f t="shared" si="34"/>
        <v>4765.12</v>
      </c>
    </row>
    <row r="132" spans="1:8" s="281" customFormat="1" ht="30" outlineLevel="2">
      <c r="A132" s="227" t="s">
        <v>187</v>
      </c>
      <c r="B132" s="227" t="s">
        <v>2004</v>
      </c>
      <c r="C132" s="245" t="s">
        <v>2005</v>
      </c>
      <c r="D132" s="227" t="s">
        <v>108</v>
      </c>
      <c r="E132" s="570">
        <f>'ARQ - BLOCO DE SALAS'!F93</f>
        <v>140.72</v>
      </c>
      <c r="F132" s="222">
        <v>12.45</v>
      </c>
      <c r="G132" s="219">
        <f t="shared" si="32"/>
        <v>15.77</v>
      </c>
      <c r="H132" s="219">
        <f t="shared" si="34"/>
        <v>2219.15</v>
      </c>
    </row>
    <row r="133" spans="1:8" ht="15.75" outlineLevel="1">
      <c r="A133" s="588"/>
      <c r="B133" s="588"/>
      <c r="C133" s="589" t="s">
        <v>14</v>
      </c>
      <c r="D133" s="588"/>
      <c r="E133" s="590"/>
      <c r="F133" s="591"/>
      <c r="G133" s="592"/>
      <c r="H133" s="592">
        <f>SUM(H124:H132)</f>
        <v>167619.23999999996</v>
      </c>
    </row>
    <row r="134" spans="1:8" ht="15.75" outlineLevel="1">
      <c r="A134" s="421" t="s">
        <v>146</v>
      </c>
      <c r="B134" s="421"/>
      <c r="C134" s="593" t="s">
        <v>88</v>
      </c>
      <c r="D134" s="421"/>
      <c r="E134" s="599"/>
      <c r="F134" s="596"/>
      <c r="G134" s="598"/>
      <c r="H134" s="596"/>
    </row>
    <row r="135" spans="1:8" ht="30" outlineLevel="2">
      <c r="A135" s="227" t="s">
        <v>122</v>
      </c>
      <c r="B135" s="227" t="s">
        <v>796</v>
      </c>
      <c r="C135" s="245" t="s">
        <v>2679</v>
      </c>
      <c r="D135" s="227" t="s">
        <v>108</v>
      </c>
      <c r="E135" s="570">
        <f>'ARQ - BLOCO DE SALAS'!F99</f>
        <v>64.849999999999994</v>
      </c>
      <c r="F135" s="222">
        <v>50.57</v>
      </c>
      <c r="G135" s="219">
        <f t="shared" ref="G135:G136" si="35">TRUNC(F135*(1+$E$2),2)</f>
        <v>64.08</v>
      </c>
      <c r="H135" s="219">
        <f t="shared" ref="H135" si="36">TRUNC((G135*E135),2)</f>
        <v>4155.58</v>
      </c>
    </row>
    <row r="136" spans="1:8" ht="60" outlineLevel="2">
      <c r="A136" s="227" t="s">
        <v>2133</v>
      </c>
      <c r="B136" s="227" t="s">
        <v>1468</v>
      </c>
      <c r="C136" s="245" t="s">
        <v>1469</v>
      </c>
      <c r="D136" s="227" t="s">
        <v>108</v>
      </c>
      <c r="E136" s="570">
        <f>'ARQ - BLOCO DE SALAS'!F100</f>
        <v>30.25</v>
      </c>
      <c r="F136" s="222">
        <v>568.26</v>
      </c>
      <c r="G136" s="219">
        <f t="shared" si="35"/>
        <v>720.15</v>
      </c>
      <c r="H136" s="219">
        <f t="shared" ref="H136" si="37">TRUNC((G136*E136),2)</f>
        <v>21784.53</v>
      </c>
    </row>
    <row r="137" spans="1:8" ht="15.75" outlineLevel="1">
      <c r="A137" s="600"/>
      <c r="B137" s="588"/>
      <c r="C137" s="589" t="s">
        <v>14</v>
      </c>
      <c r="D137" s="588"/>
      <c r="E137" s="590"/>
      <c r="F137" s="591"/>
      <c r="G137" s="592"/>
      <c r="H137" s="592">
        <f>SUM(H135:H136)</f>
        <v>25940.11</v>
      </c>
    </row>
    <row r="138" spans="1:8" ht="15.75" outlineLevel="1">
      <c r="A138" s="247" t="s">
        <v>198</v>
      </c>
      <c r="B138" s="247"/>
      <c r="C138" s="601" t="s">
        <v>137</v>
      </c>
      <c r="D138" s="247"/>
      <c r="E138" s="602"/>
      <c r="F138" s="382"/>
      <c r="G138" s="603"/>
      <c r="H138" s="603"/>
    </row>
    <row r="139" spans="1:8" ht="45" outlineLevel="2">
      <c r="A139" s="227" t="s">
        <v>2974</v>
      </c>
      <c r="B139" s="227" t="s">
        <v>805</v>
      </c>
      <c r="C139" s="245" t="s">
        <v>806</v>
      </c>
      <c r="D139" s="227" t="s">
        <v>57</v>
      </c>
      <c r="E139" s="570">
        <f>'Quant Bloco Salas 18_03_2017'!E122+'Quant Bloco Salas 18_03_2017'!E123</f>
        <v>85</v>
      </c>
      <c r="F139" s="222">
        <v>140</v>
      </c>
      <c r="G139" s="219">
        <f t="shared" ref="G139:G142" si="38">TRUNC(F139*(1+$E$2),2)</f>
        <v>177.42</v>
      </c>
      <c r="H139" s="219">
        <f t="shared" ref="H139" si="39">TRUNC((G139*E139),2)</f>
        <v>15080.7</v>
      </c>
    </row>
    <row r="140" spans="1:8" outlineLevel="2">
      <c r="A140" s="227" t="s">
        <v>998</v>
      </c>
      <c r="B140" s="168" t="s">
        <v>2519</v>
      </c>
      <c r="C140" s="169" t="s">
        <v>2520</v>
      </c>
      <c r="D140" s="168" t="s">
        <v>57</v>
      </c>
      <c r="E140" s="604">
        <f>'ARQ - BLOCO DE SALAS'!F136</f>
        <v>1</v>
      </c>
      <c r="F140" s="605">
        <v>3545</v>
      </c>
      <c r="G140" s="219">
        <f t="shared" si="38"/>
        <v>4492.57</v>
      </c>
      <c r="H140" s="219">
        <f t="shared" ref="H140:H142" si="40">TRUNC((G140*E140),2)</f>
        <v>4492.57</v>
      </c>
    </row>
    <row r="141" spans="1:8" ht="30" outlineLevel="2">
      <c r="A141" s="227" t="s">
        <v>2975</v>
      </c>
      <c r="B141" s="168" t="s">
        <v>821</v>
      </c>
      <c r="C141" s="169" t="s">
        <v>2680</v>
      </c>
      <c r="D141" s="168" t="s">
        <v>108</v>
      </c>
      <c r="E141" s="604">
        <f>'Quant Bloco Salas 18_03_2017'!E126+'Quant Bloco Salas 18_03_2017'!E127</f>
        <v>633</v>
      </c>
      <c r="F141" s="605">
        <v>171.54</v>
      </c>
      <c r="G141" s="219">
        <f t="shared" si="38"/>
        <v>217.39</v>
      </c>
      <c r="H141" s="219">
        <f t="shared" si="40"/>
        <v>137607.87</v>
      </c>
    </row>
    <row r="142" spans="1:8" ht="45" outlineLevel="2">
      <c r="A142" s="227" t="s">
        <v>2976</v>
      </c>
      <c r="B142" s="227" t="s">
        <v>807</v>
      </c>
      <c r="C142" s="245" t="s">
        <v>808</v>
      </c>
      <c r="D142" s="227" t="s">
        <v>108</v>
      </c>
      <c r="E142" s="570">
        <f>'Quant Bloco Salas 18_03_2017'!E128</f>
        <v>180</v>
      </c>
      <c r="F142" s="222">
        <v>164.27</v>
      </c>
      <c r="G142" s="219">
        <f t="shared" si="38"/>
        <v>208.17</v>
      </c>
      <c r="H142" s="219">
        <f t="shared" si="40"/>
        <v>37470.6</v>
      </c>
    </row>
    <row r="143" spans="1:8" ht="15.75" outlineLevel="1">
      <c r="A143" s="588"/>
      <c r="B143" s="588"/>
      <c r="C143" s="589" t="s">
        <v>14</v>
      </c>
      <c r="D143" s="588"/>
      <c r="E143" s="590"/>
      <c r="F143" s="591"/>
      <c r="G143" s="592"/>
      <c r="H143" s="592">
        <f>SUM(H139:H142)</f>
        <v>194651.74</v>
      </c>
    </row>
    <row r="144" spans="1:8" ht="15.75" outlineLevel="1">
      <c r="A144" s="421" t="s">
        <v>199</v>
      </c>
      <c r="B144" s="421"/>
      <c r="C144" s="593" t="s">
        <v>82</v>
      </c>
      <c r="D144" s="421"/>
      <c r="E144" s="599"/>
      <c r="F144" s="596"/>
      <c r="G144" s="598"/>
      <c r="H144" s="596"/>
    </row>
    <row r="145" spans="1:9" ht="45" outlineLevel="2">
      <c r="A145" s="227" t="s">
        <v>329</v>
      </c>
      <c r="B145" s="227" t="s">
        <v>823</v>
      </c>
      <c r="C145" s="245" t="s">
        <v>822</v>
      </c>
      <c r="D145" s="227" t="s">
        <v>57</v>
      </c>
      <c r="E145" s="570">
        <f>'ARQ - BLOCO DE SALAS'!F112</f>
        <v>1</v>
      </c>
      <c r="F145" s="222">
        <v>1706.56</v>
      </c>
      <c r="G145" s="219">
        <f t="shared" ref="G145:G159" si="41">TRUNC(F145*(1+$E$2),2)</f>
        <v>2162.7199999999998</v>
      </c>
      <c r="H145" s="219">
        <f t="shared" ref="H145" si="42">TRUNC((G145*E145),2)</f>
        <v>2162.7199999999998</v>
      </c>
    </row>
    <row r="146" spans="1:9" ht="47.25" customHeight="1" outlineLevel="2">
      <c r="A146" s="227" t="s">
        <v>370</v>
      </c>
      <c r="B146" s="227" t="s">
        <v>835</v>
      </c>
      <c r="C146" s="245" t="s">
        <v>836</v>
      </c>
      <c r="D146" s="227" t="s">
        <v>57</v>
      </c>
      <c r="E146" s="570">
        <f>'ARQ - BLOCO DE SALAS'!F113</f>
        <v>1</v>
      </c>
      <c r="F146" s="222">
        <v>4761.1000000000004</v>
      </c>
      <c r="G146" s="219">
        <f t="shared" si="41"/>
        <v>6033.74</v>
      </c>
      <c r="H146" s="219">
        <f t="shared" ref="H146:H159" si="43">TRUNC((G146*E146),2)</f>
        <v>6033.74</v>
      </c>
    </row>
    <row r="147" spans="1:9" s="71" customFormat="1" ht="30" outlineLevel="2">
      <c r="A147" s="227" t="s">
        <v>999</v>
      </c>
      <c r="B147" s="227" t="s">
        <v>824</v>
      </c>
      <c r="C147" s="245" t="s">
        <v>825</v>
      </c>
      <c r="D147" s="227" t="s">
        <v>57</v>
      </c>
      <c r="E147" s="570">
        <f>'ARQ - BLOCO DE SALAS'!F114</f>
        <v>22</v>
      </c>
      <c r="F147" s="222">
        <v>1500</v>
      </c>
      <c r="G147" s="219">
        <f t="shared" si="41"/>
        <v>1900.95</v>
      </c>
      <c r="H147" s="219">
        <f t="shared" si="43"/>
        <v>41820.9</v>
      </c>
      <c r="I147" s="281"/>
    </row>
    <row r="148" spans="1:9" ht="30" outlineLevel="2">
      <c r="A148" s="227" t="s">
        <v>2134</v>
      </c>
      <c r="B148" s="227" t="s">
        <v>2682</v>
      </c>
      <c r="C148" s="245" t="s">
        <v>797</v>
      </c>
      <c r="D148" s="227" t="s">
        <v>108</v>
      </c>
      <c r="E148" s="570">
        <f>'ARQ - BLOCO DE SALAS'!F115</f>
        <v>3.96</v>
      </c>
      <c r="F148" s="222">
        <v>359.1</v>
      </c>
      <c r="G148" s="219">
        <f t="shared" si="41"/>
        <v>455.08</v>
      </c>
      <c r="H148" s="219">
        <f t="shared" si="43"/>
        <v>1802.11</v>
      </c>
    </row>
    <row r="149" spans="1:9" ht="60" outlineLevel="2">
      <c r="A149" s="227" t="s">
        <v>1000</v>
      </c>
      <c r="B149" s="227" t="s">
        <v>809</v>
      </c>
      <c r="C149" s="245" t="s">
        <v>810</v>
      </c>
      <c r="D149" s="227" t="s">
        <v>108</v>
      </c>
      <c r="E149" s="570">
        <f>'ARQ - BLOCO DE SALAS'!F117</f>
        <v>35.04</v>
      </c>
      <c r="F149" s="222">
        <v>248.83</v>
      </c>
      <c r="G149" s="219">
        <f t="shared" si="41"/>
        <v>315.33999999999997</v>
      </c>
      <c r="H149" s="219">
        <f t="shared" si="43"/>
        <v>11049.51</v>
      </c>
    </row>
    <row r="150" spans="1:9" s="71" customFormat="1" ht="45" outlineLevel="2">
      <c r="A150" s="227" t="s">
        <v>381</v>
      </c>
      <c r="B150" s="227" t="s">
        <v>895</v>
      </c>
      <c r="C150" s="245" t="s">
        <v>2594</v>
      </c>
      <c r="D150" s="227" t="s">
        <v>57</v>
      </c>
      <c r="E150" s="570">
        <f>'ARQ - BLOCO DE SALAS'!F118</f>
        <v>1</v>
      </c>
      <c r="F150" s="222">
        <v>3800</v>
      </c>
      <c r="G150" s="219">
        <f t="shared" si="41"/>
        <v>4815.74</v>
      </c>
      <c r="H150" s="219">
        <f t="shared" si="43"/>
        <v>4815.74</v>
      </c>
      <c r="I150" s="281"/>
    </row>
    <row r="151" spans="1:9" s="71" customFormat="1" ht="30" outlineLevel="2">
      <c r="A151" s="227" t="s">
        <v>382</v>
      </c>
      <c r="B151" s="227" t="s">
        <v>2501</v>
      </c>
      <c r="C151" s="245" t="s">
        <v>2502</v>
      </c>
      <c r="D151" s="227" t="s">
        <v>57</v>
      </c>
      <c r="E151" s="570">
        <f>'ARQ - BLOCO DE SALAS'!F119</f>
        <v>1</v>
      </c>
      <c r="F151" s="222">
        <v>1400</v>
      </c>
      <c r="G151" s="219">
        <f t="shared" si="41"/>
        <v>1774.22</v>
      </c>
      <c r="H151" s="219">
        <f t="shared" si="43"/>
        <v>1774.22</v>
      </c>
      <c r="I151" s="281"/>
    </row>
    <row r="152" spans="1:9" s="71" customFormat="1" ht="30" outlineLevel="2">
      <c r="A152" s="227" t="s">
        <v>383</v>
      </c>
      <c r="B152" s="227" t="s">
        <v>1797</v>
      </c>
      <c r="C152" s="245" t="s">
        <v>1798</v>
      </c>
      <c r="D152" s="227" t="s">
        <v>57</v>
      </c>
      <c r="E152" s="570">
        <f>'ARQ - BLOCO DE SALAS'!F120</f>
        <v>6</v>
      </c>
      <c r="F152" s="222">
        <v>145.43</v>
      </c>
      <c r="G152" s="219">
        <f t="shared" si="41"/>
        <v>184.3</v>
      </c>
      <c r="H152" s="219">
        <f t="shared" si="43"/>
        <v>1105.8</v>
      </c>
      <c r="I152" s="281"/>
    </row>
    <row r="153" spans="1:9" s="71" customFormat="1" ht="30" outlineLevel="2">
      <c r="A153" s="227" t="s">
        <v>384</v>
      </c>
      <c r="B153" s="227" t="s">
        <v>813</v>
      </c>
      <c r="C153" s="245" t="s">
        <v>814</v>
      </c>
      <c r="D153" s="227" t="s">
        <v>57</v>
      </c>
      <c r="E153" s="570">
        <f>'ARQ - BLOCO DE SALAS'!F121</f>
        <v>6</v>
      </c>
      <c r="F153" s="222">
        <v>212.79</v>
      </c>
      <c r="G153" s="219">
        <f t="shared" si="41"/>
        <v>269.66000000000003</v>
      </c>
      <c r="H153" s="219">
        <f t="shared" si="43"/>
        <v>1617.96</v>
      </c>
      <c r="I153" s="281"/>
    </row>
    <row r="154" spans="1:9" s="71" customFormat="1" ht="30" outlineLevel="2">
      <c r="A154" s="227" t="s">
        <v>385</v>
      </c>
      <c r="B154" s="227" t="s">
        <v>2977</v>
      </c>
      <c r="C154" s="245" t="s">
        <v>1873</v>
      </c>
      <c r="D154" s="227" t="s">
        <v>76</v>
      </c>
      <c r="E154" s="570">
        <f>'Quant Bloco Salas 18_03_2017'!E113</f>
        <v>56.199999999999996</v>
      </c>
      <c r="F154" s="222">
        <v>36.53</v>
      </c>
      <c r="G154" s="219">
        <f t="shared" si="41"/>
        <v>46.29</v>
      </c>
      <c r="H154" s="219">
        <f t="shared" si="43"/>
        <v>2601.4899999999998</v>
      </c>
      <c r="I154" s="281"/>
    </row>
    <row r="155" spans="1:9" s="71" customFormat="1" ht="30" outlineLevel="2">
      <c r="A155" s="227" t="s">
        <v>2135</v>
      </c>
      <c r="B155" s="227" t="s">
        <v>3138</v>
      </c>
      <c r="C155" s="245" t="s">
        <v>3139</v>
      </c>
      <c r="D155" s="227" t="s">
        <v>57</v>
      </c>
      <c r="E155" s="570">
        <f>'Quant Bloco Salas 18_03_2017'!E114</f>
        <v>25</v>
      </c>
      <c r="F155" s="222">
        <v>373.49</v>
      </c>
      <c r="G155" s="219">
        <f t="shared" si="41"/>
        <v>473.32</v>
      </c>
      <c r="H155" s="219">
        <f t="shared" si="43"/>
        <v>11833</v>
      </c>
      <c r="I155" s="281"/>
    </row>
    <row r="156" spans="1:9" s="71" customFormat="1" ht="45" outlineLevel="2">
      <c r="A156" s="227" t="s">
        <v>2136</v>
      </c>
      <c r="B156" s="227" t="s">
        <v>3136</v>
      </c>
      <c r="C156" s="245" t="s">
        <v>3137</v>
      </c>
      <c r="D156" s="227" t="s">
        <v>10</v>
      </c>
      <c r="E156" s="570">
        <f>'Quant Bloco Salas 18_03_2017'!E136</f>
        <v>107.6</v>
      </c>
      <c r="F156" s="222">
        <v>324.72000000000003</v>
      </c>
      <c r="G156" s="219">
        <f t="shared" si="41"/>
        <v>411.51</v>
      </c>
      <c r="H156" s="219">
        <f t="shared" si="43"/>
        <v>44278.47</v>
      </c>
      <c r="I156" s="281"/>
    </row>
    <row r="157" spans="1:9" s="71" customFormat="1" ht="60" outlineLevel="2">
      <c r="A157" s="227" t="s">
        <v>3158</v>
      </c>
      <c r="B157" s="227" t="s">
        <v>2978</v>
      </c>
      <c r="C157" s="245" t="s">
        <v>2979</v>
      </c>
      <c r="D157" s="227" t="s">
        <v>57</v>
      </c>
      <c r="E157" s="570">
        <v>13</v>
      </c>
      <c r="F157" s="222">
        <v>180</v>
      </c>
      <c r="G157" s="219">
        <f t="shared" si="41"/>
        <v>228.11</v>
      </c>
      <c r="H157" s="219">
        <f t="shared" si="43"/>
        <v>2965.43</v>
      </c>
      <c r="I157" s="281"/>
    </row>
    <row r="158" spans="1:9" s="71" customFormat="1" ht="60" outlineLevel="2">
      <c r="A158" s="227" t="s">
        <v>3159</v>
      </c>
      <c r="B158" s="168" t="s">
        <v>964</v>
      </c>
      <c r="C158" s="169" t="s">
        <v>2684</v>
      </c>
      <c r="D158" s="227" t="s">
        <v>57</v>
      </c>
      <c r="E158" s="570">
        <v>1</v>
      </c>
      <c r="F158" s="222">
        <v>290</v>
      </c>
      <c r="G158" s="219">
        <f t="shared" si="41"/>
        <v>367.51</v>
      </c>
      <c r="H158" s="219">
        <f t="shared" si="43"/>
        <v>367.51</v>
      </c>
      <c r="I158" s="281"/>
    </row>
    <row r="159" spans="1:9" s="71" customFormat="1" ht="45" outlineLevel="2">
      <c r="A159" s="227" t="s">
        <v>3160</v>
      </c>
      <c r="B159" s="227" t="s">
        <v>965</v>
      </c>
      <c r="C159" s="245" t="s">
        <v>966</v>
      </c>
      <c r="D159" s="227" t="s">
        <v>57</v>
      </c>
      <c r="E159" s="570">
        <f>'ARQ - BLOCO DE SALAS'!F127</f>
        <v>1</v>
      </c>
      <c r="F159" s="222">
        <v>298.56</v>
      </c>
      <c r="G159" s="219">
        <f t="shared" si="41"/>
        <v>378.36</v>
      </c>
      <c r="H159" s="219">
        <f t="shared" si="43"/>
        <v>378.36</v>
      </c>
      <c r="I159" s="281"/>
    </row>
    <row r="160" spans="1:9" ht="15.75" outlineLevel="1">
      <c r="A160" s="600"/>
      <c r="B160" s="588"/>
      <c r="C160" s="589" t="s">
        <v>14</v>
      </c>
      <c r="D160" s="588"/>
      <c r="E160" s="590"/>
      <c r="F160" s="591"/>
      <c r="G160" s="592"/>
      <c r="H160" s="592">
        <f>SUM(H145:H159)</f>
        <v>134606.96000000002</v>
      </c>
    </row>
    <row r="161" spans="1:8" ht="15.75" outlineLevel="1">
      <c r="A161" s="421" t="s">
        <v>200</v>
      </c>
      <c r="B161" s="421"/>
      <c r="C161" s="593" t="s">
        <v>13</v>
      </c>
      <c r="D161" s="421"/>
      <c r="E161" s="599"/>
      <c r="F161" s="596"/>
      <c r="G161" s="598"/>
      <c r="H161" s="596"/>
    </row>
    <row r="162" spans="1:8" outlineLevel="2">
      <c r="A162" s="227" t="s">
        <v>330</v>
      </c>
      <c r="B162" s="227">
        <v>9537</v>
      </c>
      <c r="C162" s="245" t="s">
        <v>799</v>
      </c>
      <c r="D162" s="227" t="s">
        <v>161</v>
      </c>
      <c r="E162" s="570">
        <f>'ARQ - BLOCO DE SALAS'!F143</f>
        <v>2341</v>
      </c>
      <c r="F162" s="222">
        <v>2.09</v>
      </c>
      <c r="G162" s="219">
        <f t="shared" ref="G162:G164" si="44">TRUNC(F162*(1+$E$2),2)</f>
        <v>2.64</v>
      </c>
      <c r="H162" s="219">
        <f t="shared" ref="H162" si="45">TRUNC((G162*E162),2)</f>
        <v>6180.24</v>
      </c>
    </row>
    <row r="163" spans="1:8" outlineLevel="2">
      <c r="A163" s="227" t="s">
        <v>3140</v>
      </c>
      <c r="B163" s="227" t="s">
        <v>3141</v>
      </c>
      <c r="C163" s="245" t="s">
        <v>3142</v>
      </c>
      <c r="D163" s="227" t="s">
        <v>161</v>
      </c>
      <c r="E163" s="570">
        <f>'[3]Quant Bloco Salas + Urbaniz (2'!E129</f>
        <v>1708.3</v>
      </c>
      <c r="F163" s="222">
        <v>5.69</v>
      </c>
      <c r="G163" s="219">
        <f t="shared" si="44"/>
        <v>7.21</v>
      </c>
      <c r="H163" s="219">
        <f t="shared" ref="H163:H164" si="46">TRUNC((G163*E163),2)</f>
        <v>12316.84</v>
      </c>
    </row>
    <row r="164" spans="1:8" outlineLevel="2">
      <c r="A164" s="227" t="s">
        <v>3143</v>
      </c>
      <c r="B164" s="227" t="s">
        <v>3144</v>
      </c>
      <c r="C164" s="245" t="s">
        <v>3145</v>
      </c>
      <c r="D164" s="227" t="s">
        <v>161</v>
      </c>
      <c r="E164" s="570">
        <f>'[3]Quant Bloco Salas + Urbaniz (2'!E128</f>
        <v>241.78999999999996</v>
      </c>
      <c r="F164" s="222">
        <v>10.54</v>
      </c>
      <c r="G164" s="219">
        <f t="shared" si="44"/>
        <v>13.35</v>
      </c>
      <c r="H164" s="219">
        <f t="shared" si="46"/>
        <v>3227.89</v>
      </c>
    </row>
    <row r="165" spans="1:8" ht="15.75" outlineLevel="1">
      <c r="A165" s="122"/>
      <c r="B165" s="79"/>
      <c r="C165" s="80" t="s">
        <v>14</v>
      </c>
      <c r="D165" s="79"/>
      <c r="E165" s="81"/>
      <c r="F165" s="207"/>
      <c r="G165" s="220"/>
      <c r="H165" s="220">
        <f>SUM(H162:H164)</f>
        <v>21724.97</v>
      </c>
    </row>
    <row r="166" spans="1:8" ht="31.5">
      <c r="A166" s="66"/>
      <c r="B166" s="66"/>
      <c r="C166" s="67" t="s">
        <v>605</v>
      </c>
      <c r="D166" s="66"/>
      <c r="E166" s="279"/>
      <c r="F166" s="208"/>
      <c r="G166" s="206"/>
      <c r="H166" s="208">
        <f>H31+H50+H58+H71+H78+H89+H100+H108+H118+H122+H133+H137+H143+H160+H165</f>
        <v>3834122.11</v>
      </c>
    </row>
    <row r="167" spans="1:8" ht="15.75">
      <c r="A167" s="778" t="s">
        <v>638</v>
      </c>
      <c r="B167" s="778"/>
      <c r="C167" s="778"/>
      <c r="D167" s="778"/>
      <c r="E167" s="778"/>
      <c r="F167" s="778"/>
      <c r="G167" s="778"/>
      <c r="H167" s="778"/>
    </row>
    <row r="168" spans="1:8" ht="15.75" outlineLevel="1">
      <c r="A168" s="178" t="s">
        <v>166</v>
      </c>
      <c r="B168" s="178"/>
      <c r="C168" s="179" t="s">
        <v>533</v>
      </c>
      <c r="D168" s="178"/>
      <c r="E168" s="180"/>
      <c r="F168" s="209"/>
      <c r="G168" s="205"/>
      <c r="H168" s="210"/>
    </row>
    <row r="169" spans="1:8" outlineLevel="2">
      <c r="A169" s="227" t="s">
        <v>1001</v>
      </c>
      <c r="B169" s="227" t="s">
        <v>654</v>
      </c>
      <c r="C169" s="245" t="s">
        <v>653</v>
      </c>
      <c r="D169" s="227" t="s">
        <v>284</v>
      </c>
      <c r="E169" s="570">
        <f>'EST - REFEITÓRIO'!I4</f>
        <v>211.22</v>
      </c>
      <c r="F169" s="222">
        <v>27.41</v>
      </c>
      <c r="G169" s="219">
        <f t="shared" ref="G169:G170" si="47">TRUNC(F169*(1+$E$2),2)</f>
        <v>34.729999999999997</v>
      </c>
      <c r="H169" s="219">
        <f t="shared" ref="H169" si="48">TRUNC((G169*E169),2)</f>
        <v>7335.67</v>
      </c>
    </row>
    <row r="170" spans="1:8" ht="45" outlineLevel="2">
      <c r="A170" s="227" t="s">
        <v>1002</v>
      </c>
      <c r="B170" s="227" t="s">
        <v>156</v>
      </c>
      <c r="C170" s="245" t="s">
        <v>522</v>
      </c>
      <c r="D170" s="227" t="s">
        <v>284</v>
      </c>
      <c r="E170" s="570">
        <f>'EST - REFEITÓRIO'!I6</f>
        <v>211.22</v>
      </c>
      <c r="F170" s="222">
        <v>4.7699999999999996</v>
      </c>
      <c r="G170" s="219">
        <f t="shared" si="47"/>
        <v>6.04</v>
      </c>
      <c r="H170" s="219">
        <f t="shared" ref="H170" si="49">TRUNC((G170*E170),2)</f>
        <v>1275.76</v>
      </c>
    </row>
    <row r="171" spans="1:8" ht="15.75" outlineLevel="1">
      <c r="A171" s="79"/>
      <c r="B171" s="79"/>
      <c r="C171" s="80" t="s">
        <v>14</v>
      </c>
      <c r="D171" s="79"/>
      <c r="E171" s="81"/>
      <c r="F171" s="207"/>
      <c r="G171" s="207"/>
      <c r="H171" s="220">
        <f>SUM(H169:H170)</f>
        <v>8611.43</v>
      </c>
    </row>
    <row r="172" spans="1:8" ht="15.75" outlineLevel="1">
      <c r="A172" s="178" t="s">
        <v>167</v>
      </c>
      <c r="B172" s="178"/>
      <c r="C172" s="179" t="s">
        <v>157</v>
      </c>
      <c r="D172" s="178"/>
      <c r="E172" s="180"/>
      <c r="F172" s="209"/>
      <c r="G172" s="205"/>
      <c r="H172" s="210"/>
    </row>
    <row r="173" spans="1:8" ht="45" outlineLevel="2">
      <c r="A173" s="227" t="s">
        <v>1003</v>
      </c>
      <c r="B173" s="227" t="s">
        <v>2631</v>
      </c>
      <c r="C173" s="245" t="s">
        <v>523</v>
      </c>
      <c r="D173" s="227" t="s">
        <v>284</v>
      </c>
      <c r="E173" s="570">
        <f>'EST - REFEITÓRIO'!I10</f>
        <v>79.607000000000014</v>
      </c>
      <c r="F173" s="222">
        <v>10.44</v>
      </c>
      <c r="G173" s="219">
        <f t="shared" ref="G173:G188" si="50">TRUNC(F173*(1+$E$2),2)</f>
        <v>13.23</v>
      </c>
      <c r="H173" s="219">
        <f t="shared" ref="H173" si="51">TRUNC((G173*E173),2)</f>
        <v>1053.2</v>
      </c>
    </row>
    <row r="174" spans="1:8" outlineLevel="2">
      <c r="A174" s="227" t="s">
        <v>1004</v>
      </c>
      <c r="B174" s="227" t="s">
        <v>2632</v>
      </c>
      <c r="C174" s="245" t="s">
        <v>524</v>
      </c>
      <c r="D174" s="227" t="s">
        <v>284</v>
      </c>
      <c r="E174" s="570">
        <f>'EST - REFEITÓRIO'!I11</f>
        <v>31.57</v>
      </c>
      <c r="F174" s="222">
        <v>54.9</v>
      </c>
      <c r="G174" s="219">
        <f t="shared" si="50"/>
        <v>69.569999999999993</v>
      </c>
      <c r="H174" s="219">
        <f t="shared" ref="H174:H188" si="52">TRUNC((G174*E174),2)</f>
        <v>2196.3200000000002</v>
      </c>
    </row>
    <row r="175" spans="1:8" ht="45" outlineLevel="2">
      <c r="A175" s="227" t="s">
        <v>1005</v>
      </c>
      <c r="B175" s="227" t="s">
        <v>2633</v>
      </c>
      <c r="C175" s="245" t="s">
        <v>525</v>
      </c>
      <c r="D175" s="227" t="s">
        <v>108</v>
      </c>
      <c r="E175" s="570">
        <f>'EST - REFEITÓRIO'!I14+'EST - REFEITÓRIO'!I15</f>
        <v>151.29500000000002</v>
      </c>
      <c r="F175" s="222">
        <v>4.18</v>
      </c>
      <c r="G175" s="219">
        <f t="shared" si="50"/>
        <v>5.29</v>
      </c>
      <c r="H175" s="219">
        <f t="shared" si="52"/>
        <v>800.35</v>
      </c>
    </row>
    <row r="176" spans="1:8" ht="45" outlineLevel="2">
      <c r="A176" s="227" t="s">
        <v>1006</v>
      </c>
      <c r="B176" s="227" t="s">
        <v>2634</v>
      </c>
      <c r="C176" s="245" t="s">
        <v>526</v>
      </c>
      <c r="D176" s="227" t="s">
        <v>108</v>
      </c>
      <c r="E176" s="570">
        <f>'EST - REFEITÓRIO'!I16+'EST - REFEITÓRIO'!I17</f>
        <v>151.29500000000002</v>
      </c>
      <c r="F176" s="222">
        <v>19.12</v>
      </c>
      <c r="G176" s="219">
        <f t="shared" si="50"/>
        <v>24.23</v>
      </c>
      <c r="H176" s="219">
        <f t="shared" si="52"/>
        <v>3665.87</v>
      </c>
    </row>
    <row r="177" spans="1:8" ht="30" outlineLevel="2">
      <c r="A177" s="227" t="s">
        <v>3161</v>
      </c>
      <c r="B177" s="227" t="s">
        <v>2635</v>
      </c>
      <c r="C177" s="245" t="s">
        <v>534</v>
      </c>
      <c r="D177" s="227" t="s">
        <v>108</v>
      </c>
      <c r="E177" s="570">
        <f>'EST - REFEITÓRIO'!I27+'EST - REFEITÓRIO'!I36</f>
        <v>214.85000000000002</v>
      </c>
      <c r="F177" s="222">
        <v>45.06</v>
      </c>
      <c r="G177" s="219">
        <f t="shared" si="50"/>
        <v>57.1</v>
      </c>
      <c r="H177" s="219">
        <f t="shared" si="52"/>
        <v>12267.93</v>
      </c>
    </row>
    <row r="178" spans="1:8" ht="60" outlineLevel="2">
      <c r="A178" s="227" t="s">
        <v>1007</v>
      </c>
      <c r="B178" s="227" t="s">
        <v>80</v>
      </c>
      <c r="C178" s="245" t="s">
        <v>536</v>
      </c>
      <c r="D178" s="227" t="s">
        <v>284</v>
      </c>
      <c r="E178" s="570">
        <f>'EST - REFEITÓRIO'!I28+'EST - REFEITÓRIO'!I37</f>
        <v>33.129999999999995</v>
      </c>
      <c r="F178" s="222">
        <v>294.68</v>
      </c>
      <c r="G178" s="219">
        <f t="shared" si="50"/>
        <v>373.44</v>
      </c>
      <c r="H178" s="219">
        <f t="shared" si="52"/>
        <v>12372.06</v>
      </c>
    </row>
    <row r="179" spans="1:8" ht="45" outlineLevel="2">
      <c r="A179" s="227" t="s">
        <v>1008</v>
      </c>
      <c r="B179" s="227" t="s">
        <v>2636</v>
      </c>
      <c r="C179" s="245" t="s">
        <v>535</v>
      </c>
      <c r="D179" s="227" t="s">
        <v>284</v>
      </c>
      <c r="E179" s="570">
        <f>E178</f>
        <v>33.129999999999995</v>
      </c>
      <c r="F179" s="222">
        <v>23.69</v>
      </c>
      <c r="G179" s="219">
        <f t="shared" si="50"/>
        <v>30.02</v>
      </c>
      <c r="H179" s="219">
        <f t="shared" si="52"/>
        <v>994.56</v>
      </c>
    </row>
    <row r="180" spans="1:8" ht="66.75" customHeight="1" outlineLevel="2">
      <c r="A180" s="227" t="s">
        <v>1009</v>
      </c>
      <c r="B180" s="227" t="s">
        <v>538</v>
      </c>
      <c r="C180" s="245" t="s">
        <v>537</v>
      </c>
      <c r="D180" s="227" t="s">
        <v>94</v>
      </c>
      <c r="E180" s="570">
        <f>'EST - REFEITÓRIO'!I42+'EST - REFEITÓRIO'!I32</f>
        <v>2377.4699999999998</v>
      </c>
      <c r="F180" s="222">
        <v>7.55</v>
      </c>
      <c r="G180" s="219">
        <f t="shared" si="50"/>
        <v>9.56</v>
      </c>
      <c r="H180" s="219">
        <f t="shared" si="52"/>
        <v>22728.61</v>
      </c>
    </row>
    <row r="181" spans="1:8" ht="69" customHeight="1" outlineLevel="2">
      <c r="A181" s="227" t="s">
        <v>1010</v>
      </c>
      <c r="B181" s="227" t="s">
        <v>540</v>
      </c>
      <c r="C181" s="245" t="s">
        <v>539</v>
      </c>
      <c r="D181" s="227" t="s">
        <v>94</v>
      </c>
      <c r="E181" s="570">
        <f>'EST - REFEITÓRIO'!I33+'EST - REFEITÓRIO'!I43</f>
        <v>406.82</v>
      </c>
      <c r="F181" s="222">
        <v>6.28</v>
      </c>
      <c r="G181" s="219">
        <f t="shared" si="50"/>
        <v>7.95</v>
      </c>
      <c r="H181" s="219">
        <f t="shared" si="52"/>
        <v>3234.21</v>
      </c>
    </row>
    <row r="182" spans="1:8" ht="75" outlineLevel="2">
      <c r="A182" s="227" t="s">
        <v>3162</v>
      </c>
      <c r="B182" s="227" t="s">
        <v>542</v>
      </c>
      <c r="C182" s="245" t="s">
        <v>541</v>
      </c>
      <c r="D182" s="227" t="s">
        <v>94</v>
      </c>
      <c r="E182" s="570">
        <f>'EST - REFEITÓRIO'!I30+'EST - REFEITÓRIO'!I39</f>
        <v>549.51</v>
      </c>
      <c r="F182" s="222">
        <v>10.97</v>
      </c>
      <c r="G182" s="219">
        <f t="shared" si="50"/>
        <v>13.9</v>
      </c>
      <c r="H182" s="219">
        <f t="shared" si="52"/>
        <v>7638.18</v>
      </c>
    </row>
    <row r="183" spans="1:8" ht="75" outlineLevel="2">
      <c r="A183" s="227" t="s">
        <v>1011</v>
      </c>
      <c r="B183" s="227" t="s">
        <v>546</v>
      </c>
      <c r="C183" s="245" t="s">
        <v>545</v>
      </c>
      <c r="D183" s="227" t="s">
        <v>94</v>
      </c>
      <c r="E183" s="570">
        <f>'EST - REFEITÓRIO'!I31+'EST - REFEITÓRIO'!I41</f>
        <v>1046.0600000000002</v>
      </c>
      <c r="F183" s="222">
        <v>9.41</v>
      </c>
      <c r="G183" s="219">
        <f t="shared" si="50"/>
        <v>11.92</v>
      </c>
      <c r="H183" s="219">
        <f t="shared" si="52"/>
        <v>12469.03</v>
      </c>
    </row>
    <row r="184" spans="1:8" ht="60" outlineLevel="2">
      <c r="A184" s="227" t="s">
        <v>1012</v>
      </c>
      <c r="B184" s="227">
        <v>90808</v>
      </c>
      <c r="C184" s="245" t="s">
        <v>647</v>
      </c>
      <c r="D184" s="227" t="s">
        <v>76</v>
      </c>
      <c r="E184" s="570">
        <f>'EST - REFEITÓRIO'!I34</f>
        <v>636</v>
      </c>
      <c r="F184" s="222">
        <v>67.569999999999993</v>
      </c>
      <c r="G184" s="219">
        <f t="shared" si="50"/>
        <v>85.63</v>
      </c>
      <c r="H184" s="219">
        <f t="shared" si="52"/>
        <v>54460.68</v>
      </c>
    </row>
    <row r="185" spans="1:8" outlineLevel="2">
      <c r="A185" s="227" t="s">
        <v>1013</v>
      </c>
      <c r="B185" s="227" t="s">
        <v>268</v>
      </c>
      <c r="C185" s="245" t="s">
        <v>527</v>
      </c>
      <c r="D185" s="227" t="s">
        <v>284</v>
      </c>
      <c r="E185" s="570">
        <f>'EST - REFEITÓRIO'!I12</f>
        <v>55.087000000000018</v>
      </c>
      <c r="F185" s="222">
        <v>41.64</v>
      </c>
      <c r="G185" s="219">
        <f t="shared" si="50"/>
        <v>52.77</v>
      </c>
      <c r="H185" s="219">
        <f t="shared" si="52"/>
        <v>2906.94</v>
      </c>
    </row>
    <row r="186" spans="1:8" ht="75" outlineLevel="2">
      <c r="A186" s="227" t="s">
        <v>1014</v>
      </c>
      <c r="B186" s="227" t="s">
        <v>529</v>
      </c>
      <c r="C186" s="245" t="s">
        <v>528</v>
      </c>
      <c r="D186" s="227" t="s">
        <v>284</v>
      </c>
      <c r="E186" s="570">
        <f>'EST - REFEITÓRIO'!I13</f>
        <v>34.327999999999996</v>
      </c>
      <c r="F186" s="222">
        <v>1.44</v>
      </c>
      <c r="G186" s="219">
        <f t="shared" si="50"/>
        <v>1.82</v>
      </c>
      <c r="H186" s="219">
        <f t="shared" si="52"/>
        <v>62.47</v>
      </c>
    </row>
    <row r="187" spans="1:8" ht="45" outlineLevel="2">
      <c r="A187" s="227" t="s">
        <v>1015</v>
      </c>
      <c r="B187" s="227" t="s">
        <v>2628</v>
      </c>
      <c r="C187" s="245" t="s">
        <v>530</v>
      </c>
      <c r="D187" s="227" t="s">
        <v>2621</v>
      </c>
      <c r="E187" s="570">
        <f>E186*10</f>
        <v>343.28</v>
      </c>
      <c r="F187" s="222">
        <v>1.2</v>
      </c>
      <c r="G187" s="219">
        <f t="shared" si="50"/>
        <v>1.52</v>
      </c>
      <c r="H187" s="219">
        <f t="shared" si="52"/>
        <v>521.78</v>
      </c>
    </row>
    <row r="188" spans="1:8" ht="45" outlineLevel="2">
      <c r="A188" s="227" t="s">
        <v>1499</v>
      </c>
      <c r="B188" s="227" t="s">
        <v>153</v>
      </c>
      <c r="C188" s="245" t="s">
        <v>531</v>
      </c>
      <c r="D188" s="227" t="s">
        <v>108</v>
      </c>
      <c r="E188" s="570">
        <f>'EST - REFEITÓRIO'!I19</f>
        <v>119.43</v>
      </c>
      <c r="F188" s="222">
        <v>8.6</v>
      </c>
      <c r="G188" s="219">
        <f t="shared" si="50"/>
        <v>10.89</v>
      </c>
      <c r="H188" s="219">
        <f t="shared" si="52"/>
        <v>1300.5899999999999</v>
      </c>
    </row>
    <row r="189" spans="1:8" ht="15.75" outlineLevel="1">
      <c r="A189" s="588"/>
      <c r="B189" s="588"/>
      <c r="C189" s="589" t="s">
        <v>14</v>
      </c>
      <c r="D189" s="588"/>
      <c r="E189" s="590"/>
      <c r="F189" s="591"/>
      <c r="G189" s="592"/>
      <c r="H189" s="592">
        <f>SUM(H173:H188)</f>
        <v>138672.78</v>
      </c>
    </row>
    <row r="190" spans="1:8" ht="15.75" outlineLevel="1">
      <c r="A190" s="421" t="s">
        <v>170</v>
      </c>
      <c r="B190" s="421"/>
      <c r="C190" s="593" t="s">
        <v>158</v>
      </c>
      <c r="D190" s="421"/>
      <c r="E190" s="594"/>
      <c r="F190" s="595"/>
      <c r="G190" s="598"/>
      <c r="H190" s="596"/>
    </row>
    <row r="191" spans="1:8" ht="75" outlineLevel="2">
      <c r="A191" s="227" t="s">
        <v>1016</v>
      </c>
      <c r="B191" s="227" t="s">
        <v>2637</v>
      </c>
      <c r="C191" s="245" t="s">
        <v>553</v>
      </c>
      <c r="D191" s="227" t="s">
        <v>108</v>
      </c>
      <c r="E191" s="570">
        <f>'EST - REFEITÓRIO'!I47</f>
        <v>131.34</v>
      </c>
      <c r="F191" s="222">
        <v>85.43</v>
      </c>
      <c r="G191" s="219">
        <f t="shared" ref="G191:G194" si="53">TRUNC(F191*(1+$E$2),2)</f>
        <v>108.26</v>
      </c>
      <c r="H191" s="219">
        <f t="shared" ref="H191" si="54">TRUNC((G191*E191),2)</f>
        <v>14218.86</v>
      </c>
    </row>
    <row r="192" spans="1:8" ht="75" outlineLevel="2">
      <c r="A192" s="227" t="s">
        <v>1017</v>
      </c>
      <c r="B192" s="227" t="s">
        <v>2638</v>
      </c>
      <c r="C192" s="169" t="s">
        <v>2639</v>
      </c>
      <c r="D192" s="227" t="s">
        <v>284</v>
      </c>
      <c r="E192" s="570">
        <f>'EST - REFEITÓRIO'!I48</f>
        <v>8.8800000000000008</v>
      </c>
      <c r="F192" s="222">
        <v>468.39</v>
      </c>
      <c r="G192" s="219">
        <f t="shared" si="53"/>
        <v>593.59</v>
      </c>
      <c r="H192" s="219">
        <f t="shared" ref="H192:H194" si="55">TRUNC((G192*E192),2)</f>
        <v>5271.07</v>
      </c>
    </row>
    <row r="193" spans="1:8" ht="60" outlineLevel="2">
      <c r="A193" s="227" t="s">
        <v>1018</v>
      </c>
      <c r="B193" s="227" t="s">
        <v>2640</v>
      </c>
      <c r="C193" s="169" t="s">
        <v>554</v>
      </c>
      <c r="D193" s="227" t="s">
        <v>94</v>
      </c>
      <c r="E193" s="570">
        <f>'EST - REFEITÓRIO'!I50</f>
        <v>453.2</v>
      </c>
      <c r="F193" s="222">
        <v>11.94</v>
      </c>
      <c r="G193" s="219">
        <f t="shared" si="53"/>
        <v>15.13</v>
      </c>
      <c r="H193" s="219">
        <f t="shared" si="55"/>
        <v>6856.91</v>
      </c>
    </row>
    <row r="194" spans="1:8" ht="60" outlineLevel="2">
      <c r="A194" s="227" t="s">
        <v>1019</v>
      </c>
      <c r="B194" s="227" t="s">
        <v>2643</v>
      </c>
      <c r="C194" s="245" t="s">
        <v>598</v>
      </c>
      <c r="D194" s="227" t="s">
        <v>94</v>
      </c>
      <c r="E194" s="570">
        <f>'EST - REFEITÓRIO'!I51</f>
        <v>1746.3</v>
      </c>
      <c r="F194" s="222">
        <v>6.57</v>
      </c>
      <c r="G194" s="219">
        <f t="shared" si="53"/>
        <v>8.32</v>
      </c>
      <c r="H194" s="219">
        <f t="shared" si="55"/>
        <v>14529.21</v>
      </c>
    </row>
    <row r="195" spans="1:8" ht="15.75" outlineLevel="1">
      <c r="A195" s="588"/>
      <c r="B195" s="588"/>
      <c r="C195" s="589" t="s">
        <v>14</v>
      </c>
      <c r="D195" s="588"/>
      <c r="E195" s="590"/>
      <c r="F195" s="591"/>
      <c r="G195" s="592"/>
      <c r="H195" s="592">
        <f>SUM(H191:H194)</f>
        <v>40876.050000000003</v>
      </c>
    </row>
    <row r="196" spans="1:8" ht="15.75" outlineLevel="1">
      <c r="A196" s="421" t="s">
        <v>348</v>
      </c>
      <c r="B196" s="421"/>
      <c r="C196" s="593" t="s">
        <v>159</v>
      </c>
      <c r="D196" s="421"/>
      <c r="E196" s="594"/>
      <c r="F196" s="595"/>
      <c r="G196" s="598"/>
      <c r="H196" s="596"/>
    </row>
    <row r="197" spans="1:8" ht="60" outlineLevel="2">
      <c r="A197" s="227" t="s">
        <v>1020</v>
      </c>
      <c r="B197" s="227" t="s">
        <v>2645</v>
      </c>
      <c r="C197" s="245" t="s">
        <v>560</v>
      </c>
      <c r="D197" s="227" t="s">
        <v>108</v>
      </c>
      <c r="E197" s="570">
        <f>'EST - REFEITÓRIO'!I53</f>
        <v>149.53</v>
      </c>
      <c r="F197" s="222">
        <v>78.989999999999995</v>
      </c>
      <c r="G197" s="219">
        <f t="shared" ref="G197:G206" si="56">TRUNC(F197*(1+$E$2),2)</f>
        <v>100.1</v>
      </c>
      <c r="H197" s="219">
        <f t="shared" ref="H197" si="57">TRUNC((G197*E197),2)</f>
        <v>14967.95</v>
      </c>
    </row>
    <row r="198" spans="1:8" ht="60" outlineLevel="2">
      <c r="A198" s="227" t="s">
        <v>1021</v>
      </c>
      <c r="B198" s="227" t="s">
        <v>80</v>
      </c>
      <c r="C198" s="245" t="s">
        <v>536</v>
      </c>
      <c r="D198" s="227" t="s">
        <v>284</v>
      </c>
      <c r="E198" s="570">
        <f>'EST - REFEITÓRIO'!I54</f>
        <v>11.780000000000001</v>
      </c>
      <c r="F198" s="222">
        <v>294.68</v>
      </c>
      <c r="G198" s="219">
        <f t="shared" si="56"/>
        <v>373.44</v>
      </c>
      <c r="H198" s="219">
        <f t="shared" ref="H198:H206" si="58">TRUNC((G198*E198),2)</f>
        <v>4399.12</v>
      </c>
    </row>
    <row r="199" spans="1:8" ht="45" outlineLevel="2">
      <c r="A199" s="227" t="s">
        <v>2137</v>
      </c>
      <c r="B199" s="227">
        <v>92874</v>
      </c>
      <c r="C199" s="245" t="s">
        <v>535</v>
      </c>
      <c r="D199" s="227" t="s">
        <v>284</v>
      </c>
      <c r="E199" s="570">
        <f>'EST - REFEITÓRIO'!I55</f>
        <v>11.780000000000001</v>
      </c>
      <c r="F199" s="222">
        <v>23.69</v>
      </c>
      <c r="G199" s="219">
        <f t="shared" si="56"/>
        <v>30.02</v>
      </c>
      <c r="H199" s="219">
        <f t="shared" si="58"/>
        <v>353.63</v>
      </c>
    </row>
    <row r="200" spans="1:8" ht="60" outlineLevel="2">
      <c r="A200" s="227" t="s">
        <v>2138</v>
      </c>
      <c r="B200" s="227" t="s">
        <v>602</v>
      </c>
      <c r="C200" s="245" t="s">
        <v>601</v>
      </c>
      <c r="D200" s="227" t="s">
        <v>108</v>
      </c>
      <c r="E200" s="570">
        <f>'EST - REFEITÓRIO'!I63</f>
        <v>118.1</v>
      </c>
      <c r="F200" s="222">
        <v>88.81</v>
      </c>
      <c r="G200" s="219">
        <f t="shared" si="56"/>
        <v>112.54</v>
      </c>
      <c r="H200" s="219">
        <f t="shared" si="58"/>
        <v>13290.97</v>
      </c>
    </row>
    <row r="201" spans="1:8" ht="30" outlineLevel="2">
      <c r="A201" s="227" t="s">
        <v>1022</v>
      </c>
      <c r="B201" s="227">
        <v>85662</v>
      </c>
      <c r="C201" s="245" t="s">
        <v>603</v>
      </c>
      <c r="D201" s="227" t="s">
        <v>108</v>
      </c>
      <c r="E201" s="570">
        <f>'EST - REFEITÓRIO'!I64</f>
        <v>141.72</v>
      </c>
      <c r="F201" s="222">
        <v>10.61</v>
      </c>
      <c r="G201" s="219">
        <f t="shared" si="56"/>
        <v>13.44</v>
      </c>
      <c r="H201" s="219">
        <f t="shared" si="58"/>
        <v>1904.71</v>
      </c>
    </row>
    <row r="202" spans="1:8" ht="60" outlineLevel="2">
      <c r="A202" s="227" t="s">
        <v>3163</v>
      </c>
      <c r="B202" s="227" t="s">
        <v>2640</v>
      </c>
      <c r="C202" s="245" t="s">
        <v>554</v>
      </c>
      <c r="D202" s="227" t="s">
        <v>94</v>
      </c>
      <c r="E202" s="570">
        <f>'EST - REFEITÓRIO'!I56</f>
        <v>170.4</v>
      </c>
      <c r="F202" s="222">
        <v>11.94</v>
      </c>
      <c r="G202" s="219">
        <f t="shared" si="56"/>
        <v>15.13</v>
      </c>
      <c r="H202" s="219">
        <f t="shared" si="58"/>
        <v>2578.15</v>
      </c>
    </row>
    <row r="203" spans="1:8" ht="60" outlineLevel="2">
      <c r="A203" s="227" t="s">
        <v>1023</v>
      </c>
      <c r="B203" s="227" t="s">
        <v>2641</v>
      </c>
      <c r="C203" s="245" t="s">
        <v>556</v>
      </c>
      <c r="D203" s="227" t="s">
        <v>94</v>
      </c>
      <c r="E203" s="570">
        <f>'EST - REFEITÓRIO'!I58</f>
        <v>3.5</v>
      </c>
      <c r="F203" s="222">
        <v>9.9700000000000006</v>
      </c>
      <c r="G203" s="219">
        <f t="shared" si="56"/>
        <v>12.63</v>
      </c>
      <c r="H203" s="219">
        <f t="shared" si="58"/>
        <v>44.2</v>
      </c>
    </row>
    <row r="204" spans="1:8" ht="60" outlineLevel="2">
      <c r="A204" s="227" t="s">
        <v>1024</v>
      </c>
      <c r="B204" s="227" t="s">
        <v>2642</v>
      </c>
      <c r="C204" s="245" t="s">
        <v>557</v>
      </c>
      <c r="D204" s="227" t="s">
        <v>94</v>
      </c>
      <c r="E204" s="570">
        <f>'EST - REFEITÓRIO'!I59</f>
        <v>416.6</v>
      </c>
      <c r="F204" s="222">
        <v>8.02</v>
      </c>
      <c r="G204" s="219">
        <f t="shared" si="56"/>
        <v>10.16</v>
      </c>
      <c r="H204" s="219">
        <f t="shared" si="58"/>
        <v>4232.6499999999996</v>
      </c>
    </row>
    <row r="205" spans="1:8" ht="60" outlineLevel="2">
      <c r="A205" s="227" t="s">
        <v>1025</v>
      </c>
      <c r="B205" s="227" t="s">
        <v>2643</v>
      </c>
      <c r="C205" s="245" t="s">
        <v>598</v>
      </c>
      <c r="D205" s="227" t="s">
        <v>94</v>
      </c>
      <c r="E205" s="570">
        <f>'EST - REFEITÓRIO'!I60</f>
        <v>96.6</v>
      </c>
      <c r="F205" s="222">
        <v>6.57</v>
      </c>
      <c r="G205" s="219">
        <f t="shared" si="56"/>
        <v>8.32</v>
      </c>
      <c r="H205" s="219">
        <f t="shared" si="58"/>
        <v>803.71</v>
      </c>
    </row>
    <row r="206" spans="1:8" ht="60" outlineLevel="2">
      <c r="A206" s="227" t="s">
        <v>3164</v>
      </c>
      <c r="B206" s="227" t="s">
        <v>2644</v>
      </c>
      <c r="C206" s="245" t="s">
        <v>558</v>
      </c>
      <c r="D206" s="227" t="s">
        <v>94</v>
      </c>
      <c r="E206" s="570">
        <f>'EST - REFEITÓRIO'!I61</f>
        <v>93.9</v>
      </c>
      <c r="F206" s="222">
        <v>5.0599999999999996</v>
      </c>
      <c r="G206" s="219">
        <f t="shared" si="56"/>
        <v>6.41</v>
      </c>
      <c r="H206" s="219">
        <f t="shared" si="58"/>
        <v>601.89</v>
      </c>
    </row>
    <row r="207" spans="1:8" ht="15.75" outlineLevel="1">
      <c r="A207" s="588"/>
      <c r="B207" s="588"/>
      <c r="C207" s="589" t="s">
        <v>14</v>
      </c>
      <c r="D207" s="588"/>
      <c r="E207" s="590"/>
      <c r="F207" s="591"/>
      <c r="G207" s="592"/>
      <c r="H207" s="592">
        <f>SUM(H197:H206)</f>
        <v>43176.979999999996</v>
      </c>
    </row>
    <row r="208" spans="1:8" ht="15.75" outlineLevel="1">
      <c r="A208" s="421" t="s">
        <v>337</v>
      </c>
      <c r="B208" s="421"/>
      <c r="C208" s="593" t="s">
        <v>154</v>
      </c>
      <c r="D208" s="421"/>
      <c r="E208" s="594"/>
      <c r="F208" s="595"/>
      <c r="G208" s="598"/>
      <c r="H208" s="596"/>
    </row>
    <row r="209" spans="1:8" ht="45" outlineLevel="2">
      <c r="A209" s="227" t="s">
        <v>1026</v>
      </c>
      <c r="B209" s="227" t="s">
        <v>2647</v>
      </c>
      <c r="C209" s="245" t="s">
        <v>532</v>
      </c>
      <c r="D209" s="227" t="s">
        <v>108</v>
      </c>
      <c r="E209" s="570">
        <f>'EST - REFEITÓRIO'!I20</f>
        <v>378.45</v>
      </c>
      <c r="F209" s="222">
        <v>4.55</v>
      </c>
      <c r="G209" s="219">
        <f t="shared" ref="G209:G213" si="59">TRUNC(F209*(1+$E$2),2)</f>
        <v>5.76</v>
      </c>
      <c r="H209" s="219">
        <f t="shared" ref="H209" si="60">TRUNC((G209*E209),2)</f>
        <v>2179.87</v>
      </c>
    </row>
    <row r="210" spans="1:8" outlineLevel="2">
      <c r="A210" s="227" t="s">
        <v>1027</v>
      </c>
      <c r="B210" s="227" t="s">
        <v>656</v>
      </c>
      <c r="C210" s="245" t="s">
        <v>657</v>
      </c>
      <c r="D210" s="227" t="s">
        <v>284</v>
      </c>
      <c r="E210" s="570">
        <f>'EST - REFEITÓRIO'!I18</f>
        <v>18.922499999999999</v>
      </c>
      <c r="F210" s="222">
        <v>87.4</v>
      </c>
      <c r="G210" s="219">
        <f t="shared" si="59"/>
        <v>110.76</v>
      </c>
      <c r="H210" s="219">
        <f t="shared" ref="H210:H213" si="61">TRUNC((G210*E210),2)</f>
        <v>2095.85</v>
      </c>
    </row>
    <row r="211" spans="1:8" ht="30" outlineLevel="2">
      <c r="A211" s="227" t="s">
        <v>1028</v>
      </c>
      <c r="B211" s="227" t="s">
        <v>2648</v>
      </c>
      <c r="C211" s="245" t="s">
        <v>603</v>
      </c>
      <c r="D211" s="227" t="s">
        <v>108</v>
      </c>
      <c r="E211" s="570">
        <f>'EST - REFEITÓRIO'!I25</f>
        <v>378.45</v>
      </c>
      <c r="F211" s="222">
        <v>10.61</v>
      </c>
      <c r="G211" s="219">
        <f t="shared" si="59"/>
        <v>13.44</v>
      </c>
      <c r="H211" s="219">
        <f t="shared" si="61"/>
        <v>5086.3599999999997</v>
      </c>
    </row>
    <row r="212" spans="1:8" ht="60" outlineLevel="2">
      <c r="A212" s="227" t="s">
        <v>1029</v>
      </c>
      <c r="B212" s="227" t="s">
        <v>80</v>
      </c>
      <c r="C212" s="245" t="s">
        <v>536</v>
      </c>
      <c r="D212" s="227" t="s">
        <v>284</v>
      </c>
      <c r="E212" s="570">
        <f>'EST - REFEITÓRIO'!I23</f>
        <v>26.491500000000002</v>
      </c>
      <c r="F212" s="222">
        <v>294.68</v>
      </c>
      <c r="G212" s="219">
        <f t="shared" si="59"/>
        <v>373.44</v>
      </c>
      <c r="H212" s="219">
        <f t="shared" si="61"/>
        <v>9892.98</v>
      </c>
    </row>
    <row r="213" spans="1:8" ht="45" outlineLevel="2">
      <c r="A213" s="227" t="s">
        <v>1030</v>
      </c>
      <c r="B213" s="227" t="s">
        <v>2636</v>
      </c>
      <c r="C213" s="245" t="s">
        <v>535</v>
      </c>
      <c r="D213" s="227" t="s">
        <v>284</v>
      </c>
      <c r="E213" s="570">
        <f>'EST - REFEITÓRIO'!I24</f>
        <v>26.491500000000002</v>
      </c>
      <c r="F213" s="222">
        <v>23.69</v>
      </c>
      <c r="G213" s="219">
        <f t="shared" si="59"/>
        <v>30.02</v>
      </c>
      <c r="H213" s="219">
        <f t="shared" si="61"/>
        <v>795.27</v>
      </c>
    </row>
    <row r="214" spans="1:8" ht="15.75" outlineLevel="1">
      <c r="A214" s="588"/>
      <c r="B214" s="588"/>
      <c r="C214" s="589" t="s">
        <v>14</v>
      </c>
      <c r="D214" s="588"/>
      <c r="E214" s="590"/>
      <c r="F214" s="591"/>
      <c r="G214" s="592"/>
      <c r="H214" s="592">
        <f>SUM(H209:H213)</f>
        <v>20050.329999999998</v>
      </c>
    </row>
    <row r="215" spans="1:8" ht="15.75" outlineLevel="1">
      <c r="A215" s="421" t="s">
        <v>349</v>
      </c>
      <c r="B215" s="421"/>
      <c r="C215" s="593" t="s">
        <v>95</v>
      </c>
      <c r="D215" s="421"/>
      <c r="E215" s="599"/>
      <c r="F215" s="596"/>
      <c r="G215" s="598"/>
      <c r="H215" s="596"/>
    </row>
    <row r="216" spans="1:8" ht="90" outlineLevel="2">
      <c r="A216" s="227" t="s">
        <v>1031</v>
      </c>
      <c r="B216" s="227" t="s">
        <v>2655</v>
      </c>
      <c r="C216" s="245" t="s">
        <v>658</v>
      </c>
      <c r="D216" s="227" t="s">
        <v>108</v>
      </c>
      <c r="E216" s="570">
        <f>'ARQ - REFEITÓRIO'!F10</f>
        <v>436.75</v>
      </c>
      <c r="F216" s="222">
        <v>57.74</v>
      </c>
      <c r="G216" s="219">
        <f t="shared" ref="G216:G221" si="62">TRUNC(F216*(1+$E$2),2)</f>
        <v>73.17</v>
      </c>
      <c r="H216" s="219">
        <f t="shared" ref="H216" si="63">TRUNC((G216*E216),2)</f>
        <v>31956.99</v>
      </c>
    </row>
    <row r="217" spans="1:8" ht="30" outlineLevel="2">
      <c r="A217" s="227" t="s">
        <v>1034</v>
      </c>
      <c r="B217" s="227" t="s">
        <v>2656</v>
      </c>
      <c r="C217" s="245" t="s">
        <v>840</v>
      </c>
      <c r="D217" s="227" t="s">
        <v>101</v>
      </c>
      <c r="E217" s="570">
        <f>'ARQ - REFEITÓRIO'!F12</f>
        <v>6</v>
      </c>
      <c r="F217" s="222">
        <v>33.25</v>
      </c>
      <c r="G217" s="219">
        <f t="shared" si="62"/>
        <v>42.13</v>
      </c>
      <c r="H217" s="219">
        <f t="shared" ref="H217:H221" si="64">TRUNC((G217*E217),2)</f>
        <v>252.78</v>
      </c>
    </row>
    <row r="218" spans="1:8" ht="30" outlineLevel="2">
      <c r="A218" s="227" t="s">
        <v>1035</v>
      </c>
      <c r="B218" s="227" t="s">
        <v>2657</v>
      </c>
      <c r="C218" s="245" t="s">
        <v>841</v>
      </c>
      <c r="D218" s="227" t="s">
        <v>101</v>
      </c>
      <c r="E218" s="570">
        <f>'ARQ - REFEITÓRIO'!F13</f>
        <v>19.2</v>
      </c>
      <c r="F218" s="222">
        <v>38.15</v>
      </c>
      <c r="G218" s="219">
        <f t="shared" si="62"/>
        <v>48.34</v>
      </c>
      <c r="H218" s="219">
        <f t="shared" si="64"/>
        <v>928.12</v>
      </c>
    </row>
    <row r="219" spans="1:8" ht="30" outlineLevel="2">
      <c r="A219" s="227" t="s">
        <v>1036</v>
      </c>
      <c r="B219" s="227" t="s">
        <v>2658</v>
      </c>
      <c r="C219" s="245" t="s">
        <v>842</v>
      </c>
      <c r="D219" s="227" t="s">
        <v>101</v>
      </c>
      <c r="E219" s="570">
        <f>'ARQ - REFEITÓRIO'!F11</f>
        <v>12.8</v>
      </c>
      <c r="F219" s="222">
        <v>32.380000000000003</v>
      </c>
      <c r="G219" s="219">
        <f t="shared" si="62"/>
        <v>41.03</v>
      </c>
      <c r="H219" s="219">
        <f t="shared" si="64"/>
        <v>525.17999999999995</v>
      </c>
    </row>
    <row r="220" spans="1:8" ht="45" outlineLevel="2">
      <c r="A220" s="227" t="s">
        <v>1866</v>
      </c>
      <c r="B220" s="227" t="s">
        <v>2660</v>
      </c>
      <c r="C220" s="245" t="s">
        <v>844</v>
      </c>
      <c r="D220" s="227" t="s">
        <v>101</v>
      </c>
      <c r="E220" s="570">
        <f>'ARQ - REFEITÓRIO'!F14</f>
        <v>6</v>
      </c>
      <c r="F220" s="222">
        <v>31.73</v>
      </c>
      <c r="G220" s="219">
        <f t="shared" si="62"/>
        <v>40.21</v>
      </c>
      <c r="H220" s="219">
        <f t="shared" si="64"/>
        <v>241.26</v>
      </c>
    </row>
    <row r="221" spans="1:8" ht="45" outlineLevel="2">
      <c r="A221" s="227" t="s">
        <v>1992</v>
      </c>
      <c r="B221" s="227" t="s">
        <v>2659</v>
      </c>
      <c r="C221" s="245" t="s">
        <v>843</v>
      </c>
      <c r="D221" s="227" t="s">
        <v>101</v>
      </c>
      <c r="E221" s="570">
        <f>'ARQ - REFEITÓRIO'!F15</f>
        <v>19.2</v>
      </c>
      <c r="F221" s="222">
        <v>34.97</v>
      </c>
      <c r="G221" s="219">
        <f t="shared" si="62"/>
        <v>44.31</v>
      </c>
      <c r="H221" s="219">
        <f t="shared" si="64"/>
        <v>850.75</v>
      </c>
    </row>
    <row r="222" spans="1:8" ht="15.75" outlineLevel="1">
      <c r="A222" s="600"/>
      <c r="B222" s="588"/>
      <c r="C222" s="589" t="s">
        <v>14</v>
      </c>
      <c r="D222" s="588"/>
      <c r="E222" s="590"/>
      <c r="F222" s="591"/>
      <c r="G222" s="592"/>
      <c r="H222" s="592">
        <f>SUM(H216:H221)</f>
        <v>34755.08</v>
      </c>
    </row>
    <row r="223" spans="1:8" ht="15.75" outlineLevel="1">
      <c r="A223" s="421" t="s">
        <v>344</v>
      </c>
      <c r="B223" s="421"/>
      <c r="C223" s="593" t="s">
        <v>75</v>
      </c>
      <c r="D223" s="421"/>
      <c r="E223" s="594"/>
      <c r="F223" s="595"/>
      <c r="G223" s="598"/>
      <c r="H223" s="596"/>
    </row>
    <row r="224" spans="1:8" ht="45" outlineLevel="2">
      <c r="A224" s="227" t="s">
        <v>1033</v>
      </c>
      <c r="B224" s="227" t="s">
        <v>607</v>
      </c>
      <c r="C224" s="245" t="s">
        <v>606</v>
      </c>
      <c r="D224" s="227" t="s">
        <v>94</v>
      </c>
      <c r="E224" s="570">
        <f>'EST - REFEITÓRIO'!I67</f>
        <v>5516.99</v>
      </c>
      <c r="F224" s="222">
        <v>6.89</v>
      </c>
      <c r="G224" s="219">
        <f t="shared" ref="G224:G228" si="65">TRUNC(F224*(1+$E$2),2)</f>
        <v>8.73</v>
      </c>
      <c r="H224" s="219">
        <f t="shared" ref="H224" si="66">TRUNC((G224*E224),2)</f>
        <v>48163.32</v>
      </c>
    </row>
    <row r="225" spans="1:8" outlineLevel="2">
      <c r="A225" s="227" t="s">
        <v>1037</v>
      </c>
      <c r="B225" s="227" t="s">
        <v>609</v>
      </c>
      <c r="C225" s="245" t="s">
        <v>608</v>
      </c>
      <c r="D225" s="227" t="s">
        <v>94</v>
      </c>
      <c r="E225" s="570">
        <f>E224</f>
        <v>5516.99</v>
      </c>
      <c r="F225" s="222">
        <v>2.2200000000000002</v>
      </c>
      <c r="G225" s="219">
        <f t="shared" si="65"/>
        <v>2.81</v>
      </c>
      <c r="H225" s="219">
        <f t="shared" ref="H225:H228" si="67">TRUNC((G225*E225),2)</f>
        <v>15502.74</v>
      </c>
    </row>
    <row r="226" spans="1:8" ht="30" outlineLevel="2">
      <c r="A226" s="227" t="s">
        <v>1038</v>
      </c>
      <c r="B226" s="227" t="s">
        <v>1449</v>
      </c>
      <c r="C226" s="245" t="s">
        <v>1448</v>
      </c>
      <c r="D226" s="227" t="s">
        <v>108</v>
      </c>
      <c r="E226" s="570">
        <f>'EST - REFEITÓRIO'!I69</f>
        <v>66.38</v>
      </c>
      <c r="F226" s="222">
        <v>21.24</v>
      </c>
      <c r="G226" s="219">
        <f t="shared" si="65"/>
        <v>26.91</v>
      </c>
      <c r="H226" s="219">
        <f t="shared" si="67"/>
        <v>1786.28</v>
      </c>
    </row>
    <row r="227" spans="1:8" ht="75" outlineLevel="2">
      <c r="A227" s="227" t="s">
        <v>1039</v>
      </c>
      <c r="B227" s="227" t="s">
        <v>2687</v>
      </c>
      <c r="C227" s="245" t="s">
        <v>2688</v>
      </c>
      <c r="D227" s="227" t="s">
        <v>94</v>
      </c>
      <c r="E227" s="570">
        <f>'EST - REFEITÓRIO'!I69</f>
        <v>66.38</v>
      </c>
      <c r="F227" s="222">
        <v>4.84</v>
      </c>
      <c r="G227" s="219">
        <f t="shared" si="65"/>
        <v>6.13</v>
      </c>
      <c r="H227" s="219">
        <f t="shared" si="67"/>
        <v>406.9</v>
      </c>
    </row>
    <row r="228" spans="1:8" ht="45" outlineLevel="2">
      <c r="A228" s="227" t="s">
        <v>2998</v>
      </c>
      <c r="B228" s="227" t="s">
        <v>829</v>
      </c>
      <c r="C228" s="245" t="s">
        <v>830</v>
      </c>
      <c r="D228" s="227" t="s">
        <v>108</v>
      </c>
      <c r="E228" s="570">
        <f>'ARQ - REFEITÓRIO'!E18</f>
        <v>494.56000000000006</v>
      </c>
      <c r="F228" s="222">
        <v>38.36</v>
      </c>
      <c r="G228" s="219">
        <f t="shared" si="65"/>
        <v>48.61</v>
      </c>
      <c r="H228" s="219">
        <f t="shared" si="67"/>
        <v>24040.560000000001</v>
      </c>
    </row>
    <row r="229" spans="1:8" ht="15.75" outlineLevel="1">
      <c r="A229" s="588"/>
      <c r="B229" s="588"/>
      <c r="C229" s="589" t="s">
        <v>14</v>
      </c>
      <c r="D229" s="588"/>
      <c r="E229" s="590"/>
      <c r="F229" s="591"/>
      <c r="G229" s="592"/>
      <c r="H229" s="592">
        <f>SUM(H224:H228)</f>
        <v>89899.799999999988</v>
      </c>
    </row>
    <row r="230" spans="1:8" ht="15.75" outlineLevel="1">
      <c r="A230" s="421" t="s">
        <v>350</v>
      </c>
      <c r="B230" s="421"/>
      <c r="C230" s="593" t="s">
        <v>81</v>
      </c>
      <c r="D230" s="421"/>
      <c r="E230" s="599"/>
      <c r="F230" s="596"/>
      <c r="G230" s="598"/>
      <c r="H230" s="596"/>
    </row>
    <row r="231" spans="1:8" ht="60" outlineLevel="2">
      <c r="A231" s="227" t="s">
        <v>1040</v>
      </c>
      <c r="B231" s="227" t="s">
        <v>2661</v>
      </c>
      <c r="C231" s="245" t="s">
        <v>2662</v>
      </c>
      <c r="D231" s="227" t="s">
        <v>108</v>
      </c>
      <c r="E231" s="570">
        <f>'ARQ - REFEITÓRIO'!F28</f>
        <v>868.31</v>
      </c>
      <c r="F231" s="222">
        <v>2.56</v>
      </c>
      <c r="G231" s="219">
        <f t="shared" ref="G231:G237" si="68">TRUNC(F231*(1+$E$2),2)</f>
        <v>3.24</v>
      </c>
      <c r="H231" s="219">
        <f t="shared" ref="H231" si="69">TRUNC((G231*E231),2)</f>
        <v>2813.32</v>
      </c>
    </row>
    <row r="232" spans="1:8" ht="60" outlineLevel="2">
      <c r="A232" s="227" t="s">
        <v>1041</v>
      </c>
      <c r="B232" s="227" t="s">
        <v>2664</v>
      </c>
      <c r="C232" s="245" t="s">
        <v>2117</v>
      </c>
      <c r="D232" s="227" t="s">
        <v>108</v>
      </c>
      <c r="E232" s="570">
        <f>'ARQ - REFEITÓRIO'!F29</f>
        <v>120.28</v>
      </c>
      <c r="F232" s="222">
        <v>3.76</v>
      </c>
      <c r="G232" s="219">
        <f t="shared" si="68"/>
        <v>4.76</v>
      </c>
      <c r="H232" s="219">
        <f t="shared" ref="H232:H237" si="70">TRUNC((G232*E232),2)</f>
        <v>572.53</v>
      </c>
    </row>
    <row r="233" spans="1:8" ht="75" outlineLevel="2">
      <c r="A233" s="227" t="s">
        <v>1042</v>
      </c>
      <c r="B233" s="227" t="s">
        <v>2663</v>
      </c>
      <c r="C233" s="245" t="s">
        <v>1869</v>
      </c>
      <c r="D233" s="227" t="s">
        <v>108</v>
      </c>
      <c r="E233" s="570">
        <f>'ARQ - REFEITÓRIO'!F30+'ARQ - REFEITÓRIO'!F32</f>
        <v>868.31</v>
      </c>
      <c r="F233" s="222">
        <v>26.04</v>
      </c>
      <c r="G233" s="219">
        <f t="shared" si="68"/>
        <v>33</v>
      </c>
      <c r="H233" s="219">
        <f t="shared" si="70"/>
        <v>28654.23</v>
      </c>
    </row>
    <row r="234" spans="1:8" ht="75" outlineLevel="2">
      <c r="A234" s="227" t="s">
        <v>1043</v>
      </c>
      <c r="B234" s="227" t="s">
        <v>2665</v>
      </c>
      <c r="C234" s="245" t="s">
        <v>1868</v>
      </c>
      <c r="D234" s="227" t="s">
        <v>108</v>
      </c>
      <c r="E234" s="570">
        <f>'ARQ - REFEITÓRIO'!F31</f>
        <v>120.28</v>
      </c>
      <c r="F234" s="222">
        <v>33.15</v>
      </c>
      <c r="G234" s="219">
        <f t="shared" si="68"/>
        <v>42.01</v>
      </c>
      <c r="H234" s="219">
        <f t="shared" si="70"/>
        <v>5052.96</v>
      </c>
    </row>
    <row r="235" spans="1:8" ht="60" outlineLevel="2">
      <c r="A235" s="227" t="s">
        <v>1044</v>
      </c>
      <c r="B235" s="227" t="s">
        <v>786</v>
      </c>
      <c r="C235" s="245" t="s">
        <v>2667</v>
      </c>
      <c r="D235" s="227" t="s">
        <v>108</v>
      </c>
      <c r="E235" s="570">
        <f>'ARQ - REFEITÓRIO'!F34</f>
        <v>27.32</v>
      </c>
      <c r="F235" s="222">
        <v>165.09</v>
      </c>
      <c r="G235" s="219">
        <f t="shared" si="68"/>
        <v>209.21</v>
      </c>
      <c r="H235" s="219">
        <f t="shared" si="70"/>
        <v>5715.61</v>
      </c>
    </row>
    <row r="236" spans="1:8" ht="90" outlineLevel="2">
      <c r="A236" s="227" t="s">
        <v>1867</v>
      </c>
      <c r="B236" s="227" t="s">
        <v>2666</v>
      </c>
      <c r="C236" s="245" t="s">
        <v>787</v>
      </c>
      <c r="D236" s="227" t="s">
        <v>108</v>
      </c>
      <c r="E236" s="570">
        <f>'ARQ - REFEITÓRIO'!F33</f>
        <v>417.93</v>
      </c>
      <c r="F236" s="222">
        <v>47.04</v>
      </c>
      <c r="G236" s="219">
        <f t="shared" si="68"/>
        <v>59.61</v>
      </c>
      <c r="H236" s="219">
        <f t="shared" si="70"/>
        <v>24912.799999999999</v>
      </c>
    </row>
    <row r="237" spans="1:8" ht="30" outlineLevel="2">
      <c r="A237" s="227" t="s">
        <v>2139</v>
      </c>
      <c r="B237" s="227" t="s">
        <v>2669</v>
      </c>
      <c r="C237" s="245" t="s">
        <v>788</v>
      </c>
      <c r="D237" s="227" t="s">
        <v>108</v>
      </c>
      <c r="E237" s="570">
        <f>'ARQ - REFEITÓRIO'!F7</f>
        <v>119.19</v>
      </c>
      <c r="F237" s="222">
        <v>21.8</v>
      </c>
      <c r="G237" s="219">
        <f t="shared" si="68"/>
        <v>27.62</v>
      </c>
      <c r="H237" s="219">
        <f t="shared" si="70"/>
        <v>3292.02</v>
      </c>
    </row>
    <row r="238" spans="1:8" ht="15.75" outlineLevel="1">
      <c r="A238" s="588"/>
      <c r="B238" s="588"/>
      <c r="C238" s="589" t="s">
        <v>14</v>
      </c>
      <c r="D238" s="588"/>
      <c r="E238" s="590"/>
      <c r="F238" s="591"/>
      <c r="G238" s="592"/>
      <c r="H238" s="592">
        <f>SUM(H231:H237)</f>
        <v>71013.47</v>
      </c>
    </row>
    <row r="239" spans="1:8" ht="15.75" outlineLevel="1">
      <c r="A239" s="421" t="s">
        <v>351</v>
      </c>
      <c r="B239" s="421"/>
      <c r="C239" s="593" t="s">
        <v>11</v>
      </c>
      <c r="D239" s="421"/>
      <c r="E239" s="599"/>
      <c r="F239" s="596"/>
      <c r="G239" s="598"/>
      <c r="H239" s="596"/>
    </row>
    <row r="240" spans="1:8" ht="60" outlineLevel="2">
      <c r="A240" s="227" t="s">
        <v>1045</v>
      </c>
      <c r="B240" s="227" t="s">
        <v>2670</v>
      </c>
      <c r="C240" s="245" t="s">
        <v>789</v>
      </c>
      <c r="D240" s="227" t="s">
        <v>108</v>
      </c>
      <c r="E240" s="570">
        <f>'ARQ - REFEITÓRIO'!F40</f>
        <v>358.18</v>
      </c>
      <c r="F240" s="222">
        <v>73.47</v>
      </c>
      <c r="G240" s="219">
        <f t="shared" ref="G240:G242" si="71">TRUNC(F240*(1+$E$2),2)</f>
        <v>93.1</v>
      </c>
      <c r="H240" s="219">
        <f t="shared" ref="H240" si="72">TRUNC((G240*E240),2)</f>
        <v>33346.550000000003</v>
      </c>
    </row>
    <row r="241" spans="1:9" s="71" customFormat="1" ht="45" outlineLevel="2">
      <c r="A241" s="227" t="s">
        <v>1046</v>
      </c>
      <c r="B241" s="227" t="s">
        <v>2598</v>
      </c>
      <c r="C241" s="245" t="s">
        <v>2599</v>
      </c>
      <c r="D241" s="227" t="s">
        <v>101</v>
      </c>
      <c r="E241" s="570">
        <f>'ARQ - REFEITÓRIO'!F41</f>
        <v>61.8</v>
      </c>
      <c r="F241" s="222">
        <v>78.900000000000006</v>
      </c>
      <c r="G241" s="219">
        <f t="shared" si="71"/>
        <v>99.98</v>
      </c>
      <c r="H241" s="219">
        <f t="shared" ref="H241:H242" si="73">TRUNC((G241*E241),2)</f>
        <v>6178.76</v>
      </c>
      <c r="I241" s="281"/>
    </row>
    <row r="242" spans="1:9" ht="60" outlineLevel="2">
      <c r="A242" s="227" t="s">
        <v>1870</v>
      </c>
      <c r="B242" s="227" t="s">
        <v>2685</v>
      </c>
      <c r="C242" s="245" t="s">
        <v>1985</v>
      </c>
      <c r="D242" s="227" t="s">
        <v>108</v>
      </c>
      <c r="E242" s="570">
        <f>'ARQ - REFEITÓRIO'!F62</f>
        <v>85.2</v>
      </c>
      <c r="F242" s="222">
        <v>66.02</v>
      </c>
      <c r="G242" s="219">
        <f t="shared" si="71"/>
        <v>83.66</v>
      </c>
      <c r="H242" s="219">
        <f t="shared" si="73"/>
        <v>7127.83</v>
      </c>
    </row>
    <row r="243" spans="1:9" ht="15.75" outlineLevel="1">
      <c r="A243" s="600"/>
      <c r="B243" s="588"/>
      <c r="C243" s="589" t="s">
        <v>14</v>
      </c>
      <c r="D243" s="588"/>
      <c r="E243" s="590"/>
      <c r="F243" s="591"/>
      <c r="G243" s="592"/>
      <c r="H243" s="592">
        <f>SUM(H240:H242)</f>
        <v>46653.140000000007</v>
      </c>
    </row>
    <row r="244" spans="1:9" ht="15.75" outlineLevel="1">
      <c r="A244" s="421" t="s">
        <v>352</v>
      </c>
      <c r="B244" s="421"/>
      <c r="C244" s="593" t="s">
        <v>79</v>
      </c>
      <c r="D244" s="421"/>
      <c r="E244" s="599"/>
      <c r="F244" s="596"/>
      <c r="G244" s="598"/>
      <c r="H244" s="596"/>
    </row>
    <row r="245" spans="1:9" ht="60" outlineLevel="2">
      <c r="A245" s="227" t="s">
        <v>1047</v>
      </c>
      <c r="B245" s="227" t="s">
        <v>818</v>
      </c>
      <c r="C245" s="245" t="s">
        <v>2653</v>
      </c>
      <c r="D245" s="227" t="s">
        <v>57</v>
      </c>
      <c r="E245" s="570">
        <f>'ARQ - REFEITÓRIO'!F21</f>
        <v>8</v>
      </c>
      <c r="F245" s="222">
        <v>1198.99</v>
      </c>
      <c r="G245" s="219">
        <f t="shared" ref="G245:G248" si="74">TRUNC(F245*(1+$E$2),2)</f>
        <v>1519.48</v>
      </c>
      <c r="H245" s="219">
        <f t="shared" ref="H245" si="75">TRUNC((G245*E245),2)</f>
        <v>12155.84</v>
      </c>
    </row>
    <row r="246" spans="1:9" ht="60" outlineLevel="2">
      <c r="A246" s="227" t="s">
        <v>1048</v>
      </c>
      <c r="B246" s="227" t="s">
        <v>1871</v>
      </c>
      <c r="C246" s="245" t="s">
        <v>2610</v>
      </c>
      <c r="D246" s="227" t="s">
        <v>57</v>
      </c>
      <c r="E246" s="570">
        <f>'ARQ - REFEITÓRIO'!F22</f>
        <v>2</v>
      </c>
      <c r="F246" s="222">
        <v>1125.79</v>
      </c>
      <c r="G246" s="219">
        <f t="shared" si="74"/>
        <v>1426.71</v>
      </c>
      <c r="H246" s="219">
        <f t="shared" ref="H246:H248" si="76">TRUNC((G246*E246),2)</f>
        <v>2853.42</v>
      </c>
    </row>
    <row r="247" spans="1:9" ht="45" outlineLevel="2">
      <c r="A247" s="227" t="s">
        <v>1049</v>
      </c>
      <c r="B247" s="227" t="s">
        <v>2654</v>
      </c>
      <c r="C247" s="245" t="s">
        <v>820</v>
      </c>
      <c r="D247" s="227" t="s">
        <v>108</v>
      </c>
      <c r="E247" s="570">
        <f>'ARQ - REFEITÓRIO'!F23+'ARQ - REFEITÓRIO'!F24</f>
        <v>11.2</v>
      </c>
      <c r="F247" s="222">
        <v>857.15</v>
      </c>
      <c r="G247" s="219">
        <f t="shared" si="74"/>
        <v>1086.26</v>
      </c>
      <c r="H247" s="219">
        <f t="shared" si="76"/>
        <v>12166.11</v>
      </c>
    </row>
    <row r="248" spans="1:9" ht="75" outlineLevel="2">
      <c r="A248" s="227" t="s">
        <v>2140</v>
      </c>
      <c r="B248" s="227" t="s">
        <v>264</v>
      </c>
      <c r="C248" s="245" t="s">
        <v>827</v>
      </c>
      <c r="D248" s="227" t="s">
        <v>57</v>
      </c>
      <c r="E248" s="570">
        <f>'ARQ - REFEITÓRIO'!F25</f>
        <v>2</v>
      </c>
      <c r="F248" s="222">
        <v>2523.54</v>
      </c>
      <c r="G248" s="219">
        <f t="shared" si="74"/>
        <v>3198.08</v>
      </c>
      <c r="H248" s="219">
        <f t="shared" si="76"/>
        <v>6396.16</v>
      </c>
    </row>
    <row r="249" spans="1:9" ht="15.75" outlineLevel="1">
      <c r="A249" s="588"/>
      <c r="B249" s="588"/>
      <c r="C249" s="589" t="s">
        <v>14</v>
      </c>
      <c r="D249" s="588"/>
      <c r="E249" s="590"/>
      <c r="F249" s="591"/>
      <c r="G249" s="592"/>
      <c r="H249" s="592">
        <f>SUM(H245:H248)</f>
        <v>33571.53</v>
      </c>
    </row>
    <row r="250" spans="1:9" ht="15.75" outlineLevel="1">
      <c r="A250" s="421" t="s">
        <v>353</v>
      </c>
      <c r="B250" s="421"/>
      <c r="C250" s="593" t="s">
        <v>792</v>
      </c>
      <c r="D250" s="421"/>
      <c r="E250" s="599"/>
      <c r="F250" s="596"/>
      <c r="G250" s="598"/>
      <c r="H250" s="596"/>
    </row>
    <row r="251" spans="1:9" ht="30" outlineLevel="2">
      <c r="A251" s="227" t="s">
        <v>1032</v>
      </c>
      <c r="B251" s="168" t="s">
        <v>2676</v>
      </c>
      <c r="C251" s="169" t="s">
        <v>839</v>
      </c>
      <c r="D251" s="227" t="s">
        <v>108</v>
      </c>
      <c r="E251" s="570">
        <f>'ARQ - REFEITÓRIO'!F44</f>
        <v>346.11</v>
      </c>
      <c r="F251" s="222">
        <v>1.56</v>
      </c>
      <c r="G251" s="219">
        <f t="shared" ref="G251:G257" si="77">TRUNC(F251*(1+$E$2),2)</f>
        <v>1.97</v>
      </c>
      <c r="H251" s="219">
        <f t="shared" ref="H251" si="78">TRUNC((G251*E251),2)</f>
        <v>681.83</v>
      </c>
    </row>
    <row r="252" spans="1:9" ht="30" outlineLevel="2">
      <c r="A252" s="227" t="s">
        <v>1050</v>
      </c>
      <c r="B252" s="227" t="s">
        <v>1986</v>
      </c>
      <c r="C252" s="245" t="s">
        <v>2677</v>
      </c>
      <c r="D252" s="227" t="s">
        <v>108</v>
      </c>
      <c r="E252" s="570">
        <f>'ARQ - REFEITÓRIO'!F45</f>
        <v>346.11</v>
      </c>
      <c r="F252" s="222">
        <v>13.06</v>
      </c>
      <c r="G252" s="219">
        <f t="shared" si="77"/>
        <v>16.55</v>
      </c>
      <c r="H252" s="219">
        <f t="shared" ref="H252:H257" si="79">TRUNC((G252*E252),2)</f>
        <v>5728.12</v>
      </c>
    </row>
    <row r="253" spans="1:9" ht="30" outlineLevel="2">
      <c r="A253" s="227" t="s">
        <v>1051</v>
      </c>
      <c r="B253" s="168" t="s">
        <v>2671</v>
      </c>
      <c r="C253" s="169" t="s">
        <v>2672</v>
      </c>
      <c r="D253" s="227" t="s">
        <v>108</v>
      </c>
      <c r="E253" s="570">
        <f>'ARQ - REFEITÓRIO'!F46</f>
        <v>120.28</v>
      </c>
      <c r="F253" s="222">
        <v>7.8</v>
      </c>
      <c r="G253" s="219">
        <f t="shared" si="77"/>
        <v>9.8800000000000008</v>
      </c>
      <c r="H253" s="219">
        <f t="shared" si="79"/>
        <v>1188.3599999999999</v>
      </c>
    </row>
    <row r="254" spans="1:9" ht="30" outlineLevel="2">
      <c r="A254" s="227" t="s">
        <v>1052</v>
      </c>
      <c r="B254" s="227" t="s">
        <v>2675</v>
      </c>
      <c r="C254" s="245" t="s">
        <v>1789</v>
      </c>
      <c r="D254" s="227" t="s">
        <v>108</v>
      </c>
      <c r="E254" s="570">
        <f>'ARQ - REFEITÓRIO'!F47</f>
        <v>120.28</v>
      </c>
      <c r="F254" s="222">
        <v>11.68</v>
      </c>
      <c r="G254" s="219">
        <f t="shared" si="77"/>
        <v>14.8</v>
      </c>
      <c r="H254" s="219">
        <f t="shared" si="79"/>
        <v>1780.14</v>
      </c>
    </row>
    <row r="255" spans="1:9" ht="30" outlineLevel="2">
      <c r="A255" s="227" t="s">
        <v>2119</v>
      </c>
      <c r="B255" s="168" t="s">
        <v>2678</v>
      </c>
      <c r="C255" s="169" t="s">
        <v>794</v>
      </c>
      <c r="D255" s="227" t="s">
        <v>108</v>
      </c>
      <c r="E255" s="570">
        <f>'ARQ - REFEITÓRIO'!F48</f>
        <v>346.11</v>
      </c>
      <c r="F255" s="222">
        <v>10.43</v>
      </c>
      <c r="G255" s="219">
        <f t="shared" si="77"/>
        <v>13.21</v>
      </c>
      <c r="H255" s="219">
        <f t="shared" si="79"/>
        <v>4572.1099999999997</v>
      </c>
    </row>
    <row r="256" spans="1:9" s="281" customFormat="1" ht="30" outlineLevel="2">
      <c r="A256" s="227" t="s">
        <v>2120</v>
      </c>
      <c r="B256" s="227" t="s">
        <v>2004</v>
      </c>
      <c r="C256" s="245" t="s">
        <v>2005</v>
      </c>
      <c r="D256" s="227" t="s">
        <v>108</v>
      </c>
      <c r="E256" s="570">
        <f>'ARQ - REFEITÓRIO'!F49</f>
        <v>18.420000000000002</v>
      </c>
      <c r="F256" s="222">
        <v>12.45</v>
      </c>
      <c r="G256" s="219">
        <f t="shared" si="77"/>
        <v>15.77</v>
      </c>
      <c r="H256" s="219">
        <f t="shared" si="79"/>
        <v>290.48</v>
      </c>
    </row>
    <row r="257" spans="1:9" s="281" customFormat="1" ht="45" outlineLevel="2">
      <c r="A257" s="227" t="s">
        <v>2141</v>
      </c>
      <c r="B257" s="168">
        <v>95468</v>
      </c>
      <c r="C257" s="169" t="s">
        <v>3089</v>
      </c>
      <c r="D257" s="227" t="s">
        <v>108</v>
      </c>
      <c r="E257" s="570">
        <v>36.96</v>
      </c>
      <c r="F257" s="222">
        <v>30.79</v>
      </c>
      <c r="G257" s="219">
        <f t="shared" si="77"/>
        <v>39.020000000000003</v>
      </c>
      <c r="H257" s="219">
        <f t="shared" si="79"/>
        <v>1442.17</v>
      </c>
    </row>
    <row r="258" spans="1:9" ht="15.75" outlineLevel="1">
      <c r="A258" s="588"/>
      <c r="B258" s="588"/>
      <c r="C258" s="589" t="s">
        <v>14</v>
      </c>
      <c r="D258" s="588"/>
      <c r="E258" s="590"/>
      <c r="F258" s="591"/>
      <c r="G258" s="592"/>
      <c r="H258" s="592">
        <f>SUM(H251:H257)</f>
        <v>15683.209999999997</v>
      </c>
    </row>
    <row r="259" spans="1:9" ht="15.75" outlineLevel="1">
      <c r="A259" s="421" t="s">
        <v>2243</v>
      </c>
      <c r="B259" s="421"/>
      <c r="C259" s="593" t="s">
        <v>82</v>
      </c>
      <c r="D259" s="421"/>
      <c r="E259" s="599"/>
      <c r="F259" s="596"/>
      <c r="G259" s="598"/>
      <c r="H259" s="596"/>
    </row>
    <row r="260" spans="1:9" ht="45" outlineLevel="2">
      <c r="A260" s="227" t="s">
        <v>2244</v>
      </c>
      <c r="B260" s="227" t="s">
        <v>1793</v>
      </c>
      <c r="C260" s="245" t="s">
        <v>1792</v>
      </c>
      <c r="D260" s="227" t="s">
        <v>161</v>
      </c>
      <c r="E260" s="570">
        <f>'ARQ - REFEITÓRIO'!F53</f>
        <v>31.45</v>
      </c>
      <c r="F260" s="222">
        <v>111.64</v>
      </c>
      <c r="G260" s="219">
        <f t="shared" ref="G260:G265" si="80">TRUNC(F260*(1+$E$2),2)</f>
        <v>141.47999999999999</v>
      </c>
      <c r="H260" s="219">
        <f t="shared" ref="H260" si="81">TRUNC((G260*E260),2)</f>
        <v>4449.54</v>
      </c>
    </row>
    <row r="261" spans="1:9" ht="47.25" customHeight="1" outlineLevel="2">
      <c r="A261" s="227" t="s">
        <v>2245</v>
      </c>
      <c r="B261" s="227" t="s">
        <v>835</v>
      </c>
      <c r="C261" s="245" t="s">
        <v>836</v>
      </c>
      <c r="D261" s="227" t="s">
        <v>5</v>
      </c>
      <c r="E261" s="570">
        <f>'ARQ - REFEITÓRIO'!F54</f>
        <v>1</v>
      </c>
      <c r="F261" s="222">
        <v>4761.1000000000004</v>
      </c>
      <c r="G261" s="219">
        <f t="shared" si="80"/>
        <v>6033.74</v>
      </c>
      <c r="H261" s="219">
        <f t="shared" ref="H261:H265" si="82">TRUNC((G261*E261),2)</f>
        <v>6033.74</v>
      </c>
    </row>
    <row r="262" spans="1:9" ht="31.5" customHeight="1" outlineLevel="2">
      <c r="A262" s="227" t="s">
        <v>2246</v>
      </c>
      <c r="B262" s="227" t="s">
        <v>291</v>
      </c>
      <c r="C262" s="245" t="s">
        <v>815</v>
      </c>
      <c r="D262" s="227" t="s">
        <v>5</v>
      </c>
      <c r="E262" s="570">
        <f>'ARQ - REFEITÓRIO'!F56</f>
        <v>2</v>
      </c>
      <c r="F262" s="222">
        <v>233.68</v>
      </c>
      <c r="G262" s="219">
        <f t="shared" si="80"/>
        <v>296.14</v>
      </c>
      <c r="H262" s="219">
        <f t="shared" si="82"/>
        <v>592.28</v>
      </c>
    </row>
    <row r="263" spans="1:9" ht="31.5" customHeight="1" outlineLevel="2">
      <c r="A263" s="227" t="s">
        <v>2247</v>
      </c>
      <c r="B263" s="227">
        <v>85005</v>
      </c>
      <c r="C263" s="245" t="s">
        <v>797</v>
      </c>
      <c r="D263" s="227" t="s">
        <v>161</v>
      </c>
      <c r="E263" s="570">
        <f>'ARQ - REFEITÓRIO'!F57</f>
        <v>0.5</v>
      </c>
      <c r="F263" s="222">
        <v>359.1</v>
      </c>
      <c r="G263" s="219">
        <f t="shared" si="80"/>
        <v>455.08</v>
      </c>
      <c r="H263" s="219">
        <f t="shared" si="82"/>
        <v>227.54</v>
      </c>
    </row>
    <row r="264" spans="1:9" ht="31.5" customHeight="1" outlineLevel="2">
      <c r="A264" s="227" t="s">
        <v>2248</v>
      </c>
      <c r="B264" s="227" t="s">
        <v>1874</v>
      </c>
      <c r="C264" s="245" t="s">
        <v>1873</v>
      </c>
      <c r="D264" s="227" t="s">
        <v>101</v>
      </c>
      <c r="E264" s="570">
        <f>'ARQ - REFEITÓRIO'!F58</f>
        <v>171.6</v>
      </c>
      <c r="F264" s="222">
        <v>36.53</v>
      </c>
      <c r="G264" s="219">
        <f t="shared" si="80"/>
        <v>46.29</v>
      </c>
      <c r="H264" s="219">
        <f t="shared" si="82"/>
        <v>7943.36</v>
      </c>
    </row>
    <row r="265" spans="1:9" s="71" customFormat="1" ht="30" outlineLevel="2">
      <c r="A265" s="227" t="s">
        <v>2553</v>
      </c>
      <c r="B265" s="227">
        <v>86957</v>
      </c>
      <c r="C265" s="245" t="s">
        <v>826</v>
      </c>
      <c r="D265" s="227" t="s">
        <v>5</v>
      </c>
      <c r="E265" s="570">
        <f>'ARQ - REFEITÓRIO'!F59</f>
        <v>24</v>
      </c>
      <c r="F265" s="222">
        <v>26.15</v>
      </c>
      <c r="G265" s="219">
        <f t="shared" si="80"/>
        <v>33.130000000000003</v>
      </c>
      <c r="H265" s="219">
        <f t="shared" si="82"/>
        <v>795.12</v>
      </c>
      <c r="I265" s="281"/>
    </row>
    <row r="266" spans="1:9" ht="15.75" outlineLevel="1">
      <c r="A266" s="600"/>
      <c r="B266" s="588"/>
      <c r="C266" s="589" t="s">
        <v>14</v>
      </c>
      <c r="D266" s="588"/>
      <c r="E266" s="590"/>
      <c r="F266" s="591"/>
      <c r="G266" s="592"/>
      <c r="H266" s="592">
        <f>SUM(H260:H265)</f>
        <v>20041.579999999998</v>
      </c>
    </row>
    <row r="267" spans="1:9" ht="15.75" outlineLevel="1">
      <c r="A267" s="421" t="s">
        <v>354</v>
      </c>
      <c r="B267" s="421"/>
      <c r="C267" s="593" t="s">
        <v>13</v>
      </c>
      <c r="D267" s="421"/>
      <c r="E267" s="599"/>
      <c r="F267" s="596"/>
      <c r="G267" s="598"/>
      <c r="H267" s="596"/>
    </row>
    <row r="268" spans="1:9" outlineLevel="2">
      <c r="A268" s="227" t="s">
        <v>1053</v>
      </c>
      <c r="B268" s="227">
        <v>9537</v>
      </c>
      <c r="C268" s="245" t="s">
        <v>799</v>
      </c>
      <c r="D268" s="227" t="s">
        <v>161</v>
      </c>
      <c r="E268" s="570">
        <f>'ARQ - REFEITÓRIO'!F65</f>
        <v>378.45</v>
      </c>
      <c r="F268" s="222">
        <v>2.09</v>
      </c>
      <c r="G268" s="219">
        <f t="shared" ref="G268" si="83">TRUNC(F268*(1+$E$2),2)</f>
        <v>2.64</v>
      </c>
      <c r="H268" s="219">
        <f t="shared" ref="H268" si="84">TRUNC((G268*E268),2)</f>
        <v>999.1</v>
      </c>
    </row>
    <row r="269" spans="1:9" ht="15.75" outlineLevel="1">
      <c r="A269" s="600"/>
      <c r="B269" s="588"/>
      <c r="C269" s="589" t="s">
        <v>14</v>
      </c>
      <c r="D269" s="588"/>
      <c r="E269" s="590"/>
      <c r="F269" s="591"/>
      <c r="G269" s="592"/>
      <c r="H269" s="592">
        <f>SUM(H268)</f>
        <v>999.1</v>
      </c>
    </row>
    <row r="270" spans="1:9" ht="15.75">
      <c r="A270" s="588"/>
      <c r="B270" s="588"/>
      <c r="C270" s="589" t="s">
        <v>639</v>
      </c>
      <c r="D270" s="588"/>
      <c r="E270" s="606"/>
      <c r="F270" s="592"/>
      <c r="G270" s="591"/>
      <c r="H270" s="592">
        <f>H171+H189+H195+H207+H214+H222+H229+H238+H243+H249+H258+H266+H269</f>
        <v>564004.47999999986</v>
      </c>
    </row>
    <row r="271" spans="1:9" ht="15.75">
      <c r="A271" s="779" t="s">
        <v>1796</v>
      </c>
      <c r="B271" s="779"/>
      <c r="C271" s="779"/>
      <c r="D271" s="779"/>
      <c r="E271" s="779"/>
      <c r="F271" s="779"/>
      <c r="G271" s="779"/>
      <c r="H271" s="779"/>
    </row>
    <row r="272" spans="1:9" ht="15.75" customHeight="1" outlineLevel="1">
      <c r="A272" s="247" t="s">
        <v>171</v>
      </c>
      <c r="B272" s="247"/>
      <c r="C272" s="601" t="s">
        <v>533</v>
      </c>
      <c r="D272" s="247"/>
      <c r="E272" s="570"/>
      <c r="F272" s="607"/>
      <c r="G272" s="222"/>
      <c r="H272" s="608"/>
    </row>
    <row r="273" spans="1:8" ht="15.75" customHeight="1" outlineLevel="2">
      <c r="A273" s="227" t="s">
        <v>3165</v>
      </c>
      <c r="B273" s="227" t="s">
        <v>654</v>
      </c>
      <c r="C273" s="245" t="s">
        <v>653</v>
      </c>
      <c r="D273" s="227" t="s">
        <v>284</v>
      </c>
      <c r="E273" s="570">
        <f>'EST - QUADRA'!I4</f>
        <v>626.73199999999997</v>
      </c>
      <c r="F273" s="222">
        <v>27.41</v>
      </c>
      <c r="G273" s="219">
        <f t="shared" ref="G273:G274" si="85">TRUNC(F273*(1+$E$2),2)</f>
        <v>34.729999999999997</v>
      </c>
      <c r="H273" s="219">
        <f t="shared" ref="H273" si="86">TRUNC((G273*E273),2)</f>
        <v>21766.400000000001</v>
      </c>
    </row>
    <row r="274" spans="1:8" ht="47.25" customHeight="1" outlineLevel="2">
      <c r="A274" s="227" t="s">
        <v>2249</v>
      </c>
      <c r="B274" s="227" t="s">
        <v>156</v>
      </c>
      <c r="C274" s="245" t="s">
        <v>522</v>
      </c>
      <c r="D274" s="227" t="s">
        <v>284</v>
      </c>
      <c r="E274" s="570">
        <f>'EST - QUADRA'!I6</f>
        <v>626.73199999999997</v>
      </c>
      <c r="F274" s="222">
        <v>4.7699999999999996</v>
      </c>
      <c r="G274" s="219">
        <f t="shared" si="85"/>
        <v>6.04</v>
      </c>
      <c r="H274" s="219">
        <f t="shared" ref="H274" si="87">TRUNC((G274*E274),2)</f>
        <v>3785.46</v>
      </c>
    </row>
    <row r="275" spans="1:8" ht="15.75" customHeight="1" outlineLevel="1">
      <c r="A275" s="588"/>
      <c r="B275" s="588"/>
      <c r="C275" s="589" t="s">
        <v>14</v>
      </c>
      <c r="D275" s="588"/>
      <c r="E275" s="590"/>
      <c r="F275" s="591"/>
      <c r="G275" s="591"/>
      <c r="H275" s="592">
        <f>SUM(H273:H274)</f>
        <v>25551.86</v>
      </c>
    </row>
    <row r="276" spans="1:8" ht="15.75" outlineLevel="1">
      <c r="A276" s="421" t="s">
        <v>172</v>
      </c>
      <c r="B276" s="421"/>
      <c r="C276" s="593" t="s">
        <v>157</v>
      </c>
      <c r="D276" s="421"/>
      <c r="E276" s="594"/>
      <c r="F276" s="595"/>
      <c r="G276" s="222"/>
      <c r="H276" s="596"/>
    </row>
    <row r="277" spans="1:8" ht="60" outlineLevel="2">
      <c r="A277" s="227" t="s">
        <v>1054</v>
      </c>
      <c r="B277" s="227" t="s">
        <v>2686</v>
      </c>
      <c r="C277" s="245" t="s">
        <v>647</v>
      </c>
      <c r="D277" s="227" t="s">
        <v>101</v>
      </c>
      <c r="E277" s="570">
        <f>'EST - QUADRA'!I9</f>
        <v>720</v>
      </c>
      <c r="F277" s="222">
        <v>67.569999999999993</v>
      </c>
      <c r="G277" s="219">
        <f t="shared" ref="G277:G295" si="88">TRUNC(F277*(1+$E$2),2)</f>
        <v>85.63</v>
      </c>
      <c r="H277" s="219">
        <f t="shared" ref="H277" si="89">TRUNC((G277*E277),2)</f>
        <v>61653.599999999999</v>
      </c>
    </row>
    <row r="278" spans="1:8" ht="45" outlineLevel="2">
      <c r="A278" s="227" t="s">
        <v>1055</v>
      </c>
      <c r="B278" s="227" t="s">
        <v>2631</v>
      </c>
      <c r="C278" s="245" t="s">
        <v>523</v>
      </c>
      <c r="D278" s="227" t="s">
        <v>284</v>
      </c>
      <c r="E278" s="570">
        <f>'EST - QUADRA'!I12</f>
        <v>88.350000000000009</v>
      </c>
      <c r="F278" s="222">
        <v>10.44</v>
      </c>
      <c r="G278" s="219">
        <f t="shared" si="88"/>
        <v>13.23</v>
      </c>
      <c r="H278" s="219">
        <f t="shared" ref="H278:H295" si="90">TRUNC((G278*E278),2)</f>
        <v>1168.8699999999999</v>
      </c>
    </row>
    <row r="279" spans="1:8" outlineLevel="2">
      <c r="A279" s="227" t="s">
        <v>2250</v>
      </c>
      <c r="B279" s="227" t="s">
        <v>2632</v>
      </c>
      <c r="C279" s="245" t="s">
        <v>524</v>
      </c>
      <c r="D279" s="227" t="s">
        <v>284</v>
      </c>
      <c r="E279" s="570">
        <f>'EST - QUADRA'!I13</f>
        <v>71.887320000000017</v>
      </c>
      <c r="F279" s="222">
        <v>54.9</v>
      </c>
      <c r="G279" s="219">
        <f t="shared" si="88"/>
        <v>69.569999999999993</v>
      </c>
      <c r="H279" s="219">
        <f t="shared" si="90"/>
        <v>5001.2</v>
      </c>
    </row>
    <row r="280" spans="1:8" ht="45" outlineLevel="2">
      <c r="A280" s="227" t="s">
        <v>2251</v>
      </c>
      <c r="B280" s="227" t="s">
        <v>2633</v>
      </c>
      <c r="C280" s="245" t="s">
        <v>525</v>
      </c>
      <c r="D280" s="227" t="s">
        <v>108</v>
      </c>
      <c r="E280" s="570">
        <f>'EST - QUADRA'!I14+'EST - QUADRA'!I15</f>
        <v>173.94960000000003</v>
      </c>
      <c r="F280" s="222">
        <v>4.18</v>
      </c>
      <c r="G280" s="219">
        <f t="shared" si="88"/>
        <v>5.29</v>
      </c>
      <c r="H280" s="219">
        <f t="shared" si="90"/>
        <v>920.19</v>
      </c>
    </row>
    <row r="281" spans="1:8" ht="45" outlineLevel="2">
      <c r="A281" s="227" t="s">
        <v>2252</v>
      </c>
      <c r="B281" s="227" t="s">
        <v>2634</v>
      </c>
      <c r="C281" s="245" t="s">
        <v>526</v>
      </c>
      <c r="D281" s="227" t="s">
        <v>108</v>
      </c>
      <c r="E281" s="570">
        <f>'EST - QUADRA'!I16+'EST - QUADRA'!I17</f>
        <v>173.94960000000003</v>
      </c>
      <c r="F281" s="222">
        <v>19.12</v>
      </c>
      <c r="G281" s="219">
        <f t="shared" si="88"/>
        <v>24.23</v>
      </c>
      <c r="H281" s="219">
        <f t="shared" si="90"/>
        <v>4214.79</v>
      </c>
    </row>
    <row r="282" spans="1:8" ht="30" outlineLevel="2">
      <c r="A282" s="227" t="s">
        <v>2253</v>
      </c>
      <c r="B282" s="227" t="s">
        <v>2635</v>
      </c>
      <c r="C282" s="245" t="s">
        <v>534</v>
      </c>
      <c r="D282" s="227" t="s">
        <v>108</v>
      </c>
      <c r="E282" s="570">
        <f>'EST - QUADRA'!I31+'EST - QUADRA'!I40+'EST - QUADRA'!I50</f>
        <v>388.7</v>
      </c>
      <c r="F282" s="222">
        <v>45.06</v>
      </c>
      <c r="G282" s="219">
        <f t="shared" si="88"/>
        <v>57.1</v>
      </c>
      <c r="H282" s="219">
        <f t="shared" si="90"/>
        <v>22194.77</v>
      </c>
    </row>
    <row r="283" spans="1:8" ht="60" outlineLevel="2">
      <c r="A283" s="227" t="s">
        <v>2254</v>
      </c>
      <c r="B283" s="227" t="s">
        <v>80</v>
      </c>
      <c r="C283" s="245" t="s">
        <v>536</v>
      </c>
      <c r="D283" s="227" t="s">
        <v>284</v>
      </c>
      <c r="E283" s="570">
        <f>'EST - QUADRA'!I32+'EST - QUADRA'!I41+'EST - QUADRA'!I51</f>
        <v>47</v>
      </c>
      <c r="F283" s="222">
        <v>294.68</v>
      </c>
      <c r="G283" s="219">
        <f t="shared" si="88"/>
        <v>373.44</v>
      </c>
      <c r="H283" s="219">
        <f t="shared" si="90"/>
        <v>17551.68</v>
      </c>
    </row>
    <row r="284" spans="1:8" ht="45" outlineLevel="2">
      <c r="A284" s="227" t="s">
        <v>2255</v>
      </c>
      <c r="B284" s="227" t="s">
        <v>2636</v>
      </c>
      <c r="C284" s="245" t="s">
        <v>535</v>
      </c>
      <c r="D284" s="227" t="s">
        <v>284</v>
      </c>
      <c r="E284" s="570">
        <f>E283</f>
        <v>47</v>
      </c>
      <c r="F284" s="222">
        <v>23.69</v>
      </c>
      <c r="G284" s="219">
        <f t="shared" si="88"/>
        <v>30.02</v>
      </c>
      <c r="H284" s="219">
        <f t="shared" si="90"/>
        <v>1410.94</v>
      </c>
    </row>
    <row r="285" spans="1:8" ht="69" customHeight="1" outlineLevel="2">
      <c r="A285" s="227" t="s">
        <v>2256</v>
      </c>
      <c r="B285" s="227" t="s">
        <v>538</v>
      </c>
      <c r="C285" s="245" t="s">
        <v>537</v>
      </c>
      <c r="D285" s="227" t="s">
        <v>94</v>
      </c>
      <c r="E285" s="570">
        <f>'EST - QUADRA'!I45+'EST - QUADRA'!I56</f>
        <v>557</v>
      </c>
      <c r="F285" s="222">
        <v>7.55</v>
      </c>
      <c r="G285" s="219">
        <f t="shared" si="88"/>
        <v>9.56</v>
      </c>
      <c r="H285" s="219">
        <f t="shared" si="90"/>
        <v>5324.92</v>
      </c>
    </row>
    <row r="286" spans="1:8" ht="75" outlineLevel="2">
      <c r="A286" s="227" t="s">
        <v>2257</v>
      </c>
      <c r="B286" s="227" t="s">
        <v>540</v>
      </c>
      <c r="C286" s="245" t="s">
        <v>539</v>
      </c>
      <c r="D286" s="227" t="s">
        <v>94</v>
      </c>
      <c r="E286" s="570">
        <f>'EST - QUADRA'!I46+'EST - QUADRA'!I37+'EST - QUADRA'!I57</f>
        <v>306.99</v>
      </c>
      <c r="F286" s="222">
        <v>6.28</v>
      </c>
      <c r="G286" s="219">
        <f t="shared" si="88"/>
        <v>7.95</v>
      </c>
      <c r="H286" s="219">
        <f t="shared" si="90"/>
        <v>2440.5700000000002</v>
      </c>
    </row>
    <row r="287" spans="1:8" ht="75" outlineLevel="2">
      <c r="A287" s="227" t="s">
        <v>2258</v>
      </c>
      <c r="B287" s="227" t="s">
        <v>542</v>
      </c>
      <c r="C287" s="245" t="s">
        <v>541</v>
      </c>
      <c r="D287" s="227" t="s">
        <v>94</v>
      </c>
      <c r="E287" s="570">
        <f>'EST - QUADRA'!I43+'EST - QUADRA'!I53+'EST - QUADRA'!I10</f>
        <v>840</v>
      </c>
      <c r="F287" s="222">
        <v>10.97</v>
      </c>
      <c r="G287" s="219">
        <f t="shared" si="88"/>
        <v>13.9</v>
      </c>
      <c r="H287" s="219">
        <f t="shared" si="90"/>
        <v>11676</v>
      </c>
    </row>
    <row r="288" spans="1:8" ht="75" outlineLevel="2">
      <c r="A288" s="227" t="s">
        <v>2259</v>
      </c>
      <c r="B288" s="227" t="s">
        <v>544</v>
      </c>
      <c r="C288" s="245" t="s">
        <v>543</v>
      </c>
      <c r="D288" s="227" t="s">
        <v>94</v>
      </c>
      <c r="E288" s="570">
        <f>'EST - QUADRA'!I35+'EST - QUADRA'!I44</f>
        <v>421.52</v>
      </c>
      <c r="F288" s="222">
        <v>9.9600000000000009</v>
      </c>
      <c r="G288" s="219">
        <f t="shared" si="88"/>
        <v>12.62</v>
      </c>
      <c r="H288" s="219">
        <f t="shared" si="90"/>
        <v>5319.58</v>
      </c>
    </row>
    <row r="289" spans="1:8" ht="75" outlineLevel="2">
      <c r="A289" s="227" t="s">
        <v>2260</v>
      </c>
      <c r="B289" s="227" t="s">
        <v>546</v>
      </c>
      <c r="C289" s="245" t="s">
        <v>545</v>
      </c>
      <c r="D289" s="227" t="s">
        <v>94</v>
      </c>
      <c r="E289" s="609">
        <f>'EST - QUADRA'!I55+'EST - QUADRA'!I36+'EST - QUADRA'!I11</f>
        <v>1548.6</v>
      </c>
      <c r="F289" s="222">
        <v>9.41</v>
      </c>
      <c r="G289" s="219">
        <f t="shared" si="88"/>
        <v>11.92</v>
      </c>
      <c r="H289" s="219">
        <f t="shared" si="90"/>
        <v>18459.310000000001</v>
      </c>
    </row>
    <row r="290" spans="1:8" ht="71.25" customHeight="1" outlineLevel="2">
      <c r="A290" s="227" t="s">
        <v>2261</v>
      </c>
      <c r="B290" s="227" t="s">
        <v>2687</v>
      </c>
      <c r="C290" s="245" t="s">
        <v>2688</v>
      </c>
      <c r="D290" s="227" t="s">
        <v>94</v>
      </c>
      <c r="E290" s="609">
        <f>'EST - QUADRA'!I58+'EST - QUADRA'!I47</f>
        <v>587</v>
      </c>
      <c r="F290" s="222">
        <v>4.84</v>
      </c>
      <c r="G290" s="219">
        <f t="shared" si="88"/>
        <v>6.13</v>
      </c>
      <c r="H290" s="219">
        <f t="shared" si="90"/>
        <v>3598.31</v>
      </c>
    </row>
    <row r="291" spans="1:8" ht="71.25" customHeight="1" outlineLevel="2">
      <c r="A291" s="227" t="s">
        <v>2262</v>
      </c>
      <c r="B291" s="227" t="s">
        <v>2689</v>
      </c>
      <c r="C291" s="245" t="s">
        <v>559</v>
      </c>
      <c r="D291" s="227" t="s">
        <v>94</v>
      </c>
      <c r="E291" s="570">
        <f>'EST - QUADRA'!I48</f>
        <v>289</v>
      </c>
      <c r="F291" s="222">
        <v>4.7</v>
      </c>
      <c r="G291" s="219">
        <f t="shared" si="88"/>
        <v>5.95</v>
      </c>
      <c r="H291" s="219">
        <f t="shared" si="90"/>
        <v>1719.55</v>
      </c>
    </row>
    <row r="292" spans="1:8" outlineLevel="2">
      <c r="A292" s="227" t="s">
        <v>2263</v>
      </c>
      <c r="B292" s="227" t="s">
        <v>268</v>
      </c>
      <c r="C292" s="245" t="s">
        <v>527</v>
      </c>
      <c r="D292" s="227" t="s">
        <v>284</v>
      </c>
      <c r="E292" s="570">
        <f>'EST - QUADRA'!I18+'EST - QUADRA'!I19</f>
        <v>104.53984000000003</v>
      </c>
      <c r="F292" s="222">
        <v>41.64</v>
      </c>
      <c r="G292" s="219">
        <f t="shared" si="88"/>
        <v>52.77</v>
      </c>
      <c r="H292" s="219">
        <f t="shared" si="90"/>
        <v>5516.56</v>
      </c>
    </row>
    <row r="293" spans="1:8" ht="75" outlineLevel="2">
      <c r="A293" s="227" t="s">
        <v>2264</v>
      </c>
      <c r="B293" s="227" t="s">
        <v>529</v>
      </c>
      <c r="C293" s="245" t="s">
        <v>528</v>
      </c>
      <c r="D293" s="227" t="s">
        <v>284</v>
      </c>
      <c r="E293" s="570">
        <f>'EST - QUADRA'!I20+'EST - QUADRA'!I21</f>
        <v>57.850000000000009</v>
      </c>
      <c r="F293" s="222">
        <v>1.44</v>
      </c>
      <c r="G293" s="219">
        <f t="shared" si="88"/>
        <v>1.82</v>
      </c>
      <c r="H293" s="219">
        <f t="shared" si="90"/>
        <v>105.28</v>
      </c>
    </row>
    <row r="294" spans="1:8" ht="39" customHeight="1" outlineLevel="2">
      <c r="A294" s="227" t="s">
        <v>2265</v>
      </c>
      <c r="B294" s="227" t="s">
        <v>2628</v>
      </c>
      <c r="C294" s="245" t="s">
        <v>530</v>
      </c>
      <c r="D294" s="227" t="s">
        <v>2621</v>
      </c>
      <c r="E294" s="570">
        <f>E293*10</f>
        <v>578.50000000000011</v>
      </c>
      <c r="F294" s="222">
        <v>1.2</v>
      </c>
      <c r="G294" s="219">
        <f t="shared" si="88"/>
        <v>1.52</v>
      </c>
      <c r="H294" s="219">
        <f t="shared" si="90"/>
        <v>879.32</v>
      </c>
    </row>
    <row r="295" spans="1:8" ht="45" outlineLevel="2">
      <c r="A295" s="227" t="s">
        <v>3166</v>
      </c>
      <c r="B295" s="227" t="s">
        <v>153</v>
      </c>
      <c r="C295" s="245" t="s">
        <v>531</v>
      </c>
      <c r="D295" s="227" t="s">
        <v>108</v>
      </c>
      <c r="E295" s="570">
        <f>'EST - QUADRA'!I22</f>
        <v>246.2</v>
      </c>
      <c r="F295" s="222">
        <v>8.6</v>
      </c>
      <c r="G295" s="219">
        <f t="shared" si="88"/>
        <v>10.89</v>
      </c>
      <c r="H295" s="219">
        <f t="shared" si="90"/>
        <v>2681.11</v>
      </c>
    </row>
    <row r="296" spans="1:8" ht="15.75" outlineLevel="1">
      <c r="A296" s="588"/>
      <c r="B296" s="588"/>
      <c r="C296" s="589" t="s">
        <v>14</v>
      </c>
      <c r="D296" s="588"/>
      <c r="E296" s="590"/>
      <c r="F296" s="591"/>
      <c r="G296" s="592"/>
      <c r="H296" s="592">
        <f>SUM(H277:H295)</f>
        <v>171836.55</v>
      </c>
    </row>
    <row r="297" spans="1:8" ht="15.75" outlineLevel="1">
      <c r="A297" s="421" t="s">
        <v>173</v>
      </c>
      <c r="B297" s="421"/>
      <c r="C297" s="593" t="s">
        <v>158</v>
      </c>
      <c r="D297" s="421"/>
      <c r="E297" s="594"/>
      <c r="F297" s="595"/>
      <c r="G297" s="598"/>
      <c r="H297" s="596"/>
    </row>
    <row r="298" spans="1:8" ht="75" outlineLevel="2">
      <c r="A298" s="227" t="s">
        <v>1056</v>
      </c>
      <c r="B298" s="227" t="s">
        <v>2637</v>
      </c>
      <c r="C298" s="245" t="s">
        <v>553</v>
      </c>
      <c r="D298" s="227" t="s">
        <v>108</v>
      </c>
      <c r="E298" s="570">
        <f>'EST - QUADRA'!I63</f>
        <v>500.09999999999997</v>
      </c>
      <c r="F298" s="222">
        <v>85.43</v>
      </c>
      <c r="G298" s="219">
        <f t="shared" ref="G298:G305" si="91">TRUNC(F298*(1+$E$2),2)</f>
        <v>108.26</v>
      </c>
      <c r="H298" s="219">
        <f t="shared" ref="H298" si="92">TRUNC((G298*E298),2)</f>
        <v>54140.82</v>
      </c>
    </row>
    <row r="299" spans="1:8" ht="75" outlineLevel="2">
      <c r="A299" s="227" t="s">
        <v>1057</v>
      </c>
      <c r="B299" s="227" t="s">
        <v>2638</v>
      </c>
      <c r="C299" s="169" t="s">
        <v>2639</v>
      </c>
      <c r="D299" s="227" t="s">
        <v>284</v>
      </c>
      <c r="E299" s="570">
        <f>'EST - QUADRA'!I64</f>
        <v>44.599999999999994</v>
      </c>
      <c r="F299" s="222">
        <v>468.39</v>
      </c>
      <c r="G299" s="219">
        <f t="shared" si="91"/>
        <v>593.59</v>
      </c>
      <c r="H299" s="219">
        <f t="shared" ref="H299:H305" si="93">TRUNC((G299*E299),2)</f>
        <v>26474.11</v>
      </c>
    </row>
    <row r="300" spans="1:8" ht="60" outlineLevel="2">
      <c r="A300" s="227" t="s">
        <v>1058</v>
      </c>
      <c r="B300" s="227" t="s">
        <v>2640</v>
      </c>
      <c r="C300" s="169" t="s">
        <v>554</v>
      </c>
      <c r="D300" s="227" t="s">
        <v>94</v>
      </c>
      <c r="E300" s="570">
        <f>'EST - QUADRA'!I66</f>
        <v>709</v>
      </c>
      <c r="F300" s="222">
        <v>11.94</v>
      </c>
      <c r="G300" s="219">
        <f t="shared" si="91"/>
        <v>15.13</v>
      </c>
      <c r="H300" s="219">
        <f t="shared" si="93"/>
        <v>10727.17</v>
      </c>
    </row>
    <row r="301" spans="1:8" ht="60" outlineLevel="2">
      <c r="A301" s="227" t="s">
        <v>1059</v>
      </c>
      <c r="B301" s="227" t="s">
        <v>2646</v>
      </c>
      <c r="C301" s="245" t="s">
        <v>555</v>
      </c>
      <c r="D301" s="227" t="s">
        <v>94</v>
      </c>
      <c r="E301" s="570">
        <f>'EST - QUADRA'!I67</f>
        <v>163</v>
      </c>
      <c r="F301" s="222">
        <v>10.7</v>
      </c>
      <c r="G301" s="219">
        <f t="shared" si="91"/>
        <v>13.56</v>
      </c>
      <c r="H301" s="219">
        <f t="shared" si="93"/>
        <v>2210.2800000000002</v>
      </c>
    </row>
    <row r="302" spans="1:8" ht="60" outlineLevel="2">
      <c r="A302" s="227" t="s">
        <v>1060</v>
      </c>
      <c r="B302" s="227" t="s">
        <v>2641</v>
      </c>
      <c r="C302" s="245" t="s">
        <v>556</v>
      </c>
      <c r="D302" s="227" t="s">
        <v>94</v>
      </c>
      <c r="E302" s="570">
        <f>'EST - QUADRA'!I68</f>
        <v>47</v>
      </c>
      <c r="F302" s="222">
        <v>9.9700000000000006</v>
      </c>
      <c r="G302" s="219">
        <f t="shared" si="91"/>
        <v>12.63</v>
      </c>
      <c r="H302" s="219">
        <f t="shared" si="93"/>
        <v>593.61</v>
      </c>
    </row>
    <row r="303" spans="1:8" ht="60" outlineLevel="2">
      <c r="A303" s="227" t="s">
        <v>1061</v>
      </c>
      <c r="B303" s="227" t="s">
        <v>2642</v>
      </c>
      <c r="C303" s="245" t="s">
        <v>557</v>
      </c>
      <c r="D303" s="227" t="s">
        <v>94</v>
      </c>
      <c r="E303" s="570">
        <f>'EST - QUADRA'!I69</f>
        <v>754</v>
      </c>
      <c r="F303" s="222">
        <v>8.02</v>
      </c>
      <c r="G303" s="219">
        <f t="shared" si="91"/>
        <v>10.16</v>
      </c>
      <c r="H303" s="219">
        <f t="shared" si="93"/>
        <v>7660.64</v>
      </c>
    </row>
    <row r="304" spans="1:8" ht="60" outlineLevel="2">
      <c r="A304" s="227" t="s">
        <v>1062</v>
      </c>
      <c r="B304" s="227" t="s">
        <v>2643</v>
      </c>
      <c r="C304" s="597" t="s">
        <v>598</v>
      </c>
      <c r="D304" s="227" t="s">
        <v>94</v>
      </c>
      <c r="E304" s="570">
        <f>'EST - QUADRA'!I70</f>
        <v>891</v>
      </c>
      <c r="F304" s="222">
        <v>6.57</v>
      </c>
      <c r="G304" s="219">
        <f t="shared" si="91"/>
        <v>8.32</v>
      </c>
      <c r="H304" s="219">
        <f t="shared" si="93"/>
        <v>7413.12</v>
      </c>
    </row>
    <row r="305" spans="1:8" ht="60" outlineLevel="2">
      <c r="A305" s="227" t="s">
        <v>1063</v>
      </c>
      <c r="B305" s="227" t="s">
        <v>2689</v>
      </c>
      <c r="C305" s="245" t="s">
        <v>559</v>
      </c>
      <c r="D305" s="227" t="s">
        <v>94</v>
      </c>
      <c r="E305" s="570">
        <f>'EST - QUADRA'!I72</f>
        <v>1563</v>
      </c>
      <c r="F305" s="222">
        <v>4.7</v>
      </c>
      <c r="G305" s="219">
        <f t="shared" si="91"/>
        <v>5.95</v>
      </c>
      <c r="H305" s="219">
        <f t="shared" si="93"/>
        <v>9299.85</v>
      </c>
    </row>
    <row r="306" spans="1:8" ht="15.75" outlineLevel="1">
      <c r="A306" s="588"/>
      <c r="B306" s="588"/>
      <c r="C306" s="589" t="s">
        <v>14</v>
      </c>
      <c r="D306" s="588"/>
      <c r="E306" s="590"/>
      <c r="F306" s="591"/>
      <c r="G306" s="592"/>
      <c r="H306" s="592">
        <f>SUM(H298:H305)</f>
        <v>118519.59999999999</v>
      </c>
    </row>
    <row r="307" spans="1:8" ht="15.75" outlineLevel="1">
      <c r="A307" s="421" t="s">
        <v>174</v>
      </c>
      <c r="B307" s="421"/>
      <c r="C307" s="593" t="s">
        <v>159</v>
      </c>
      <c r="D307" s="421"/>
      <c r="E307" s="594"/>
      <c r="F307" s="595"/>
      <c r="G307" s="598"/>
      <c r="H307" s="596"/>
    </row>
    <row r="308" spans="1:8" ht="60" outlineLevel="2">
      <c r="A308" s="227" t="s">
        <v>1064</v>
      </c>
      <c r="B308" s="227" t="s">
        <v>2645</v>
      </c>
      <c r="C308" s="245" t="s">
        <v>560</v>
      </c>
      <c r="D308" s="227" t="s">
        <v>108</v>
      </c>
      <c r="E308" s="570">
        <f>'EST - QUADRA'!I74</f>
        <v>669.2</v>
      </c>
      <c r="F308" s="222">
        <v>78.989999999999995</v>
      </c>
      <c r="G308" s="219">
        <f t="shared" ref="G308:G317" si="94">TRUNC(F308*(1+$E$2),2)</f>
        <v>100.1</v>
      </c>
      <c r="H308" s="219">
        <f t="shared" ref="H308" si="95">TRUNC((G308*E308),2)</f>
        <v>66986.92</v>
      </c>
    </row>
    <row r="309" spans="1:8" ht="60" outlineLevel="2">
      <c r="A309" s="227" t="s">
        <v>1065</v>
      </c>
      <c r="B309" s="227" t="s">
        <v>80</v>
      </c>
      <c r="C309" s="245" t="s">
        <v>536</v>
      </c>
      <c r="D309" s="227" t="s">
        <v>284</v>
      </c>
      <c r="E309" s="570">
        <f>'EST - QUADRA'!I75</f>
        <v>56.5</v>
      </c>
      <c r="F309" s="222">
        <v>294.68</v>
      </c>
      <c r="G309" s="219">
        <f t="shared" si="94"/>
        <v>373.44</v>
      </c>
      <c r="H309" s="219">
        <f t="shared" ref="H309:H317" si="96">TRUNC((G309*E309),2)</f>
        <v>21099.360000000001</v>
      </c>
    </row>
    <row r="310" spans="1:8" ht="45" outlineLevel="2">
      <c r="A310" s="227" t="s">
        <v>1066</v>
      </c>
      <c r="B310" s="227">
        <v>92874</v>
      </c>
      <c r="C310" s="245" t="s">
        <v>535</v>
      </c>
      <c r="D310" s="227" t="s">
        <v>284</v>
      </c>
      <c r="E310" s="570">
        <f>'EST - QUADRA'!I76</f>
        <v>56.5</v>
      </c>
      <c r="F310" s="222">
        <v>23.69</v>
      </c>
      <c r="G310" s="219">
        <f t="shared" si="94"/>
        <v>30.02</v>
      </c>
      <c r="H310" s="219">
        <f t="shared" si="96"/>
        <v>1696.13</v>
      </c>
    </row>
    <row r="311" spans="1:8" ht="60" outlineLevel="2">
      <c r="A311" s="227" t="s">
        <v>1067</v>
      </c>
      <c r="B311" s="227" t="s">
        <v>2640</v>
      </c>
      <c r="C311" s="245" t="s">
        <v>554</v>
      </c>
      <c r="D311" s="227" t="s">
        <v>94</v>
      </c>
      <c r="E311" s="570">
        <f>'EST - QUADRA'!I77</f>
        <v>816</v>
      </c>
      <c r="F311" s="222">
        <v>11.94</v>
      </c>
      <c r="G311" s="219">
        <f t="shared" si="94"/>
        <v>15.13</v>
      </c>
      <c r="H311" s="219">
        <f t="shared" si="96"/>
        <v>12346.08</v>
      </c>
    </row>
    <row r="312" spans="1:8" ht="60" outlineLevel="2">
      <c r="A312" s="227" t="s">
        <v>1068</v>
      </c>
      <c r="B312" s="227" t="s">
        <v>2646</v>
      </c>
      <c r="C312" s="245" t="s">
        <v>555</v>
      </c>
      <c r="D312" s="227" t="s">
        <v>94</v>
      </c>
      <c r="E312" s="570">
        <f>'EST - QUADRA'!I78</f>
        <v>11</v>
      </c>
      <c r="F312" s="222">
        <v>10.7</v>
      </c>
      <c r="G312" s="219">
        <f t="shared" si="94"/>
        <v>13.56</v>
      </c>
      <c r="H312" s="219">
        <f t="shared" si="96"/>
        <v>149.16</v>
      </c>
    </row>
    <row r="313" spans="1:8" ht="60" outlineLevel="2">
      <c r="A313" s="227" t="s">
        <v>1069</v>
      </c>
      <c r="B313" s="227" t="s">
        <v>2641</v>
      </c>
      <c r="C313" s="245" t="s">
        <v>556</v>
      </c>
      <c r="D313" s="227" t="s">
        <v>94</v>
      </c>
      <c r="E313" s="570">
        <f>'EST - QUADRA'!I79</f>
        <v>1192</v>
      </c>
      <c r="F313" s="222">
        <v>9.9700000000000006</v>
      </c>
      <c r="G313" s="219">
        <f t="shared" si="94"/>
        <v>12.63</v>
      </c>
      <c r="H313" s="219">
        <f t="shared" si="96"/>
        <v>15054.96</v>
      </c>
    </row>
    <row r="314" spans="1:8" ht="60" outlineLevel="2">
      <c r="A314" s="227" t="s">
        <v>1070</v>
      </c>
      <c r="B314" s="227" t="s">
        <v>2642</v>
      </c>
      <c r="C314" s="245" t="s">
        <v>557</v>
      </c>
      <c r="D314" s="227" t="s">
        <v>94</v>
      </c>
      <c r="E314" s="570">
        <f>'EST - QUADRA'!I80</f>
        <v>1493</v>
      </c>
      <c r="F314" s="222">
        <v>8.02</v>
      </c>
      <c r="G314" s="219">
        <f t="shared" si="94"/>
        <v>10.16</v>
      </c>
      <c r="H314" s="219">
        <f t="shared" si="96"/>
        <v>15168.88</v>
      </c>
    </row>
    <row r="315" spans="1:8" ht="60" outlineLevel="2">
      <c r="A315" s="227" t="s">
        <v>1071</v>
      </c>
      <c r="B315" s="227" t="s">
        <v>2643</v>
      </c>
      <c r="C315" s="245" t="s">
        <v>598</v>
      </c>
      <c r="D315" s="227" t="s">
        <v>94</v>
      </c>
      <c r="E315" s="570">
        <f>'EST - QUADRA'!I81</f>
        <v>20</v>
      </c>
      <c r="F315" s="222">
        <v>6.57</v>
      </c>
      <c r="G315" s="219">
        <f t="shared" si="94"/>
        <v>8.32</v>
      </c>
      <c r="H315" s="219">
        <f t="shared" si="96"/>
        <v>166.4</v>
      </c>
    </row>
    <row r="316" spans="1:8" ht="60" outlineLevel="2">
      <c r="A316" s="227" t="s">
        <v>3017</v>
      </c>
      <c r="B316" s="227" t="s">
        <v>602</v>
      </c>
      <c r="C316" s="245" t="s">
        <v>601</v>
      </c>
      <c r="D316" s="227" t="s">
        <v>108</v>
      </c>
      <c r="E316" s="570">
        <f>'EST - QUADRA'!I83</f>
        <v>59.332799999999992</v>
      </c>
      <c r="F316" s="222">
        <v>88.81</v>
      </c>
      <c r="G316" s="219">
        <f t="shared" si="94"/>
        <v>112.54</v>
      </c>
      <c r="H316" s="219">
        <f t="shared" si="96"/>
        <v>6677.31</v>
      </c>
    </row>
    <row r="317" spans="1:8" ht="30" outlineLevel="2">
      <c r="A317" s="227" t="s">
        <v>3018</v>
      </c>
      <c r="B317" s="227">
        <v>85662</v>
      </c>
      <c r="C317" s="245" t="s">
        <v>603</v>
      </c>
      <c r="D317" s="227" t="s">
        <v>108</v>
      </c>
      <c r="E317" s="570">
        <f>'EST - QUADRA'!I84</f>
        <v>71.199359999999984</v>
      </c>
      <c r="F317" s="222">
        <v>10.61</v>
      </c>
      <c r="G317" s="219">
        <f t="shared" si="94"/>
        <v>13.44</v>
      </c>
      <c r="H317" s="219">
        <f t="shared" si="96"/>
        <v>956.91</v>
      </c>
    </row>
    <row r="318" spans="1:8" ht="15.75" outlineLevel="1">
      <c r="A318" s="588"/>
      <c r="B318" s="588"/>
      <c r="C318" s="589" t="s">
        <v>14</v>
      </c>
      <c r="D318" s="588"/>
      <c r="E318" s="590"/>
      <c r="F318" s="591"/>
      <c r="G318" s="592"/>
      <c r="H318" s="592">
        <f>SUM(H308:H317)</f>
        <v>140302.11000000002</v>
      </c>
    </row>
    <row r="319" spans="1:8" ht="15.75" outlineLevel="1">
      <c r="A319" s="421" t="s">
        <v>175</v>
      </c>
      <c r="B319" s="421"/>
      <c r="C319" s="593" t="s">
        <v>154</v>
      </c>
      <c r="D319" s="421"/>
      <c r="E319" s="594"/>
      <c r="F319" s="595"/>
      <c r="G319" s="598"/>
      <c r="H319" s="596"/>
    </row>
    <row r="320" spans="1:8" ht="45" outlineLevel="2">
      <c r="A320" s="227" t="s">
        <v>1072</v>
      </c>
      <c r="B320" s="227" t="s">
        <v>2647</v>
      </c>
      <c r="C320" s="245" t="s">
        <v>532</v>
      </c>
      <c r="D320" s="227" t="s">
        <v>108</v>
      </c>
      <c r="E320" s="570">
        <f>'EST - QUADRA'!I26</f>
        <v>1566.83</v>
      </c>
      <c r="F320" s="222">
        <v>4.55</v>
      </c>
      <c r="G320" s="219">
        <f t="shared" ref="G320:G325" si="97">TRUNC(F320*(1+$E$2),2)</f>
        <v>5.76</v>
      </c>
      <c r="H320" s="219">
        <f t="shared" ref="H320" si="98">TRUNC((G320*E320),2)</f>
        <v>9024.94</v>
      </c>
    </row>
    <row r="321" spans="1:8" outlineLevel="2">
      <c r="A321" s="227" t="s">
        <v>1073</v>
      </c>
      <c r="B321" s="227" t="s">
        <v>656</v>
      </c>
      <c r="C321" s="245" t="s">
        <v>657</v>
      </c>
      <c r="D321" s="227" t="s">
        <v>284</v>
      </c>
      <c r="E321" s="570">
        <f>'EST - QUADRA'!I25</f>
        <v>78.341499999999996</v>
      </c>
      <c r="F321" s="222">
        <v>87.4</v>
      </c>
      <c r="G321" s="219">
        <f t="shared" si="97"/>
        <v>110.76</v>
      </c>
      <c r="H321" s="219">
        <f t="shared" ref="H321:H325" si="99">TRUNC((G321*E321),2)</f>
        <v>8677.1</v>
      </c>
    </row>
    <row r="322" spans="1:8" ht="30" outlineLevel="2">
      <c r="A322" s="227" t="s">
        <v>1074</v>
      </c>
      <c r="B322" s="227" t="s">
        <v>2648</v>
      </c>
      <c r="C322" s="245" t="s">
        <v>603</v>
      </c>
      <c r="D322" s="227" t="s">
        <v>108</v>
      </c>
      <c r="E322" s="570">
        <f>'EST - QUADRA'!I29</f>
        <v>1880.1959999999999</v>
      </c>
      <c r="F322" s="222">
        <v>10.61</v>
      </c>
      <c r="G322" s="219">
        <f t="shared" si="97"/>
        <v>13.44</v>
      </c>
      <c r="H322" s="219">
        <f t="shared" si="99"/>
        <v>25269.83</v>
      </c>
    </row>
    <row r="323" spans="1:8" ht="60" outlineLevel="2">
      <c r="A323" s="227" t="s">
        <v>1075</v>
      </c>
      <c r="B323" s="227" t="s">
        <v>80</v>
      </c>
      <c r="C323" s="245" t="s">
        <v>536</v>
      </c>
      <c r="D323" s="227" t="s">
        <v>284</v>
      </c>
      <c r="E323" s="570">
        <f>'EST - QUADRA'!I27</f>
        <v>109.6781</v>
      </c>
      <c r="F323" s="222">
        <v>294.68</v>
      </c>
      <c r="G323" s="219">
        <f t="shared" si="97"/>
        <v>373.44</v>
      </c>
      <c r="H323" s="219">
        <f t="shared" si="99"/>
        <v>40958.18</v>
      </c>
    </row>
    <row r="324" spans="1:8" ht="45" outlineLevel="2">
      <c r="A324" s="227" t="s">
        <v>1076</v>
      </c>
      <c r="B324" s="227" t="s">
        <v>2636</v>
      </c>
      <c r="C324" s="245" t="s">
        <v>535</v>
      </c>
      <c r="D324" s="227" t="s">
        <v>284</v>
      </c>
      <c r="E324" s="570">
        <f>E323</f>
        <v>109.6781</v>
      </c>
      <c r="F324" s="222">
        <v>23.69</v>
      </c>
      <c r="G324" s="219">
        <f t="shared" si="97"/>
        <v>30.02</v>
      </c>
      <c r="H324" s="219">
        <f t="shared" si="99"/>
        <v>3292.53</v>
      </c>
    </row>
    <row r="325" spans="1:8" outlineLevel="2">
      <c r="A325" s="227" t="s">
        <v>1077</v>
      </c>
      <c r="B325" s="227" t="s">
        <v>1485</v>
      </c>
      <c r="C325" s="245" t="s">
        <v>1486</v>
      </c>
      <c r="D325" s="227" t="s">
        <v>108</v>
      </c>
      <c r="E325" s="570">
        <f>E320</f>
        <v>1566.83</v>
      </c>
      <c r="F325" s="222">
        <v>7.79</v>
      </c>
      <c r="G325" s="219">
        <f t="shared" si="97"/>
        <v>9.8699999999999992</v>
      </c>
      <c r="H325" s="219">
        <f t="shared" si="99"/>
        <v>15464.61</v>
      </c>
    </row>
    <row r="326" spans="1:8" ht="15.75" outlineLevel="1">
      <c r="A326" s="588"/>
      <c r="B326" s="588"/>
      <c r="C326" s="589" t="s">
        <v>14</v>
      </c>
      <c r="D326" s="588"/>
      <c r="E326" s="590"/>
      <c r="F326" s="591"/>
      <c r="G326" s="592"/>
      <c r="H326" s="592">
        <f>SUM(H320:H325)</f>
        <v>102687.19</v>
      </c>
    </row>
    <row r="327" spans="1:8" ht="15.75" outlineLevel="1">
      <c r="A327" s="421" t="s">
        <v>176</v>
      </c>
      <c r="B327" s="421"/>
      <c r="C327" s="593" t="s">
        <v>95</v>
      </c>
      <c r="D327" s="421"/>
      <c r="E327" s="599"/>
      <c r="F327" s="596"/>
      <c r="G327" s="598"/>
      <c r="H327" s="596"/>
    </row>
    <row r="328" spans="1:8" ht="90" outlineLevel="2">
      <c r="A328" s="227" t="s">
        <v>1078</v>
      </c>
      <c r="B328" s="227" t="s">
        <v>2655</v>
      </c>
      <c r="C328" s="245" t="s">
        <v>658</v>
      </c>
      <c r="D328" s="227" t="s">
        <v>108</v>
      </c>
      <c r="E328" s="570">
        <f>'ARQ - QUADRA e VESTIÁRIOS'!F10</f>
        <v>1742.75</v>
      </c>
      <c r="F328" s="222">
        <v>57.74</v>
      </c>
      <c r="G328" s="219">
        <f t="shared" ref="G328:G334" si="100">TRUNC(F328*(1+$E$2),2)</f>
        <v>73.17</v>
      </c>
      <c r="H328" s="219">
        <f t="shared" ref="H328" si="101">TRUNC((G328*E328),2)</f>
        <v>127517.01</v>
      </c>
    </row>
    <row r="329" spans="1:8" ht="30" outlineLevel="2">
      <c r="A329" s="227" t="s">
        <v>1079</v>
      </c>
      <c r="B329" s="227" t="s">
        <v>2656</v>
      </c>
      <c r="C329" s="245" t="s">
        <v>840</v>
      </c>
      <c r="D329" s="227" t="s">
        <v>101</v>
      </c>
      <c r="E329" s="570">
        <f>'ARQ - QUADRA e VESTIÁRIOS'!F13</f>
        <v>2.4</v>
      </c>
      <c r="F329" s="222">
        <v>33.25</v>
      </c>
      <c r="G329" s="219">
        <f t="shared" si="100"/>
        <v>42.13</v>
      </c>
      <c r="H329" s="219">
        <f t="shared" ref="H329:H334" si="102">TRUNC((G329*E329),2)</f>
        <v>101.11</v>
      </c>
    </row>
    <row r="330" spans="1:8" ht="30" outlineLevel="2">
      <c r="A330" s="227" t="s">
        <v>1080</v>
      </c>
      <c r="B330" s="227" t="s">
        <v>2657</v>
      </c>
      <c r="C330" s="245" t="s">
        <v>841</v>
      </c>
      <c r="D330" s="227" t="s">
        <v>101</v>
      </c>
      <c r="E330" s="570">
        <f>'ARQ - QUADRA e VESTIÁRIOS'!F14</f>
        <v>6.8</v>
      </c>
      <c r="F330" s="222">
        <v>38.15</v>
      </c>
      <c r="G330" s="219">
        <f t="shared" si="100"/>
        <v>48.34</v>
      </c>
      <c r="H330" s="219">
        <f t="shared" si="102"/>
        <v>328.71</v>
      </c>
    </row>
    <row r="331" spans="1:8" ht="30" outlineLevel="2">
      <c r="A331" s="227" t="s">
        <v>1081</v>
      </c>
      <c r="B331" s="227" t="s">
        <v>2658</v>
      </c>
      <c r="C331" s="245" t="s">
        <v>842</v>
      </c>
      <c r="D331" s="227" t="s">
        <v>101</v>
      </c>
      <c r="E331" s="570">
        <f>'ARQ - QUADRA e VESTIÁRIOS'!F12</f>
        <v>5.2</v>
      </c>
      <c r="F331" s="222">
        <v>32.380000000000003</v>
      </c>
      <c r="G331" s="219">
        <f t="shared" si="100"/>
        <v>41.03</v>
      </c>
      <c r="H331" s="219">
        <f t="shared" si="102"/>
        <v>213.35</v>
      </c>
    </row>
    <row r="332" spans="1:8" ht="45" outlineLevel="2">
      <c r="A332" s="227" t="s">
        <v>1082</v>
      </c>
      <c r="B332" s="227" t="s">
        <v>2659</v>
      </c>
      <c r="C332" s="245" t="s">
        <v>843</v>
      </c>
      <c r="D332" s="227" t="s">
        <v>101</v>
      </c>
      <c r="E332" s="570">
        <f>'ARQ - QUADRA e VESTIÁRIOS'!F16</f>
        <v>6.8</v>
      </c>
      <c r="F332" s="222">
        <v>34.97</v>
      </c>
      <c r="G332" s="219">
        <f t="shared" si="100"/>
        <v>44.31</v>
      </c>
      <c r="H332" s="219">
        <f t="shared" si="102"/>
        <v>301.3</v>
      </c>
    </row>
    <row r="333" spans="1:8" ht="45" outlineLevel="2">
      <c r="A333" s="227" t="s">
        <v>1487</v>
      </c>
      <c r="B333" s="227" t="s">
        <v>2660</v>
      </c>
      <c r="C333" s="245" t="s">
        <v>844</v>
      </c>
      <c r="D333" s="227" t="s">
        <v>101</v>
      </c>
      <c r="E333" s="570">
        <f>'ARQ - QUADRA e VESTIÁRIOS'!F15</f>
        <v>2.4</v>
      </c>
      <c r="F333" s="222">
        <v>31.73</v>
      </c>
      <c r="G333" s="219">
        <f t="shared" si="100"/>
        <v>40.21</v>
      </c>
      <c r="H333" s="219">
        <f t="shared" si="102"/>
        <v>96.5</v>
      </c>
    </row>
    <row r="334" spans="1:8" ht="45" outlineLevel="2">
      <c r="A334" s="227" t="s">
        <v>2266</v>
      </c>
      <c r="B334" s="227" t="s">
        <v>1793</v>
      </c>
      <c r="C334" s="245" t="s">
        <v>1792</v>
      </c>
      <c r="D334" s="227" t="s">
        <v>108</v>
      </c>
      <c r="E334" s="570">
        <f>'ARQ - QUADRA e VESTIÁRIOS'!F11</f>
        <v>332.2</v>
      </c>
      <c r="F334" s="222">
        <v>111.64</v>
      </c>
      <c r="G334" s="219">
        <f t="shared" si="100"/>
        <v>141.47999999999999</v>
      </c>
      <c r="H334" s="219">
        <f t="shared" si="102"/>
        <v>46999.65</v>
      </c>
    </row>
    <row r="335" spans="1:8" ht="15.75" outlineLevel="1">
      <c r="A335" s="600"/>
      <c r="B335" s="588"/>
      <c r="C335" s="589" t="s">
        <v>14</v>
      </c>
      <c r="D335" s="588"/>
      <c r="E335" s="590"/>
      <c r="F335" s="591"/>
      <c r="G335" s="592"/>
      <c r="H335" s="592">
        <f>SUM(H328:H334)</f>
        <v>175557.63</v>
      </c>
    </row>
    <row r="336" spans="1:8" ht="15.75" outlineLevel="1">
      <c r="A336" s="421" t="s">
        <v>177</v>
      </c>
      <c r="B336" s="421"/>
      <c r="C336" s="593" t="s">
        <v>79</v>
      </c>
      <c r="D336" s="421"/>
      <c r="E336" s="599"/>
      <c r="F336" s="596"/>
      <c r="G336" s="598"/>
      <c r="H336" s="596"/>
    </row>
    <row r="337" spans="1:8" ht="45" outlineLevel="2">
      <c r="A337" s="227" t="s">
        <v>1083</v>
      </c>
      <c r="B337" s="227" t="s">
        <v>2652</v>
      </c>
      <c r="C337" s="245" t="s">
        <v>800</v>
      </c>
      <c r="D337" s="227" t="s">
        <v>108</v>
      </c>
      <c r="E337" s="570">
        <f>'ARQ - QUADRA e VESTIÁRIOS'!F26</f>
        <v>10.199999999999999</v>
      </c>
      <c r="F337" s="222">
        <v>872.45</v>
      </c>
      <c r="G337" s="219">
        <f t="shared" ref="G337:G339" si="103">TRUNC(F337*(1+$E$2),2)</f>
        <v>1105.6500000000001</v>
      </c>
      <c r="H337" s="219">
        <f t="shared" ref="H337" si="104">TRUNC((G337*E337),2)</f>
        <v>11277.63</v>
      </c>
    </row>
    <row r="338" spans="1:8" ht="60" outlineLevel="2">
      <c r="A338" s="227" t="s">
        <v>1084</v>
      </c>
      <c r="B338" s="227" t="s">
        <v>818</v>
      </c>
      <c r="C338" s="245" t="s">
        <v>819</v>
      </c>
      <c r="D338" s="227" t="s">
        <v>57</v>
      </c>
      <c r="E338" s="570">
        <f>'ARQ - QUADRA e VESTIÁRIOS'!F25</f>
        <v>4</v>
      </c>
      <c r="F338" s="222">
        <v>1198.99</v>
      </c>
      <c r="G338" s="219">
        <f t="shared" si="103"/>
        <v>1519.48</v>
      </c>
      <c r="H338" s="219">
        <f t="shared" ref="H338:H339" si="105">TRUNC((G338*E338),2)</f>
        <v>6077.92</v>
      </c>
    </row>
    <row r="339" spans="1:8" ht="45" outlineLevel="2">
      <c r="A339" s="227" t="s">
        <v>1085</v>
      </c>
      <c r="B339" s="227" t="s">
        <v>2654</v>
      </c>
      <c r="C339" s="245" t="s">
        <v>820</v>
      </c>
      <c r="D339" s="227" t="s">
        <v>108</v>
      </c>
      <c r="E339" s="570">
        <f>'ARQ - QUADRA e VESTIÁRIOS'!F27+'ARQ - QUADRA e VESTIÁRIOS'!F28</f>
        <v>5.4400000000000013</v>
      </c>
      <c r="F339" s="222">
        <v>857.15</v>
      </c>
      <c r="G339" s="219">
        <f t="shared" si="103"/>
        <v>1086.26</v>
      </c>
      <c r="H339" s="219">
        <f t="shared" si="105"/>
        <v>5909.25</v>
      </c>
    </row>
    <row r="340" spans="1:8" ht="15.75" outlineLevel="1">
      <c r="A340" s="588"/>
      <c r="B340" s="588"/>
      <c r="C340" s="589" t="s">
        <v>14</v>
      </c>
      <c r="D340" s="588"/>
      <c r="E340" s="590"/>
      <c r="F340" s="591"/>
      <c r="G340" s="592"/>
      <c r="H340" s="592">
        <f>SUM(H337:H339)</f>
        <v>23264.799999999999</v>
      </c>
    </row>
    <row r="341" spans="1:8" ht="15.75" outlineLevel="1">
      <c r="A341" s="421" t="s">
        <v>178</v>
      </c>
      <c r="B341" s="421"/>
      <c r="C341" s="593" t="s">
        <v>75</v>
      </c>
      <c r="D341" s="421"/>
      <c r="E341" s="594"/>
      <c r="F341" s="595"/>
      <c r="G341" s="598"/>
      <c r="H341" s="596"/>
    </row>
    <row r="342" spans="1:8" ht="45" outlineLevel="2">
      <c r="A342" s="227" t="s">
        <v>355</v>
      </c>
      <c r="B342" s="227" t="s">
        <v>607</v>
      </c>
      <c r="C342" s="245" t="s">
        <v>606</v>
      </c>
      <c r="D342" s="227" t="s">
        <v>94</v>
      </c>
      <c r="E342" s="570">
        <f>'EST - QUADRA'!I86+'EST - QUADRA'!I91</f>
        <v>34352.49</v>
      </c>
      <c r="F342" s="222">
        <v>6.89</v>
      </c>
      <c r="G342" s="219">
        <f t="shared" ref="G342:G348" si="106">TRUNC(F342*(1+$E$2),2)</f>
        <v>8.73</v>
      </c>
      <c r="H342" s="219">
        <f t="shared" ref="H342" si="107">TRUNC((G342*E342),2)</f>
        <v>299897.23</v>
      </c>
    </row>
    <row r="343" spans="1:8" outlineLevel="2">
      <c r="A343" s="227" t="s">
        <v>356</v>
      </c>
      <c r="B343" s="227" t="s">
        <v>609</v>
      </c>
      <c r="C343" s="245" t="s">
        <v>608</v>
      </c>
      <c r="D343" s="227" t="s">
        <v>94</v>
      </c>
      <c r="E343" s="570">
        <f>E342</f>
        <v>34352.49</v>
      </c>
      <c r="F343" s="222">
        <v>2.2200000000000002</v>
      </c>
      <c r="G343" s="219">
        <f t="shared" si="106"/>
        <v>2.81</v>
      </c>
      <c r="H343" s="219">
        <f t="shared" ref="H343:H348" si="108">TRUNC((G343*E343),2)</f>
        <v>96530.49</v>
      </c>
    </row>
    <row r="344" spans="1:8" ht="30" outlineLevel="2">
      <c r="A344" s="227" t="s">
        <v>357</v>
      </c>
      <c r="B344" s="227" t="s">
        <v>1449</v>
      </c>
      <c r="C344" s="245" t="s">
        <v>1448</v>
      </c>
      <c r="D344" s="227" t="s">
        <v>108</v>
      </c>
      <c r="E344" s="570">
        <f>'EST - QUADRA'!I87+'EST - QUADRA'!I92</f>
        <v>1128.3699999999999</v>
      </c>
      <c r="F344" s="222">
        <v>21.24</v>
      </c>
      <c r="G344" s="219">
        <f t="shared" si="106"/>
        <v>26.91</v>
      </c>
      <c r="H344" s="219">
        <f t="shared" si="108"/>
        <v>30364.43</v>
      </c>
    </row>
    <row r="345" spans="1:8" ht="45" outlineLevel="2">
      <c r="A345" s="227" t="s">
        <v>358</v>
      </c>
      <c r="B345" s="227" t="s">
        <v>2649</v>
      </c>
      <c r="C345" s="245" t="s">
        <v>924</v>
      </c>
      <c r="D345" s="227" t="s">
        <v>108</v>
      </c>
      <c r="E345" s="570">
        <f>'ARQ - QUADRA e VESTIÁRIOS'!F19</f>
        <v>1535.11</v>
      </c>
      <c r="F345" s="222">
        <v>104.02</v>
      </c>
      <c r="G345" s="219">
        <f t="shared" si="106"/>
        <v>131.82</v>
      </c>
      <c r="H345" s="219">
        <f t="shared" si="108"/>
        <v>202358.2</v>
      </c>
    </row>
    <row r="346" spans="1:8" ht="45" outlineLevel="2">
      <c r="A346" s="227" t="s">
        <v>2267</v>
      </c>
      <c r="B346" s="227" t="s">
        <v>2053</v>
      </c>
      <c r="C346" s="245" t="s">
        <v>2054</v>
      </c>
      <c r="D346" s="227" t="s">
        <v>101</v>
      </c>
      <c r="E346" s="570">
        <f>'ARQ - QUADRA e VESTIÁRIOS'!F22</f>
        <v>99.4</v>
      </c>
      <c r="F346" s="222">
        <v>109.86</v>
      </c>
      <c r="G346" s="219">
        <f t="shared" si="106"/>
        <v>139.22</v>
      </c>
      <c r="H346" s="219">
        <f t="shared" si="108"/>
        <v>13838.46</v>
      </c>
    </row>
    <row r="347" spans="1:8" ht="45" outlineLevel="2">
      <c r="A347" s="227" t="s">
        <v>2268</v>
      </c>
      <c r="B347" s="227" t="s">
        <v>2651</v>
      </c>
      <c r="C347" s="245" t="s">
        <v>1791</v>
      </c>
      <c r="D347" s="227" t="s">
        <v>101</v>
      </c>
      <c r="E347" s="570">
        <f>'ARQ - QUADRA e VESTIÁRIOS'!F20+'ARQ - QUADRA e VESTIÁRIOS'!F21</f>
        <v>231.32</v>
      </c>
      <c r="F347" s="222">
        <v>25.82</v>
      </c>
      <c r="G347" s="219">
        <f t="shared" si="106"/>
        <v>32.72</v>
      </c>
      <c r="H347" s="219">
        <f t="shared" si="108"/>
        <v>7568.79</v>
      </c>
    </row>
    <row r="348" spans="1:8" ht="75" outlineLevel="2">
      <c r="A348" s="227" t="s">
        <v>3019</v>
      </c>
      <c r="B348" s="227" t="s">
        <v>540</v>
      </c>
      <c r="C348" s="245" t="s">
        <v>539</v>
      </c>
      <c r="D348" s="227" t="s">
        <v>94</v>
      </c>
      <c r="E348" s="570">
        <f>'EST - QUADRA'!I93</f>
        <v>10.56</v>
      </c>
      <c r="F348" s="222">
        <v>6.28</v>
      </c>
      <c r="G348" s="219">
        <f t="shared" si="106"/>
        <v>7.95</v>
      </c>
      <c r="H348" s="219">
        <f t="shared" si="108"/>
        <v>83.95</v>
      </c>
    </row>
    <row r="349" spans="1:8" ht="15.75" outlineLevel="1">
      <c r="A349" s="588"/>
      <c r="B349" s="588"/>
      <c r="C349" s="589" t="s">
        <v>14</v>
      </c>
      <c r="D349" s="588"/>
      <c r="E349" s="590"/>
      <c r="F349" s="591"/>
      <c r="G349" s="592"/>
      <c r="H349" s="592">
        <f>SUM(H342:H348)</f>
        <v>650641.54999999993</v>
      </c>
    </row>
    <row r="350" spans="1:8" ht="15.75" outlineLevel="1">
      <c r="A350" s="421" t="s">
        <v>179</v>
      </c>
      <c r="B350" s="421"/>
      <c r="C350" s="593" t="s">
        <v>81</v>
      </c>
      <c r="D350" s="421"/>
      <c r="E350" s="599"/>
      <c r="F350" s="596"/>
      <c r="G350" s="598"/>
      <c r="H350" s="596"/>
    </row>
    <row r="351" spans="1:8" ht="60" outlineLevel="2">
      <c r="A351" s="227" t="s">
        <v>359</v>
      </c>
      <c r="B351" s="227" t="s">
        <v>2661</v>
      </c>
      <c r="C351" s="245" t="s">
        <v>2662</v>
      </c>
      <c r="D351" s="227" t="s">
        <v>108</v>
      </c>
      <c r="E351" s="570">
        <f>'ARQ - QUADRA e VESTIÁRIOS'!F31</f>
        <v>3813.55</v>
      </c>
      <c r="F351" s="222">
        <v>2.56</v>
      </c>
      <c r="G351" s="219">
        <f t="shared" ref="G351:G355" si="109">TRUNC(F351*(1+$E$2),2)</f>
        <v>3.24</v>
      </c>
      <c r="H351" s="219">
        <f t="shared" ref="H351" si="110">TRUNC((G351*E351),2)</f>
        <v>12355.9</v>
      </c>
    </row>
    <row r="352" spans="1:8" ht="75" outlineLevel="2">
      <c r="A352" s="227" t="s">
        <v>360</v>
      </c>
      <c r="B352" s="227" t="s">
        <v>2663</v>
      </c>
      <c r="C352" s="245" t="s">
        <v>1869</v>
      </c>
      <c r="D352" s="227" t="s">
        <v>108</v>
      </c>
      <c r="E352" s="570">
        <f>'ARQ - QUADRA e VESTIÁRIOS'!F32+'ARQ - QUADRA e VESTIÁRIOS'!F33</f>
        <v>3813.5499999999997</v>
      </c>
      <c r="F352" s="222">
        <v>26.04</v>
      </c>
      <c r="G352" s="219">
        <f t="shared" si="109"/>
        <v>33</v>
      </c>
      <c r="H352" s="219">
        <f t="shared" ref="H352:H355" si="111">TRUNC((G352*E352),2)</f>
        <v>125847.15</v>
      </c>
    </row>
    <row r="353" spans="1:9" ht="90" outlineLevel="2">
      <c r="A353" s="227" t="s">
        <v>361</v>
      </c>
      <c r="B353" s="227" t="s">
        <v>2666</v>
      </c>
      <c r="C353" s="245" t="s">
        <v>787</v>
      </c>
      <c r="D353" s="227" t="s">
        <v>108</v>
      </c>
      <c r="E353" s="570">
        <f>'ARQ - QUADRA e VESTIÁRIOS'!F34</f>
        <v>205.95</v>
      </c>
      <c r="F353" s="222">
        <v>47.04</v>
      </c>
      <c r="G353" s="219">
        <f t="shared" si="109"/>
        <v>59.61</v>
      </c>
      <c r="H353" s="219">
        <f t="shared" si="111"/>
        <v>12276.67</v>
      </c>
    </row>
    <row r="354" spans="1:9" s="71" customFormat="1" ht="60" outlineLevel="2">
      <c r="A354" s="227" t="s">
        <v>362</v>
      </c>
      <c r="B354" s="227" t="s">
        <v>2668</v>
      </c>
      <c r="C354" s="245" t="s">
        <v>795</v>
      </c>
      <c r="D354" s="227" t="s">
        <v>108</v>
      </c>
      <c r="E354" s="570">
        <f>'ARQ - QUADRA e VESTIÁRIOS'!F35</f>
        <v>104.93</v>
      </c>
      <c r="F354" s="222">
        <v>165.09</v>
      </c>
      <c r="G354" s="219">
        <f t="shared" si="109"/>
        <v>209.21</v>
      </c>
      <c r="H354" s="219">
        <f t="shared" si="111"/>
        <v>21952.400000000001</v>
      </c>
      <c r="I354" s="281"/>
    </row>
    <row r="355" spans="1:9" ht="30" outlineLevel="2">
      <c r="A355" s="227" t="s">
        <v>1794</v>
      </c>
      <c r="B355" s="227" t="s">
        <v>2669</v>
      </c>
      <c r="C355" s="245" t="s">
        <v>788</v>
      </c>
      <c r="D355" s="227" t="s">
        <v>108</v>
      </c>
      <c r="E355" s="570">
        <f>'ARQ - QUADRA e VESTIÁRIOS'!F7</f>
        <v>293.98</v>
      </c>
      <c r="F355" s="222">
        <v>21.8</v>
      </c>
      <c r="G355" s="219">
        <f t="shared" si="109"/>
        <v>27.62</v>
      </c>
      <c r="H355" s="219">
        <f t="shared" si="111"/>
        <v>8119.72</v>
      </c>
    </row>
    <row r="356" spans="1:9" ht="15.75" outlineLevel="1">
      <c r="A356" s="588"/>
      <c r="B356" s="588"/>
      <c r="C356" s="589" t="s">
        <v>14</v>
      </c>
      <c r="D356" s="588"/>
      <c r="E356" s="590"/>
      <c r="F356" s="591"/>
      <c r="G356" s="592"/>
      <c r="H356" s="592">
        <f>SUM(H351:H355)</f>
        <v>180551.84</v>
      </c>
    </row>
    <row r="357" spans="1:9" ht="15.75" outlineLevel="1">
      <c r="A357" s="421" t="s">
        <v>180</v>
      </c>
      <c r="B357" s="421"/>
      <c r="C357" s="593" t="s">
        <v>11</v>
      </c>
      <c r="D357" s="421"/>
      <c r="E357" s="599"/>
      <c r="F357" s="596"/>
      <c r="G357" s="598"/>
      <c r="H357" s="596"/>
    </row>
    <row r="358" spans="1:9" ht="60" outlineLevel="2">
      <c r="A358" s="227" t="s">
        <v>1086</v>
      </c>
      <c r="B358" s="227" t="s">
        <v>2670</v>
      </c>
      <c r="C358" s="245" t="s">
        <v>789</v>
      </c>
      <c r="D358" s="227" t="s">
        <v>108</v>
      </c>
      <c r="E358" s="570">
        <f>'ARQ - QUADRA e VESTIÁRIOS'!F40</f>
        <v>53.26</v>
      </c>
      <c r="F358" s="222">
        <v>73.47</v>
      </c>
      <c r="G358" s="219">
        <f t="shared" ref="G358:G360" si="112">TRUNC(F358*(1+$E$2),2)</f>
        <v>93.1</v>
      </c>
      <c r="H358" s="219">
        <f t="shared" ref="H358" si="113">TRUNC((G358*E358),2)</f>
        <v>4958.5</v>
      </c>
    </row>
    <row r="359" spans="1:9" s="71" customFormat="1" ht="45" outlineLevel="2">
      <c r="A359" s="227" t="s">
        <v>374</v>
      </c>
      <c r="B359" s="227" t="s">
        <v>2598</v>
      </c>
      <c r="C359" s="245" t="s">
        <v>2599</v>
      </c>
      <c r="D359" s="227" t="s">
        <v>101</v>
      </c>
      <c r="E359" s="570">
        <f>'ARQ - QUADRA e VESTIÁRIOS'!F41</f>
        <v>6.6</v>
      </c>
      <c r="F359" s="222">
        <v>78.900000000000006</v>
      </c>
      <c r="G359" s="219">
        <f t="shared" si="112"/>
        <v>99.98</v>
      </c>
      <c r="H359" s="219">
        <f t="shared" ref="H359:H360" si="114">TRUNC((G359*E359),2)</f>
        <v>659.86</v>
      </c>
      <c r="I359" s="281"/>
    </row>
    <row r="360" spans="1:9" ht="60" outlineLevel="2">
      <c r="A360" s="227" t="s">
        <v>386</v>
      </c>
      <c r="B360" s="227" t="s">
        <v>2685</v>
      </c>
      <c r="C360" s="245" t="s">
        <v>1985</v>
      </c>
      <c r="D360" s="227" t="s">
        <v>108</v>
      </c>
      <c r="E360" s="570">
        <f>'ARQ - QUADRA e VESTIÁRIOS'!F74</f>
        <v>199.53</v>
      </c>
      <c r="F360" s="222">
        <v>66.02</v>
      </c>
      <c r="G360" s="219">
        <f t="shared" si="112"/>
        <v>83.66</v>
      </c>
      <c r="H360" s="219">
        <f t="shared" si="114"/>
        <v>16692.669999999998</v>
      </c>
    </row>
    <row r="361" spans="1:9" ht="15.75" outlineLevel="1">
      <c r="A361" s="600"/>
      <c r="B361" s="588"/>
      <c r="C361" s="589" t="s">
        <v>14</v>
      </c>
      <c r="D361" s="588"/>
      <c r="E361" s="590"/>
      <c r="F361" s="591"/>
      <c r="G361" s="592"/>
      <c r="H361" s="592">
        <f>SUM(H358:H360)</f>
        <v>22311.03</v>
      </c>
    </row>
    <row r="362" spans="1:9" ht="15.75" outlineLevel="1">
      <c r="A362" s="421" t="s">
        <v>387</v>
      </c>
      <c r="B362" s="421"/>
      <c r="C362" s="593" t="s">
        <v>837</v>
      </c>
      <c r="D362" s="421"/>
      <c r="E362" s="599"/>
      <c r="F362" s="596"/>
      <c r="G362" s="598"/>
      <c r="H362" s="596"/>
    </row>
    <row r="363" spans="1:9" ht="30" outlineLevel="2">
      <c r="A363" s="227" t="s">
        <v>388</v>
      </c>
      <c r="B363" s="227" t="s">
        <v>2635</v>
      </c>
      <c r="C363" s="245" t="s">
        <v>534</v>
      </c>
      <c r="D363" s="227" t="s">
        <v>108</v>
      </c>
      <c r="E363" s="570">
        <f>'EST - QUADRA'!I96</f>
        <v>225</v>
      </c>
      <c r="F363" s="222">
        <v>45.06</v>
      </c>
      <c r="G363" s="219">
        <f t="shared" ref="G363:G368" si="115">TRUNC(F363*(1+$E$2),2)</f>
        <v>57.1</v>
      </c>
      <c r="H363" s="219">
        <f t="shared" ref="H363" si="116">TRUNC((G363*E363),2)</f>
        <v>12847.5</v>
      </c>
    </row>
    <row r="364" spans="1:9" ht="60" outlineLevel="2">
      <c r="A364" s="227" t="s">
        <v>389</v>
      </c>
      <c r="B364" s="227" t="s">
        <v>80</v>
      </c>
      <c r="C364" s="245" t="s">
        <v>536</v>
      </c>
      <c r="D364" s="227" t="s">
        <v>284</v>
      </c>
      <c r="E364" s="570">
        <f>'EST - QUADRA'!I97</f>
        <v>18.348000000000003</v>
      </c>
      <c r="F364" s="222">
        <v>294.68</v>
      </c>
      <c r="G364" s="219">
        <f t="shared" si="115"/>
        <v>373.44</v>
      </c>
      <c r="H364" s="219">
        <f t="shared" ref="H364:H368" si="117">TRUNC((G364*E364),2)</f>
        <v>6851.87</v>
      </c>
    </row>
    <row r="365" spans="1:9" ht="45" outlineLevel="2">
      <c r="A365" s="227" t="s">
        <v>390</v>
      </c>
      <c r="B365" s="227">
        <v>92874</v>
      </c>
      <c r="C365" s="245" t="s">
        <v>535</v>
      </c>
      <c r="D365" s="227" t="s">
        <v>284</v>
      </c>
      <c r="E365" s="570">
        <f>'EST - QUADRA'!I98</f>
        <v>18.348000000000003</v>
      </c>
      <c r="F365" s="222">
        <v>23.69</v>
      </c>
      <c r="G365" s="219">
        <f t="shared" si="115"/>
        <v>30.02</v>
      </c>
      <c r="H365" s="219">
        <f t="shared" si="117"/>
        <v>550.79999999999995</v>
      </c>
    </row>
    <row r="366" spans="1:9" ht="30" outlineLevel="2">
      <c r="A366" s="227" t="s">
        <v>2269</v>
      </c>
      <c r="B366" s="227" t="s">
        <v>2648</v>
      </c>
      <c r="C366" s="245" t="s">
        <v>603</v>
      </c>
      <c r="D366" s="227" t="s">
        <v>108</v>
      </c>
      <c r="E366" s="570">
        <f>'EST - QUADRA'!I99</f>
        <v>241</v>
      </c>
      <c r="F366" s="222">
        <v>10.61</v>
      </c>
      <c r="G366" s="219">
        <f t="shared" si="115"/>
        <v>13.44</v>
      </c>
      <c r="H366" s="219">
        <f t="shared" si="117"/>
        <v>3239.04</v>
      </c>
    </row>
    <row r="367" spans="1:9" ht="60" outlineLevel="2">
      <c r="A367" s="227" t="s">
        <v>2270</v>
      </c>
      <c r="B367" s="227" t="s">
        <v>2641</v>
      </c>
      <c r="C367" s="245" t="s">
        <v>556</v>
      </c>
      <c r="D367" s="227" t="s">
        <v>94</v>
      </c>
      <c r="E367" s="570">
        <f>'EST - QUADRA'!I100</f>
        <v>712</v>
      </c>
      <c r="F367" s="222">
        <v>9.9700000000000006</v>
      </c>
      <c r="G367" s="219">
        <f t="shared" si="115"/>
        <v>12.63</v>
      </c>
      <c r="H367" s="219">
        <f t="shared" si="117"/>
        <v>8992.56</v>
      </c>
    </row>
    <row r="368" spans="1:9" ht="90" outlineLevel="2">
      <c r="A368" s="227" t="s">
        <v>2271</v>
      </c>
      <c r="B368" s="227" t="s">
        <v>2690</v>
      </c>
      <c r="C368" s="245" t="s">
        <v>838</v>
      </c>
      <c r="D368" s="227" t="s">
        <v>108</v>
      </c>
      <c r="E368" s="570">
        <f>'EST - QUADRA'!I101</f>
        <v>180</v>
      </c>
      <c r="F368" s="222">
        <v>59.36</v>
      </c>
      <c r="G368" s="219">
        <f t="shared" si="115"/>
        <v>75.22</v>
      </c>
      <c r="H368" s="219">
        <f t="shared" si="117"/>
        <v>13539.6</v>
      </c>
    </row>
    <row r="369" spans="1:9" ht="15.75" outlineLevel="1">
      <c r="A369" s="588"/>
      <c r="B369" s="588"/>
      <c r="C369" s="589" t="s">
        <v>14</v>
      </c>
      <c r="D369" s="588"/>
      <c r="E369" s="590"/>
      <c r="F369" s="591"/>
      <c r="G369" s="592"/>
      <c r="H369" s="592">
        <f>SUM(H363:H368)</f>
        <v>46021.369999999995</v>
      </c>
    </row>
    <row r="370" spans="1:9" ht="15.75" outlineLevel="1">
      <c r="A370" s="421" t="s">
        <v>391</v>
      </c>
      <c r="B370" s="421"/>
      <c r="C370" s="593" t="s">
        <v>12</v>
      </c>
      <c r="D370" s="421"/>
      <c r="E370" s="599"/>
      <c r="F370" s="596"/>
      <c r="G370" s="598"/>
      <c r="H370" s="596"/>
    </row>
    <row r="371" spans="1:9" ht="30" outlineLevel="2">
      <c r="A371" s="227" t="s">
        <v>392</v>
      </c>
      <c r="B371" s="227" t="s">
        <v>2676</v>
      </c>
      <c r="C371" s="245" t="s">
        <v>839</v>
      </c>
      <c r="D371" s="227" t="s">
        <v>108</v>
      </c>
      <c r="E371" s="570">
        <f>'ARQ - QUADRA e VESTIÁRIOS'!F48</f>
        <v>1665.38</v>
      </c>
      <c r="F371" s="222">
        <v>1.56</v>
      </c>
      <c r="G371" s="219">
        <f t="shared" ref="G371:G382" si="118">TRUNC(F371*(1+$E$2),2)</f>
        <v>1.97</v>
      </c>
      <c r="H371" s="219">
        <f t="shared" ref="H371" si="119">TRUNC((G371*E371),2)</f>
        <v>3280.79</v>
      </c>
    </row>
    <row r="372" spans="1:9" ht="30" outlineLevel="2">
      <c r="A372" s="227" t="s">
        <v>1427</v>
      </c>
      <c r="B372" s="227" t="s">
        <v>2691</v>
      </c>
      <c r="C372" s="245" t="s">
        <v>793</v>
      </c>
      <c r="D372" s="227" t="s">
        <v>108</v>
      </c>
      <c r="E372" s="570">
        <f>'ARQ - QUADRA e VESTIÁRIOS'!F49</f>
        <v>1626.18</v>
      </c>
      <c r="F372" s="222">
        <v>10.8</v>
      </c>
      <c r="G372" s="219">
        <f t="shared" si="118"/>
        <v>13.68</v>
      </c>
      <c r="H372" s="219">
        <f t="shared" ref="H372:H382" si="120">TRUNC((G372*E372),2)</f>
        <v>22246.14</v>
      </c>
    </row>
    <row r="373" spans="1:9" ht="30" outlineLevel="2">
      <c r="A373" s="227" t="s">
        <v>1428</v>
      </c>
      <c r="B373" s="610" t="s">
        <v>1986</v>
      </c>
      <c r="C373" s="245" t="s">
        <v>2677</v>
      </c>
      <c r="D373" s="227" t="s">
        <v>108</v>
      </c>
      <c r="E373" s="570">
        <f>'ARQ - QUADRA e VESTIÁRIOS'!F50</f>
        <v>1665.38</v>
      </c>
      <c r="F373" s="222">
        <v>13.06</v>
      </c>
      <c r="G373" s="219">
        <f t="shared" si="118"/>
        <v>16.55</v>
      </c>
      <c r="H373" s="219">
        <f t="shared" si="120"/>
        <v>27562.03</v>
      </c>
    </row>
    <row r="374" spans="1:9" ht="30" outlineLevel="2">
      <c r="A374" s="227" t="s">
        <v>1429</v>
      </c>
      <c r="B374" s="168" t="s">
        <v>2678</v>
      </c>
      <c r="C374" s="169" t="s">
        <v>794</v>
      </c>
      <c r="D374" s="227" t="s">
        <v>108</v>
      </c>
      <c r="E374" s="570">
        <v>3265.84</v>
      </c>
      <c r="F374" s="222">
        <v>10.43</v>
      </c>
      <c r="G374" s="219">
        <f t="shared" si="118"/>
        <v>13.21</v>
      </c>
      <c r="H374" s="219">
        <f t="shared" si="120"/>
        <v>43141.74</v>
      </c>
    </row>
    <row r="375" spans="1:9" ht="30" outlineLevel="2">
      <c r="A375" s="227" t="s">
        <v>2142</v>
      </c>
      <c r="B375" s="227" t="s">
        <v>2675</v>
      </c>
      <c r="C375" s="245" t="s">
        <v>1789</v>
      </c>
      <c r="D375" s="227" t="s">
        <v>108</v>
      </c>
      <c r="E375" s="570">
        <f>'ARQ - QUADRA e VESTIÁRIOS'!F52</f>
        <v>53.26</v>
      </c>
      <c r="F375" s="222">
        <v>11.68</v>
      </c>
      <c r="G375" s="219">
        <f t="shared" si="118"/>
        <v>14.8</v>
      </c>
      <c r="H375" s="219">
        <f t="shared" si="120"/>
        <v>788.24</v>
      </c>
    </row>
    <row r="376" spans="1:9" ht="45" outlineLevel="2">
      <c r="A376" s="227" t="s">
        <v>2143</v>
      </c>
      <c r="B376" s="227" t="s">
        <v>1125</v>
      </c>
      <c r="C376" s="245" t="s">
        <v>1126</v>
      </c>
      <c r="D376" s="227" t="s">
        <v>108</v>
      </c>
      <c r="E376" s="570">
        <f>'ARQ - QUADRA e VESTIÁRIOS'!F53</f>
        <v>301.89</v>
      </c>
      <c r="F376" s="222">
        <v>16.25</v>
      </c>
      <c r="G376" s="219">
        <f t="shared" si="118"/>
        <v>20.59</v>
      </c>
      <c r="H376" s="219">
        <f t="shared" si="120"/>
        <v>6215.91</v>
      </c>
    </row>
    <row r="377" spans="1:9" ht="45" outlineLevel="2">
      <c r="A377" s="227" t="s">
        <v>2272</v>
      </c>
      <c r="B377" s="227" t="s">
        <v>981</v>
      </c>
      <c r="C377" s="245" t="s">
        <v>982</v>
      </c>
      <c r="D377" s="227" t="s">
        <v>108</v>
      </c>
      <c r="E377" s="570">
        <f>'ARQ - QUADRA e VESTIÁRIOS'!F54</f>
        <v>25.73</v>
      </c>
      <c r="F377" s="222">
        <v>17.72</v>
      </c>
      <c r="G377" s="219">
        <f t="shared" si="118"/>
        <v>22.45</v>
      </c>
      <c r="H377" s="219">
        <f t="shared" si="120"/>
        <v>577.63</v>
      </c>
    </row>
    <row r="378" spans="1:9" ht="30" outlineLevel="2">
      <c r="A378" s="227" t="s">
        <v>2273</v>
      </c>
      <c r="B378" s="168" t="s">
        <v>260</v>
      </c>
      <c r="C378" s="169" t="s">
        <v>846</v>
      </c>
      <c r="D378" s="227" t="s">
        <v>108</v>
      </c>
      <c r="E378" s="570">
        <f>'ARQ - QUADRA e VESTIÁRIOS'!F66</f>
        <v>936.65</v>
      </c>
      <c r="F378" s="222">
        <v>16.22</v>
      </c>
      <c r="G378" s="219">
        <f t="shared" si="118"/>
        <v>20.55</v>
      </c>
      <c r="H378" s="219">
        <f t="shared" si="120"/>
        <v>19248.150000000001</v>
      </c>
    </row>
    <row r="379" spans="1:9" outlineLevel="2">
      <c r="A379" s="227" t="s">
        <v>2274</v>
      </c>
      <c r="B379" s="168" t="s">
        <v>2692</v>
      </c>
      <c r="C379" s="169" t="s">
        <v>2693</v>
      </c>
      <c r="D379" s="227" t="s">
        <v>108</v>
      </c>
      <c r="E379" s="570">
        <f>'ARQ - QUADRA e VESTIÁRIOS'!F67</f>
        <v>419.98</v>
      </c>
      <c r="F379" s="222">
        <v>33.869999999999997</v>
      </c>
      <c r="G379" s="219">
        <f t="shared" si="118"/>
        <v>42.92</v>
      </c>
      <c r="H379" s="219">
        <f t="shared" si="120"/>
        <v>18025.54</v>
      </c>
    </row>
    <row r="380" spans="1:9" s="71" customFormat="1" ht="45" outlineLevel="2">
      <c r="A380" s="227" t="s">
        <v>2275</v>
      </c>
      <c r="B380" s="227" t="s">
        <v>2694</v>
      </c>
      <c r="C380" s="245" t="s">
        <v>2695</v>
      </c>
      <c r="D380" s="227" t="s">
        <v>2696</v>
      </c>
      <c r="E380" s="570">
        <f>'ARQ - QUADRA e VESTIÁRIOS'!F68</f>
        <v>402.3</v>
      </c>
      <c r="F380" s="222">
        <v>11.28</v>
      </c>
      <c r="G380" s="219">
        <f t="shared" si="118"/>
        <v>14.29</v>
      </c>
      <c r="H380" s="219">
        <f t="shared" si="120"/>
        <v>5748.86</v>
      </c>
      <c r="I380" s="281"/>
    </row>
    <row r="381" spans="1:9" s="281" customFormat="1" ht="45" outlineLevel="2">
      <c r="A381" s="227" t="s">
        <v>2276</v>
      </c>
      <c r="B381" s="168">
        <v>95468</v>
      </c>
      <c r="C381" s="169" t="s">
        <v>3089</v>
      </c>
      <c r="D381" s="227" t="s">
        <v>108</v>
      </c>
      <c r="E381" s="570">
        <v>15.12</v>
      </c>
      <c r="F381" s="222">
        <v>30.79</v>
      </c>
      <c r="G381" s="219">
        <f t="shared" si="118"/>
        <v>39.020000000000003</v>
      </c>
      <c r="H381" s="219">
        <f t="shared" si="120"/>
        <v>589.98</v>
      </c>
    </row>
    <row r="382" spans="1:9" s="281" customFormat="1" ht="30" outlineLevel="2">
      <c r="A382" s="227" t="s">
        <v>2277</v>
      </c>
      <c r="B382" s="227" t="s">
        <v>2004</v>
      </c>
      <c r="C382" s="245" t="s">
        <v>2005</v>
      </c>
      <c r="D382" s="227" t="s">
        <v>108</v>
      </c>
      <c r="E382" s="570">
        <f>'ARQ - QUADRA e VESTIÁRIOS'!F56</f>
        <v>141.78</v>
      </c>
      <c r="F382" s="222">
        <v>12.45</v>
      </c>
      <c r="G382" s="219">
        <f t="shared" si="118"/>
        <v>15.77</v>
      </c>
      <c r="H382" s="219">
        <f t="shared" si="120"/>
        <v>2235.87</v>
      </c>
    </row>
    <row r="383" spans="1:9" ht="15.75" outlineLevel="1">
      <c r="A383" s="588"/>
      <c r="B383" s="588"/>
      <c r="C383" s="589" t="s">
        <v>14</v>
      </c>
      <c r="D383" s="588"/>
      <c r="E383" s="590"/>
      <c r="F383" s="591"/>
      <c r="G383" s="592"/>
      <c r="H383" s="592">
        <f>SUM(H371:H382)</f>
        <v>149660.88</v>
      </c>
    </row>
    <row r="384" spans="1:9" ht="15.75" outlineLevel="1">
      <c r="A384" s="421" t="s">
        <v>393</v>
      </c>
      <c r="B384" s="421"/>
      <c r="C384" s="593" t="s">
        <v>88</v>
      </c>
      <c r="D384" s="421"/>
      <c r="E384" s="599"/>
      <c r="F384" s="596"/>
      <c r="G384" s="598"/>
      <c r="H384" s="596"/>
    </row>
    <row r="385" spans="1:9" ht="30" outlineLevel="2">
      <c r="A385" s="227" t="s">
        <v>394</v>
      </c>
      <c r="B385" s="227" t="s">
        <v>796</v>
      </c>
      <c r="C385" s="245" t="s">
        <v>2679</v>
      </c>
      <c r="D385" s="227" t="s">
        <v>108</v>
      </c>
      <c r="E385" s="570">
        <f>'ARQ - QUADRA e VESTIÁRIOS'!F44</f>
        <v>53.26</v>
      </c>
      <c r="F385" s="222">
        <v>50.57</v>
      </c>
      <c r="G385" s="219">
        <f t="shared" ref="G385:G386" si="121">TRUNC(F385*(1+$E$2),2)</f>
        <v>64.08</v>
      </c>
      <c r="H385" s="219">
        <f t="shared" ref="H385" si="122">TRUNC((G385*E385),2)</f>
        <v>3412.9</v>
      </c>
    </row>
    <row r="386" spans="1:9" ht="60" outlineLevel="2">
      <c r="A386" s="227" t="s">
        <v>2144</v>
      </c>
      <c r="B386" s="227" t="s">
        <v>1468</v>
      </c>
      <c r="C386" s="245" t="s">
        <v>1469</v>
      </c>
      <c r="D386" s="227" t="s">
        <v>108</v>
      </c>
      <c r="E386" s="570">
        <f>'ARQ - QUADRA e VESTIÁRIOS'!F45</f>
        <v>17.53</v>
      </c>
      <c r="F386" s="222">
        <v>568.26</v>
      </c>
      <c r="G386" s="219">
        <f t="shared" si="121"/>
        <v>720.15</v>
      </c>
      <c r="H386" s="219">
        <f t="shared" ref="H386" si="123">TRUNC((G386*E386),2)</f>
        <v>12624.22</v>
      </c>
    </row>
    <row r="387" spans="1:9" ht="15.75" outlineLevel="1">
      <c r="A387" s="600"/>
      <c r="B387" s="588"/>
      <c r="C387" s="589" t="s">
        <v>14</v>
      </c>
      <c r="D387" s="588"/>
      <c r="E387" s="590"/>
      <c r="F387" s="591"/>
      <c r="G387" s="592"/>
      <c r="H387" s="592">
        <f>SUM(H385:H386)</f>
        <v>16037.119999999999</v>
      </c>
    </row>
    <row r="388" spans="1:9" ht="15.75" outlineLevel="1">
      <c r="A388" s="421" t="s">
        <v>395</v>
      </c>
      <c r="B388" s="421"/>
      <c r="C388" s="593" t="s">
        <v>82</v>
      </c>
      <c r="D388" s="421"/>
      <c r="E388" s="599"/>
      <c r="F388" s="596"/>
      <c r="G388" s="598"/>
      <c r="H388" s="596"/>
    </row>
    <row r="389" spans="1:9" ht="60" outlineLevel="2">
      <c r="A389" s="227" t="s">
        <v>396</v>
      </c>
      <c r="B389" s="227" t="s">
        <v>809</v>
      </c>
      <c r="C389" s="245" t="s">
        <v>810</v>
      </c>
      <c r="D389" s="227" t="s">
        <v>108</v>
      </c>
      <c r="E389" s="570">
        <f>'ARQ - QUADRA e VESTIÁRIOS'!F59</f>
        <v>3.88</v>
      </c>
      <c r="F389" s="222">
        <v>248.83</v>
      </c>
      <c r="G389" s="219">
        <f t="shared" ref="G389:G399" si="124">TRUNC(F389*(1+$E$2),2)</f>
        <v>315.33999999999997</v>
      </c>
      <c r="H389" s="219">
        <f t="shared" ref="H389" si="125">TRUNC((G389*E389),2)</f>
        <v>1223.51</v>
      </c>
    </row>
    <row r="390" spans="1:9" ht="30" outlineLevel="2">
      <c r="A390" s="227" t="s">
        <v>397</v>
      </c>
      <c r="B390" s="227" t="s">
        <v>2682</v>
      </c>
      <c r="C390" s="245" t="s">
        <v>797</v>
      </c>
      <c r="D390" s="227" t="s">
        <v>108</v>
      </c>
      <c r="E390" s="570">
        <f>'ARQ - QUADRA e VESTIÁRIOS'!F60</f>
        <v>1.49</v>
      </c>
      <c r="F390" s="222">
        <v>359.1</v>
      </c>
      <c r="G390" s="219">
        <f t="shared" si="124"/>
        <v>455.08</v>
      </c>
      <c r="H390" s="219">
        <f t="shared" ref="H390:H399" si="126">TRUNC((G390*E390),2)</f>
        <v>678.06</v>
      </c>
    </row>
    <row r="391" spans="1:9" s="71" customFormat="1" ht="30" outlineLevel="2">
      <c r="A391" s="227" t="s">
        <v>2278</v>
      </c>
      <c r="B391" s="227" t="s">
        <v>813</v>
      </c>
      <c r="C391" s="245" t="s">
        <v>814</v>
      </c>
      <c r="D391" s="227" t="s">
        <v>57</v>
      </c>
      <c r="E391" s="570">
        <f>'ARQ - QUADRA e VESTIÁRIOS'!F61</f>
        <v>18</v>
      </c>
      <c r="F391" s="222">
        <v>212.79</v>
      </c>
      <c r="G391" s="219">
        <f t="shared" si="124"/>
        <v>269.66000000000003</v>
      </c>
      <c r="H391" s="219">
        <f t="shared" si="126"/>
        <v>4853.88</v>
      </c>
      <c r="I391" s="281"/>
    </row>
    <row r="392" spans="1:9" s="71" customFormat="1" ht="30" outlineLevel="2">
      <c r="A392" s="227" t="s">
        <v>2279</v>
      </c>
      <c r="B392" s="227" t="s">
        <v>1797</v>
      </c>
      <c r="C392" s="245" t="s">
        <v>1798</v>
      </c>
      <c r="D392" s="227" t="s">
        <v>57</v>
      </c>
      <c r="E392" s="570">
        <f>'ARQ - QUADRA e VESTIÁRIOS'!F62</f>
        <v>6</v>
      </c>
      <c r="F392" s="222">
        <v>145.43</v>
      </c>
      <c r="G392" s="219">
        <f t="shared" si="124"/>
        <v>184.3</v>
      </c>
      <c r="H392" s="219">
        <f t="shared" si="126"/>
        <v>1105.8</v>
      </c>
      <c r="I392" s="281"/>
    </row>
    <row r="393" spans="1:9" s="71" customFormat="1" ht="30" outlineLevel="2">
      <c r="A393" s="227" t="s">
        <v>2280</v>
      </c>
      <c r="B393" s="227" t="s">
        <v>2457</v>
      </c>
      <c r="C393" s="245" t="s">
        <v>2458</v>
      </c>
      <c r="D393" s="227" t="s">
        <v>57</v>
      </c>
      <c r="E393" s="570">
        <f>'ARQ - QUADRA e VESTIÁRIOS'!F63</f>
        <v>2</v>
      </c>
      <c r="F393" s="222">
        <v>804.48</v>
      </c>
      <c r="G393" s="219">
        <f t="shared" si="124"/>
        <v>1019.51</v>
      </c>
      <c r="H393" s="219">
        <f t="shared" si="126"/>
        <v>2039.02</v>
      </c>
      <c r="I393" s="281"/>
    </row>
    <row r="394" spans="1:9" s="71" customFormat="1" ht="45" outlineLevel="2">
      <c r="A394" s="227" t="s">
        <v>2281</v>
      </c>
      <c r="B394" s="168" t="s">
        <v>1815</v>
      </c>
      <c r="C394" s="169" t="s">
        <v>2683</v>
      </c>
      <c r="D394" s="227" t="s">
        <v>57</v>
      </c>
      <c r="E394" s="570">
        <f>'ARQ - QUADRA e VESTIÁRIOS'!F64</f>
        <v>2</v>
      </c>
      <c r="F394" s="222">
        <v>2250</v>
      </c>
      <c r="G394" s="219">
        <f t="shared" si="124"/>
        <v>2851.42</v>
      </c>
      <c r="H394" s="219">
        <f t="shared" si="126"/>
        <v>5702.84</v>
      </c>
      <c r="I394" s="281"/>
    </row>
    <row r="395" spans="1:9" s="71" customFormat="1" ht="60" outlineLevel="2">
      <c r="A395" s="227" t="s">
        <v>2282</v>
      </c>
      <c r="B395" s="168" t="s">
        <v>964</v>
      </c>
      <c r="C395" s="169" t="s">
        <v>2684</v>
      </c>
      <c r="D395" s="227" t="s">
        <v>57</v>
      </c>
      <c r="E395" s="570">
        <v>50</v>
      </c>
      <c r="F395" s="222">
        <v>290</v>
      </c>
      <c r="G395" s="219">
        <f t="shared" si="124"/>
        <v>367.51</v>
      </c>
      <c r="H395" s="219">
        <f t="shared" si="126"/>
        <v>18375.5</v>
      </c>
      <c r="I395" s="281"/>
    </row>
    <row r="396" spans="1:9" ht="75" outlineLevel="2">
      <c r="A396" s="227" t="s">
        <v>2283</v>
      </c>
      <c r="B396" s="227" t="s">
        <v>849</v>
      </c>
      <c r="C396" s="245" t="s">
        <v>850</v>
      </c>
      <c r="D396" s="227" t="s">
        <v>283</v>
      </c>
      <c r="E396" s="570">
        <f>'ARQ - QUADRA e VESTIÁRIOS'!F70</f>
        <v>1</v>
      </c>
      <c r="F396" s="222">
        <v>2617.77</v>
      </c>
      <c r="G396" s="219">
        <f t="shared" si="124"/>
        <v>3317.49</v>
      </c>
      <c r="H396" s="219">
        <f t="shared" si="126"/>
        <v>3317.49</v>
      </c>
    </row>
    <row r="397" spans="1:9" ht="75" outlineLevel="2">
      <c r="A397" s="227" t="s">
        <v>2284</v>
      </c>
      <c r="B397" s="227" t="s">
        <v>851</v>
      </c>
      <c r="C397" s="245" t="s">
        <v>852</v>
      </c>
      <c r="D397" s="227" t="s">
        <v>283</v>
      </c>
      <c r="E397" s="570">
        <f>'ARQ - QUADRA e VESTIÁRIOS'!F71</f>
        <v>1</v>
      </c>
      <c r="F397" s="222">
        <v>1589.21</v>
      </c>
      <c r="G397" s="219">
        <f t="shared" si="124"/>
        <v>2014</v>
      </c>
      <c r="H397" s="219">
        <f t="shared" si="126"/>
        <v>2014</v>
      </c>
    </row>
    <row r="398" spans="1:9" ht="45" outlineLevel="2">
      <c r="A398" s="227" t="s">
        <v>2285</v>
      </c>
      <c r="B398" s="227" t="s">
        <v>853</v>
      </c>
      <c r="C398" s="245" t="s">
        <v>854</v>
      </c>
      <c r="D398" s="227" t="s">
        <v>57</v>
      </c>
      <c r="E398" s="570">
        <f>'ARQ - QUADRA e VESTIÁRIOS'!F69*2</f>
        <v>2</v>
      </c>
      <c r="F398" s="222">
        <v>2356.86</v>
      </c>
      <c r="G398" s="219">
        <f t="shared" si="124"/>
        <v>2986.84</v>
      </c>
      <c r="H398" s="219">
        <f t="shared" si="126"/>
        <v>5973.68</v>
      </c>
    </row>
    <row r="399" spans="1:9" ht="45" outlineLevel="2">
      <c r="A399" s="227" t="s">
        <v>2286</v>
      </c>
      <c r="B399" s="227" t="s">
        <v>855</v>
      </c>
      <c r="C399" s="245" t="s">
        <v>856</v>
      </c>
      <c r="D399" s="227" t="s">
        <v>283</v>
      </c>
      <c r="E399" s="570">
        <f>'ARQ - QUADRA e VESTIÁRIOS'!F69</f>
        <v>1</v>
      </c>
      <c r="F399" s="222">
        <v>993.63</v>
      </c>
      <c r="G399" s="219">
        <f t="shared" si="124"/>
        <v>1259.22</v>
      </c>
      <c r="H399" s="219">
        <f t="shared" si="126"/>
        <v>1259.22</v>
      </c>
    </row>
    <row r="400" spans="1:9" ht="15.75" outlineLevel="1">
      <c r="A400" s="588"/>
      <c r="B400" s="588"/>
      <c r="C400" s="589" t="s">
        <v>14</v>
      </c>
      <c r="D400" s="588"/>
      <c r="E400" s="590"/>
      <c r="F400" s="591"/>
      <c r="G400" s="592"/>
      <c r="H400" s="592">
        <f>SUM(H389:H399)</f>
        <v>46543</v>
      </c>
    </row>
    <row r="401" spans="1:9" ht="15.75" outlineLevel="1">
      <c r="A401" s="421" t="s">
        <v>398</v>
      </c>
      <c r="B401" s="421"/>
      <c r="C401" s="593" t="s">
        <v>13</v>
      </c>
      <c r="D401" s="421"/>
      <c r="E401" s="599"/>
      <c r="F401" s="596"/>
      <c r="G401" s="598"/>
      <c r="H401" s="596"/>
    </row>
    <row r="402" spans="1:9" outlineLevel="2">
      <c r="A402" s="227" t="s">
        <v>399</v>
      </c>
      <c r="B402" s="227">
        <v>9537</v>
      </c>
      <c r="C402" s="245" t="s">
        <v>799</v>
      </c>
      <c r="D402" s="227" t="s">
        <v>161</v>
      </c>
      <c r="E402" s="570">
        <f>'ARQ - QUADRA e VESTIÁRIOS'!F77</f>
        <v>1566.94</v>
      </c>
      <c r="F402" s="222">
        <v>2.09</v>
      </c>
      <c r="G402" s="219">
        <f t="shared" ref="G402" si="127">TRUNC(F402*(1+$E$2),2)</f>
        <v>2.64</v>
      </c>
      <c r="H402" s="219">
        <f t="shared" ref="H402" si="128">TRUNC((G402*E402),2)</f>
        <v>4136.72</v>
      </c>
    </row>
    <row r="403" spans="1:9" ht="15.75" outlineLevel="1">
      <c r="A403" s="122"/>
      <c r="B403" s="79"/>
      <c r="C403" s="80" t="s">
        <v>14</v>
      </c>
      <c r="D403" s="79"/>
      <c r="E403" s="81"/>
      <c r="F403" s="207"/>
      <c r="G403" s="220"/>
      <c r="H403" s="220">
        <f>SUM(H402)</f>
        <v>4136.72</v>
      </c>
    </row>
    <row r="404" spans="1:9" ht="15.75">
      <c r="A404" s="66"/>
      <c r="B404" s="66"/>
      <c r="C404" s="67" t="s">
        <v>650</v>
      </c>
      <c r="D404" s="66"/>
      <c r="E404" s="279"/>
      <c r="F404" s="208"/>
      <c r="G404" s="206"/>
      <c r="H404" s="208">
        <f>H275+H296+H306+H318+H326+H335+H340+H349+H356+H361+H369+H383+H387+H400+H403</f>
        <v>1873623.2500000002</v>
      </c>
    </row>
    <row r="405" spans="1:9" ht="15.75">
      <c r="A405" s="779" t="s">
        <v>648</v>
      </c>
      <c r="B405" s="779"/>
      <c r="C405" s="779"/>
      <c r="D405" s="779"/>
      <c r="E405" s="779"/>
      <c r="F405" s="779"/>
      <c r="G405" s="779"/>
      <c r="H405" s="779"/>
    </row>
    <row r="406" spans="1:9" ht="15.75" outlineLevel="1">
      <c r="A406" s="421" t="s">
        <v>400</v>
      </c>
      <c r="B406" s="421"/>
      <c r="C406" s="593" t="s">
        <v>56</v>
      </c>
      <c r="D406" s="421"/>
      <c r="E406" s="599"/>
      <c r="F406" s="596"/>
      <c r="G406" s="222"/>
      <c r="H406" s="596"/>
    </row>
    <row r="407" spans="1:9" outlineLevel="2">
      <c r="A407" s="227" t="s">
        <v>401</v>
      </c>
      <c r="B407" s="227" t="s">
        <v>2697</v>
      </c>
      <c r="C407" s="245" t="s">
        <v>848</v>
      </c>
      <c r="D407" s="227" t="s">
        <v>108</v>
      </c>
      <c r="E407" s="570">
        <f>'ARQ - BLOCO DE SALAS'!F104</f>
        <v>2300.36</v>
      </c>
      <c r="F407" s="222">
        <v>11.13</v>
      </c>
      <c r="G407" s="219">
        <f t="shared" ref="G407:G410" si="129">TRUNC(F407*(1+$E$2),2)</f>
        <v>14.1</v>
      </c>
      <c r="H407" s="219">
        <f t="shared" ref="H407" si="130">TRUNC((G407*E407),2)</f>
        <v>32435.07</v>
      </c>
    </row>
    <row r="408" spans="1:9" outlineLevel="2">
      <c r="A408" s="227" t="s">
        <v>2287</v>
      </c>
      <c r="B408" s="227" t="s">
        <v>2572</v>
      </c>
      <c r="C408" s="245" t="s">
        <v>2698</v>
      </c>
      <c r="D408" s="227" t="s">
        <v>57</v>
      </c>
      <c r="E408" s="570">
        <v>4821</v>
      </c>
      <c r="F408" s="222">
        <v>3.44</v>
      </c>
      <c r="G408" s="219">
        <f t="shared" si="129"/>
        <v>4.3499999999999996</v>
      </c>
      <c r="H408" s="219">
        <f t="shared" ref="H408:H410" si="131">TRUNC((G408*E408),2)</f>
        <v>20971.349999999999</v>
      </c>
    </row>
    <row r="409" spans="1:9" s="71" customFormat="1" ht="30" outlineLevel="2">
      <c r="A409" s="227" t="s">
        <v>2288</v>
      </c>
      <c r="B409" s="227" t="s">
        <v>893</v>
      </c>
      <c r="C409" s="245" t="s">
        <v>2699</v>
      </c>
      <c r="D409" s="227" t="s">
        <v>57</v>
      </c>
      <c r="E409" s="570">
        <f>'Quant Bloco Salas 18_03_2017'!E99+'Quant Bloco Salas 18_03_2017'!E101</f>
        <v>24</v>
      </c>
      <c r="F409" s="222">
        <v>179.55</v>
      </c>
      <c r="G409" s="219">
        <f t="shared" si="129"/>
        <v>227.54</v>
      </c>
      <c r="H409" s="219">
        <f t="shared" si="131"/>
        <v>5460.96</v>
      </c>
      <c r="I409" s="281"/>
    </row>
    <row r="410" spans="1:9" s="71" customFormat="1" ht="30" outlineLevel="2">
      <c r="A410" s="227" t="s">
        <v>2289</v>
      </c>
      <c r="B410" s="227" t="s">
        <v>894</v>
      </c>
      <c r="C410" s="245" t="s">
        <v>2700</v>
      </c>
      <c r="D410" s="227" t="s">
        <v>57</v>
      </c>
      <c r="E410" s="570">
        <f>'Quant Bloco Salas 18_03_2017'!E101</f>
        <v>7</v>
      </c>
      <c r="F410" s="222">
        <v>112.31</v>
      </c>
      <c r="G410" s="219">
        <f t="shared" si="129"/>
        <v>142.33000000000001</v>
      </c>
      <c r="H410" s="219">
        <f t="shared" si="131"/>
        <v>996.31</v>
      </c>
      <c r="I410" s="281"/>
    </row>
    <row r="411" spans="1:9" ht="15.75" outlineLevel="1">
      <c r="A411" s="600"/>
      <c r="B411" s="588"/>
      <c r="C411" s="589" t="s">
        <v>14</v>
      </c>
      <c r="D411" s="588"/>
      <c r="E411" s="590"/>
      <c r="F411" s="591"/>
      <c r="G411" s="592"/>
      <c r="H411" s="592">
        <f>SUM(H407:H410)</f>
        <v>59863.689999999995</v>
      </c>
    </row>
    <row r="412" spans="1:9" ht="15.75" outlineLevel="1">
      <c r="A412" s="421" t="s">
        <v>402</v>
      </c>
      <c r="B412" s="421"/>
      <c r="C412" s="593" t="s">
        <v>655</v>
      </c>
      <c r="D412" s="421"/>
      <c r="E412" s="599"/>
      <c r="F412" s="596"/>
      <c r="G412" s="222"/>
      <c r="H412" s="596"/>
    </row>
    <row r="413" spans="1:9" ht="45" outlineLevel="2">
      <c r="A413" s="227" t="s">
        <v>403</v>
      </c>
      <c r="B413" s="227" t="s">
        <v>2631</v>
      </c>
      <c r="C413" s="245" t="s">
        <v>523</v>
      </c>
      <c r="D413" s="227" t="s">
        <v>284</v>
      </c>
      <c r="E413" s="570">
        <f>'PERGOLADO METÁLICO'!I6</f>
        <v>43.654300000000006</v>
      </c>
      <c r="F413" s="222">
        <v>10.44</v>
      </c>
      <c r="G413" s="219">
        <f t="shared" ref="G413:G430" si="132">TRUNC(F413*(1+$E$2),2)</f>
        <v>13.23</v>
      </c>
      <c r="H413" s="219">
        <f t="shared" ref="H413" si="133">TRUNC((G413*E413),2)</f>
        <v>577.54</v>
      </c>
    </row>
    <row r="414" spans="1:9" ht="45" outlineLevel="2">
      <c r="A414" s="227" t="s">
        <v>2145</v>
      </c>
      <c r="B414" s="227" t="s">
        <v>2633</v>
      </c>
      <c r="C414" s="245" t="s">
        <v>525</v>
      </c>
      <c r="D414" s="227" t="s">
        <v>108</v>
      </c>
      <c r="E414" s="570">
        <f>'PERGOLADO METÁLICO'!I10</f>
        <v>51.358000000000004</v>
      </c>
      <c r="F414" s="222">
        <v>4.18</v>
      </c>
      <c r="G414" s="219">
        <f t="shared" si="132"/>
        <v>5.29</v>
      </c>
      <c r="H414" s="219">
        <f t="shared" ref="H414:H430" si="134">TRUNC((G414*E414),2)</f>
        <v>271.68</v>
      </c>
    </row>
    <row r="415" spans="1:9" ht="45" outlineLevel="2">
      <c r="A415" s="227" t="s">
        <v>2146</v>
      </c>
      <c r="B415" s="227" t="s">
        <v>2634</v>
      </c>
      <c r="C415" s="245" t="s">
        <v>526</v>
      </c>
      <c r="D415" s="227" t="s">
        <v>108</v>
      </c>
      <c r="E415" s="570">
        <f>'PERGOLADO METÁLICO'!I12</f>
        <v>51.358000000000004</v>
      </c>
      <c r="F415" s="222">
        <v>19.12</v>
      </c>
      <c r="G415" s="219">
        <f t="shared" si="132"/>
        <v>24.23</v>
      </c>
      <c r="H415" s="219">
        <f t="shared" si="134"/>
        <v>1244.4000000000001</v>
      </c>
    </row>
    <row r="416" spans="1:9" ht="30" outlineLevel="2">
      <c r="A416" s="227" t="s">
        <v>2147</v>
      </c>
      <c r="B416" s="227" t="s">
        <v>2635</v>
      </c>
      <c r="C416" s="245" t="s">
        <v>534</v>
      </c>
      <c r="D416" s="227" t="s">
        <v>108</v>
      </c>
      <c r="E416" s="570">
        <f>+'PERGOLADO METÁLICO'!I34+'PERGOLADO METÁLICO'!I19+'PERGOLADO METÁLICO'!I27</f>
        <v>48.43</v>
      </c>
      <c r="F416" s="222">
        <v>45.06</v>
      </c>
      <c r="G416" s="219">
        <f t="shared" si="132"/>
        <v>57.1</v>
      </c>
      <c r="H416" s="219">
        <f t="shared" si="134"/>
        <v>2765.35</v>
      </c>
    </row>
    <row r="417" spans="1:8" ht="60" outlineLevel="2">
      <c r="A417" s="227" t="s">
        <v>2148</v>
      </c>
      <c r="B417" s="227" t="s">
        <v>80</v>
      </c>
      <c r="C417" s="245" t="s">
        <v>536</v>
      </c>
      <c r="D417" s="227" t="s">
        <v>284</v>
      </c>
      <c r="E417" s="570">
        <f>'PERGOLADO METÁLICO'!I20+'PERGOLADO METÁLICO'!I28+'PERGOLADO METÁLICO'!I35</f>
        <v>10.19</v>
      </c>
      <c r="F417" s="222">
        <v>294.68</v>
      </c>
      <c r="G417" s="219">
        <f t="shared" si="132"/>
        <v>373.44</v>
      </c>
      <c r="H417" s="219">
        <f t="shared" si="134"/>
        <v>3805.35</v>
      </c>
    </row>
    <row r="418" spans="1:8" ht="45" outlineLevel="2">
      <c r="A418" s="227" t="s">
        <v>2149</v>
      </c>
      <c r="B418" s="227" t="s">
        <v>2636</v>
      </c>
      <c r="C418" s="245" t="s">
        <v>535</v>
      </c>
      <c r="D418" s="227" t="s">
        <v>284</v>
      </c>
      <c r="E418" s="570">
        <f>E417</f>
        <v>10.19</v>
      </c>
      <c r="F418" s="222">
        <v>23.69</v>
      </c>
      <c r="G418" s="219">
        <f t="shared" si="132"/>
        <v>30.02</v>
      </c>
      <c r="H418" s="219">
        <f t="shared" si="134"/>
        <v>305.89999999999998</v>
      </c>
    </row>
    <row r="419" spans="1:8" ht="75" outlineLevel="2">
      <c r="A419" s="227" t="s">
        <v>2150</v>
      </c>
      <c r="B419" s="227" t="s">
        <v>542</v>
      </c>
      <c r="C419" s="245" t="s">
        <v>541</v>
      </c>
      <c r="D419" s="227" t="s">
        <v>94</v>
      </c>
      <c r="E419" s="570">
        <f>'PERGOLADO METÁLICO'!I22+'PERGOLADO METÁLICO'!I37</f>
        <v>109.38999999999999</v>
      </c>
      <c r="F419" s="222">
        <v>10.97</v>
      </c>
      <c r="G419" s="219">
        <f t="shared" si="132"/>
        <v>13.9</v>
      </c>
      <c r="H419" s="219">
        <f t="shared" si="134"/>
        <v>1520.52</v>
      </c>
    </row>
    <row r="420" spans="1:8" ht="71.25" customHeight="1" outlineLevel="2">
      <c r="A420" s="227" t="s">
        <v>2290</v>
      </c>
      <c r="B420" s="227" t="s">
        <v>538</v>
      </c>
      <c r="C420" s="245" t="s">
        <v>537</v>
      </c>
      <c r="D420" s="227" t="s">
        <v>94</v>
      </c>
      <c r="E420" s="570">
        <f>'PERGOLADO METÁLICO'!I24+'PERGOLADO METÁLICO'!I38</f>
        <v>245.85000000000002</v>
      </c>
      <c r="F420" s="222">
        <v>7.55</v>
      </c>
      <c r="G420" s="219">
        <f t="shared" si="132"/>
        <v>9.56</v>
      </c>
      <c r="H420" s="219">
        <f t="shared" si="134"/>
        <v>2350.3200000000002</v>
      </c>
    </row>
    <row r="421" spans="1:8" ht="71.25" customHeight="1" outlineLevel="2">
      <c r="A421" s="227" t="s">
        <v>2291</v>
      </c>
      <c r="B421" s="227" t="s">
        <v>2686</v>
      </c>
      <c r="C421" s="245" t="s">
        <v>647</v>
      </c>
      <c r="D421" s="227" t="s">
        <v>101</v>
      </c>
      <c r="E421" s="570">
        <f>'PERGOLADO METÁLICO'!I25</f>
        <v>132</v>
      </c>
      <c r="F421" s="222">
        <v>67.569999999999993</v>
      </c>
      <c r="G421" s="219">
        <f t="shared" si="132"/>
        <v>85.63</v>
      </c>
      <c r="H421" s="219">
        <f t="shared" si="134"/>
        <v>11303.16</v>
      </c>
    </row>
    <row r="422" spans="1:8" ht="71.25" customHeight="1" outlineLevel="2">
      <c r="A422" s="227" t="s">
        <v>2292</v>
      </c>
      <c r="B422" s="227" t="s">
        <v>546</v>
      </c>
      <c r="C422" s="245" t="s">
        <v>545</v>
      </c>
      <c r="D422" s="227" t="s">
        <v>94</v>
      </c>
      <c r="E422" s="609">
        <f>'PERGOLADO METÁLICO'!I30+'PERGOLADO METÁLICO'!I23</f>
        <v>333.15999999999997</v>
      </c>
      <c r="F422" s="222">
        <v>9.41</v>
      </c>
      <c r="G422" s="219">
        <f t="shared" si="132"/>
        <v>11.92</v>
      </c>
      <c r="H422" s="219">
        <f t="shared" si="134"/>
        <v>3971.26</v>
      </c>
    </row>
    <row r="423" spans="1:8" ht="75" outlineLevel="2">
      <c r="A423" s="227" t="s">
        <v>2293</v>
      </c>
      <c r="B423" s="227" t="s">
        <v>540</v>
      </c>
      <c r="C423" s="245" t="s">
        <v>539</v>
      </c>
      <c r="D423" s="227" t="s">
        <v>94</v>
      </c>
      <c r="E423" s="570">
        <f>'PERGOLADO METÁLICO'!I31</f>
        <v>255.23</v>
      </c>
      <c r="F423" s="222">
        <v>6.28</v>
      </c>
      <c r="G423" s="219">
        <f t="shared" si="132"/>
        <v>7.95</v>
      </c>
      <c r="H423" s="219">
        <f t="shared" si="134"/>
        <v>2029.07</v>
      </c>
    </row>
    <row r="424" spans="1:8" outlineLevel="2">
      <c r="A424" s="227" t="s">
        <v>2294</v>
      </c>
      <c r="B424" s="227" t="s">
        <v>268</v>
      </c>
      <c r="C424" s="245" t="s">
        <v>527</v>
      </c>
      <c r="D424" s="227" t="s">
        <v>284</v>
      </c>
      <c r="E424" s="570">
        <f>'PERGOLADO METÁLICO'!I8</f>
        <v>33.794300000000007</v>
      </c>
      <c r="F424" s="222">
        <v>41.64</v>
      </c>
      <c r="G424" s="219">
        <f t="shared" si="132"/>
        <v>52.77</v>
      </c>
      <c r="H424" s="219">
        <f t="shared" si="134"/>
        <v>1783.32</v>
      </c>
    </row>
    <row r="425" spans="1:8" ht="71.25" customHeight="1" outlineLevel="2">
      <c r="A425" s="227" t="s">
        <v>2295</v>
      </c>
      <c r="B425" s="227" t="s">
        <v>529</v>
      </c>
      <c r="C425" s="245" t="s">
        <v>528</v>
      </c>
      <c r="D425" s="227" t="s">
        <v>284</v>
      </c>
      <c r="E425" s="570">
        <f>'PERGOLADO METÁLICO'!I9</f>
        <v>13.803999999999998</v>
      </c>
      <c r="F425" s="222">
        <v>1.44</v>
      </c>
      <c r="G425" s="219">
        <f t="shared" si="132"/>
        <v>1.82</v>
      </c>
      <c r="H425" s="219">
        <f t="shared" si="134"/>
        <v>25.12</v>
      </c>
    </row>
    <row r="426" spans="1:8" ht="45" outlineLevel="2">
      <c r="A426" s="227" t="s">
        <v>2296</v>
      </c>
      <c r="B426" s="227" t="s">
        <v>2628</v>
      </c>
      <c r="C426" s="245" t="s">
        <v>530</v>
      </c>
      <c r="D426" s="227" t="s">
        <v>2621</v>
      </c>
      <c r="E426" s="570">
        <f>E425*10</f>
        <v>138.04</v>
      </c>
      <c r="F426" s="222">
        <v>1.2</v>
      </c>
      <c r="G426" s="219">
        <f t="shared" si="132"/>
        <v>1.52</v>
      </c>
      <c r="H426" s="219">
        <f t="shared" si="134"/>
        <v>209.82</v>
      </c>
    </row>
    <row r="427" spans="1:8" ht="45" outlineLevel="2">
      <c r="A427" s="227" t="s">
        <v>2297</v>
      </c>
      <c r="B427" s="227" t="s">
        <v>607</v>
      </c>
      <c r="C427" s="245" t="s">
        <v>606</v>
      </c>
      <c r="D427" s="227" t="s">
        <v>94</v>
      </c>
      <c r="E427" s="570">
        <f>'PERGOLADO METÁLICO'!I42</f>
        <v>1273.76</v>
      </c>
      <c r="F427" s="222">
        <v>6.89</v>
      </c>
      <c r="G427" s="219">
        <f t="shared" si="132"/>
        <v>8.73</v>
      </c>
      <c r="H427" s="219">
        <f t="shared" si="134"/>
        <v>11119.92</v>
      </c>
    </row>
    <row r="428" spans="1:8" ht="30" outlineLevel="2">
      <c r="A428" s="227" t="s">
        <v>3034</v>
      </c>
      <c r="B428" s="227" t="s">
        <v>1449</v>
      </c>
      <c r="C428" s="245" t="s">
        <v>1448</v>
      </c>
      <c r="D428" s="227" t="s">
        <v>108</v>
      </c>
      <c r="E428" s="570">
        <f>'PERGOLADO METÁLICO'!I43</f>
        <v>68.14</v>
      </c>
      <c r="F428" s="222">
        <v>21.24</v>
      </c>
      <c r="G428" s="219">
        <f t="shared" si="132"/>
        <v>26.91</v>
      </c>
      <c r="H428" s="219">
        <f t="shared" si="134"/>
        <v>1833.64</v>
      </c>
    </row>
    <row r="429" spans="1:8" ht="75" outlineLevel="2">
      <c r="A429" s="227" t="s">
        <v>3035</v>
      </c>
      <c r="B429" s="227" t="s">
        <v>2687</v>
      </c>
      <c r="C429" s="245" t="s">
        <v>2688</v>
      </c>
      <c r="D429" s="227" t="s">
        <v>94</v>
      </c>
      <c r="E429" s="570">
        <f>'PERGOLADO METÁLICO'!I44</f>
        <v>24.72</v>
      </c>
      <c r="F429" s="222">
        <v>4.84</v>
      </c>
      <c r="G429" s="219">
        <f t="shared" si="132"/>
        <v>6.13</v>
      </c>
      <c r="H429" s="219">
        <f t="shared" si="134"/>
        <v>151.53</v>
      </c>
    </row>
    <row r="430" spans="1:8" ht="45" outlineLevel="2">
      <c r="A430" s="227" t="s">
        <v>3036</v>
      </c>
      <c r="B430" s="227" t="s">
        <v>2650</v>
      </c>
      <c r="C430" s="245" t="s">
        <v>1790</v>
      </c>
      <c r="D430" s="227" t="s">
        <v>101</v>
      </c>
      <c r="E430" s="570">
        <v>10</v>
      </c>
      <c r="F430" s="222">
        <v>54.91</v>
      </c>
      <c r="G430" s="219">
        <f t="shared" si="132"/>
        <v>69.58</v>
      </c>
      <c r="H430" s="219">
        <f t="shared" si="134"/>
        <v>695.8</v>
      </c>
    </row>
    <row r="431" spans="1:8" ht="15.75" outlineLevel="1">
      <c r="A431" s="600"/>
      <c r="B431" s="588"/>
      <c r="C431" s="589" t="s">
        <v>14</v>
      </c>
      <c r="D431" s="588"/>
      <c r="E431" s="590"/>
      <c r="F431" s="591"/>
      <c r="G431" s="592"/>
      <c r="H431" s="592">
        <f>SUM(H413:H430)</f>
        <v>45963.700000000004</v>
      </c>
    </row>
    <row r="432" spans="1:8" ht="31.5" outlineLevel="1">
      <c r="A432" s="421" t="s">
        <v>404</v>
      </c>
      <c r="B432" s="421"/>
      <c r="C432" s="593" t="s">
        <v>790</v>
      </c>
      <c r="D432" s="421"/>
      <c r="E432" s="599"/>
      <c r="F432" s="596"/>
      <c r="G432" s="611"/>
      <c r="H432" s="596"/>
    </row>
    <row r="433" spans="1:9" ht="30" outlineLevel="2">
      <c r="A433" s="227" t="s">
        <v>405</v>
      </c>
      <c r="B433" s="227" t="s">
        <v>857</v>
      </c>
      <c r="C433" s="245" t="s">
        <v>858</v>
      </c>
      <c r="D433" s="227" t="s">
        <v>101</v>
      </c>
      <c r="E433" s="570">
        <v>300</v>
      </c>
      <c r="F433" s="222">
        <v>361.93</v>
      </c>
      <c r="G433" s="219">
        <f t="shared" ref="G433:G440" si="135">TRUNC(F433*(1+$E$2),2)</f>
        <v>458.67</v>
      </c>
      <c r="H433" s="219">
        <f t="shared" ref="H433" si="136">TRUNC((G433*E433),2)</f>
        <v>137601</v>
      </c>
    </row>
    <row r="434" spans="1:9" ht="60" outlineLevel="2">
      <c r="A434" s="227" t="s">
        <v>406</v>
      </c>
      <c r="B434" s="227" t="s">
        <v>2510</v>
      </c>
      <c r="C434" s="245" t="s">
        <v>2701</v>
      </c>
      <c r="D434" s="227" t="s">
        <v>101</v>
      </c>
      <c r="E434" s="570">
        <f>'Quant Bloco Salas 18_03_2017'!E116+'Quant Bloco Salas 18_03_2017'!E117</f>
        <v>111.25</v>
      </c>
      <c r="F434" s="222">
        <v>588.74</v>
      </c>
      <c r="G434" s="219">
        <f t="shared" si="135"/>
        <v>746.11</v>
      </c>
      <c r="H434" s="219">
        <f t="shared" ref="H434:H440" si="137">TRUNC((G434*E434),2)</f>
        <v>83004.73</v>
      </c>
    </row>
    <row r="435" spans="1:9" ht="60" outlineLevel="2">
      <c r="A435" s="227" t="s">
        <v>407</v>
      </c>
      <c r="B435" s="227" t="s">
        <v>2702</v>
      </c>
      <c r="C435" s="245" t="s">
        <v>845</v>
      </c>
      <c r="D435" s="227" t="s">
        <v>108</v>
      </c>
      <c r="E435" s="570">
        <f>'Quant Bloco Salas 18_03_2017'!E71</f>
        <v>2546.48</v>
      </c>
      <c r="F435" s="222">
        <v>50.14</v>
      </c>
      <c r="G435" s="219">
        <f t="shared" si="135"/>
        <v>63.54</v>
      </c>
      <c r="H435" s="219">
        <f t="shared" si="137"/>
        <v>161803.32999999999</v>
      </c>
    </row>
    <row r="436" spans="1:9" ht="90" outlineLevel="2">
      <c r="A436" s="227" t="s">
        <v>408</v>
      </c>
      <c r="B436" s="168" t="s">
        <v>2703</v>
      </c>
      <c r="C436" s="169" t="s">
        <v>2118</v>
      </c>
      <c r="D436" s="227" t="s">
        <v>101</v>
      </c>
      <c r="E436" s="570">
        <f>'Quant Bloco Salas 18_03_2017'!E72</f>
        <v>434.77000000000004</v>
      </c>
      <c r="F436" s="222">
        <v>32.97</v>
      </c>
      <c r="G436" s="219">
        <f t="shared" si="135"/>
        <v>41.78</v>
      </c>
      <c r="H436" s="219">
        <f t="shared" si="137"/>
        <v>18164.689999999999</v>
      </c>
    </row>
    <row r="437" spans="1:9" ht="30" outlineLevel="2">
      <c r="A437" s="227" t="s">
        <v>3167</v>
      </c>
      <c r="B437" s="168" t="s">
        <v>260</v>
      </c>
      <c r="C437" s="169" t="s">
        <v>846</v>
      </c>
      <c r="D437" s="227" t="s">
        <v>108</v>
      </c>
      <c r="E437" s="570">
        <f>'Quant Bloco Salas 18_03_2017'!E73</f>
        <v>351.15</v>
      </c>
      <c r="F437" s="222">
        <v>16.22</v>
      </c>
      <c r="G437" s="219">
        <f t="shared" si="135"/>
        <v>20.55</v>
      </c>
      <c r="H437" s="219">
        <f t="shared" si="137"/>
        <v>7216.13</v>
      </c>
    </row>
    <row r="438" spans="1:9" ht="30" outlineLevel="2">
      <c r="A438" s="227" t="s">
        <v>409</v>
      </c>
      <c r="B438" s="168" t="s">
        <v>2704</v>
      </c>
      <c r="C438" s="169" t="s">
        <v>755</v>
      </c>
      <c r="D438" s="227" t="s">
        <v>108</v>
      </c>
      <c r="E438" s="570">
        <f>'Quant Bloco Salas 18_03_2017'!E74+'Quant Bloco Salas 18_03_2017'!E129+'Quant Bloco Salas 18_03_2017'!E130</f>
        <v>19.579999999999998</v>
      </c>
      <c r="F438" s="222">
        <v>15.93</v>
      </c>
      <c r="G438" s="219">
        <f t="shared" si="135"/>
        <v>20.18</v>
      </c>
      <c r="H438" s="219">
        <f t="shared" si="137"/>
        <v>395.12</v>
      </c>
    </row>
    <row r="439" spans="1:9" ht="60" outlineLevel="2">
      <c r="A439" s="227" t="s">
        <v>2002</v>
      </c>
      <c r="B439" s="168" t="s">
        <v>2705</v>
      </c>
      <c r="C439" s="169" t="s">
        <v>847</v>
      </c>
      <c r="D439" s="227" t="s">
        <v>108</v>
      </c>
      <c r="E439" s="570">
        <f>'Quant Bloco Salas 18_03_2017'!E75</f>
        <v>497.43</v>
      </c>
      <c r="F439" s="222">
        <v>46.54</v>
      </c>
      <c r="G439" s="219">
        <f t="shared" si="135"/>
        <v>58.98</v>
      </c>
      <c r="H439" s="219">
        <f t="shared" si="137"/>
        <v>29338.42</v>
      </c>
    </row>
    <row r="440" spans="1:9" s="71" customFormat="1" ht="60" outlineLevel="2">
      <c r="A440" s="227" t="s">
        <v>2003</v>
      </c>
      <c r="B440" s="227" t="s">
        <v>891</v>
      </c>
      <c r="C440" s="245" t="s">
        <v>892</v>
      </c>
      <c r="D440" s="227" t="s">
        <v>57</v>
      </c>
      <c r="E440" s="570">
        <f>'ARQ - BLOCO DE SALAS'!F123</f>
        <v>1</v>
      </c>
      <c r="F440" s="222">
        <v>7400</v>
      </c>
      <c r="G440" s="219">
        <f t="shared" si="135"/>
        <v>9378.02</v>
      </c>
      <c r="H440" s="219">
        <f t="shared" si="137"/>
        <v>9378.02</v>
      </c>
      <c r="I440" s="281"/>
    </row>
    <row r="441" spans="1:9" ht="15.75" outlineLevel="1">
      <c r="A441" s="600"/>
      <c r="B441" s="588"/>
      <c r="C441" s="589" t="s">
        <v>14</v>
      </c>
      <c r="D441" s="588"/>
      <c r="E441" s="590"/>
      <c r="F441" s="591"/>
      <c r="G441" s="592"/>
      <c r="H441" s="592">
        <f>SUM(H433:H440)</f>
        <v>446901.43999999994</v>
      </c>
    </row>
    <row r="442" spans="1:9" ht="15.75" outlineLevel="1">
      <c r="A442" s="421" t="s">
        <v>410</v>
      </c>
      <c r="B442" s="421"/>
      <c r="C442" s="593" t="s">
        <v>896</v>
      </c>
      <c r="D442" s="421"/>
      <c r="E442" s="599"/>
      <c r="F442" s="596"/>
      <c r="G442" s="611"/>
      <c r="H442" s="596"/>
    </row>
    <row r="443" spans="1:9" ht="60" outlineLevel="2">
      <c r="A443" s="227" t="s">
        <v>2151</v>
      </c>
      <c r="B443" s="227" t="s">
        <v>811</v>
      </c>
      <c r="C443" s="245" t="s">
        <v>812</v>
      </c>
      <c r="D443" s="227" t="s">
        <v>57</v>
      </c>
      <c r="E443" s="570">
        <f>'ARQ - REFEITÓRIO'!F55</f>
        <v>1</v>
      </c>
      <c r="F443" s="222">
        <v>3299.25</v>
      </c>
      <c r="G443" s="219">
        <f t="shared" ref="G443" si="138">TRUNC(F443*(1+$E$2),2)</f>
        <v>4181.13</v>
      </c>
      <c r="H443" s="219">
        <f t="shared" ref="H443" si="139">TRUNC((G443*E443),2)</f>
        <v>4181.13</v>
      </c>
    </row>
    <row r="444" spans="1:9" ht="15.75" outlineLevel="1">
      <c r="A444" s="600"/>
      <c r="B444" s="588"/>
      <c r="C444" s="589" t="s">
        <v>14</v>
      </c>
      <c r="D444" s="588"/>
      <c r="E444" s="590"/>
      <c r="F444" s="591"/>
      <c r="G444" s="592"/>
      <c r="H444" s="592">
        <f>SUM(H443)</f>
        <v>4181.13</v>
      </c>
    </row>
    <row r="445" spans="1:9" ht="15.75">
      <c r="A445" s="588"/>
      <c r="B445" s="588"/>
      <c r="C445" s="589" t="s">
        <v>649</v>
      </c>
      <c r="D445" s="588"/>
      <c r="E445" s="606"/>
      <c r="F445" s="592"/>
      <c r="G445" s="591"/>
      <c r="H445" s="592">
        <f>H411+H431+H441+H444</f>
        <v>556909.96</v>
      </c>
    </row>
    <row r="446" spans="1:9" ht="15.75" customHeight="1">
      <c r="A446" s="779" t="s">
        <v>192</v>
      </c>
      <c r="B446" s="779"/>
      <c r="C446" s="779"/>
      <c r="D446" s="779"/>
      <c r="E446" s="779"/>
      <c r="F446" s="779"/>
      <c r="G446" s="779"/>
      <c r="H446" s="779"/>
    </row>
    <row r="447" spans="1:9" ht="15.75" outlineLevel="1">
      <c r="A447" s="175" t="s">
        <v>411</v>
      </c>
      <c r="B447" s="78"/>
      <c r="C447" s="182" t="s">
        <v>346</v>
      </c>
      <c r="D447" s="78"/>
      <c r="E447" s="70"/>
      <c r="F447" s="205"/>
      <c r="G447" s="205"/>
      <c r="H447" s="205"/>
    </row>
    <row r="448" spans="1:9" s="71" customFormat="1" ht="90" outlineLevel="2">
      <c r="A448" s="68" t="s">
        <v>412</v>
      </c>
      <c r="B448" s="68" t="s">
        <v>2706</v>
      </c>
      <c r="C448" s="69" t="s">
        <v>659</v>
      </c>
      <c r="D448" s="117" t="s">
        <v>57</v>
      </c>
      <c r="E448" s="117">
        <f>HIDROSANITÁRIO!C5</f>
        <v>4</v>
      </c>
      <c r="F448" s="204">
        <v>83.28</v>
      </c>
      <c r="G448" s="219">
        <f t="shared" ref="G448:G463" si="140">TRUNC(F448*(1+$E$2),2)</f>
        <v>105.54</v>
      </c>
      <c r="H448" s="219">
        <f t="shared" ref="H448" si="141">TRUNC((G448*E448),2)</f>
        <v>422.16</v>
      </c>
      <c r="I448" s="281"/>
    </row>
    <row r="449" spans="1:9" s="71" customFormat="1" ht="75" outlineLevel="2">
      <c r="A449" s="68" t="s">
        <v>2298</v>
      </c>
      <c r="B449" s="68" t="s">
        <v>2707</v>
      </c>
      <c r="C449" s="69" t="s">
        <v>2708</v>
      </c>
      <c r="D449" s="117" t="s">
        <v>57</v>
      </c>
      <c r="E449" s="117">
        <f>HIDROSANITÁRIO!C6</f>
        <v>1</v>
      </c>
      <c r="F449" s="204">
        <v>24.04</v>
      </c>
      <c r="G449" s="219">
        <f t="shared" si="140"/>
        <v>30.46</v>
      </c>
      <c r="H449" s="219">
        <f t="shared" ref="H449:H463" si="142">TRUNC((G449*E449),2)</f>
        <v>30.46</v>
      </c>
      <c r="I449" s="281"/>
    </row>
    <row r="450" spans="1:9" s="71" customFormat="1" ht="30" outlineLevel="2">
      <c r="A450" s="68" t="s">
        <v>2299</v>
      </c>
      <c r="B450" s="68" t="s">
        <v>1982</v>
      </c>
      <c r="C450" s="69" t="s">
        <v>2709</v>
      </c>
      <c r="D450" s="117" t="s">
        <v>57</v>
      </c>
      <c r="E450" s="117">
        <f>HIDROSANITÁRIO!C7</f>
        <v>2</v>
      </c>
      <c r="F450" s="204">
        <v>77.67</v>
      </c>
      <c r="G450" s="219">
        <f t="shared" si="140"/>
        <v>98.43</v>
      </c>
      <c r="H450" s="219">
        <f t="shared" si="142"/>
        <v>196.86</v>
      </c>
      <c r="I450" s="281"/>
    </row>
    <row r="451" spans="1:9" s="71" customFormat="1" ht="30" outlineLevel="2">
      <c r="A451" s="68" t="s">
        <v>2300</v>
      </c>
      <c r="B451" s="227" t="s">
        <v>2464</v>
      </c>
      <c r="C451" s="69" t="s">
        <v>2465</v>
      </c>
      <c r="D451" s="117" t="s">
        <v>57</v>
      </c>
      <c r="E451" s="117">
        <f>HIDROSANITÁRIO!C8</f>
        <v>1</v>
      </c>
      <c r="F451" s="382">
        <v>80.180000000000007</v>
      </c>
      <c r="G451" s="219">
        <f t="shared" si="140"/>
        <v>101.61</v>
      </c>
      <c r="H451" s="219">
        <f t="shared" si="142"/>
        <v>101.61</v>
      </c>
      <c r="I451" s="281"/>
    </row>
    <row r="452" spans="1:9" s="71" customFormat="1" ht="60" outlineLevel="2">
      <c r="A452" s="68" t="s">
        <v>2301</v>
      </c>
      <c r="B452" s="68">
        <v>89391</v>
      </c>
      <c r="C452" s="69" t="s">
        <v>660</v>
      </c>
      <c r="D452" s="117" t="s">
        <v>57</v>
      </c>
      <c r="E452" s="117">
        <f>HIDROSANITÁRIO!C9</f>
        <v>9</v>
      </c>
      <c r="F452" s="204">
        <v>6.36</v>
      </c>
      <c r="G452" s="219">
        <f t="shared" si="140"/>
        <v>8.06</v>
      </c>
      <c r="H452" s="219">
        <f t="shared" si="142"/>
        <v>72.540000000000006</v>
      </c>
      <c r="I452" s="281"/>
    </row>
    <row r="453" spans="1:9" s="71" customFormat="1" ht="45" outlineLevel="2">
      <c r="A453" s="68" t="s">
        <v>2302</v>
      </c>
      <c r="B453" s="68" t="s">
        <v>1983</v>
      </c>
      <c r="C453" s="69" t="s">
        <v>1984</v>
      </c>
      <c r="D453" s="117" t="s">
        <v>57</v>
      </c>
      <c r="E453" s="117">
        <f>HIDROSANITÁRIO!C10</f>
        <v>1</v>
      </c>
      <c r="F453" s="204">
        <v>14.56</v>
      </c>
      <c r="G453" s="219">
        <f t="shared" si="140"/>
        <v>18.45</v>
      </c>
      <c r="H453" s="219">
        <f t="shared" si="142"/>
        <v>18.45</v>
      </c>
      <c r="I453" s="281"/>
    </row>
    <row r="454" spans="1:9" s="71" customFormat="1" ht="60" outlineLevel="2">
      <c r="A454" s="68" t="s">
        <v>2303</v>
      </c>
      <c r="B454" s="68">
        <v>89572</v>
      </c>
      <c r="C454" s="69" t="s">
        <v>3085</v>
      </c>
      <c r="D454" s="117" t="s">
        <v>57</v>
      </c>
      <c r="E454" s="117">
        <f>HIDROSANITÁRIO!C11</f>
        <v>9</v>
      </c>
      <c r="F454" s="204">
        <v>6.01</v>
      </c>
      <c r="G454" s="219">
        <f t="shared" si="140"/>
        <v>7.61</v>
      </c>
      <c r="H454" s="219">
        <f t="shared" si="142"/>
        <v>68.489999999999995</v>
      </c>
      <c r="I454" s="281"/>
    </row>
    <row r="455" spans="1:9" s="71" customFormat="1" ht="90" outlineLevel="2">
      <c r="A455" s="68" t="s">
        <v>2304</v>
      </c>
      <c r="B455" s="68">
        <v>94793</v>
      </c>
      <c r="C455" s="69" t="s">
        <v>3086</v>
      </c>
      <c r="D455" s="117" t="s">
        <v>57</v>
      </c>
      <c r="E455" s="117">
        <f>HIDROSANITÁRIO!C12</f>
        <v>2</v>
      </c>
      <c r="F455" s="204">
        <v>106.74</v>
      </c>
      <c r="G455" s="219">
        <f t="shared" si="140"/>
        <v>135.27000000000001</v>
      </c>
      <c r="H455" s="219">
        <f t="shared" si="142"/>
        <v>270.54000000000002</v>
      </c>
      <c r="I455" s="281"/>
    </row>
    <row r="456" spans="1:9" s="71" customFormat="1" ht="53.25" customHeight="1" outlineLevel="2">
      <c r="A456" s="68" t="s">
        <v>2305</v>
      </c>
      <c r="B456" s="68">
        <v>89415</v>
      </c>
      <c r="C456" s="69" t="s">
        <v>3095</v>
      </c>
      <c r="D456" s="117" t="s">
        <v>57</v>
      </c>
      <c r="E456" s="117">
        <f>HIDROSANITÁRIO!C13</f>
        <v>1</v>
      </c>
      <c r="F456" s="204">
        <v>8.93</v>
      </c>
      <c r="G456" s="219">
        <f>TRUNC(F456*(1+$E$2),2)</f>
        <v>11.31</v>
      </c>
      <c r="H456" s="219">
        <f>TRUNC((G456*E456),2)</f>
        <v>11.31</v>
      </c>
      <c r="I456" s="281"/>
    </row>
    <row r="457" spans="1:9" s="71" customFormat="1" outlineLevel="2">
      <c r="A457" s="68" t="s">
        <v>2306</v>
      </c>
      <c r="B457" s="68" t="s">
        <v>3077</v>
      </c>
      <c r="C457" s="69" t="s">
        <v>3078</v>
      </c>
      <c r="D457" s="117" t="s">
        <v>57</v>
      </c>
      <c r="E457" s="117">
        <f>HIDROSANITÁRIO!C14</f>
        <v>1</v>
      </c>
      <c r="F457" s="204">
        <v>2.83</v>
      </c>
      <c r="G457" s="219">
        <f t="shared" si="140"/>
        <v>3.58</v>
      </c>
      <c r="H457" s="219">
        <f t="shared" si="142"/>
        <v>3.58</v>
      </c>
      <c r="I457" s="281"/>
    </row>
    <row r="458" spans="1:9" s="71" customFormat="1" ht="45" customHeight="1" outlineLevel="2">
      <c r="A458" s="68" t="s">
        <v>2307</v>
      </c>
      <c r="B458" s="68">
        <v>89492</v>
      </c>
      <c r="C458" s="69" t="s">
        <v>3080</v>
      </c>
      <c r="D458" s="117" t="s">
        <v>57</v>
      </c>
      <c r="E458" s="117">
        <f>HIDROSANITÁRIO!C15</f>
        <v>16</v>
      </c>
      <c r="F458" s="204">
        <v>5.0999999999999996</v>
      </c>
      <c r="G458" s="219">
        <f t="shared" si="140"/>
        <v>6.46</v>
      </c>
      <c r="H458" s="219">
        <f t="shared" si="142"/>
        <v>103.36</v>
      </c>
      <c r="I458" s="281"/>
    </row>
    <row r="459" spans="1:9" s="71" customFormat="1" ht="45" customHeight="1" outlineLevel="2">
      <c r="A459" s="68" t="s">
        <v>2308</v>
      </c>
      <c r="B459" s="68">
        <v>89497</v>
      </c>
      <c r="C459" s="69" t="s">
        <v>3079</v>
      </c>
      <c r="D459" s="117" t="s">
        <v>57</v>
      </c>
      <c r="E459" s="117">
        <f>HIDROSANITÁRIO!C16</f>
        <v>3</v>
      </c>
      <c r="F459" s="204">
        <v>8.66</v>
      </c>
      <c r="G459" s="219">
        <f t="shared" si="140"/>
        <v>10.97</v>
      </c>
      <c r="H459" s="219">
        <f t="shared" si="142"/>
        <v>32.909999999999997</v>
      </c>
      <c r="I459" s="281"/>
    </row>
    <row r="460" spans="1:9" s="71" customFormat="1" ht="45.75" customHeight="1" outlineLevel="2">
      <c r="A460" s="68" t="s">
        <v>2309</v>
      </c>
      <c r="B460" s="68">
        <v>89447</v>
      </c>
      <c r="C460" s="69" t="s">
        <v>3081</v>
      </c>
      <c r="D460" s="117" t="s">
        <v>101</v>
      </c>
      <c r="E460" s="117">
        <f>HIDROSANITÁRIO!C17</f>
        <v>158.13</v>
      </c>
      <c r="F460" s="204">
        <v>7.42</v>
      </c>
      <c r="G460" s="219">
        <f t="shared" si="140"/>
        <v>9.4</v>
      </c>
      <c r="H460" s="219">
        <f t="shared" si="142"/>
        <v>1486.42</v>
      </c>
      <c r="I460" s="281"/>
    </row>
    <row r="461" spans="1:9" s="281" customFormat="1" ht="45.75" customHeight="1" outlineLevel="2">
      <c r="A461" s="68" t="s">
        <v>2310</v>
      </c>
      <c r="B461" s="227">
        <v>89448</v>
      </c>
      <c r="C461" s="245" t="s">
        <v>3082</v>
      </c>
      <c r="D461" s="170" t="s">
        <v>101</v>
      </c>
      <c r="E461" s="117">
        <f>HIDROSANITÁRIO!C18</f>
        <v>3.54</v>
      </c>
      <c r="F461" s="382">
        <v>10.68</v>
      </c>
      <c r="G461" s="219">
        <f t="shared" si="140"/>
        <v>13.53</v>
      </c>
      <c r="H461" s="219">
        <f t="shared" si="142"/>
        <v>47.89</v>
      </c>
    </row>
    <row r="462" spans="1:9" s="71" customFormat="1" ht="45" outlineLevel="2">
      <c r="A462" s="68" t="s">
        <v>2311</v>
      </c>
      <c r="B462" s="68">
        <v>89620</v>
      </c>
      <c r="C462" s="69" t="s">
        <v>3083</v>
      </c>
      <c r="D462" s="117" t="s">
        <v>57</v>
      </c>
      <c r="E462" s="117">
        <f>HIDROSANITÁRIO!C19</f>
        <v>1</v>
      </c>
      <c r="F462" s="204">
        <v>7.53</v>
      </c>
      <c r="G462" s="219">
        <f t="shared" si="140"/>
        <v>9.5399999999999991</v>
      </c>
      <c r="H462" s="219">
        <f t="shared" si="142"/>
        <v>9.5399999999999991</v>
      </c>
      <c r="I462" s="281"/>
    </row>
    <row r="463" spans="1:9" s="71" customFormat="1" ht="45" outlineLevel="2">
      <c r="A463" s="68" t="s">
        <v>3168</v>
      </c>
      <c r="B463" s="68">
        <v>89623</v>
      </c>
      <c r="C463" s="69" t="s">
        <v>3084</v>
      </c>
      <c r="D463" s="117" t="s">
        <v>57</v>
      </c>
      <c r="E463" s="117">
        <f>HIDROSANITÁRIO!C20</f>
        <v>1</v>
      </c>
      <c r="F463" s="204">
        <v>13.48</v>
      </c>
      <c r="G463" s="219">
        <f t="shared" si="140"/>
        <v>17.079999999999998</v>
      </c>
      <c r="H463" s="219">
        <f t="shared" si="142"/>
        <v>17.079999999999998</v>
      </c>
      <c r="I463" s="281"/>
    </row>
    <row r="464" spans="1:9" s="71" customFormat="1" ht="15.75" outlineLevel="1">
      <c r="A464" s="79"/>
      <c r="B464" s="79"/>
      <c r="C464" s="119" t="s">
        <v>14</v>
      </c>
      <c r="D464" s="79"/>
      <c r="E464" s="81"/>
      <c r="F464" s="207"/>
      <c r="G464" s="220"/>
      <c r="H464" s="220">
        <f>SUM(H448:H463)</f>
        <v>2893.2</v>
      </c>
      <c r="I464" s="281"/>
    </row>
    <row r="465" spans="1:9" s="71" customFormat="1" ht="15.75" outlineLevel="1">
      <c r="A465" s="175" t="s">
        <v>413</v>
      </c>
      <c r="B465" s="78"/>
      <c r="C465" s="182" t="s">
        <v>347</v>
      </c>
      <c r="D465" s="78"/>
      <c r="E465" s="70"/>
      <c r="F465" s="205"/>
      <c r="G465" s="205"/>
      <c r="H465" s="205"/>
      <c r="I465" s="281"/>
    </row>
    <row r="466" spans="1:9" s="71" customFormat="1" ht="75" outlineLevel="2">
      <c r="A466" s="68" t="s">
        <v>414</v>
      </c>
      <c r="B466" s="68" t="s">
        <v>2714</v>
      </c>
      <c r="C466" s="69" t="s">
        <v>662</v>
      </c>
      <c r="D466" s="117" t="s">
        <v>57</v>
      </c>
      <c r="E466" s="117">
        <f>HIDROSANITÁRIO!C23</f>
        <v>3</v>
      </c>
      <c r="F466" s="204">
        <v>180.37</v>
      </c>
      <c r="G466" s="219">
        <f t="shared" ref="G466:G514" si="143">TRUNC(F466*(1+$E$2),2)</f>
        <v>228.58</v>
      </c>
      <c r="H466" s="219">
        <f t="shared" ref="H466" si="144">TRUNC((G466*E466),2)</f>
        <v>685.74</v>
      </c>
      <c r="I466" s="281"/>
    </row>
    <row r="467" spans="1:9" s="71" customFormat="1" ht="75" outlineLevel="2">
      <c r="A467" s="68" t="s">
        <v>415</v>
      </c>
      <c r="B467" s="68" t="s">
        <v>2715</v>
      </c>
      <c r="C467" s="69" t="s">
        <v>663</v>
      </c>
      <c r="D467" s="117" t="s">
        <v>57</v>
      </c>
      <c r="E467" s="117">
        <f>HIDROSANITÁRIO!C24</f>
        <v>2</v>
      </c>
      <c r="F467" s="204">
        <v>312.26</v>
      </c>
      <c r="G467" s="219">
        <f t="shared" si="143"/>
        <v>395.72</v>
      </c>
      <c r="H467" s="219">
        <f t="shared" ref="H467:H514" si="145">TRUNC((G467*E467),2)</f>
        <v>791.44</v>
      </c>
      <c r="I467" s="281"/>
    </row>
    <row r="468" spans="1:9" s="71" customFormat="1" ht="75" outlineLevel="2">
      <c r="A468" s="68" t="s">
        <v>416</v>
      </c>
      <c r="B468" s="68" t="s">
        <v>2716</v>
      </c>
      <c r="C468" s="69" t="s">
        <v>661</v>
      </c>
      <c r="D468" s="117" t="s">
        <v>57</v>
      </c>
      <c r="E468" s="117">
        <f>HIDROSANITÁRIO!C25</f>
        <v>5</v>
      </c>
      <c r="F468" s="204">
        <v>100.61</v>
      </c>
      <c r="G468" s="219">
        <f t="shared" si="143"/>
        <v>127.5</v>
      </c>
      <c r="H468" s="219">
        <f t="shared" si="145"/>
        <v>637.5</v>
      </c>
      <c r="I468" s="281"/>
    </row>
    <row r="469" spans="1:9" s="71" customFormat="1" ht="60" outlineLevel="2">
      <c r="A469" s="68" t="s">
        <v>417</v>
      </c>
      <c r="B469" s="68" t="s">
        <v>2717</v>
      </c>
      <c r="C469" s="69" t="s">
        <v>664</v>
      </c>
      <c r="D469" s="117" t="s">
        <v>57</v>
      </c>
      <c r="E469" s="117">
        <f>HIDROSANITÁRIO!C26</f>
        <v>15</v>
      </c>
      <c r="F469" s="204">
        <v>56.54</v>
      </c>
      <c r="G469" s="219">
        <f t="shared" si="143"/>
        <v>71.650000000000006</v>
      </c>
      <c r="H469" s="219">
        <f t="shared" si="145"/>
        <v>1074.75</v>
      </c>
      <c r="I469" s="281"/>
    </row>
    <row r="470" spans="1:9" s="71" customFormat="1" ht="60" outlineLevel="2">
      <c r="A470" s="68" t="s">
        <v>418</v>
      </c>
      <c r="B470" s="68" t="s">
        <v>2718</v>
      </c>
      <c r="C470" s="69" t="s">
        <v>665</v>
      </c>
      <c r="D470" s="117" t="s">
        <v>57</v>
      </c>
      <c r="E470" s="117">
        <f>HIDROSANITÁRIO!C27</f>
        <v>8</v>
      </c>
      <c r="F470" s="204">
        <v>53.81</v>
      </c>
      <c r="G470" s="219">
        <f t="shared" si="143"/>
        <v>68.19</v>
      </c>
      <c r="H470" s="219">
        <f t="shared" si="145"/>
        <v>545.52</v>
      </c>
      <c r="I470" s="281"/>
    </row>
    <row r="471" spans="1:9" s="71" customFormat="1" ht="75" outlineLevel="2">
      <c r="A471" s="68" t="s">
        <v>1087</v>
      </c>
      <c r="B471" s="68" t="s">
        <v>2719</v>
      </c>
      <c r="C471" s="69" t="s">
        <v>2008</v>
      </c>
      <c r="D471" s="117" t="s">
        <v>57</v>
      </c>
      <c r="E471" s="117">
        <f>HIDROSANITÁRIO!C28</f>
        <v>16</v>
      </c>
      <c r="F471" s="204">
        <v>78.540000000000006</v>
      </c>
      <c r="G471" s="219">
        <f t="shared" si="143"/>
        <v>99.53</v>
      </c>
      <c r="H471" s="219">
        <f t="shared" si="145"/>
        <v>1592.48</v>
      </c>
      <c r="I471" s="281"/>
    </row>
    <row r="472" spans="1:9" s="71" customFormat="1" ht="60" outlineLevel="2">
      <c r="A472" s="68" t="s">
        <v>419</v>
      </c>
      <c r="B472" s="68" t="s">
        <v>2720</v>
      </c>
      <c r="C472" s="69" t="s">
        <v>2721</v>
      </c>
      <c r="D472" s="117" t="s">
        <v>57</v>
      </c>
      <c r="E472" s="117">
        <f>HIDROSANITÁRIO!C29</f>
        <v>10</v>
      </c>
      <c r="F472" s="204">
        <v>8.99</v>
      </c>
      <c r="G472" s="219">
        <f t="shared" si="143"/>
        <v>11.39</v>
      </c>
      <c r="H472" s="219">
        <f t="shared" si="145"/>
        <v>113.9</v>
      </c>
      <c r="I472" s="281"/>
    </row>
    <row r="473" spans="1:9" s="71" customFormat="1" ht="60" outlineLevel="2">
      <c r="A473" s="68" t="s">
        <v>420</v>
      </c>
      <c r="B473" s="68" t="s">
        <v>2722</v>
      </c>
      <c r="C473" s="69" t="s">
        <v>2009</v>
      </c>
      <c r="D473" s="117" t="s">
        <v>57</v>
      </c>
      <c r="E473" s="117">
        <f>HIDROSANITÁRIO!C30</f>
        <v>3</v>
      </c>
      <c r="F473" s="204">
        <v>6.99</v>
      </c>
      <c r="G473" s="219">
        <f t="shared" si="143"/>
        <v>8.85</v>
      </c>
      <c r="H473" s="219">
        <f t="shared" si="145"/>
        <v>26.55</v>
      </c>
      <c r="I473" s="281"/>
    </row>
    <row r="474" spans="1:9" s="71" customFormat="1" ht="75" outlineLevel="2">
      <c r="A474" s="68" t="s">
        <v>1430</v>
      </c>
      <c r="B474" s="68" t="s">
        <v>2723</v>
      </c>
      <c r="C474" s="69" t="s">
        <v>2724</v>
      </c>
      <c r="D474" s="117" t="s">
        <v>57</v>
      </c>
      <c r="E474" s="117">
        <f>HIDROSANITÁRIO!C31</f>
        <v>2</v>
      </c>
      <c r="F474" s="204">
        <v>285.73</v>
      </c>
      <c r="G474" s="219">
        <f t="shared" si="143"/>
        <v>362.1</v>
      </c>
      <c r="H474" s="219">
        <f t="shared" si="145"/>
        <v>724.2</v>
      </c>
      <c r="I474" s="281"/>
    </row>
    <row r="475" spans="1:9" s="71" customFormat="1" ht="60" outlineLevel="2">
      <c r="A475" s="68" t="s">
        <v>2152</v>
      </c>
      <c r="B475" s="68" t="s">
        <v>2725</v>
      </c>
      <c r="C475" s="69" t="s">
        <v>2010</v>
      </c>
      <c r="D475" s="117" t="s">
        <v>57</v>
      </c>
      <c r="E475" s="117">
        <f>HIDROSANITÁRIO!C32</f>
        <v>3</v>
      </c>
      <c r="F475" s="204">
        <v>4.03</v>
      </c>
      <c r="G475" s="219">
        <f t="shared" si="143"/>
        <v>5.0999999999999996</v>
      </c>
      <c r="H475" s="219">
        <f t="shared" si="145"/>
        <v>15.3</v>
      </c>
      <c r="I475" s="281"/>
    </row>
    <row r="476" spans="1:9" s="71" customFormat="1" ht="60" outlineLevel="2">
      <c r="A476" s="68" t="s">
        <v>2153</v>
      </c>
      <c r="B476" s="68" t="s">
        <v>2710</v>
      </c>
      <c r="C476" s="69" t="s">
        <v>667</v>
      </c>
      <c r="D476" s="117" t="s">
        <v>57</v>
      </c>
      <c r="E476" s="117">
        <f>HIDROSANITÁRIO!C33</f>
        <v>40</v>
      </c>
      <c r="F476" s="204">
        <v>4.7</v>
      </c>
      <c r="G476" s="219">
        <f t="shared" si="143"/>
        <v>5.95</v>
      </c>
      <c r="H476" s="219">
        <f t="shared" si="145"/>
        <v>238</v>
      </c>
      <c r="I476" s="281"/>
    </row>
    <row r="477" spans="1:9" s="71" customFormat="1" ht="60" outlineLevel="2">
      <c r="A477" s="68" t="s">
        <v>2154</v>
      </c>
      <c r="B477" s="68" t="s">
        <v>3087</v>
      </c>
      <c r="C477" s="69" t="s">
        <v>3088</v>
      </c>
      <c r="D477" s="117" t="s">
        <v>57</v>
      </c>
      <c r="E477" s="117">
        <f>HIDROSANITÁRIO!C34</f>
        <v>1</v>
      </c>
      <c r="F477" s="204">
        <v>8.32</v>
      </c>
      <c r="G477" s="219">
        <f t="shared" si="143"/>
        <v>10.54</v>
      </c>
      <c r="H477" s="219">
        <f t="shared" si="145"/>
        <v>10.54</v>
      </c>
      <c r="I477" s="281"/>
    </row>
    <row r="478" spans="1:9" s="71" customFormat="1" ht="60" outlineLevel="2">
      <c r="A478" s="68" t="s">
        <v>2155</v>
      </c>
      <c r="B478" s="68" t="s">
        <v>2726</v>
      </c>
      <c r="C478" s="69" t="s">
        <v>668</v>
      </c>
      <c r="D478" s="117" t="s">
        <v>57</v>
      </c>
      <c r="E478" s="117">
        <f>HIDROSANITÁRIO!C35</f>
        <v>42</v>
      </c>
      <c r="F478" s="204">
        <v>7.7</v>
      </c>
      <c r="G478" s="219">
        <f t="shared" si="143"/>
        <v>9.75</v>
      </c>
      <c r="H478" s="219">
        <f t="shared" si="145"/>
        <v>409.5</v>
      </c>
      <c r="I478" s="281"/>
    </row>
    <row r="479" spans="1:9" s="71" customFormat="1" ht="60" outlineLevel="2">
      <c r="A479" s="68" t="s">
        <v>2156</v>
      </c>
      <c r="B479" s="68" t="s">
        <v>2727</v>
      </c>
      <c r="C479" s="69" t="s">
        <v>669</v>
      </c>
      <c r="D479" s="117" t="s">
        <v>57</v>
      </c>
      <c r="E479" s="117">
        <f>HIDROSANITÁRIO!C36</f>
        <v>10</v>
      </c>
      <c r="F479" s="204">
        <v>14.48</v>
      </c>
      <c r="G479" s="219">
        <f t="shared" si="143"/>
        <v>18.350000000000001</v>
      </c>
      <c r="H479" s="219">
        <f t="shared" si="145"/>
        <v>183.5</v>
      </c>
      <c r="I479" s="281"/>
    </row>
    <row r="480" spans="1:9" s="71" customFormat="1" ht="60" outlineLevel="2">
      <c r="A480" s="68" t="s">
        <v>2157</v>
      </c>
      <c r="B480" s="68" t="s">
        <v>2728</v>
      </c>
      <c r="C480" s="69" t="s">
        <v>670</v>
      </c>
      <c r="D480" s="117" t="s">
        <v>57</v>
      </c>
      <c r="E480" s="117">
        <f>HIDROSANITÁRIO!C37</f>
        <v>6</v>
      </c>
      <c r="F480" s="204">
        <v>23.56</v>
      </c>
      <c r="G480" s="219">
        <f t="shared" si="143"/>
        <v>29.85</v>
      </c>
      <c r="H480" s="219">
        <f t="shared" si="145"/>
        <v>179.1</v>
      </c>
      <c r="I480" s="281"/>
    </row>
    <row r="481" spans="1:11" s="71" customFormat="1" ht="60" outlineLevel="2">
      <c r="A481" s="68" t="s">
        <v>2312</v>
      </c>
      <c r="B481" s="68" t="s">
        <v>2729</v>
      </c>
      <c r="C481" s="69" t="s">
        <v>671</v>
      </c>
      <c r="D481" s="117" t="s">
        <v>57</v>
      </c>
      <c r="E481" s="117">
        <f>HIDROSANITÁRIO!C38</f>
        <v>4</v>
      </c>
      <c r="F481" s="204">
        <v>32.840000000000003</v>
      </c>
      <c r="G481" s="219">
        <f t="shared" si="143"/>
        <v>41.61</v>
      </c>
      <c r="H481" s="219">
        <f t="shared" si="145"/>
        <v>166.44</v>
      </c>
      <c r="I481" s="281"/>
    </row>
    <row r="482" spans="1:11" s="71" customFormat="1" ht="30" outlineLevel="2">
      <c r="A482" s="68" t="s">
        <v>2313</v>
      </c>
      <c r="B482" s="68" t="s">
        <v>859</v>
      </c>
      <c r="C482" s="69" t="s">
        <v>860</v>
      </c>
      <c r="D482" s="117" t="s">
        <v>57</v>
      </c>
      <c r="E482" s="117">
        <f>HIDROSANITÁRIO!C39</f>
        <v>19</v>
      </c>
      <c r="F482" s="204">
        <v>11.36</v>
      </c>
      <c r="G482" s="219">
        <f t="shared" si="143"/>
        <v>14.39</v>
      </c>
      <c r="H482" s="219">
        <f t="shared" si="145"/>
        <v>273.41000000000003</v>
      </c>
      <c r="I482" s="281"/>
    </row>
    <row r="483" spans="1:11" s="71" customFormat="1" ht="30" outlineLevel="2">
      <c r="A483" s="68" t="s">
        <v>2314</v>
      </c>
      <c r="B483" s="68" t="s">
        <v>861</v>
      </c>
      <c r="C483" s="69" t="s">
        <v>862</v>
      </c>
      <c r="D483" s="117" t="s">
        <v>57</v>
      </c>
      <c r="E483" s="117">
        <f>HIDROSANITÁRIO!C40</f>
        <v>1</v>
      </c>
      <c r="F483" s="204">
        <v>20.92</v>
      </c>
      <c r="G483" s="219">
        <f t="shared" si="143"/>
        <v>26.51</v>
      </c>
      <c r="H483" s="219">
        <f t="shared" si="145"/>
        <v>26.51</v>
      </c>
      <c r="I483" s="281"/>
    </row>
    <row r="484" spans="1:11" s="71" customFormat="1" ht="30" outlineLevel="2">
      <c r="A484" s="68" t="s">
        <v>2315</v>
      </c>
      <c r="B484" s="68" t="s">
        <v>3090</v>
      </c>
      <c r="C484" s="245" t="s">
        <v>3091</v>
      </c>
      <c r="D484" s="117" t="s">
        <v>57</v>
      </c>
      <c r="E484" s="117">
        <f>HIDROSANITÁRIO!C41</f>
        <v>1</v>
      </c>
      <c r="F484" s="382">
        <v>20.09</v>
      </c>
      <c r="G484" s="219">
        <f t="shared" si="143"/>
        <v>25.46</v>
      </c>
      <c r="H484" s="219">
        <f t="shared" si="145"/>
        <v>25.46</v>
      </c>
      <c r="I484" s="281"/>
    </row>
    <row r="485" spans="1:11" s="71" customFormat="1" ht="30" outlineLevel="2">
      <c r="A485" s="68" t="s">
        <v>2316</v>
      </c>
      <c r="B485" s="68" t="s">
        <v>2730</v>
      </c>
      <c r="C485" s="245" t="s">
        <v>2731</v>
      </c>
      <c r="D485" s="117" t="s">
        <v>57</v>
      </c>
      <c r="E485" s="117">
        <f>HIDROSANITÁRIO!C42</f>
        <v>22</v>
      </c>
      <c r="F485" s="382">
        <v>13.22</v>
      </c>
      <c r="G485" s="219">
        <f t="shared" si="143"/>
        <v>16.75</v>
      </c>
      <c r="H485" s="219">
        <f t="shared" si="145"/>
        <v>368.5</v>
      </c>
      <c r="I485" s="281"/>
    </row>
    <row r="486" spans="1:11" s="71" customFormat="1" ht="30" outlineLevel="2">
      <c r="A486" s="68" t="s">
        <v>2317</v>
      </c>
      <c r="B486" s="68" t="s">
        <v>2732</v>
      </c>
      <c r="C486" s="245" t="s">
        <v>2733</v>
      </c>
      <c r="D486" s="117" t="s">
        <v>57</v>
      </c>
      <c r="E486" s="117">
        <f>HIDROSANITÁRIO!C43</f>
        <v>8</v>
      </c>
      <c r="F486" s="382">
        <v>17.47</v>
      </c>
      <c r="G486" s="219">
        <f t="shared" si="143"/>
        <v>22.13</v>
      </c>
      <c r="H486" s="219">
        <f t="shared" si="145"/>
        <v>177.04</v>
      </c>
      <c r="I486" s="281"/>
    </row>
    <row r="487" spans="1:11" s="71" customFormat="1" ht="45" outlineLevel="2">
      <c r="A487" s="68" t="s">
        <v>2318</v>
      </c>
      <c r="B487" s="68" t="s">
        <v>2013</v>
      </c>
      <c r="C487" s="245" t="s">
        <v>2014</v>
      </c>
      <c r="D487" s="117" t="s">
        <v>57</v>
      </c>
      <c r="E487" s="117">
        <f>HIDROSANITÁRIO!C44</f>
        <v>6</v>
      </c>
      <c r="F487" s="382">
        <v>25.57</v>
      </c>
      <c r="G487" s="219">
        <f t="shared" si="143"/>
        <v>32.4</v>
      </c>
      <c r="H487" s="219">
        <f t="shared" si="145"/>
        <v>194.4</v>
      </c>
      <c r="I487" s="281"/>
    </row>
    <row r="488" spans="1:11" s="71" customFormat="1" ht="30" outlineLevel="2">
      <c r="A488" s="68" t="s">
        <v>2319</v>
      </c>
      <c r="B488" s="68" t="s">
        <v>864</v>
      </c>
      <c r="C488" s="245" t="s">
        <v>2734</v>
      </c>
      <c r="D488" s="117" t="s">
        <v>57</v>
      </c>
      <c r="E488" s="117">
        <f>HIDROSANITÁRIO!C45</f>
        <v>3</v>
      </c>
      <c r="F488" s="382">
        <v>30.89</v>
      </c>
      <c r="G488" s="219">
        <f t="shared" si="143"/>
        <v>39.14</v>
      </c>
      <c r="H488" s="219">
        <f t="shared" si="145"/>
        <v>117.42</v>
      </c>
      <c r="I488" s="281"/>
    </row>
    <row r="489" spans="1:11" s="71" customFormat="1" ht="30" outlineLevel="2">
      <c r="A489" s="68" t="s">
        <v>2320</v>
      </c>
      <c r="B489" s="68" t="s">
        <v>2001</v>
      </c>
      <c r="C489" s="69" t="s">
        <v>2000</v>
      </c>
      <c r="D489" s="117" t="s">
        <v>57</v>
      </c>
      <c r="E489" s="117">
        <f>HIDROSANITÁRIO!C46</f>
        <v>2</v>
      </c>
      <c r="F489" s="204">
        <v>2.87</v>
      </c>
      <c r="G489" s="219">
        <f t="shared" si="143"/>
        <v>3.63</v>
      </c>
      <c r="H489" s="219">
        <f t="shared" si="145"/>
        <v>7.26</v>
      </c>
      <c r="I489" s="281"/>
    </row>
    <row r="490" spans="1:11" s="71" customFormat="1" ht="45" outlineLevel="2">
      <c r="A490" s="68" t="s">
        <v>3169</v>
      </c>
      <c r="B490" s="68" t="s">
        <v>2711</v>
      </c>
      <c r="C490" s="69" t="s">
        <v>672</v>
      </c>
      <c r="D490" s="117" t="s">
        <v>57</v>
      </c>
      <c r="E490" s="117">
        <f>HIDROSANITÁRIO!C47</f>
        <v>44</v>
      </c>
      <c r="F490" s="204">
        <v>3.26</v>
      </c>
      <c r="G490" s="219">
        <f t="shared" si="143"/>
        <v>4.13</v>
      </c>
      <c r="H490" s="219">
        <f t="shared" si="145"/>
        <v>181.72</v>
      </c>
      <c r="I490" s="281"/>
    </row>
    <row r="491" spans="1:11" s="71" customFormat="1" ht="45" outlineLevel="2">
      <c r="A491" s="68" t="s">
        <v>2321</v>
      </c>
      <c r="B491" s="68" t="s">
        <v>2735</v>
      </c>
      <c r="C491" s="69" t="s">
        <v>673</v>
      </c>
      <c r="D491" s="117" t="s">
        <v>57</v>
      </c>
      <c r="E491" s="117">
        <f>HIDROSANITÁRIO!C48</f>
        <v>31</v>
      </c>
      <c r="F491" s="382">
        <v>10.37</v>
      </c>
      <c r="G491" s="219">
        <f t="shared" si="143"/>
        <v>13.14</v>
      </c>
      <c r="H491" s="219">
        <f t="shared" si="145"/>
        <v>407.34</v>
      </c>
      <c r="I491" s="281"/>
    </row>
    <row r="492" spans="1:11" s="71" customFormat="1" ht="45" outlineLevel="2">
      <c r="A492" s="68" t="s">
        <v>2322</v>
      </c>
      <c r="B492" s="68" t="s">
        <v>2736</v>
      </c>
      <c r="C492" s="69" t="s">
        <v>674</v>
      </c>
      <c r="D492" s="117" t="s">
        <v>57</v>
      </c>
      <c r="E492" s="117">
        <f>HIDROSANITÁRIO!C49</f>
        <v>15</v>
      </c>
      <c r="F492" s="204">
        <v>30.4</v>
      </c>
      <c r="G492" s="219">
        <f t="shared" si="143"/>
        <v>38.520000000000003</v>
      </c>
      <c r="H492" s="219">
        <f t="shared" si="145"/>
        <v>577.79999999999995</v>
      </c>
      <c r="I492" s="281"/>
    </row>
    <row r="493" spans="1:11" s="71" customFormat="1" ht="41.25" customHeight="1" outlineLevel="2">
      <c r="A493" s="68" t="s">
        <v>2323</v>
      </c>
      <c r="B493" s="68" t="s">
        <v>2737</v>
      </c>
      <c r="C493" s="69" t="s">
        <v>675</v>
      </c>
      <c r="D493" s="117" t="s">
        <v>57</v>
      </c>
      <c r="E493" s="117">
        <f>HIDROSANITÁRIO!C50</f>
        <v>10</v>
      </c>
      <c r="F493" s="204">
        <v>85.06</v>
      </c>
      <c r="G493" s="219">
        <f t="shared" si="143"/>
        <v>107.79</v>
      </c>
      <c r="H493" s="219">
        <f t="shared" si="145"/>
        <v>1077.9000000000001</v>
      </c>
      <c r="I493" s="281"/>
    </row>
    <row r="494" spans="1:11" s="71" customFormat="1" ht="41.25" customHeight="1" outlineLevel="2">
      <c r="A494" s="68" t="s">
        <v>2324</v>
      </c>
      <c r="B494" s="68" t="s">
        <v>2738</v>
      </c>
      <c r="C494" s="69" t="s">
        <v>676</v>
      </c>
      <c r="D494" s="117" t="s">
        <v>57</v>
      </c>
      <c r="E494" s="117">
        <f>HIDROSANITÁRIO!C51</f>
        <v>12</v>
      </c>
      <c r="F494" s="204">
        <v>96</v>
      </c>
      <c r="G494" s="219">
        <f t="shared" si="143"/>
        <v>121.66</v>
      </c>
      <c r="H494" s="219">
        <f t="shared" si="145"/>
        <v>1459.92</v>
      </c>
      <c r="I494" s="281"/>
      <c r="K494" s="118"/>
    </row>
    <row r="495" spans="1:11" s="71" customFormat="1" ht="45.75" customHeight="1" outlineLevel="2">
      <c r="A495" s="68" t="s">
        <v>2325</v>
      </c>
      <c r="B495" s="68" t="s">
        <v>2739</v>
      </c>
      <c r="C495" s="69" t="s">
        <v>2740</v>
      </c>
      <c r="D495" s="117" t="s">
        <v>101</v>
      </c>
      <c r="E495" s="117">
        <f>HIDROSANITÁRIO!C52</f>
        <v>1.1499999999999999</v>
      </c>
      <c r="F495" s="204">
        <v>5.49</v>
      </c>
      <c r="G495" s="219">
        <f t="shared" si="143"/>
        <v>6.95</v>
      </c>
      <c r="H495" s="219">
        <f t="shared" si="145"/>
        <v>7.99</v>
      </c>
      <c r="I495" s="281"/>
    </row>
    <row r="496" spans="1:11" s="71" customFormat="1" ht="45.75" customHeight="1" outlineLevel="2">
      <c r="A496" s="68" t="s">
        <v>2326</v>
      </c>
      <c r="B496" s="68" t="s">
        <v>2712</v>
      </c>
      <c r="C496" s="69" t="s">
        <v>721</v>
      </c>
      <c r="D496" s="117" t="s">
        <v>101</v>
      </c>
      <c r="E496" s="117">
        <f>HIDROSANITÁRIO!C53</f>
        <v>98.51</v>
      </c>
      <c r="F496" s="204">
        <v>6.8</v>
      </c>
      <c r="G496" s="219">
        <f t="shared" si="143"/>
        <v>8.61</v>
      </c>
      <c r="H496" s="219">
        <f t="shared" si="145"/>
        <v>848.17</v>
      </c>
      <c r="I496" s="281"/>
    </row>
    <row r="497" spans="1:9" s="71" customFormat="1" ht="45" outlineLevel="2">
      <c r="A497" s="68" t="s">
        <v>2327</v>
      </c>
      <c r="B497" s="68" t="s">
        <v>2741</v>
      </c>
      <c r="C497" s="69" t="s">
        <v>677</v>
      </c>
      <c r="D497" s="117" t="s">
        <v>101</v>
      </c>
      <c r="E497" s="117">
        <f>HIDROSANITÁRIO!C54</f>
        <v>102.18</v>
      </c>
      <c r="F497" s="382">
        <v>13.21</v>
      </c>
      <c r="G497" s="219">
        <f t="shared" si="143"/>
        <v>16.739999999999998</v>
      </c>
      <c r="H497" s="219">
        <f t="shared" si="145"/>
        <v>1710.49</v>
      </c>
      <c r="I497" s="1039"/>
    </row>
    <row r="498" spans="1:9" s="71" customFormat="1" ht="45" outlineLevel="2">
      <c r="A498" s="68" t="s">
        <v>3170</v>
      </c>
      <c r="B498" s="68" t="s">
        <v>2742</v>
      </c>
      <c r="C498" s="69" t="s">
        <v>678</v>
      </c>
      <c r="D498" s="117" t="s">
        <v>101</v>
      </c>
      <c r="E498" s="117">
        <f>HIDROSANITÁRIO!C55</f>
        <v>34.299999999999997</v>
      </c>
      <c r="F498" s="204">
        <v>20.239999999999998</v>
      </c>
      <c r="G498" s="219">
        <f t="shared" si="143"/>
        <v>25.65</v>
      </c>
      <c r="H498" s="219">
        <f t="shared" si="145"/>
        <v>879.79</v>
      </c>
      <c r="I498" s="281"/>
    </row>
    <row r="499" spans="1:9" s="71" customFormat="1" ht="45" outlineLevel="2">
      <c r="A499" s="68" t="s">
        <v>2328</v>
      </c>
      <c r="B499" s="68" t="s">
        <v>2743</v>
      </c>
      <c r="C499" s="69" t="s">
        <v>679</v>
      </c>
      <c r="D499" s="117" t="s">
        <v>101</v>
      </c>
      <c r="E499" s="117">
        <f>HIDROSANITÁRIO!C56</f>
        <v>22.34</v>
      </c>
      <c r="F499" s="204">
        <v>28.22</v>
      </c>
      <c r="G499" s="219">
        <f t="shared" si="143"/>
        <v>35.76</v>
      </c>
      <c r="H499" s="219">
        <f t="shared" si="145"/>
        <v>798.87</v>
      </c>
      <c r="I499" s="281"/>
    </row>
    <row r="500" spans="1:9" s="71" customFormat="1" ht="45" outlineLevel="2">
      <c r="A500" s="68" t="s">
        <v>2329</v>
      </c>
      <c r="B500" s="68" t="s">
        <v>2744</v>
      </c>
      <c r="C500" s="69" t="s">
        <v>680</v>
      </c>
      <c r="D500" s="117" t="s">
        <v>101</v>
      </c>
      <c r="E500" s="117">
        <f>HIDROSANITÁRIO!C57</f>
        <v>120.8</v>
      </c>
      <c r="F500" s="204">
        <v>35.380000000000003</v>
      </c>
      <c r="G500" s="219">
        <f t="shared" si="143"/>
        <v>44.83</v>
      </c>
      <c r="H500" s="219">
        <f t="shared" si="145"/>
        <v>5415.46</v>
      </c>
      <c r="I500" s="281"/>
    </row>
    <row r="501" spans="1:9" s="71" customFormat="1" ht="45" outlineLevel="2">
      <c r="A501" s="68" t="s">
        <v>2330</v>
      </c>
      <c r="B501" s="68" t="s">
        <v>2745</v>
      </c>
      <c r="C501" s="69" t="s">
        <v>681</v>
      </c>
      <c r="D501" s="117" t="s">
        <v>57</v>
      </c>
      <c r="E501" s="117">
        <f>HIDROSANITÁRIO!C58</f>
        <v>7</v>
      </c>
      <c r="F501" s="204">
        <v>8.66</v>
      </c>
      <c r="G501" s="219">
        <f t="shared" si="143"/>
        <v>10.97</v>
      </c>
      <c r="H501" s="219">
        <f t="shared" si="145"/>
        <v>76.790000000000006</v>
      </c>
      <c r="I501" s="281"/>
    </row>
    <row r="502" spans="1:9" s="71" customFormat="1" ht="45" outlineLevel="2">
      <c r="A502" s="68" t="s">
        <v>2331</v>
      </c>
      <c r="B502" s="68" t="s">
        <v>2746</v>
      </c>
      <c r="C502" s="69" t="s">
        <v>682</v>
      </c>
      <c r="D502" s="117" t="s">
        <v>57</v>
      </c>
      <c r="E502" s="117">
        <f>HIDROSANITÁRIO!C59</f>
        <v>7</v>
      </c>
      <c r="F502" s="204">
        <v>16.16</v>
      </c>
      <c r="G502" s="219">
        <f t="shared" si="143"/>
        <v>20.47</v>
      </c>
      <c r="H502" s="219">
        <f t="shared" si="145"/>
        <v>143.29</v>
      </c>
      <c r="I502" s="281"/>
    </row>
    <row r="503" spans="1:9" s="71" customFormat="1" ht="45" outlineLevel="2">
      <c r="A503" s="68" t="s">
        <v>2332</v>
      </c>
      <c r="B503" s="68" t="s">
        <v>2747</v>
      </c>
      <c r="C503" s="69" t="s">
        <v>683</v>
      </c>
      <c r="D503" s="117" t="s">
        <v>57</v>
      </c>
      <c r="E503" s="117">
        <f>HIDROSANITÁRIO!C60</f>
        <v>13</v>
      </c>
      <c r="F503" s="204">
        <v>34.86</v>
      </c>
      <c r="G503" s="219">
        <f t="shared" si="143"/>
        <v>44.17</v>
      </c>
      <c r="H503" s="219">
        <f t="shared" si="145"/>
        <v>574.21</v>
      </c>
      <c r="I503" s="281"/>
    </row>
    <row r="504" spans="1:9" s="71" customFormat="1" ht="45" outlineLevel="2">
      <c r="A504" s="68" t="s">
        <v>2333</v>
      </c>
      <c r="B504" s="68" t="s">
        <v>2748</v>
      </c>
      <c r="C504" s="69" t="s">
        <v>2016</v>
      </c>
      <c r="D504" s="117" t="s">
        <v>57</v>
      </c>
      <c r="E504" s="117">
        <f>HIDROSANITÁRIO!C61</f>
        <v>2</v>
      </c>
      <c r="F504" s="204">
        <v>62.42</v>
      </c>
      <c r="G504" s="219">
        <f t="shared" si="143"/>
        <v>79.099999999999994</v>
      </c>
      <c r="H504" s="219">
        <f t="shared" si="145"/>
        <v>158.19999999999999</v>
      </c>
      <c r="I504" s="281"/>
    </row>
    <row r="505" spans="1:9" s="71" customFormat="1" ht="45" outlineLevel="2">
      <c r="A505" s="68" t="s">
        <v>2334</v>
      </c>
      <c r="B505" s="68" t="s">
        <v>2749</v>
      </c>
      <c r="C505" s="69" t="s">
        <v>684</v>
      </c>
      <c r="D505" s="117" t="s">
        <v>57</v>
      </c>
      <c r="E505" s="117">
        <f>HIDROSANITÁRIO!C62</f>
        <v>2</v>
      </c>
      <c r="F505" s="204">
        <v>92.61</v>
      </c>
      <c r="G505" s="219">
        <f t="shared" si="143"/>
        <v>117.36</v>
      </c>
      <c r="H505" s="219">
        <f t="shared" si="145"/>
        <v>234.72</v>
      </c>
      <c r="I505" s="281"/>
    </row>
    <row r="506" spans="1:9" s="71" customFormat="1" ht="45" outlineLevel="2">
      <c r="A506" s="68" t="s">
        <v>2335</v>
      </c>
      <c r="B506" s="68" t="s">
        <v>2750</v>
      </c>
      <c r="C506" s="69" t="s">
        <v>685</v>
      </c>
      <c r="D506" s="117" t="s">
        <v>57</v>
      </c>
      <c r="E506" s="117">
        <f>HIDROSANITÁRIO!C63</f>
        <v>9</v>
      </c>
      <c r="F506" s="204">
        <v>15.86</v>
      </c>
      <c r="G506" s="219">
        <f t="shared" si="143"/>
        <v>20.09</v>
      </c>
      <c r="H506" s="219">
        <f t="shared" si="145"/>
        <v>180.81</v>
      </c>
      <c r="I506" s="281"/>
    </row>
    <row r="507" spans="1:9" s="71" customFormat="1" ht="45" outlineLevel="2">
      <c r="A507" s="68" t="s">
        <v>2336</v>
      </c>
      <c r="B507" s="68" t="s">
        <v>2751</v>
      </c>
      <c r="C507" s="69" t="s">
        <v>888</v>
      </c>
      <c r="D507" s="117" t="s">
        <v>57</v>
      </c>
      <c r="E507" s="117">
        <f>HIDROSANITÁRIO!C64</f>
        <v>5</v>
      </c>
      <c r="F507" s="382">
        <v>53.25</v>
      </c>
      <c r="G507" s="219">
        <f t="shared" si="143"/>
        <v>67.48</v>
      </c>
      <c r="H507" s="219">
        <f t="shared" si="145"/>
        <v>337.4</v>
      </c>
      <c r="I507" s="281"/>
    </row>
    <row r="508" spans="1:9" s="71" customFormat="1" ht="45" outlineLevel="2">
      <c r="A508" s="68" t="s">
        <v>2337</v>
      </c>
      <c r="B508" s="68" t="s">
        <v>2752</v>
      </c>
      <c r="C508" s="69" t="s">
        <v>2753</v>
      </c>
      <c r="D508" s="117" t="s">
        <v>57</v>
      </c>
      <c r="E508" s="117">
        <f>HIDROSANITÁRIO!C65</f>
        <v>10</v>
      </c>
      <c r="F508" s="204">
        <v>78.98</v>
      </c>
      <c r="G508" s="219">
        <f t="shared" si="143"/>
        <v>100.09</v>
      </c>
      <c r="H508" s="219">
        <f t="shared" si="145"/>
        <v>1000.9</v>
      </c>
      <c r="I508" s="281"/>
    </row>
    <row r="509" spans="1:9" s="71" customFormat="1" ht="30" outlineLevel="2">
      <c r="A509" s="68" t="s">
        <v>2338</v>
      </c>
      <c r="B509" s="68" t="s">
        <v>865</v>
      </c>
      <c r="C509" s="69" t="s">
        <v>866</v>
      </c>
      <c r="D509" s="68" t="s">
        <v>57</v>
      </c>
      <c r="E509" s="70">
        <f>HIDROSANITÁRIO!C66</f>
        <v>3</v>
      </c>
      <c r="F509" s="382">
        <v>71.81</v>
      </c>
      <c r="G509" s="219">
        <f t="shared" si="143"/>
        <v>91</v>
      </c>
      <c r="H509" s="219">
        <f t="shared" si="145"/>
        <v>273</v>
      </c>
      <c r="I509" s="281"/>
    </row>
    <row r="510" spans="1:9" s="71" customFormat="1" ht="75" outlineLevel="2">
      <c r="A510" s="68" t="s">
        <v>3171</v>
      </c>
      <c r="B510" s="68" t="s">
        <v>2754</v>
      </c>
      <c r="C510" s="69" t="s">
        <v>2755</v>
      </c>
      <c r="D510" s="117" t="s">
        <v>57</v>
      </c>
      <c r="E510" s="117">
        <f>HIDROSANITÁRIO!C67</f>
        <v>19</v>
      </c>
      <c r="F510" s="204">
        <v>7.66</v>
      </c>
      <c r="G510" s="219">
        <f t="shared" si="143"/>
        <v>9.6999999999999993</v>
      </c>
      <c r="H510" s="219">
        <f t="shared" si="145"/>
        <v>184.3</v>
      </c>
      <c r="I510" s="281"/>
    </row>
    <row r="511" spans="1:9" s="71" customFormat="1" ht="60" outlineLevel="2">
      <c r="A511" s="68" t="s">
        <v>2339</v>
      </c>
      <c r="B511" s="68" t="s">
        <v>2756</v>
      </c>
      <c r="C511" s="69" t="s">
        <v>666</v>
      </c>
      <c r="D511" s="117" t="s">
        <v>57</v>
      </c>
      <c r="E511" s="117">
        <f>HIDROSANITÁRIO!C68</f>
        <v>25</v>
      </c>
      <c r="F511" s="204">
        <v>11.17</v>
      </c>
      <c r="G511" s="219">
        <f t="shared" si="143"/>
        <v>14.15</v>
      </c>
      <c r="H511" s="219">
        <f t="shared" si="145"/>
        <v>353.75</v>
      </c>
      <c r="I511" s="281"/>
    </row>
    <row r="512" spans="1:9" s="71" customFormat="1" ht="60" outlineLevel="2">
      <c r="A512" s="68" t="s">
        <v>2340</v>
      </c>
      <c r="B512" s="68" t="s">
        <v>2018</v>
      </c>
      <c r="C512" s="69" t="s">
        <v>2019</v>
      </c>
      <c r="D512" s="117" t="s">
        <v>57</v>
      </c>
      <c r="E512" s="117">
        <f>HIDROSANITÁRIO!C69</f>
        <v>3</v>
      </c>
      <c r="F512" s="204">
        <v>12.6</v>
      </c>
      <c r="G512" s="219">
        <f t="shared" si="143"/>
        <v>15.96</v>
      </c>
      <c r="H512" s="219">
        <f t="shared" si="145"/>
        <v>47.88</v>
      </c>
      <c r="I512" s="281"/>
    </row>
    <row r="513" spans="1:9" s="71" customFormat="1" ht="60" outlineLevel="2">
      <c r="A513" s="68" t="s">
        <v>2341</v>
      </c>
      <c r="B513" s="68" t="s">
        <v>2757</v>
      </c>
      <c r="C513" s="69" t="s">
        <v>686</v>
      </c>
      <c r="D513" s="117" t="s">
        <v>57</v>
      </c>
      <c r="E513" s="117">
        <f>HIDROSANITÁRIO!C70</f>
        <v>48</v>
      </c>
      <c r="F513" s="204">
        <v>14.26</v>
      </c>
      <c r="G513" s="219">
        <f t="shared" si="143"/>
        <v>18.07</v>
      </c>
      <c r="H513" s="219">
        <f t="shared" si="145"/>
        <v>867.36</v>
      </c>
      <c r="I513" s="281"/>
    </row>
    <row r="514" spans="1:9" s="71" customFormat="1" ht="60" outlineLevel="2">
      <c r="A514" s="68" t="s">
        <v>2342</v>
      </c>
      <c r="B514" s="68" t="s">
        <v>2713</v>
      </c>
      <c r="C514" s="69" t="s">
        <v>687</v>
      </c>
      <c r="D514" s="117" t="s">
        <v>57</v>
      </c>
      <c r="E514" s="117">
        <f>HIDROSANITÁRIO!C71</f>
        <v>4</v>
      </c>
      <c r="F514" s="204">
        <v>17.13</v>
      </c>
      <c r="G514" s="219">
        <f t="shared" si="143"/>
        <v>21.7</v>
      </c>
      <c r="H514" s="219">
        <f t="shared" si="145"/>
        <v>86.8</v>
      </c>
      <c r="I514" s="281"/>
    </row>
    <row r="515" spans="1:9" s="71" customFormat="1" ht="15.75" outlineLevel="1">
      <c r="A515" s="79"/>
      <c r="B515" s="79"/>
      <c r="C515" s="119" t="s">
        <v>14</v>
      </c>
      <c r="D515" s="79"/>
      <c r="E515" s="81"/>
      <c r="F515" s="207"/>
      <c r="G515" s="220"/>
      <c r="H515" s="220">
        <f>SUM(H466:H514)</f>
        <v>26469.320000000003</v>
      </c>
      <c r="I515" s="281"/>
    </row>
    <row r="516" spans="1:9" s="71" customFormat="1" ht="15.75" outlineLevel="1">
      <c r="A516" s="175" t="s">
        <v>421</v>
      </c>
      <c r="B516" s="68"/>
      <c r="C516" s="183" t="s">
        <v>338</v>
      </c>
      <c r="D516" s="117"/>
      <c r="E516" s="117"/>
      <c r="F516" s="204"/>
      <c r="G516" s="205"/>
      <c r="H516" s="205"/>
      <c r="I516" s="281"/>
    </row>
    <row r="517" spans="1:9" s="71" customFormat="1" ht="45" outlineLevel="2">
      <c r="A517" s="68" t="s">
        <v>422</v>
      </c>
      <c r="B517" s="68" t="s">
        <v>5239</v>
      </c>
      <c r="C517" s="116" t="s">
        <v>5240</v>
      </c>
      <c r="D517" s="534" t="s">
        <v>57</v>
      </c>
      <c r="E517" s="117">
        <f>HIDROSANITÁRIO!C73</f>
        <v>1</v>
      </c>
      <c r="F517" s="204">
        <v>55292.02</v>
      </c>
      <c r="G517" s="219">
        <f t="shared" ref="G517:G522" si="146">TRUNC(F517*(1+$E$2),2)</f>
        <v>70071.570000000007</v>
      </c>
      <c r="H517" s="219">
        <f t="shared" ref="H517" si="147">TRUNC((G517*E517),2)</f>
        <v>70071.570000000007</v>
      </c>
      <c r="I517" s="281"/>
    </row>
    <row r="518" spans="1:9" s="121" customFormat="1" ht="30" outlineLevel="2">
      <c r="A518" s="68" t="s">
        <v>423</v>
      </c>
      <c r="B518" s="115" t="s">
        <v>2758</v>
      </c>
      <c r="C518" s="116" t="s">
        <v>2035</v>
      </c>
      <c r="D518" s="120" t="s">
        <v>57</v>
      </c>
      <c r="E518" s="487">
        <f>HIDROSANITÁRIO!C74</f>
        <v>2</v>
      </c>
      <c r="F518" s="212">
        <v>973.34</v>
      </c>
      <c r="G518" s="219">
        <f t="shared" si="146"/>
        <v>1233.51</v>
      </c>
      <c r="H518" s="219">
        <f t="shared" ref="H518:H522" si="148">TRUNC((G518*E518),2)</f>
        <v>2467.02</v>
      </c>
      <c r="I518" s="1043"/>
    </row>
    <row r="519" spans="1:9" s="121" customFormat="1" ht="45" outlineLevel="2">
      <c r="A519" s="68" t="s">
        <v>424</v>
      </c>
      <c r="B519" s="68" t="s">
        <v>863</v>
      </c>
      <c r="C519" s="116" t="s">
        <v>3093</v>
      </c>
      <c r="D519" s="534" t="s">
        <v>57</v>
      </c>
      <c r="E519" s="534">
        <f>HIDROSANITÁRIO!C74</f>
        <v>2</v>
      </c>
      <c r="F519" s="212">
        <v>12641.1</v>
      </c>
      <c r="G519" s="219">
        <f t="shared" si="146"/>
        <v>16020.06</v>
      </c>
      <c r="H519" s="219">
        <f t="shared" si="148"/>
        <v>32040.12</v>
      </c>
      <c r="I519" s="1043"/>
    </row>
    <row r="520" spans="1:9" s="121" customFormat="1" ht="45" outlineLevel="2">
      <c r="A520" s="68" t="s">
        <v>2563</v>
      </c>
      <c r="B520" s="68" t="s">
        <v>2021</v>
      </c>
      <c r="C520" s="116" t="s">
        <v>2022</v>
      </c>
      <c r="D520" s="120" t="s">
        <v>57</v>
      </c>
      <c r="E520" s="487">
        <f>HIDROSANITÁRIO!C76</f>
        <v>1</v>
      </c>
      <c r="F520" s="212">
        <v>18242.990000000002</v>
      </c>
      <c r="G520" s="219">
        <f t="shared" si="146"/>
        <v>23119.34</v>
      </c>
      <c r="H520" s="219">
        <f t="shared" si="148"/>
        <v>23119.34</v>
      </c>
      <c r="I520" s="1043"/>
    </row>
    <row r="521" spans="1:9" s="121" customFormat="1" ht="30" outlineLevel="2">
      <c r="A521" s="68" t="s">
        <v>2564</v>
      </c>
      <c r="B521" s="115" t="s">
        <v>2759</v>
      </c>
      <c r="C521" s="116" t="s">
        <v>2568</v>
      </c>
      <c r="D521" s="422" t="s">
        <v>57</v>
      </c>
      <c r="E521" s="487">
        <f>HIDROSANITÁRIO!C77</f>
        <v>3</v>
      </c>
      <c r="F521" s="212">
        <v>65.33</v>
      </c>
      <c r="G521" s="219">
        <f t="shared" si="146"/>
        <v>82.79</v>
      </c>
      <c r="H521" s="219">
        <f t="shared" si="148"/>
        <v>248.37</v>
      </c>
      <c r="I521" s="1043"/>
    </row>
    <row r="522" spans="1:9" s="121" customFormat="1" ht="45" outlineLevel="2">
      <c r="A522" s="68" t="s">
        <v>3094</v>
      </c>
      <c r="B522" s="115" t="s">
        <v>2760</v>
      </c>
      <c r="C522" s="116" t="s">
        <v>2569</v>
      </c>
      <c r="D522" s="422" t="s">
        <v>57</v>
      </c>
      <c r="E522" s="487">
        <f>HIDROSANITÁRIO!C78</f>
        <v>3</v>
      </c>
      <c r="F522" s="212">
        <v>43.66</v>
      </c>
      <c r="G522" s="219">
        <f t="shared" si="146"/>
        <v>55.33</v>
      </c>
      <c r="H522" s="219">
        <f t="shared" si="148"/>
        <v>165.99</v>
      </c>
      <c r="I522" s="1043"/>
    </row>
    <row r="523" spans="1:9" s="71" customFormat="1" ht="15.75" outlineLevel="1">
      <c r="A523" s="79"/>
      <c r="B523" s="79"/>
      <c r="C523" s="119" t="s">
        <v>14</v>
      </c>
      <c r="D523" s="79"/>
      <c r="E523" s="81"/>
      <c r="F523" s="207"/>
      <c r="G523" s="220"/>
      <c r="H523" s="220">
        <f>SUM(H517:H522)</f>
        <v>128112.41</v>
      </c>
      <c r="I523" s="281"/>
    </row>
    <row r="524" spans="1:9" s="71" customFormat="1" ht="15.75" outlineLevel="1">
      <c r="A524" s="175" t="s">
        <v>425</v>
      </c>
      <c r="B524" s="68"/>
      <c r="C524" s="183" t="s">
        <v>339</v>
      </c>
      <c r="D524" s="117"/>
      <c r="E524" s="117"/>
      <c r="F524" s="204"/>
      <c r="G524" s="205"/>
      <c r="H524" s="205"/>
      <c r="I524" s="281"/>
    </row>
    <row r="525" spans="1:9" s="71" customFormat="1" ht="45" outlineLevel="2">
      <c r="A525" s="68" t="s">
        <v>426</v>
      </c>
      <c r="B525" s="68" t="s">
        <v>2761</v>
      </c>
      <c r="C525" s="116" t="s">
        <v>2762</v>
      </c>
      <c r="D525" s="117" t="s">
        <v>57</v>
      </c>
      <c r="E525" s="117">
        <f>HIDROSANITÁRIO!C81</f>
        <v>8</v>
      </c>
      <c r="F525" s="204">
        <v>157.06</v>
      </c>
      <c r="G525" s="219">
        <f t="shared" ref="G525:G532" si="149">TRUNC(F525*(1+$E$2),2)</f>
        <v>199.04</v>
      </c>
      <c r="H525" s="219">
        <f t="shared" ref="H525" si="150">TRUNC((G525*E525),2)</f>
        <v>1592.32</v>
      </c>
      <c r="I525" s="281"/>
    </row>
    <row r="526" spans="1:9" s="71" customFormat="1" ht="45" outlineLevel="2">
      <c r="A526" s="68" t="s">
        <v>427</v>
      </c>
      <c r="B526" s="68" t="s">
        <v>2763</v>
      </c>
      <c r="C526" s="116" t="s">
        <v>688</v>
      </c>
      <c r="D526" s="117" t="s">
        <v>57</v>
      </c>
      <c r="E526" s="117">
        <f>HIDROSANITÁRIO!C82</f>
        <v>8</v>
      </c>
      <c r="F526" s="204">
        <v>154</v>
      </c>
      <c r="G526" s="219">
        <f t="shared" si="149"/>
        <v>195.16</v>
      </c>
      <c r="H526" s="219">
        <f t="shared" ref="H526:H532" si="151">TRUNC((G526*E526),2)</f>
        <v>1561.28</v>
      </c>
      <c r="I526" s="281"/>
    </row>
    <row r="527" spans="1:9" s="71" customFormat="1" ht="75" outlineLevel="2">
      <c r="A527" s="68" t="s">
        <v>428</v>
      </c>
      <c r="B527" s="68" t="s">
        <v>689</v>
      </c>
      <c r="C527" s="116" t="s">
        <v>2764</v>
      </c>
      <c r="D527" s="117" t="s">
        <v>57</v>
      </c>
      <c r="E527" s="117">
        <f>HIDROSANITÁRIO!C83</f>
        <v>3</v>
      </c>
      <c r="F527" s="204">
        <v>436.91</v>
      </c>
      <c r="G527" s="219">
        <f t="shared" si="149"/>
        <v>553.69000000000005</v>
      </c>
      <c r="H527" s="219">
        <f t="shared" si="151"/>
        <v>1661.07</v>
      </c>
      <c r="I527" s="281"/>
    </row>
    <row r="528" spans="1:9" s="71" customFormat="1" ht="45" outlineLevel="2">
      <c r="A528" s="68" t="s">
        <v>2343</v>
      </c>
      <c r="B528" s="68" t="s">
        <v>2765</v>
      </c>
      <c r="C528" s="116" t="s">
        <v>690</v>
      </c>
      <c r="D528" s="117" t="s">
        <v>57</v>
      </c>
      <c r="E528" s="117">
        <f>HIDROSANITÁRIO!C84</f>
        <v>10</v>
      </c>
      <c r="F528" s="204">
        <v>104.46</v>
      </c>
      <c r="G528" s="219">
        <f t="shared" si="149"/>
        <v>132.38</v>
      </c>
      <c r="H528" s="219">
        <f t="shared" si="151"/>
        <v>1323.8</v>
      </c>
      <c r="I528" s="281"/>
    </row>
    <row r="529" spans="1:9" s="71" customFormat="1" ht="45" outlineLevel="2">
      <c r="A529" s="68" t="s">
        <v>2344</v>
      </c>
      <c r="B529" s="68" t="s">
        <v>2766</v>
      </c>
      <c r="C529" s="116" t="s">
        <v>691</v>
      </c>
      <c r="D529" s="117" t="s">
        <v>57</v>
      </c>
      <c r="E529" s="117">
        <f>HIDROSANITÁRIO!C85</f>
        <v>10</v>
      </c>
      <c r="F529" s="204">
        <v>47.13</v>
      </c>
      <c r="G529" s="219">
        <f t="shared" si="149"/>
        <v>59.72</v>
      </c>
      <c r="H529" s="219">
        <f t="shared" si="151"/>
        <v>597.20000000000005</v>
      </c>
      <c r="I529" s="281"/>
    </row>
    <row r="530" spans="1:9" s="71" customFormat="1" ht="30" outlineLevel="2">
      <c r="A530" s="68" t="s">
        <v>2345</v>
      </c>
      <c r="B530" s="68" t="s">
        <v>2767</v>
      </c>
      <c r="C530" s="116" t="s">
        <v>696</v>
      </c>
      <c r="D530" s="117" t="s">
        <v>57</v>
      </c>
      <c r="E530" s="117">
        <f>HIDROSANITÁRIO!C86</f>
        <v>8</v>
      </c>
      <c r="F530" s="204">
        <v>29.2</v>
      </c>
      <c r="G530" s="219">
        <f t="shared" si="149"/>
        <v>37</v>
      </c>
      <c r="H530" s="219">
        <f t="shared" si="151"/>
        <v>296</v>
      </c>
      <c r="I530" s="281"/>
    </row>
    <row r="531" spans="1:9" s="71" customFormat="1" ht="30" outlineLevel="2">
      <c r="A531" s="68" t="s">
        <v>2346</v>
      </c>
      <c r="B531" s="68" t="s">
        <v>831</v>
      </c>
      <c r="C531" s="69" t="s">
        <v>832</v>
      </c>
      <c r="D531" s="117" t="s">
        <v>57</v>
      </c>
      <c r="E531" s="117">
        <f>HIDROSANITÁRIO!C87</f>
        <v>2</v>
      </c>
      <c r="F531" s="204">
        <v>48.08</v>
      </c>
      <c r="G531" s="219">
        <f t="shared" si="149"/>
        <v>60.93</v>
      </c>
      <c r="H531" s="219">
        <f t="shared" si="151"/>
        <v>121.86</v>
      </c>
      <c r="I531" s="281"/>
    </row>
    <row r="532" spans="1:9" s="71" customFormat="1" ht="45" outlineLevel="2">
      <c r="A532" s="68" t="s">
        <v>3172</v>
      </c>
      <c r="B532" s="68" t="s">
        <v>2768</v>
      </c>
      <c r="C532" s="116" t="s">
        <v>697</v>
      </c>
      <c r="D532" s="117" t="s">
        <v>57</v>
      </c>
      <c r="E532" s="117">
        <f>HIDROSANITÁRIO!C88</f>
        <v>2</v>
      </c>
      <c r="F532" s="204">
        <v>42.65</v>
      </c>
      <c r="G532" s="219">
        <f t="shared" si="149"/>
        <v>54.05</v>
      </c>
      <c r="H532" s="219">
        <f t="shared" si="151"/>
        <v>108.1</v>
      </c>
      <c r="I532" s="281"/>
    </row>
    <row r="533" spans="1:9" s="71" customFormat="1" ht="15.75" outlineLevel="1">
      <c r="A533" s="79"/>
      <c r="B533" s="79"/>
      <c r="C533" s="119" t="s">
        <v>14</v>
      </c>
      <c r="D533" s="79"/>
      <c r="E533" s="81"/>
      <c r="F533" s="207"/>
      <c r="G533" s="220"/>
      <c r="H533" s="220">
        <f>SUM(H525:H532)</f>
        <v>7261.63</v>
      </c>
      <c r="I533" s="281"/>
    </row>
    <row r="534" spans="1:9" s="71" customFormat="1" ht="15.75" outlineLevel="1">
      <c r="A534" s="175" t="s">
        <v>429</v>
      </c>
      <c r="B534" s="68"/>
      <c r="C534" s="183" t="s">
        <v>380</v>
      </c>
      <c r="D534" s="117"/>
      <c r="E534" s="117"/>
      <c r="F534" s="204"/>
      <c r="G534" s="205"/>
      <c r="H534" s="205"/>
      <c r="I534" s="281"/>
    </row>
    <row r="535" spans="1:9" s="71" customFormat="1" ht="45" outlineLevel="2">
      <c r="A535" s="68" t="s">
        <v>430</v>
      </c>
      <c r="B535" s="68" t="s">
        <v>2761</v>
      </c>
      <c r="C535" s="116" t="s">
        <v>2762</v>
      </c>
      <c r="D535" s="117" t="s">
        <v>57</v>
      </c>
      <c r="E535" s="117">
        <f>HIDROSANITÁRIO!C91</f>
        <v>4</v>
      </c>
      <c r="F535" s="204">
        <v>157.06</v>
      </c>
      <c r="G535" s="219">
        <f t="shared" ref="G535:G542" si="152">TRUNC(F535*(1+$E$2),2)</f>
        <v>199.04</v>
      </c>
      <c r="H535" s="219">
        <f t="shared" ref="H535" si="153">TRUNC((G535*E535),2)</f>
        <v>796.16</v>
      </c>
      <c r="I535" s="281"/>
    </row>
    <row r="536" spans="1:9" s="71" customFormat="1" ht="45" outlineLevel="2">
      <c r="A536" s="68" t="s">
        <v>431</v>
      </c>
      <c r="B536" s="68" t="s">
        <v>2763</v>
      </c>
      <c r="C536" s="116" t="s">
        <v>688</v>
      </c>
      <c r="D536" s="117" t="s">
        <v>57</v>
      </c>
      <c r="E536" s="117">
        <f>HIDROSANITÁRIO!C92</f>
        <v>4</v>
      </c>
      <c r="F536" s="204">
        <v>154</v>
      </c>
      <c r="G536" s="219">
        <f t="shared" si="152"/>
        <v>195.16</v>
      </c>
      <c r="H536" s="219">
        <f t="shared" ref="H536:H542" si="154">TRUNC((G536*E536),2)</f>
        <v>780.64</v>
      </c>
      <c r="I536" s="281"/>
    </row>
    <row r="537" spans="1:9" s="71" customFormat="1" ht="30" outlineLevel="2">
      <c r="A537" s="68" t="s">
        <v>2158</v>
      </c>
      <c r="B537" s="68" t="s">
        <v>2769</v>
      </c>
      <c r="C537" s="116" t="s">
        <v>692</v>
      </c>
      <c r="D537" s="117" t="s">
        <v>57</v>
      </c>
      <c r="E537" s="117">
        <f>HIDROSANITÁRIO!C93</f>
        <v>6</v>
      </c>
      <c r="F537" s="204">
        <v>63.66</v>
      </c>
      <c r="G537" s="219">
        <f t="shared" si="152"/>
        <v>80.67</v>
      </c>
      <c r="H537" s="219">
        <f t="shared" si="154"/>
        <v>484.02</v>
      </c>
      <c r="I537" s="281"/>
    </row>
    <row r="538" spans="1:9" s="71" customFormat="1" ht="45" outlineLevel="2">
      <c r="A538" s="68" t="s">
        <v>2159</v>
      </c>
      <c r="B538" s="68" t="s">
        <v>2765</v>
      </c>
      <c r="C538" s="116" t="s">
        <v>690</v>
      </c>
      <c r="D538" s="117" t="s">
        <v>57</v>
      </c>
      <c r="E538" s="117">
        <f>HIDROSANITÁRIO!C94</f>
        <v>4</v>
      </c>
      <c r="F538" s="204">
        <v>104.46</v>
      </c>
      <c r="G538" s="219">
        <f t="shared" si="152"/>
        <v>132.38</v>
      </c>
      <c r="H538" s="219">
        <f t="shared" si="154"/>
        <v>529.52</v>
      </c>
      <c r="I538" s="281"/>
    </row>
    <row r="539" spans="1:9" s="71" customFormat="1" ht="45" outlineLevel="2">
      <c r="A539" s="68" t="s">
        <v>2160</v>
      </c>
      <c r="B539" s="68" t="s">
        <v>2766</v>
      </c>
      <c r="C539" s="116" t="s">
        <v>691</v>
      </c>
      <c r="D539" s="117" t="s">
        <v>57</v>
      </c>
      <c r="E539" s="117">
        <f>HIDROSANITÁRIO!C95</f>
        <v>4</v>
      </c>
      <c r="F539" s="204">
        <v>47.13</v>
      </c>
      <c r="G539" s="219">
        <f t="shared" si="152"/>
        <v>59.72</v>
      </c>
      <c r="H539" s="219">
        <f t="shared" si="154"/>
        <v>238.88</v>
      </c>
      <c r="I539" s="281"/>
    </row>
    <row r="540" spans="1:9" s="71" customFormat="1" ht="30" outlineLevel="2">
      <c r="A540" s="68" t="s">
        <v>2161</v>
      </c>
      <c r="B540" s="68" t="s">
        <v>2767</v>
      </c>
      <c r="C540" s="116" t="s">
        <v>696</v>
      </c>
      <c r="D540" s="117" t="s">
        <v>57</v>
      </c>
      <c r="E540" s="117">
        <f>HIDROSANITÁRIO!C96</f>
        <v>4</v>
      </c>
      <c r="F540" s="204">
        <v>29.2</v>
      </c>
      <c r="G540" s="219">
        <f t="shared" si="152"/>
        <v>37</v>
      </c>
      <c r="H540" s="219">
        <f t="shared" si="154"/>
        <v>148</v>
      </c>
      <c r="I540" s="281"/>
    </row>
    <row r="541" spans="1:9" s="71" customFormat="1" ht="30" outlineLevel="2">
      <c r="A541" s="68" t="s">
        <v>2162</v>
      </c>
      <c r="B541" s="68" t="s">
        <v>831</v>
      </c>
      <c r="C541" s="69" t="s">
        <v>832</v>
      </c>
      <c r="D541" s="117" t="s">
        <v>57</v>
      </c>
      <c r="E541" s="117">
        <f>HIDROSANITÁRIO!C97</f>
        <v>2</v>
      </c>
      <c r="F541" s="204">
        <v>48.08</v>
      </c>
      <c r="G541" s="219">
        <f t="shared" si="152"/>
        <v>60.93</v>
      </c>
      <c r="H541" s="219">
        <f t="shared" si="154"/>
        <v>121.86</v>
      </c>
      <c r="I541" s="281"/>
    </row>
    <row r="542" spans="1:9" s="71" customFormat="1" ht="45" outlineLevel="2">
      <c r="A542" s="68" t="s">
        <v>2163</v>
      </c>
      <c r="B542" s="68" t="s">
        <v>2768</v>
      </c>
      <c r="C542" s="116" t="s">
        <v>697</v>
      </c>
      <c r="D542" s="117" t="s">
        <v>57</v>
      </c>
      <c r="E542" s="117">
        <f>HIDROSANITÁRIO!C98</f>
        <v>2</v>
      </c>
      <c r="F542" s="204">
        <v>42.65</v>
      </c>
      <c r="G542" s="219">
        <f t="shared" si="152"/>
        <v>54.05</v>
      </c>
      <c r="H542" s="219">
        <f t="shared" si="154"/>
        <v>108.1</v>
      </c>
      <c r="I542" s="281"/>
    </row>
    <row r="543" spans="1:9" s="71" customFormat="1" ht="15.75" outlineLevel="1">
      <c r="A543" s="79"/>
      <c r="B543" s="79"/>
      <c r="C543" s="119" t="s">
        <v>14</v>
      </c>
      <c r="D543" s="79"/>
      <c r="E543" s="81"/>
      <c r="F543" s="207"/>
      <c r="G543" s="220"/>
      <c r="H543" s="220">
        <f>SUM(H535:H542)</f>
        <v>3207.18</v>
      </c>
      <c r="I543" s="281"/>
    </row>
    <row r="544" spans="1:9" s="71" customFormat="1" ht="15.75" outlineLevel="1">
      <c r="A544" s="175" t="s">
        <v>432</v>
      </c>
      <c r="B544" s="68"/>
      <c r="C544" s="183" t="s">
        <v>340</v>
      </c>
      <c r="D544" s="117"/>
      <c r="E544" s="117"/>
      <c r="F544" s="204"/>
      <c r="G544" s="205"/>
      <c r="H544" s="205"/>
      <c r="I544" s="281"/>
    </row>
    <row r="545" spans="1:9" s="71" customFormat="1" ht="90" outlineLevel="2">
      <c r="A545" s="68" t="s">
        <v>433</v>
      </c>
      <c r="B545" s="68" t="s">
        <v>2770</v>
      </c>
      <c r="C545" s="116" t="s">
        <v>693</v>
      </c>
      <c r="D545" s="117" t="s">
        <v>57</v>
      </c>
      <c r="E545" s="117">
        <f>HIDROSANITÁRIO!C101</f>
        <v>2</v>
      </c>
      <c r="F545" s="204">
        <v>170.58</v>
      </c>
      <c r="G545" s="219">
        <f t="shared" ref="G545:G550" si="155">TRUNC(F545*(1+$E$2),2)</f>
        <v>216.17</v>
      </c>
      <c r="H545" s="219">
        <f t="shared" ref="H545" si="156">TRUNC((G545*E545),2)</f>
        <v>432.34</v>
      </c>
      <c r="I545" s="281"/>
    </row>
    <row r="546" spans="1:9" s="71" customFormat="1" ht="60" outlineLevel="2">
      <c r="A546" s="68" t="s">
        <v>1088</v>
      </c>
      <c r="B546" s="68" t="s">
        <v>2771</v>
      </c>
      <c r="C546" s="116" t="s">
        <v>2772</v>
      </c>
      <c r="D546" s="117" t="s">
        <v>57</v>
      </c>
      <c r="E546" s="117">
        <f>HIDROSANITÁRIO!C102</f>
        <v>2</v>
      </c>
      <c r="F546" s="204">
        <v>345.75</v>
      </c>
      <c r="G546" s="219">
        <f t="shared" si="155"/>
        <v>438.16</v>
      </c>
      <c r="H546" s="219">
        <f t="shared" ref="H546:H550" si="157">TRUNC((G546*E546),2)</f>
        <v>876.32</v>
      </c>
      <c r="I546" s="281"/>
    </row>
    <row r="547" spans="1:9" s="71" customFormat="1" ht="30" outlineLevel="2">
      <c r="A547" s="68" t="s">
        <v>1089</v>
      </c>
      <c r="B547" s="68" t="s">
        <v>2767</v>
      </c>
      <c r="C547" s="116" t="s">
        <v>696</v>
      </c>
      <c r="D547" s="117" t="s">
        <v>57</v>
      </c>
      <c r="E547" s="117">
        <f>HIDROSANITÁRIO!C103</f>
        <v>2</v>
      </c>
      <c r="F547" s="204">
        <v>29.2</v>
      </c>
      <c r="G547" s="219">
        <f t="shared" si="155"/>
        <v>37</v>
      </c>
      <c r="H547" s="219">
        <f t="shared" si="157"/>
        <v>74</v>
      </c>
      <c r="I547" s="281"/>
    </row>
    <row r="548" spans="1:9" s="71" customFormat="1" ht="30" outlineLevel="2">
      <c r="A548" s="68" t="s">
        <v>2164</v>
      </c>
      <c r="B548" s="68" t="s">
        <v>831</v>
      </c>
      <c r="C548" s="69" t="s">
        <v>832</v>
      </c>
      <c r="D548" s="117" t="s">
        <v>57</v>
      </c>
      <c r="E548" s="117">
        <f>HIDROSANITÁRIO!C104</f>
        <v>2</v>
      </c>
      <c r="F548" s="204">
        <v>48.08</v>
      </c>
      <c r="G548" s="219">
        <f t="shared" si="155"/>
        <v>60.93</v>
      </c>
      <c r="H548" s="219">
        <f t="shared" si="157"/>
        <v>121.86</v>
      </c>
      <c r="I548" s="281"/>
    </row>
    <row r="549" spans="1:9" s="71" customFormat="1" ht="45" outlineLevel="2">
      <c r="A549" s="68" t="s">
        <v>2165</v>
      </c>
      <c r="B549" s="68" t="s">
        <v>2768</v>
      </c>
      <c r="C549" s="116" t="s">
        <v>697</v>
      </c>
      <c r="D549" s="117" t="s">
        <v>57</v>
      </c>
      <c r="E549" s="117">
        <f>HIDROSANITÁRIO!C105</f>
        <v>2</v>
      </c>
      <c r="F549" s="204">
        <v>42.65</v>
      </c>
      <c r="G549" s="219">
        <f t="shared" si="155"/>
        <v>54.05</v>
      </c>
      <c r="H549" s="219">
        <f t="shared" si="157"/>
        <v>108.1</v>
      </c>
      <c r="I549" s="281"/>
    </row>
    <row r="550" spans="1:9" s="71" customFormat="1" ht="30" outlineLevel="2">
      <c r="A550" s="68" t="s">
        <v>2166</v>
      </c>
      <c r="B550" s="115" t="s">
        <v>869</v>
      </c>
      <c r="C550" s="116" t="s">
        <v>870</v>
      </c>
      <c r="D550" s="117" t="s">
        <v>57</v>
      </c>
      <c r="E550" s="117">
        <f>HIDROSANITÁRIO!C106</f>
        <v>1</v>
      </c>
      <c r="F550" s="204">
        <v>876.77</v>
      </c>
      <c r="G550" s="219">
        <f t="shared" si="155"/>
        <v>1111.1300000000001</v>
      </c>
      <c r="H550" s="219">
        <f t="shared" si="157"/>
        <v>1111.1300000000001</v>
      </c>
      <c r="I550" s="281"/>
    </row>
    <row r="551" spans="1:9" s="71" customFormat="1" ht="15.75" outlineLevel="1">
      <c r="A551" s="79"/>
      <c r="B551" s="79"/>
      <c r="C551" s="119" t="s">
        <v>14</v>
      </c>
      <c r="D551" s="79"/>
      <c r="E551" s="81"/>
      <c r="F551" s="207"/>
      <c r="G551" s="220"/>
      <c r="H551" s="220">
        <f>SUM(H545:H550)</f>
        <v>2723.75</v>
      </c>
      <c r="I551" s="281"/>
    </row>
    <row r="552" spans="1:9" s="71" customFormat="1" ht="15.75" outlineLevel="1">
      <c r="A552" s="175" t="s">
        <v>434</v>
      </c>
      <c r="B552" s="68"/>
      <c r="C552" s="183" t="s">
        <v>341</v>
      </c>
      <c r="D552" s="117"/>
      <c r="E552" s="117"/>
      <c r="F552" s="204"/>
      <c r="G552" s="205"/>
      <c r="H552" s="205"/>
      <c r="I552" s="281"/>
    </row>
    <row r="553" spans="1:9" s="71" customFormat="1" ht="60" outlineLevel="2">
      <c r="A553" s="68" t="s">
        <v>435</v>
      </c>
      <c r="B553" s="68" t="s">
        <v>2773</v>
      </c>
      <c r="C553" s="116" t="s">
        <v>695</v>
      </c>
      <c r="D553" s="68" t="s">
        <v>57</v>
      </c>
      <c r="E553" s="70">
        <f>HIDROSANITÁRIO!C109</f>
        <v>4</v>
      </c>
      <c r="F553" s="205">
        <v>188.83</v>
      </c>
      <c r="G553" s="219">
        <f t="shared" ref="G553:G554" si="158">TRUNC(F553*(1+$E$2),2)</f>
        <v>239.3</v>
      </c>
      <c r="H553" s="219">
        <f t="shared" ref="H553" si="159">TRUNC((G553*E553),2)</f>
        <v>957.2</v>
      </c>
      <c r="I553" s="281"/>
    </row>
    <row r="554" spans="1:9" s="71" customFormat="1" ht="45" outlineLevel="2">
      <c r="A554" s="68" t="s">
        <v>436</v>
      </c>
      <c r="B554" s="115" t="s">
        <v>331</v>
      </c>
      <c r="C554" s="116" t="s">
        <v>871</v>
      </c>
      <c r="D554" s="117" t="s">
        <v>57</v>
      </c>
      <c r="E554" s="117">
        <f>HIDROSANITÁRIO!C110</f>
        <v>2</v>
      </c>
      <c r="F554" s="204">
        <v>1647.68</v>
      </c>
      <c r="G554" s="219">
        <f t="shared" si="158"/>
        <v>2088.1</v>
      </c>
      <c r="H554" s="219">
        <f t="shared" ref="H554" si="160">TRUNC((G554*E554),2)</f>
        <v>4176.2</v>
      </c>
      <c r="I554" s="281"/>
    </row>
    <row r="555" spans="1:9" s="71" customFormat="1" ht="15.75" outlineLevel="1">
      <c r="A555" s="79"/>
      <c r="B555" s="79"/>
      <c r="C555" s="119" t="s">
        <v>14</v>
      </c>
      <c r="D555" s="79"/>
      <c r="E555" s="81"/>
      <c r="F555" s="207"/>
      <c r="G555" s="220"/>
      <c r="H555" s="220">
        <f>SUM(H553:H554)</f>
        <v>5133.3999999999996</v>
      </c>
      <c r="I555" s="281"/>
    </row>
    <row r="556" spans="1:9" s="71" customFormat="1" ht="31.5" outlineLevel="1">
      <c r="A556" s="175" t="s">
        <v>437</v>
      </c>
      <c r="B556" s="68"/>
      <c r="C556" s="183" t="s">
        <v>342</v>
      </c>
      <c r="D556" s="117"/>
      <c r="E556" s="117"/>
      <c r="F556" s="204"/>
      <c r="G556" s="205"/>
      <c r="H556" s="205"/>
      <c r="I556" s="281"/>
    </row>
    <row r="557" spans="1:9" s="71" customFormat="1" ht="150" outlineLevel="2">
      <c r="A557" s="68" t="s">
        <v>438</v>
      </c>
      <c r="B557" s="68" t="s">
        <v>2774</v>
      </c>
      <c r="C557" s="116" t="s">
        <v>872</v>
      </c>
      <c r="D557" s="117" t="s">
        <v>57</v>
      </c>
      <c r="E557" s="117">
        <f>HIDROSANITÁRIO!C113</f>
        <v>2</v>
      </c>
      <c r="F557" s="204">
        <v>4622.92</v>
      </c>
      <c r="G557" s="219">
        <f t="shared" ref="G557:G562" si="161">TRUNC(F557*(1+$E$2),2)</f>
        <v>5858.62</v>
      </c>
      <c r="H557" s="219">
        <f t="shared" ref="H557" si="162">TRUNC((G557*E557),2)</f>
        <v>11717.24</v>
      </c>
      <c r="I557" s="281"/>
    </row>
    <row r="558" spans="1:9" s="71" customFormat="1" ht="150" outlineLevel="2">
      <c r="A558" s="68" t="s">
        <v>439</v>
      </c>
      <c r="B558" s="68" t="s">
        <v>2036</v>
      </c>
      <c r="C558" s="116" t="s">
        <v>2037</v>
      </c>
      <c r="D558" s="117" t="s">
        <v>57</v>
      </c>
      <c r="E558" s="117">
        <f>HIDROSANITÁRIO!C114</f>
        <v>1</v>
      </c>
      <c r="F558" s="204">
        <v>3727.69</v>
      </c>
      <c r="G558" s="219">
        <f t="shared" si="161"/>
        <v>4724.1000000000004</v>
      </c>
      <c r="H558" s="219">
        <f t="shared" ref="H558:H562" si="163">TRUNC((G558*E558),2)</f>
        <v>4724.1000000000004</v>
      </c>
      <c r="I558" s="281"/>
    </row>
    <row r="559" spans="1:9" s="71" customFormat="1" ht="150" outlineLevel="2">
      <c r="A559" s="68" t="s">
        <v>2347</v>
      </c>
      <c r="B559" s="68" t="s">
        <v>2040</v>
      </c>
      <c r="C559" s="116" t="s">
        <v>2041</v>
      </c>
      <c r="D559" s="117" t="s">
        <v>57</v>
      </c>
      <c r="E559" s="117">
        <f>HIDROSANITÁRIO!C115</f>
        <v>1</v>
      </c>
      <c r="F559" s="204">
        <v>3587.69</v>
      </c>
      <c r="G559" s="219">
        <f t="shared" si="161"/>
        <v>4546.67</v>
      </c>
      <c r="H559" s="219">
        <f t="shared" si="163"/>
        <v>4546.67</v>
      </c>
      <c r="I559" s="281"/>
    </row>
    <row r="560" spans="1:9" s="71" customFormat="1" outlineLevel="2">
      <c r="A560" s="68" t="s">
        <v>2348</v>
      </c>
      <c r="B560" s="68" t="s">
        <v>867</v>
      </c>
      <c r="C560" s="116" t="s">
        <v>868</v>
      </c>
      <c r="D560" s="117" t="s">
        <v>57</v>
      </c>
      <c r="E560" s="117">
        <f>HIDROSANITÁRIO!C116</f>
        <v>6</v>
      </c>
      <c r="F560" s="204">
        <v>161.4</v>
      </c>
      <c r="G560" s="219">
        <f t="shared" si="161"/>
        <v>204.54</v>
      </c>
      <c r="H560" s="219">
        <f t="shared" si="163"/>
        <v>1227.24</v>
      </c>
      <c r="I560" s="281"/>
    </row>
    <row r="561" spans="1:9" s="71" customFormat="1" ht="90" outlineLevel="2">
      <c r="A561" s="68" t="s">
        <v>2349</v>
      </c>
      <c r="B561" s="68" t="s">
        <v>2770</v>
      </c>
      <c r="C561" s="116" t="s">
        <v>693</v>
      </c>
      <c r="D561" s="117" t="s">
        <v>57</v>
      </c>
      <c r="E561" s="117">
        <f>HIDROSANITÁRIO!C117</f>
        <v>1</v>
      </c>
      <c r="F561" s="204">
        <v>170.58</v>
      </c>
      <c r="G561" s="219">
        <f t="shared" si="161"/>
        <v>216.17</v>
      </c>
      <c r="H561" s="219">
        <f t="shared" si="163"/>
        <v>216.17</v>
      </c>
      <c r="I561" s="281"/>
    </row>
    <row r="562" spans="1:9" s="71" customFormat="1" ht="60" outlineLevel="2">
      <c r="A562" s="68" t="s">
        <v>2350</v>
      </c>
      <c r="B562" s="68" t="s">
        <v>873</v>
      </c>
      <c r="C562" s="116" t="s">
        <v>874</v>
      </c>
      <c r="D562" s="117" t="s">
        <v>57</v>
      </c>
      <c r="E562" s="117">
        <f>HIDROSANITÁRIO!C118</f>
        <v>1</v>
      </c>
      <c r="F562" s="204">
        <v>386.78</v>
      </c>
      <c r="G562" s="219">
        <f t="shared" si="161"/>
        <v>490.16</v>
      </c>
      <c r="H562" s="219">
        <f t="shared" si="163"/>
        <v>490.16</v>
      </c>
      <c r="I562" s="281"/>
    </row>
    <row r="563" spans="1:9" s="71" customFormat="1" ht="15.75" outlineLevel="1">
      <c r="A563" s="79"/>
      <c r="B563" s="79"/>
      <c r="C563" s="119" t="s">
        <v>14</v>
      </c>
      <c r="D563" s="79"/>
      <c r="E563" s="81"/>
      <c r="F563" s="207"/>
      <c r="G563" s="220"/>
      <c r="H563" s="220">
        <f>SUM(H557:H562)</f>
        <v>22921.58</v>
      </c>
      <c r="I563" s="281"/>
    </row>
    <row r="564" spans="1:9" s="71" customFormat="1" ht="15.75" outlineLevel="1">
      <c r="A564" s="175" t="s">
        <v>440</v>
      </c>
      <c r="B564" s="68"/>
      <c r="C564" s="183" t="s">
        <v>343</v>
      </c>
      <c r="D564" s="117"/>
      <c r="E564" s="117"/>
      <c r="F564" s="204"/>
      <c r="G564" s="205"/>
      <c r="H564" s="205"/>
      <c r="I564" s="281"/>
    </row>
    <row r="565" spans="1:9" s="71" customFormat="1" ht="90" outlineLevel="2">
      <c r="A565" s="68" t="s">
        <v>441</v>
      </c>
      <c r="B565" s="68">
        <v>86942</v>
      </c>
      <c r="C565" s="69" t="s">
        <v>693</v>
      </c>
      <c r="D565" s="117" t="s">
        <v>5</v>
      </c>
      <c r="E565" s="117">
        <f>HIDROSANITÁRIO!C121</f>
        <v>2</v>
      </c>
      <c r="F565" s="204">
        <v>170.58</v>
      </c>
      <c r="G565" s="219">
        <f t="shared" ref="G565:G570" si="164">TRUNC(F565*(1+$E$2),2)</f>
        <v>216.17</v>
      </c>
      <c r="H565" s="219">
        <f t="shared" ref="H565" si="165">TRUNC((G565*E565),2)</f>
        <v>432.34</v>
      </c>
      <c r="I565" s="281"/>
    </row>
    <row r="566" spans="1:9" s="71" customFormat="1" ht="60" outlineLevel="2">
      <c r="A566" s="68" t="s">
        <v>1090</v>
      </c>
      <c r="B566" s="68">
        <v>86931</v>
      </c>
      <c r="C566" s="69" t="s">
        <v>694</v>
      </c>
      <c r="D566" s="117" t="s">
        <v>5</v>
      </c>
      <c r="E566" s="117">
        <f>HIDROSANITÁRIO!C122</f>
        <v>2</v>
      </c>
      <c r="F566" s="204">
        <v>345.75</v>
      </c>
      <c r="G566" s="219">
        <f t="shared" si="164"/>
        <v>438.16</v>
      </c>
      <c r="H566" s="219">
        <f t="shared" ref="H566:H570" si="166">TRUNC((G566*E566),2)</f>
        <v>876.32</v>
      </c>
      <c r="I566" s="281"/>
    </row>
    <row r="567" spans="1:9" s="71" customFormat="1" ht="30" outlineLevel="2">
      <c r="A567" s="68" t="s">
        <v>1091</v>
      </c>
      <c r="B567" s="68">
        <v>95544</v>
      </c>
      <c r="C567" s="116" t="s">
        <v>696</v>
      </c>
      <c r="D567" s="117" t="s">
        <v>5</v>
      </c>
      <c r="E567" s="117">
        <f>HIDROSANITÁRIO!C123</f>
        <v>2</v>
      </c>
      <c r="F567" s="204">
        <v>29.2</v>
      </c>
      <c r="G567" s="219">
        <f t="shared" si="164"/>
        <v>37</v>
      </c>
      <c r="H567" s="219">
        <f t="shared" si="166"/>
        <v>74</v>
      </c>
      <c r="I567" s="281"/>
    </row>
    <row r="568" spans="1:9" s="71" customFormat="1" ht="30" outlineLevel="2">
      <c r="A568" s="68" t="s">
        <v>1092</v>
      </c>
      <c r="B568" s="68">
        <v>9535</v>
      </c>
      <c r="C568" s="116" t="s">
        <v>692</v>
      </c>
      <c r="D568" s="117" t="s">
        <v>5</v>
      </c>
      <c r="E568" s="117">
        <f>HIDROSANITÁRIO!C124</f>
        <v>2</v>
      </c>
      <c r="F568" s="204">
        <v>63.66</v>
      </c>
      <c r="G568" s="219">
        <f t="shared" si="164"/>
        <v>80.67</v>
      </c>
      <c r="H568" s="219">
        <f t="shared" si="166"/>
        <v>161.34</v>
      </c>
      <c r="I568" s="281"/>
    </row>
    <row r="569" spans="1:9" s="71" customFormat="1" ht="30" outlineLevel="2">
      <c r="A569" s="68" t="s">
        <v>2167</v>
      </c>
      <c r="B569" s="68" t="s">
        <v>831</v>
      </c>
      <c r="C569" s="69" t="s">
        <v>832</v>
      </c>
      <c r="D569" s="117" t="s">
        <v>5</v>
      </c>
      <c r="E569" s="117">
        <f>HIDROSANITÁRIO!C125</f>
        <v>2</v>
      </c>
      <c r="F569" s="204">
        <v>48.08</v>
      </c>
      <c r="G569" s="219">
        <f t="shared" si="164"/>
        <v>60.93</v>
      </c>
      <c r="H569" s="219">
        <f t="shared" si="166"/>
        <v>121.86</v>
      </c>
      <c r="I569" s="281"/>
    </row>
    <row r="570" spans="1:9" s="71" customFormat="1" ht="45" outlineLevel="2">
      <c r="A570" s="68" t="s">
        <v>1093</v>
      </c>
      <c r="B570" s="68">
        <v>95547</v>
      </c>
      <c r="C570" s="69" t="s">
        <v>697</v>
      </c>
      <c r="D570" s="117" t="s">
        <v>5</v>
      </c>
      <c r="E570" s="117">
        <f>HIDROSANITÁRIO!C126</f>
        <v>2</v>
      </c>
      <c r="F570" s="204">
        <v>42.65</v>
      </c>
      <c r="G570" s="219">
        <f t="shared" si="164"/>
        <v>54.05</v>
      </c>
      <c r="H570" s="219">
        <f t="shared" si="166"/>
        <v>108.1</v>
      </c>
      <c r="I570" s="281"/>
    </row>
    <row r="571" spans="1:9" s="71" customFormat="1" ht="15.75" outlineLevel="1">
      <c r="A571" s="79"/>
      <c r="B571" s="79"/>
      <c r="C571" s="119" t="s">
        <v>14</v>
      </c>
      <c r="D571" s="79"/>
      <c r="E571" s="81"/>
      <c r="F571" s="207"/>
      <c r="G571" s="220"/>
      <c r="H571" s="220">
        <f>SUM(H565:H570)</f>
        <v>1773.9599999999998</v>
      </c>
      <c r="I571" s="281"/>
    </row>
    <row r="572" spans="1:9" s="71" customFormat="1" ht="15.75" outlineLevel="1">
      <c r="A572" s="175" t="s">
        <v>983</v>
      </c>
      <c r="B572" s="68"/>
      <c r="C572" s="183" t="s">
        <v>203</v>
      </c>
      <c r="D572" s="117"/>
      <c r="E572" s="117"/>
      <c r="F572" s="204"/>
      <c r="G572" s="205"/>
      <c r="H572" s="205"/>
      <c r="I572" s="281"/>
    </row>
    <row r="573" spans="1:9" s="281" customFormat="1" ht="105" outlineLevel="2">
      <c r="A573" s="227" t="s">
        <v>1094</v>
      </c>
      <c r="B573" s="227" t="s">
        <v>2615</v>
      </c>
      <c r="C573" s="169" t="s">
        <v>2775</v>
      </c>
      <c r="D573" s="170" t="s">
        <v>57</v>
      </c>
      <c r="E573" s="117">
        <f>HIDROSANITÁRIO!C129</f>
        <v>4</v>
      </c>
      <c r="F573" s="382">
        <v>668.18</v>
      </c>
      <c r="G573" s="219">
        <f t="shared" ref="G573:G581" si="167">TRUNC(F573*(1+$E$2),2)</f>
        <v>846.78</v>
      </c>
      <c r="H573" s="219">
        <f t="shared" ref="H573" si="168">TRUNC((G573*E573),2)</f>
        <v>3387.12</v>
      </c>
    </row>
    <row r="574" spans="1:9" s="71" customFormat="1" ht="75" outlineLevel="2">
      <c r="A574" s="227" t="s">
        <v>1095</v>
      </c>
      <c r="B574" s="68" t="s">
        <v>2776</v>
      </c>
      <c r="C574" s="116" t="s">
        <v>875</v>
      </c>
      <c r="D574" s="117" t="s">
        <v>57</v>
      </c>
      <c r="E574" s="117">
        <f>HIDROSANITÁRIO!C130</f>
        <v>4</v>
      </c>
      <c r="F574" s="204">
        <v>596.44000000000005</v>
      </c>
      <c r="G574" s="219">
        <f t="shared" si="167"/>
        <v>755.86</v>
      </c>
      <c r="H574" s="219">
        <f t="shared" ref="H574:H581" si="169">TRUNC((G574*E574),2)</f>
        <v>3023.44</v>
      </c>
      <c r="I574" s="281"/>
    </row>
    <row r="575" spans="1:9" s="71" customFormat="1" ht="60" outlineLevel="2">
      <c r="A575" s="227" t="s">
        <v>1096</v>
      </c>
      <c r="B575" s="68" t="s">
        <v>2042</v>
      </c>
      <c r="C575" s="169" t="s">
        <v>2043</v>
      </c>
      <c r="D575" s="117" t="s">
        <v>57</v>
      </c>
      <c r="E575" s="117">
        <f>HIDROSANITÁRIO!C131</f>
        <v>4</v>
      </c>
      <c r="F575" s="204">
        <v>566.73</v>
      </c>
      <c r="G575" s="219">
        <f t="shared" si="167"/>
        <v>718.21</v>
      </c>
      <c r="H575" s="219">
        <f t="shared" si="169"/>
        <v>2872.84</v>
      </c>
      <c r="I575" s="281"/>
    </row>
    <row r="576" spans="1:9" s="71" customFormat="1" ht="30" outlineLevel="2">
      <c r="A576" s="227" t="s">
        <v>1431</v>
      </c>
      <c r="B576" s="68" t="s">
        <v>876</v>
      </c>
      <c r="C576" s="116" t="s">
        <v>2777</v>
      </c>
      <c r="D576" s="117" t="s">
        <v>57</v>
      </c>
      <c r="E576" s="117">
        <f>HIDROSANITÁRIO!C132</f>
        <v>4</v>
      </c>
      <c r="F576" s="204">
        <v>78.91</v>
      </c>
      <c r="G576" s="219">
        <f t="shared" si="167"/>
        <v>100</v>
      </c>
      <c r="H576" s="219">
        <f t="shared" si="169"/>
        <v>400</v>
      </c>
      <c r="I576" s="281"/>
    </row>
    <row r="577" spans="1:9" s="71" customFormat="1" ht="30" outlineLevel="2">
      <c r="A577" s="227" t="s">
        <v>1432</v>
      </c>
      <c r="B577" s="68" t="s">
        <v>2767</v>
      </c>
      <c r="C577" s="69" t="s">
        <v>696</v>
      </c>
      <c r="D577" s="117" t="s">
        <v>57</v>
      </c>
      <c r="E577" s="117">
        <f>HIDROSANITÁRIO!C133</f>
        <v>4</v>
      </c>
      <c r="F577" s="204">
        <v>29.2</v>
      </c>
      <c r="G577" s="219">
        <f t="shared" si="167"/>
        <v>37</v>
      </c>
      <c r="H577" s="219">
        <f t="shared" si="169"/>
        <v>148</v>
      </c>
      <c r="I577" s="281"/>
    </row>
    <row r="578" spans="1:9" s="71" customFormat="1" ht="30" outlineLevel="2">
      <c r="A578" s="227" t="s">
        <v>1433</v>
      </c>
      <c r="B578" s="68" t="s">
        <v>831</v>
      </c>
      <c r="C578" s="69" t="s">
        <v>832</v>
      </c>
      <c r="D578" s="117" t="s">
        <v>57</v>
      </c>
      <c r="E578" s="117">
        <f>HIDROSANITÁRIO!C134</f>
        <v>4</v>
      </c>
      <c r="F578" s="204">
        <v>48.08</v>
      </c>
      <c r="G578" s="219">
        <f t="shared" si="167"/>
        <v>60.93</v>
      </c>
      <c r="H578" s="219">
        <f t="shared" si="169"/>
        <v>243.72</v>
      </c>
      <c r="I578" s="281"/>
    </row>
    <row r="579" spans="1:9" s="71" customFormat="1" ht="30" outlineLevel="2">
      <c r="A579" s="227" t="s">
        <v>2351</v>
      </c>
      <c r="B579" s="68" t="s">
        <v>2769</v>
      </c>
      <c r="C579" s="116" t="s">
        <v>692</v>
      </c>
      <c r="D579" s="117" t="s">
        <v>57</v>
      </c>
      <c r="E579" s="117">
        <f>HIDROSANITÁRIO!C135</f>
        <v>2</v>
      </c>
      <c r="F579" s="204">
        <v>63.66</v>
      </c>
      <c r="G579" s="219">
        <f t="shared" si="167"/>
        <v>80.67</v>
      </c>
      <c r="H579" s="219">
        <f t="shared" si="169"/>
        <v>161.34</v>
      </c>
      <c r="I579" s="281"/>
    </row>
    <row r="580" spans="1:9" s="71" customFormat="1" ht="45" outlineLevel="2">
      <c r="A580" s="227" t="s">
        <v>2352</v>
      </c>
      <c r="B580" s="68" t="s">
        <v>2768</v>
      </c>
      <c r="C580" s="69" t="s">
        <v>697</v>
      </c>
      <c r="D580" s="117" t="s">
        <v>57</v>
      </c>
      <c r="E580" s="117">
        <f>HIDROSANITÁRIO!C136</f>
        <v>4</v>
      </c>
      <c r="F580" s="204">
        <v>42.65</v>
      </c>
      <c r="G580" s="219">
        <f t="shared" si="167"/>
        <v>54.05</v>
      </c>
      <c r="H580" s="219">
        <f t="shared" si="169"/>
        <v>216.2</v>
      </c>
      <c r="I580" s="281"/>
    </row>
    <row r="581" spans="1:9" s="71" customFormat="1" ht="60" outlineLevel="2">
      <c r="A581" s="227" t="s">
        <v>2353</v>
      </c>
      <c r="B581" s="227" t="s">
        <v>2778</v>
      </c>
      <c r="C581" s="169" t="s">
        <v>2466</v>
      </c>
      <c r="D581" s="117" t="s">
        <v>57</v>
      </c>
      <c r="E581" s="117">
        <f>HIDROSANITÁRIO!C137</f>
        <v>2</v>
      </c>
      <c r="F581" s="382">
        <v>228.65</v>
      </c>
      <c r="G581" s="219">
        <f t="shared" si="167"/>
        <v>289.76</v>
      </c>
      <c r="H581" s="219">
        <f t="shared" si="169"/>
        <v>579.52</v>
      </c>
      <c r="I581" s="281"/>
    </row>
    <row r="582" spans="1:9" s="71" customFormat="1" ht="15.75" outlineLevel="1">
      <c r="A582" s="79"/>
      <c r="B582" s="122"/>
      <c r="C582" s="119" t="s">
        <v>14</v>
      </c>
      <c r="D582" s="79"/>
      <c r="E582" s="81"/>
      <c r="F582" s="207"/>
      <c r="G582" s="220"/>
      <c r="H582" s="220">
        <f>SUM(H573:H581)</f>
        <v>11032.18</v>
      </c>
      <c r="I582" s="281"/>
    </row>
    <row r="583" spans="1:9" s="71" customFormat="1" ht="15.75" outlineLevel="1">
      <c r="A583" s="178" t="s">
        <v>984</v>
      </c>
      <c r="B583" s="178"/>
      <c r="C583" s="184" t="s">
        <v>201</v>
      </c>
      <c r="D583" s="178"/>
      <c r="E583" s="181"/>
      <c r="F583" s="210"/>
      <c r="G583" s="221"/>
      <c r="H583" s="210"/>
      <c r="I583" s="281"/>
    </row>
    <row r="584" spans="1:9" s="71" customFormat="1" ht="45" outlineLevel="2">
      <c r="A584" s="68" t="s">
        <v>3173</v>
      </c>
      <c r="B584" s="227" t="s">
        <v>698</v>
      </c>
      <c r="C584" s="169" t="s">
        <v>699</v>
      </c>
      <c r="D584" s="227" t="s">
        <v>57</v>
      </c>
      <c r="E584" s="570">
        <f>HIDROSANITÁRIO!C140</f>
        <v>2</v>
      </c>
      <c r="F584" s="222">
        <v>142.13</v>
      </c>
      <c r="G584" s="219">
        <f t="shared" ref="G584:G611" si="170">TRUNC(F584*(1+$E$2),2)</f>
        <v>180.12</v>
      </c>
      <c r="H584" s="219">
        <f t="shared" ref="H584" si="171">TRUNC((G584*E584),2)</f>
        <v>360.24</v>
      </c>
      <c r="I584" s="281"/>
    </row>
    <row r="585" spans="1:9" s="71" customFormat="1" ht="90" outlineLevel="2">
      <c r="A585" s="68" t="s">
        <v>1097</v>
      </c>
      <c r="B585" s="227" t="s">
        <v>700</v>
      </c>
      <c r="C585" s="169" t="s">
        <v>701</v>
      </c>
      <c r="D585" s="227" t="s">
        <v>57</v>
      </c>
      <c r="E585" s="570">
        <f>HIDROSANITÁRIO!C141</f>
        <v>7</v>
      </c>
      <c r="F585" s="222">
        <v>127.19</v>
      </c>
      <c r="G585" s="219">
        <f t="shared" si="170"/>
        <v>161.18</v>
      </c>
      <c r="H585" s="219">
        <f t="shared" ref="H585:H611" si="172">TRUNC((G585*E585),2)</f>
        <v>1128.26</v>
      </c>
      <c r="I585" s="281"/>
    </row>
    <row r="586" spans="1:9" s="71" customFormat="1" ht="30" outlineLevel="2">
      <c r="A586" s="68" t="s">
        <v>1098</v>
      </c>
      <c r="B586" s="227" t="s">
        <v>2779</v>
      </c>
      <c r="C586" s="169" t="s">
        <v>702</v>
      </c>
      <c r="D586" s="227" t="s">
        <v>57</v>
      </c>
      <c r="E586" s="570">
        <f>HIDROSANITÁRIO!C142</f>
        <v>7</v>
      </c>
      <c r="F586" s="222">
        <v>320.79000000000002</v>
      </c>
      <c r="G586" s="219">
        <f t="shared" si="170"/>
        <v>406.53</v>
      </c>
      <c r="H586" s="219">
        <f t="shared" si="172"/>
        <v>2845.71</v>
      </c>
      <c r="I586" s="281"/>
    </row>
    <row r="587" spans="1:9" s="71" customFormat="1" ht="45" outlineLevel="2">
      <c r="A587" s="68" t="s">
        <v>2168</v>
      </c>
      <c r="B587" s="227" t="s">
        <v>2780</v>
      </c>
      <c r="C587" s="169" t="s">
        <v>703</v>
      </c>
      <c r="D587" s="227" t="s">
        <v>57</v>
      </c>
      <c r="E587" s="570">
        <f>HIDROSANITÁRIO!C143</f>
        <v>13</v>
      </c>
      <c r="F587" s="222">
        <v>16.239999999999998</v>
      </c>
      <c r="G587" s="219">
        <f t="shared" si="170"/>
        <v>20.58</v>
      </c>
      <c r="H587" s="219">
        <f t="shared" si="172"/>
        <v>267.54000000000002</v>
      </c>
      <c r="I587" s="281"/>
    </row>
    <row r="588" spans="1:9" s="71" customFormat="1" ht="30" outlineLevel="2">
      <c r="A588" s="68" t="s">
        <v>2169</v>
      </c>
      <c r="B588" s="227" t="s">
        <v>878</v>
      </c>
      <c r="C588" s="169" t="s">
        <v>879</v>
      </c>
      <c r="D588" s="227" t="s">
        <v>57</v>
      </c>
      <c r="E588" s="570">
        <f>HIDROSANITÁRIO!C144</f>
        <v>16</v>
      </c>
      <c r="F588" s="222">
        <v>36.96</v>
      </c>
      <c r="G588" s="219">
        <f t="shared" si="170"/>
        <v>46.83</v>
      </c>
      <c r="H588" s="219">
        <f t="shared" si="172"/>
        <v>749.28</v>
      </c>
      <c r="I588" s="281"/>
    </row>
    <row r="589" spans="1:9" s="71" customFormat="1" ht="60" outlineLevel="2">
      <c r="A589" s="68" t="s">
        <v>2170</v>
      </c>
      <c r="B589" s="227" t="s">
        <v>2781</v>
      </c>
      <c r="C589" s="169" t="s">
        <v>2782</v>
      </c>
      <c r="D589" s="227" t="s">
        <v>57</v>
      </c>
      <c r="E589" s="570">
        <f>HIDROSANITÁRIO!C145</f>
        <v>18</v>
      </c>
      <c r="F589" s="222">
        <v>18.14</v>
      </c>
      <c r="G589" s="219">
        <f t="shared" si="170"/>
        <v>22.98</v>
      </c>
      <c r="H589" s="219">
        <f t="shared" si="172"/>
        <v>413.64</v>
      </c>
      <c r="I589" s="281"/>
    </row>
    <row r="590" spans="1:9" s="71" customFormat="1" ht="60" outlineLevel="2">
      <c r="A590" s="68" t="s">
        <v>3174</v>
      </c>
      <c r="B590" s="227" t="s">
        <v>2783</v>
      </c>
      <c r="C590" s="169" t="s">
        <v>880</v>
      </c>
      <c r="D590" s="227" t="s">
        <v>57</v>
      </c>
      <c r="E590" s="570">
        <f>HIDROSANITÁRIO!C146</f>
        <v>31</v>
      </c>
      <c r="F590" s="222">
        <v>5.69</v>
      </c>
      <c r="G590" s="219">
        <f t="shared" si="170"/>
        <v>7.21</v>
      </c>
      <c r="H590" s="219">
        <f t="shared" si="172"/>
        <v>223.51</v>
      </c>
      <c r="I590" s="281"/>
    </row>
    <row r="591" spans="1:9" s="71" customFormat="1" ht="60" outlineLevel="2">
      <c r="A591" s="68" t="s">
        <v>2171</v>
      </c>
      <c r="B591" s="227" t="s">
        <v>2784</v>
      </c>
      <c r="C591" s="169" t="s">
        <v>881</v>
      </c>
      <c r="D591" s="227" t="s">
        <v>57</v>
      </c>
      <c r="E591" s="570">
        <f>HIDROSANITÁRIO!C147</f>
        <v>6</v>
      </c>
      <c r="F591" s="222">
        <v>14.96</v>
      </c>
      <c r="G591" s="219">
        <f t="shared" si="170"/>
        <v>18.95</v>
      </c>
      <c r="H591" s="219">
        <f t="shared" si="172"/>
        <v>113.7</v>
      </c>
      <c r="I591" s="281"/>
    </row>
    <row r="592" spans="1:9" s="71" customFormat="1" ht="60" outlineLevel="2">
      <c r="A592" s="68" t="s">
        <v>2172</v>
      </c>
      <c r="B592" s="227" t="s">
        <v>2785</v>
      </c>
      <c r="C592" s="169" t="s">
        <v>882</v>
      </c>
      <c r="D592" s="227" t="s">
        <v>57</v>
      </c>
      <c r="E592" s="570">
        <f>HIDROSANITÁRIO!C148</f>
        <v>3</v>
      </c>
      <c r="F592" s="222">
        <v>6.68</v>
      </c>
      <c r="G592" s="219">
        <f t="shared" si="170"/>
        <v>8.4600000000000009</v>
      </c>
      <c r="H592" s="219">
        <f t="shared" si="172"/>
        <v>25.38</v>
      </c>
      <c r="I592" s="281"/>
    </row>
    <row r="593" spans="1:9" s="71" customFormat="1" ht="75" outlineLevel="2">
      <c r="A593" s="68" t="s">
        <v>2173</v>
      </c>
      <c r="B593" s="227" t="s">
        <v>2786</v>
      </c>
      <c r="C593" s="169" t="s">
        <v>704</v>
      </c>
      <c r="D593" s="227" t="s">
        <v>57</v>
      </c>
      <c r="E593" s="570">
        <f>HIDROSANITÁRIO!C149</f>
        <v>23</v>
      </c>
      <c r="F593" s="222">
        <v>26.44</v>
      </c>
      <c r="G593" s="219">
        <f t="shared" si="170"/>
        <v>33.5</v>
      </c>
      <c r="H593" s="219">
        <f t="shared" si="172"/>
        <v>770.5</v>
      </c>
      <c r="I593" s="281"/>
    </row>
    <row r="594" spans="1:9" s="71" customFormat="1" ht="75" outlineLevel="2">
      <c r="A594" s="68" t="s">
        <v>2354</v>
      </c>
      <c r="B594" s="227" t="s">
        <v>2787</v>
      </c>
      <c r="C594" s="169" t="s">
        <v>705</v>
      </c>
      <c r="D594" s="227" t="s">
        <v>57</v>
      </c>
      <c r="E594" s="570">
        <f>HIDROSANITÁRIO!C150</f>
        <v>26</v>
      </c>
      <c r="F594" s="222">
        <v>7.45</v>
      </c>
      <c r="G594" s="219">
        <f t="shared" si="170"/>
        <v>9.44</v>
      </c>
      <c r="H594" s="219">
        <f t="shared" si="172"/>
        <v>245.44</v>
      </c>
      <c r="I594" s="281"/>
    </row>
    <row r="595" spans="1:9" s="71" customFormat="1" ht="60" outlineLevel="2">
      <c r="A595" s="68" t="s">
        <v>2355</v>
      </c>
      <c r="B595" s="227" t="s">
        <v>2788</v>
      </c>
      <c r="C595" s="169" t="s">
        <v>718</v>
      </c>
      <c r="D595" s="227" t="s">
        <v>57</v>
      </c>
      <c r="E595" s="570">
        <f>HIDROSANITÁRIO!C151</f>
        <v>27</v>
      </c>
      <c r="F595" s="222">
        <v>7.86</v>
      </c>
      <c r="G595" s="219">
        <f t="shared" si="170"/>
        <v>9.9600000000000009</v>
      </c>
      <c r="H595" s="219">
        <f t="shared" si="172"/>
        <v>268.92</v>
      </c>
      <c r="I595" s="281"/>
    </row>
    <row r="596" spans="1:9" s="71" customFormat="1" ht="60" outlineLevel="2">
      <c r="A596" s="68" t="s">
        <v>2356</v>
      </c>
      <c r="B596" s="227" t="s">
        <v>2789</v>
      </c>
      <c r="C596" s="169" t="s">
        <v>706</v>
      </c>
      <c r="D596" s="227" t="s">
        <v>57</v>
      </c>
      <c r="E596" s="570">
        <f>HIDROSANITÁRIO!C152</f>
        <v>6</v>
      </c>
      <c r="F596" s="222">
        <v>10.46</v>
      </c>
      <c r="G596" s="219">
        <f t="shared" si="170"/>
        <v>13.25</v>
      </c>
      <c r="H596" s="219">
        <f t="shared" si="172"/>
        <v>79.5</v>
      </c>
      <c r="I596" s="281"/>
    </row>
    <row r="597" spans="1:9" s="71" customFormat="1" ht="60" outlineLevel="2">
      <c r="A597" s="68" t="s">
        <v>2357</v>
      </c>
      <c r="B597" s="227" t="s">
        <v>2790</v>
      </c>
      <c r="C597" s="169" t="s">
        <v>707</v>
      </c>
      <c r="D597" s="227" t="s">
        <v>57</v>
      </c>
      <c r="E597" s="570">
        <f>HIDROSANITÁRIO!C153</f>
        <v>17</v>
      </c>
      <c r="F597" s="222">
        <v>18.059999999999999</v>
      </c>
      <c r="G597" s="219">
        <f t="shared" si="170"/>
        <v>22.88</v>
      </c>
      <c r="H597" s="219">
        <f t="shared" si="172"/>
        <v>388.96</v>
      </c>
      <c r="I597" s="281"/>
    </row>
    <row r="598" spans="1:9" s="71" customFormat="1" ht="60" outlineLevel="2">
      <c r="A598" s="68" t="s">
        <v>2358</v>
      </c>
      <c r="B598" s="227" t="s">
        <v>2791</v>
      </c>
      <c r="C598" s="169" t="s">
        <v>708</v>
      </c>
      <c r="D598" s="227" t="s">
        <v>57</v>
      </c>
      <c r="E598" s="570">
        <f>HIDROSANITÁRIO!C154</f>
        <v>26</v>
      </c>
      <c r="F598" s="222">
        <v>5.7</v>
      </c>
      <c r="G598" s="219">
        <f t="shared" si="170"/>
        <v>7.22</v>
      </c>
      <c r="H598" s="219">
        <f t="shared" si="172"/>
        <v>187.72</v>
      </c>
      <c r="I598" s="281"/>
    </row>
    <row r="599" spans="1:9" s="71" customFormat="1" ht="30" outlineLevel="2">
      <c r="A599" s="68" t="s">
        <v>2359</v>
      </c>
      <c r="B599" s="227" t="s">
        <v>833</v>
      </c>
      <c r="C599" s="169" t="s">
        <v>834</v>
      </c>
      <c r="D599" s="227" t="s">
        <v>57</v>
      </c>
      <c r="E599" s="570">
        <f>HIDROSANITÁRIO!C155</f>
        <v>24</v>
      </c>
      <c r="F599" s="222">
        <v>32.68</v>
      </c>
      <c r="G599" s="219">
        <f t="shared" si="170"/>
        <v>41.41</v>
      </c>
      <c r="H599" s="219">
        <f t="shared" si="172"/>
        <v>993.84</v>
      </c>
      <c r="I599" s="281"/>
    </row>
    <row r="600" spans="1:9" s="71" customFormat="1" ht="75" outlineLevel="2">
      <c r="A600" s="68" t="s">
        <v>2360</v>
      </c>
      <c r="B600" s="227">
        <v>889795</v>
      </c>
      <c r="C600" s="169" t="s">
        <v>3098</v>
      </c>
      <c r="D600" s="227" t="s">
        <v>57</v>
      </c>
      <c r="E600" s="570">
        <f>HIDROSANITÁRIO!C156</f>
        <v>4</v>
      </c>
      <c r="F600" s="222">
        <v>26.4</v>
      </c>
      <c r="G600" s="219">
        <f t="shared" si="170"/>
        <v>33.450000000000003</v>
      </c>
      <c r="H600" s="219">
        <f t="shared" si="172"/>
        <v>133.80000000000001</v>
      </c>
      <c r="I600" s="281"/>
    </row>
    <row r="601" spans="1:9" s="71" customFormat="1" ht="75" outlineLevel="2">
      <c r="A601" s="68" t="s">
        <v>2361</v>
      </c>
      <c r="B601" s="227" t="s">
        <v>2792</v>
      </c>
      <c r="C601" s="169" t="s">
        <v>709</v>
      </c>
      <c r="D601" s="227" t="s">
        <v>57</v>
      </c>
      <c r="E601" s="570">
        <f>HIDROSANITÁRIO!C157</f>
        <v>15</v>
      </c>
      <c r="F601" s="222">
        <v>36.21</v>
      </c>
      <c r="G601" s="219">
        <f t="shared" si="170"/>
        <v>45.88</v>
      </c>
      <c r="H601" s="219">
        <f t="shared" si="172"/>
        <v>688.2</v>
      </c>
      <c r="I601" s="281"/>
    </row>
    <row r="602" spans="1:9" s="71" customFormat="1" ht="75" outlineLevel="2">
      <c r="A602" s="68" t="s">
        <v>2362</v>
      </c>
      <c r="B602" s="227" t="s">
        <v>2793</v>
      </c>
      <c r="C602" s="245" t="s">
        <v>710</v>
      </c>
      <c r="D602" s="227" t="s">
        <v>57</v>
      </c>
      <c r="E602" s="570">
        <f>HIDROSANITÁRIO!C158</f>
        <v>7</v>
      </c>
      <c r="F602" s="222">
        <v>15.84</v>
      </c>
      <c r="G602" s="219">
        <f t="shared" si="170"/>
        <v>20.07</v>
      </c>
      <c r="H602" s="219">
        <f t="shared" si="172"/>
        <v>140.49</v>
      </c>
      <c r="I602" s="281"/>
    </row>
    <row r="603" spans="1:9" s="71" customFormat="1" ht="30" outlineLevel="2">
      <c r="A603" s="68" t="s">
        <v>2363</v>
      </c>
      <c r="B603" s="227" t="s">
        <v>883</v>
      </c>
      <c r="C603" s="245" t="s">
        <v>884</v>
      </c>
      <c r="D603" s="227" t="s">
        <v>57</v>
      </c>
      <c r="E603" s="570">
        <f>HIDROSANITÁRIO!C159</f>
        <v>1</v>
      </c>
      <c r="F603" s="222">
        <v>25.39</v>
      </c>
      <c r="G603" s="219">
        <f t="shared" si="170"/>
        <v>32.17</v>
      </c>
      <c r="H603" s="219">
        <f t="shared" si="172"/>
        <v>32.17</v>
      </c>
      <c r="I603" s="281"/>
    </row>
    <row r="604" spans="1:9" s="71" customFormat="1" ht="30" outlineLevel="2">
      <c r="A604" s="68" t="s">
        <v>2364</v>
      </c>
      <c r="B604" s="227" t="s">
        <v>885</v>
      </c>
      <c r="C604" s="245" t="s">
        <v>2794</v>
      </c>
      <c r="D604" s="227" t="s">
        <v>57</v>
      </c>
      <c r="E604" s="570">
        <f>HIDROSANITÁRIO!C160</f>
        <v>6</v>
      </c>
      <c r="F604" s="222">
        <v>12.58</v>
      </c>
      <c r="G604" s="219">
        <f t="shared" si="170"/>
        <v>15.94</v>
      </c>
      <c r="H604" s="219">
        <f t="shared" si="172"/>
        <v>95.64</v>
      </c>
      <c r="I604" s="281"/>
    </row>
    <row r="605" spans="1:9" s="71" customFormat="1" ht="60" outlineLevel="2">
      <c r="A605" s="68" t="s">
        <v>2365</v>
      </c>
      <c r="B605" s="227" t="s">
        <v>2795</v>
      </c>
      <c r="C605" s="245" t="s">
        <v>711</v>
      </c>
      <c r="D605" s="227" t="s">
        <v>57</v>
      </c>
      <c r="E605" s="570">
        <f>HIDROSANITÁRIO!C161</f>
        <v>6</v>
      </c>
      <c r="F605" s="222">
        <v>9.18</v>
      </c>
      <c r="G605" s="219">
        <f t="shared" si="170"/>
        <v>11.63</v>
      </c>
      <c r="H605" s="219">
        <f t="shared" si="172"/>
        <v>69.78</v>
      </c>
      <c r="I605" s="281"/>
    </row>
    <row r="606" spans="1:9" s="71" customFormat="1" ht="60" outlineLevel="2">
      <c r="A606" s="68" t="s">
        <v>2366</v>
      </c>
      <c r="B606" s="227" t="s">
        <v>2796</v>
      </c>
      <c r="C606" s="281" t="s">
        <v>712</v>
      </c>
      <c r="D606" s="227" t="s">
        <v>101</v>
      </c>
      <c r="E606" s="570">
        <f>HIDROSANITÁRIO!C162</f>
        <v>115</v>
      </c>
      <c r="F606" s="222">
        <v>37.049999999999997</v>
      </c>
      <c r="G606" s="219">
        <f t="shared" si="170"/>
        <v>46.95</v>
      </c>
      <c r="H606" s="219">
        <f t="shared" si="172"/>
        <v>5399.25</v>
      </c>
      <c r="I606" s="281"/>
    </row>
    <row r="607" spans="1:9" s="71" customFormat="1" ht="60" outlineLevel="2">
      <c r="A607" s="68" t="s">
        <v>2367</v>
      </c>
      <c r="B607" s="227" t="s">
        <v>2797</v>
      </c>
      <c r="C607" s="281" t="s">
        <v>713</v>
      </c>
      <c r="D607" s="227" t="s">
        <v>101</v>
      </c>
      <c r="E607" s="570">
        <f>HIDROSANITÁRIO!C163</f>
        <v>83.22999999999999</v>
      </c>
      <c r="F607" s="222">
        <v>19.37</v>
      </c>
      <c r="G607" s="219">
        <f t="shared" si="170"/>
        <v>24.54</v>
      </c>
      <c r="H607" s="219">
        <f t="shared" si="172"/>
        <v>2042.46</v>
      </c>
      <c r="I607" s="281"/>
    </row>
    <row r="608" spans="1:9" s="71" customFormat="1" ht="60" outlineLevel="2">
      <c r="A608" s="68" t="s">
        <v>2368</v>
      </c>
      <c r="B608" s="227" t="s">
        <v>2798</v>
      </c>
      <c r="C608" s="281" t="s">
        <v>714</v>
      </c>
      <c r="D608" s="227" t="s">
        <v>101</v>
      </c>
      <c r="E608" s="570">
        <f>HIDROSANITÁRIO!C164</f>
        <v>25.110000000000003</v>
      </c>
      <c r="F608" s="222">
        <v>28.8</v>
      </c>
      <c r="G608" s="219">
        <f t="shared" si="170"/>
        <v>36.49</v>
      </c>
      <c r="H608" s="219">
        <f t="shared" si="172"/>
        <v>916.26</v>
      </c>
      <c r="I608" s="281"/>
    </row>
    <row r="609" spans="1:9" s="71" customFormat="1" ht="45" outlineLevel="2">
      <c r="A609" s="68" t="s">
        <v>2369</v>
      </c>
      <c r="B609" s="227" t="s">
        <v>2799</v>
      </c>
      <c r="C609" s="281" t="s">
        <v>715</v>
      </c>
      <c r="D609" s="227" t="s">
        <v>101</v>
      </c>
      <c r="E609" s="570">
        <f>HIDROSANITÁRIO!C165</f>
        <v>10.5</v>
      </c>
      <c r="F609" s="222">
        <v>35.74</v>
      </c>
      <c r="G609" s="219">
        <f t="shared" si="170"/>
        <v>45.29</v>
      </c>
      <c r="H609" s="219">
        <f t="shared" si="172"/>
        <v>475.54</v>
      </c>
      <c r="I609" s="281"/>
    </row>
    <row r="610" spans="1:9" s="71" customFormat="1" ht="60" outlineLevel="2">
      <c r="A610" s="68" t="s">
        <v>2370</v>
      </c>
      <c r="B610" s="227" t="s">
        <v>2800</v>
      </c>
      <c r="C610" s="169" t="s">
        <v>716</v>
      </c>
      <c r="D610" s="227" t="s">
        <v>101</v>
      </c>
      <c r="E610" s="570">
        <f>HIDROSANITÁRIO!C166</f>
        <v>25.470000000000002</v>
      </c>
      <c r="F610" s="222">
        <v>13.16</v>
      </c>
      <c r="G610" s="219">
        <f t="shared" si="170"/>
        <v>16.670000000000002</v>
      </c>
      <c r="H610" s="219">
        <f t="shared" si="172"/>
        <v>424.58</v>
      </c>
      <c r="I610" s="281"/>
    </row>
    <row r="611" spans="1:9" s="71" customFormat="1" ht="60" outlineLevel="2">
      <c r="A611" s="68" t="s">
        <v>2371</v>
      </c>
      <c r="B611" s="227">
        <v>89784</v>
      </c>
      <c r="C611" s="281" t="s">
        <v>3099</v>
      </c>
      <c r="D611" s="227" t="s">
        <v>57</v>
      </c>
      <c r="E611" s="570">
        <f>HIDROSANITÁRIO!C167</f>
        <v>10</v>
      </c>
      <c r="F611" s="222">
        <v>14.77</v>
      </c>
      <c r="G611" s="219">
        <f t="shared" si="170"/>
        <v>18.71</v>
      </c>
      <c r="H611" s="219">
        <f t="shared" si="172"/>
        <v>187.1</v>
      </c>
      <c r="I611" s="281"/>
    </row>
    <row r="612" spans="1:9" s="71" customFormat="1" ht="15.75" outlineLevel="1">
      <c r="A612" s="79"/>
      <c r="B612" s="588"/>
      <c r="C612" s="612" t="s">
        <v>14</v>
      </c>
      <c r="D612" s="588"/>
      <c r="E612" s="590"/>
      <c r="F612" s="591"/>
      <c r="G612" s="592"/>
      <c r="H612" s="592">
        <f>SUM(H584:H611)</f>
        <v>19667.41</v>
      </c>
      <c r="I612" s="281"/>
    </row>
    <row r="613" spans="1:9" s="71" customFormat="1" ht="15.75" outlineLevel="1">
      <c r="A613" s="175" t="s">
        <v>985</v>
      </c>
      <c r="B613" s="247"/>
      <c r="C613" s="613" t="s">
        <v>202</v>
      </c>
      <c r="D613" s="247"/>
      <c r="E613" s="614"/>
      <c r="F613" s="608"/>
      <c r="G613" s="222"/>
      <c r="H613" s="222"/>
      <c r="I613" s="281"/>
    </row>
    <row r="614" spans="1:9" s="71" customFormat="1" ht="60" outlineLevel="2">
      <c r="A614" s="68" t="s">
        <v>1099</v>
      </c>
      <c r="B614" s="227" t="s">
        <v>2801</v>
      </c>
      <c r="C614" s="169" t="s">
        <v>717</v>
      </c>
      <c r="D614" s="227" t="s">
        <v>57</v>
      </c>
      <c r="E614" s="570">
        <f>HIDROSANITÁRIO!C170</f>
        <v>2</v>
      </c>
      <c r="F614" s="222">
        <v>10.06</v>
      </c>
      <c r="G614" s="219">
        <f t="shared" ref="G614:G619" si="173">TRUNC(F614*(1+$E$2),2)</f>
        <v>12.74</v>
      </c>
      <c r="H614" s="219">
        <f t="shared" ref="H614" si="174">TRUNC((G614*E614),2)</f>
        <v>25.48</v>
      </c>
      <c r="I614" s="281"/>
    </row>
    <row r="615" spans="1:9" s="71" customFormat="1" ht="60" outlineLevel="2">
      <c r="A615" s="68" t="s">
        <v>3175</v>
      </c>
      <c r="B615" s="227" t="s">
        <v>2788</v>
      </c>
      <c r="C615" s="169" t="s">
        <v>718</v>
      </c>
      <c r="D615" s="227" t="s">
        <v>57</v>
      </c>
      <c r="E615" s="570">
        <f>HIDROSANITÁRIO!C171</f>
        <v>24</v>
      </c>
      <c r="F615" s="222">
        <v>7.86</v>
      </c>
      <c r="G615" s="219">
        <f t="shared" si="173"/>
        <v>9.9600000000000009</v>
      </c>
      <c r="H615" s="219">
        <f t="shared" ref="H615:H619" si="175">TRUNC((G615*E615),2)</f>
        <v>239.04</v>
      </c>
      <c r="I615" s="281"/>
    </row>
    <row r="616" spans="1:9" s="71" customFormat="1" ht="75" outlineLevel="2">
      <c r="A616" s="68" t="s">
        <v>1100</v>
      </c>
      <c r="B616" s="227" t="s">
        <v>2793</v>
      </c>
      <c r="C616" s="245" t="s">
        <v>710</v>
      </c>
      <c r="D616" s="227" t="s">
        <v>57</v>
      </c>
      <c r="E616" s="570">
        <f>HIDROSANITÁRIO!C172</f>
        <v>2</v>
      </c>
      <c r="F616" s="222">
        <v>15.84</v>
      </c>
      <c r="G616" s="219">
        <f t="shared" si="173"/>
        <v>20.07</v>
      </c>
      <c r="H616" s="219">
        <f t="shared" si="175"/>
        <v>40.14</v>
      </c>
      <c r="I616" s="281"/>
    </row>
    <row r="617" spans="1:9" s="71" customFormat="1" ht="30" outlineLevel="2">
      <c r="A617" s="68" t="s">
        <v>1101</v>
      </c>
      <c r="B617" s="227" t="s">
        <v>886</v>
      </c>
      <c r="C617" s="169" t="s">
        <v>887</v>
      </c>
      <c r="D617" s="227" t="s">
        <v>57</v>
      </c>
      <c r="E617" s="570">
        <f>HIDROSANITÁRIO!C173</f>
        <v>10</v>
      </c>
      <c r="F617" s="222">
        <v>8.85</v>
      </c>
      <c r="G617" s="219">
        <f t="shared" si="173"/>
        <v>11.21</v>
      </c>
      <c r="H617" s="219">
        <f t="shared" si="175"/>
        <v>112.1</v>
      </c>
      <c r="I617" s="281"/>
    </row>
    <row r="618" spans="1:9" s="71" customFormat="1" ht="45" outlineLevel="2">
      <c r="A618" s="68" t="s">
        <v>1102</v>
      </c>
      <c r="B618" s="227" t="s">
        <v>2802</v>
      </c>
      <c r="C618" s="281" t="s">
        <v>719</v>
      </c>
      <c r="D618" s="227" t="s">
        <v>101</v>
      </c>
      <c r="E618" s="570">
        <f>HIDROSANITÁRIO!C174</f>
        <v>75.490000000000009</v>
      </c>
      <c r="F618" s="222">
        <v>7.95</v>
      </c>
      <c r="G618" s="219">
        <f t="shared" si="173"/>
        <v>10.07</v>
      </c>
      <c r="H618" s="219">
        <f t="shared" si="175"/>
        <v>760.18</v>
      </c>
      <c r="I618" s="281"/>
    </row>
    <row r="619" spans="1:9" s="71" customFormat="1" ht="60" outlineLevel="2">
      <c r="A619" s="68" t="s">
        <v>1103</v>
      </c>
      <c r="B619" s="227" t="s">
        <v>2803</v>
      </c>
      <c r="C619" s="169" t="s">
        <v>720</v>
      </c>
      <c r="D619" s="227" t="s">
        <v>57</v>
      </c>
      <c r="E619" s="570">
        <f>HIDROSANITÁRIO!C175</f>
        <v>21</v>
      </c>
      <c r="F619" s="222">
        <v>11.27</v>
      </c>
      <c r="G619" s="219">
        <f t="shared" si="173"/>
        <v>14.28</v>
      </c>
      <c r="H619" s="219">
        <f t="shared" si="175"/>
        <v>299.88</v>
      </c>
      <c r="I619" s="281"/>
    </row>
    <row r="620" spans="1:9" s="71" customFormat="1" ht="15.75" outlineLevel="1">
      <c r="A620" s="79"/>
      <c r="B620" s="588"/>
      <c r="C620" s="612" t="s">
        <v>14</v>
      </c>
      <c r="D620" s="588"/>
      <c r="E620" s="590"/>
      <c r="F620" s="591"/>
      <c r="G620" s="592"/>
      <c r="H620" s="592">
        <f>SUM(H614:H619)</f>
        <v>1476.8200000000002</v>
      </c>
      <c r="I620" s="281"/>
    </row>
    <row r="621" spans="1:9" s="71" customFormat="1" ht="15.75" outlineLevel="1">
      <c r="A621" s="175" t="s">
        <v>986</v>
      </c>
      <c r="B621" s="247"/>
      <c r="C621" s="613" t="s">
        <v>345</v>
      </c>
      <c r="D621" s="247"/>
      <c r="E621" s="614"/>
      <c r="F621" s="608"/>
      <c r="G621" s="222"/>
      <c r="H621" s="222"/>
      <c r="I621" s="281"/>
    </row>
    <row r="622" spans="1:9" s="71" customFormat="1" ht="30" outlineLevel="2">
      <c r="A622" s="68" t="s">
        <v>1104</v>
      </c>
      <c r="B622" s="227" t="s">
        <v>889</v>
      </c>
      <c r="C622" s="245" t="s">
        <v>890</v>
      </c>
      <c r="D622" s="227" t="s">
        <v>57</v>
      </c>
      <c r="E622" s="570">
        <f>HIDROSANITÁRIO!C178</f>
        <v>1</v>
      </c>
      <c r="F622" s="222">
        <v>7175.49</v>
      </c>
      <c r="G622" s="219">
        <f t="shared" ref="G622:G625" si="176">TRUNC(F622*(1+$E$2),2)</f>
        <v>9093.49</v>
      </c>
      <c r="H622" s="219">
        <f t="shared" ref="H622" si="177">TRUNC((G622*E622),2)</f>
        <v>9093.49</v>
      </c>
      <c r="I622" s="281"/>
    </row>
    <row r="623" spans="1:9" s="71" customFormat="1" ht="30" outlineLevel="2">
      <c r="A623" s="68" t="s">
        <v>1105</v>
      </c>
      <c r="B623" s="227" t="s">
        <v>2230</v>
      </c>
      <c r="C623" s="245" t="s">
        <v>2231</v>
      </c>
      <c r="D623" s="227" t="s">
        <v>57</v>
      </c>
      <c r="E623" s="570">
        <f>HIDROSANITÁRIO!C179</f>
        <v>1</v>
      </c>
      <c r="F623" s="222">
        <v>13549.36</v>
      </c>
      <c r="G623" s="219">
        <f t="shared" si="176"/>
        <v>17171.099999999999</v>
      </c>
      <c r="H623" s="219">
        <f t="shared" ref="H623:H625" si="178">TRUNC((G623*E623),2)</f>
        <v>17171.099999999999</v>
      </c>
      <c r="I623" s="281"/>
    </row>
    <row r="624" spans="1:9" s="71" customFormat="1" ht="27" customHeight="1" outlineLevel="2">
      <c r="A624" s="68" t="s">
        <v>1106</v>
      </c>
      <c r="B624" s="227" t="s">
        <v>936</v>
      </c>
      <c r="C624" s="245" t="s">
        <v>937</v>
      </c>
      <c r="D624" s="227" t="s">
        <v>57</v>
      </c>
      <c r="E624" s="570">
        <f>HIDROSANITÁRIO!C180</f>
        <v>2</v>
      </c>
      <c r="F624" s="222">
        <v>6692.02</v>
      </c>
      <c r="G624" s="219">
        <f t="shared" si="176"/>
        <v>8480.7900000000009</v>
      </c>
      <c r="H624" s="219">
        <f t="shared" si="178"/>
        <v>16961.580000000002</v>
      </c>
      <c r="I624" s="281"/>
    </row>
    <row r="625" spans="1:9" s="71" customFormat="1" ht="60" outlineLevel="2">
      <c r="A625" s="68" t="s">
        <v>1107</v>
      </c>
      <c r="B625" s="227" t="s">
        <v>938</v>
      </c>
      <c r="C625" s="245" t="s">
        <v>2804</v>
      </c>
      <c r="D625" s="227" t="s">
        <v>57</v>
      </c>
      <c r="E625" s="570">
        <f>HIDROSANITÁRIO!C181</f>
        <v>3</v>
      </c>
      <c r="F625" s="222">
        <v>3916.24</v>
      </c>
      <c r="G625" s="219">
        <f t="shared" si="176"/>
        <v>4963.05</v>
      </c>
      <c r="H625" s="219">
        <f t="shared" si="178"/>
        <v>14889.15</v>
      </c>
      <c r="I625" s="281"/>
    </row>
    <row r="626" spans="1:9" ht="15.75" outlineLevel="1">
      <c r="A626" s="79"/>
      <c r="B626" s="588"/>
      <c r="C626" s="612" t="s">
        <v>14</v>
      </c>
      <c r="D626" s="588"/>
      <c r="E626" s="590"/>
      <c r="F626" s="591"/>
      <c r="G626" s="592"/>
      <c r="H626" s="592">
        <f>SUM(H622:H625)</f>
        <v>58115.32</v>
      </c>
    </row>
    <row r="627" spans="1:9" s="71" customFormat="1" ht="31.5" outlineLevel="1">
      <c r="A627" s="175" t="s">
        <v>987</v>
      </c>
      <c r="B627" s="247"/>
      <c r="C627" s="613" t="s">
        <v>2614</v>
      </c>
      <c r="D627" s="247"/>
      <c r="E627" s="614"/>
      <c r="F627" s="608"/>
      <c r="G627" s="222"/>
      <c r="H627" s="222"/>
      <c r="I627" s="281"/>
    </row>
    <row r="628" spans="1:9" s="71" customFormat="1" ht="45.75" customHeight="1" outlineLevel="2">
      <c r="A628" s="68" t="s">
        <v>1108</v>
      </c>
      <c r="B628" s="227" t="s">
        <v>2712</v>
      </c>
      <c r="C628" s="245" t="s">
        <v>721</v>
      </c>
      <c r="D628" s="170" t="s">
        <v>101</v>
      </c>
      <c r="E628" s="170">
        <f>HIDROSANITÁRIO!C184</f>
        <v>224.45</v>
      </c>
      <c r="F628" s="382">
        <v>6.8</v>
      </c>
      <c r="G628" s="219">
        <f t="shared" ref="G628:G644" si="179">TRUNC(F628*(1+$E$2),2)</f>
        <v>8.61</v>
      </c>
      <c r="H628" s="219">
        <f t="shared" ref="H628" si="180">TRUNC((G628*E628),2)</f>
        <v>1932.51</v>
      </c>
      <c r="I628" s="281"/>
    </row>
    <row r="629" spans="1:9" s="71" customFormat="1" ht="45.75" customHeight="1" outlineLevel="2">
      <c r="A629" s="68" t="s">
        <v>1109</v>
      </c>
      <c r="B629" s="227" t="s">
        <v>2805</v>
      </c>
      <c r="C629" s="245" t="s">
        <v>722</v>
      </c>
      <c r="D629" s="227" t="s">
        <v>57</v>
      </c>
      <c r="E629" s="170">
        <f>HIDROSANITÁRIO!C185</f>
        <v>18</v>
      </c>
      <c r="F629" s="382">
        <v>134.41</v>
      </c>
      <c r="G629" s="219">
        <f t="shared" si="179"/>
        <v>170.33</v>
      </c>
      <c r="H629" s="219">
        <f t="shared" ref="H629:H644" si="181">TRUNC((G629*E629),2)</f>
        <v>3065.94</v>
      </c>
      <c r="I629" s="281"/>
    </row>
    <row r="630" spans="1:9" s="71" customFormat="1" ht="45" outlineLevel="2">
      <c r="A630" s="68" t="s">
        <v>1110</v>
      </c>
      <c r="B630" s="227" t="s">
        <v>2711</v>
      </c>
      <c r="C630" s="245" t="s">
        <v>672</v>
      </c>
      <c r="D630" s="170" t="s">
        <v>57</v>
      </c>
      <c r="E630" s="170">
        <f>HIDROSANITÁRIO!C186</f>
        <v>69</v>
      </c>
      <c r="F630" s="382">
        <v>3.26</v>
      </c>
      <c r="G630" s="219">
        <f t="shared" si="179"/>
        <v>4.13</v>
      </c>
      <c r="H630" s="219">
        <f t="shared" si="181"/>
        <v>284.97000000000003</v>
      </c>
      <c r="I630" s="281"/>
    </row>
    <row r="631" spans="1:9" s="71" customFormat="1" ht="45" outlineLevel="2">
      <c r="A631" s="68" t="s">
        <v>2232</v>
      </c>
      <c r="B631" s="227" t="s">
        <v>2745</v>
      </c>
      <c r="C631" s="245" t="s">
        <v>681</v>
      </c>
      <c r="D631" s="170" t="s">
        <v>57</v>
      </c>
      <c r="E631" s="170">
        <f>HIDROSANITÁRIO!C187</f>
        <v>22</v>
      </c>
      <c r="F631" s="382">
        <v>8.66</v>
      </c>
      <c r="G631" s="219">
        <f t="shared" si="179"/>
        <v>10.97</v>
      </c>
      <c r="H631" s="219">
        <f t="shared" si="181"/>
        <v>241.34</v>
      </c>
      <c r="I631" s="281"/>
    </row>
    <row r="632" spans="1:9" s="71" customFormat="1" ht="60" outlineLevel="2">
      <c r="A632" s="68" t="s">
        <v>2372</v>
      </c>
      <c r="B632" s="227" t="s">
        <v>3111</v>
      </c>
      <c r="C632" s="245" t="s">
        <v>3110</v>
      </c>
      <c r="D632" s="170" t="s">
        <v>57</v>
      </c>
      <c r="E632" s="570">
        <f>DRENAGEM!C2</f>
        <v>68</v>
      </c>
      <c r="F632" s="222">
        <v>289.08999999999997</v>
      </c>
      <c r="G632" s="219">
        <f t="shared" si="179"/>
        <v>366.36</v>
      </c>
      <c r="H632" s="219">
        <f t="shared" si="181"/>
        <v>24912.48</v>
      </c>
      <c r="I632" s="281"/>
    </row>
    <row r="633" spans="1:9" s="71" customFormat="1" ht="90" outlineLevel="2">
      <c r="A633" s="68" t="s">
        <v>2373</v>
      </c>
      <c r="B633" s="227" t="s">
        <v>700</v>
      </c>
      <c r="C633" s="245" t="s">
        <v>701</v>
      </c>
      <c r="D633" s="615" t="s">
        <v>57</v>
      </c>
      <c r="E633" s="570">
        <f>DRENAGEM!C3</f>
        <v>26</v>
      </c>
      <c r="F633" s="222">
        <v>127.19</v>
      </c>
      <c r="G633" s="219">
        <f t="shared" si="179"/>
        <v>161.18</v>
      </c>
      <c r="H633" s="219">
        <f t="shared" si="181"/>
        <v>4190.68</v>
      </c>
      <c r="I633" s="281"/>
    </row>
    <row r="634" spans="1:9" s="71" customFormat="1" ht="30" outlineLevel="2">
      <c r="A634" s="68" t="s">
        <v>2374</v>
      </c>
      <c r="B634" s="227" t="s">
        <v>2779</v>
      </c>
      <c r="C634" s="245" t="s">
        <v>702</v>
      </c>
      <c r="D634" s="615" t="s">
        <v>57</v>
      </c>
      <c r="E634" s="570">
        <f>DRENAGEM!C4</f>
        <v>2</v>
      </c>
      <c r="F634" s="222">
        <v>320.79000000000002</v>
      </c>
      <c r="G634" s="219">
        <f t="shared" si="179"/>
        <v>406.53</v>
      </c>
      <c r="H634" s="219">
        <f t="shared" si="181"/>
        <v>813.06</v>
      </c>
      <c r="I634" s="281"/>
    </row>
    <row r="635" spans="1:9" s="71" customFormat="1" ht="60" outlineLevel="2">
      <c r="A635" s="68" t="s">
        <v>2375</v>
      </c>
      <c r="B635" s="227" t="s">
        <v>2796</v>
      </c>
      <c r="C635" s="245" t="s">
        <v>712</v>
      </c>
      <c r="D635" s="227" t="s">
        <v>101</v>
      </c>
      <c r="E635" s="570">
        <f>DRENAGEM!C5</f>
        <v>229</v>
      </c>
      <c r="F635" s="222">
        <v>37.049999999999997</v>
      </c>
      <c r="G635" s="219">
        <f t="shared" si="179"/>
        <v>46.95</v>
      </c>
      <c r="H635" s="219">
        <f t="shared" si="181"/>
        <v>10751.55</v>
      </c>
      <c r="I635" s="281"/>
    </row>
    <row r="636" spans="1:9" outlineLevel="2">
      <c r="A636" s="68" t="s">
        <v>2376</v>
      </c>
      <c r="B636" s="227" t="s">
        <v>2632</v>
      </c>
      <c r="C636" s="245" t="s">
        <v>524</v>
      </c>
      <c r="D636" s="227" t="s">
        <v>284</v>
      </c>
      <c r="E636" s="570">
        <f>DRENAGEM!C6</f>
        <v>52.66</v>
      </c>
      <c r="F636" s="222">
        <v>54.9</v>
      </c>
      <c r="G636" s="219">
        <f t="shared" si="179"/>
        <v>69.569999999999993</v>
      </c>
      <c r="H636" s="219">
        <f t="shared" si="181"/>
        <v>3663.55</v>
      </c>
    </row>
    <row r="637" spans="1:9" ht="45" outlineLevel="2">
      <c r="A637" s="68" t="s">
        <v>2377</v>
      </c>
      <c r="B637" s="227" t="s">
        <v>2633</v>
      </c>
      <c r="C637" s="245" t="s">
        <v>525</v>
      </c>
      <c r="D637" s="227" t="s">
        <v>108</v>
      </c>
      <c r="E637" s="570">
        <f>DRENAGEM!C7</f>
        <v>51.56</v>
      </c>
      <c r="F637" s="222">
        <v>4.18</v>
      </c>
      <c r="G637" s="219">
        <f t="shared" si="179"/>
        <v>5.29</v>
      </c>
      <c r="H637" s="219">
        <f t="shared" si="181"/>
        <v>272.75</v>
      </c>
    </row>
    <row r="638" spans="1:9" outlineLevel="2">
      <c r="A638" s="68" t="s">
        <v>2378</v>
      </c>
      <c r="B638" s="227" t="s">
        <v>268</v>
      </c>
      <c r="C638" s="245" t="s">
        <v>527</v>
      </c>
      <c r="D638" s="170" t="s">
        <v>284</v>
      </c>
      <c r="E638" s="416">
        <f>DRENAGEM!C8</f>
        <v>37.22</v>
      </c>
      <c r="F638" s="222">
        <v>41.64</v>
      </c>
      <c r="G638" s="219">
        <f t="shared" si="179"/>
        <v>52.77</v>
      </c>
      <c r="H638" s="219">
        <f t="shared" si="181"/>
        <v>1964.09</v>
      </c>
    </row>
    <row r="639" spans="1:9" ht="75" outlineLevel="2">
      <c r="A639" s="68" t="s">
        <v>2379</v>
      </c>
      <c r="B639" s="227">
        <v>90696</v>
      </c>
      <c r="C639" s="245" t="s">
        <v>3112</v>
      </c>
      <c r="D639" s="170" t="s">
        <v>76</v>
      </c>
      <c r="E639" s="416">
        <f>DRENAGEM!C9</f>
        <v>189</v>
      </c>
      <c r="F639" s="222">
        <v>55.45</v>
      </c>
      <c r="G639" s="219">
        <f t="shared" si="179"/>
        <v>70.27</v>
      </c>
      <c r="H639" s="219">
        <f t="shared" si="181"/>
        <v>13281.03</v>
      </c>
    </row>
    <row r="640" spans="1:9" outlineLevel="2">
      <c r="A640" s="68" t="s">
        <v>2380</v>
      </c>
      <c r="B640" s="227" t="s">
        <v>3113</v>
      </c>
      <c r="C640" s="245" t="s">
        <v>3114</v>
      </c>
      <c r="D640" s="170" t="s">
        <v>5</v>
      </c>
      <c r="E640" s="416">
        <f>DRENAGEM!C10</f>
        <v>18</v>
      </c>
      <c r="F640" s="222">
        <v>28.68</v>
      </c>
      <c r="G640" s="219">
        <f t="shared" si="179"/>
        <v>36.340000000000003</v>
      </c>
      <c r="H640" s="219">
        <f t="shared" si="181"/>
        <v>654.12</v>
      </c>
    </row>
    <row r="641" spans="1:9" ht="60" outlineLevel="2">
      <c r="A641" s="68" t="s">
        <v>2381</v>
      </c>
      <c r="B641" s="227">
        <v>72132</v>
      </c>
      <c r="C641" s="245" t="s">
        <v>1338</v>
      </c>
      <c r="D641" s="170" t="s">
        <v>108</v>
      </c>
      <c r="E641" s="416">
        <f>DRENAGEM!C11</f>
        <v>69</v>
      </c>
      <c r="F641" s="222">
        <v>54.73</v>
      </c>
      <c r="G641" s="219">
        <f t="shared" si="179"/>
        <v>69.349999999999994</v>
      </c>
      <c r="H641" s="219">
        <f t="shared" si="181"/>
        <v>4785.1499999999996</v>
      </c>
    </row>
    <row r="642" spans="1:9" ht="45" outlineLevel="2">
      <c r="A642" s="68" t="s">
        <v>3117</v>
      </c>
      <c r="B642" s="227">
        <v>73549</v>
      </c>
      <c r="C642" s="245" t="s">
        <v>3115</v>
      </c>
      <c r="D642" s="170" t="s">
        <v>284</v>
      </c>
      <c r="E642" s="416">
        <f>DRENAGEM!C12</f>
        <v>1.37</v>
      </c>
      <c r="F642" s="222">
        <v>462.06</v>
      </c>
      <c r="G642" s="219">
        <f t="shared" si="179"/>
        <v>585.55999999999995</v>
      </c>
      <c r="H642" s="219">
        <f t="shared" si="181"/>
        <v>802.21</v>
      </c>
    </row>
    <row r="643" spans="1:9" ht="45" outlineLevel="2">
      <c r="A643" s="68" t="s">
        <v>3118</v>
      </c>
      <c r="B643" s="227">
        <v>95241</v>
      </c>
      <c r="C643" s="245" t="s">
        <v>526</v>
      </c>
      <c r="D643" s="170" t="s">
        <v>108</v>
      </c>
      <c r="E643" s="416">
        <f>DRENAGEM!C13</f>
        <v>51.56</v>
      </c>
      <c r="F643" s="222">
        <v>19.12</v>
      </c>
      <c r="G643" s="219">
        <f t="shared" si="179"/>
        <v>24.23</v>
      </c>
      <c r="H643" s="219">
        <f t="shared" si="181"/>
        <v>1249.29</v>
      </c>
    </row>
    <row r="644" spans="1:9" ht="45" outlineLevel="2">
      <c r="A644" s="68" t="s">
        <v>3119</v>
      </c>
      <c r="B644" s="227">
        <v>89580</v>
      </c>
      <c r="C644" s="245" t="s">
        <v>3116</v>
      </c>
      <c r="D644" s="170" t="s">
        <v>76</v>
      </c>
      <c r="E644" s="416">
        <f>DRENAGEM!C14</f>
        <v>30.17</v>
      </c>
      <c r="F644" s="222">
        <v>44.36</v>
      </c>
      <c r="G644" s="219">
        <f t="shared" si="179"/>
        <v>56.21</v>
      </c>
      <c r="H644" s="219">
        <f t="shared" si="181"/>
        <v>1695.85</v>
      </c>
    </row>
    <row r="645" spans="1:9" s="71" customFormat="1" ht="15.75" outlineLevel="1">
      <c r="A645" s="79"/>
      <c r="B645" s="79"/>
      <c r="C645" s="80" t="s">
        <v>14</v>
      </c>
      <c r="D645" s="79"/>
      <c r="E645" s="81"/>
      <c r="F645" s="207"/>
      <c r="G645" s="220"/>
      <c r="H645" s="220">
        <f>SUM(H628:H644)</f>
        <v>74560.569999999992</v>
      </c>
      <c r="I645" s="281"/>
    </row>
    <row r="646" spans="1:9" ht="15.75">
      <c r="A646" s="66"/>
      <c r="B646" s="66"/>
      <c r="C646" s="67" t="s">
        <v>193</v>
      </c>
      <c r="D646" s="66"/>
      <c r="E646" s="81"/>
      <c r="F646" s="206"/>
      <c r="G646" s="208"/>
      <c r="H646" s="208">
        <f>H464+H515+H523+H533+H543+H551+H555+H563+H571+H582+H612+H620+H626+H645</f>
        <v>365348.73</v>
      </c>
    </row>
    <row r="647" spans="1:9" ht="15.75">
      <c r="A647" s="779" t="s">
        <v>191</v>
      </c>
      <c r="B647" s="779"/>
      <c r="C647" s="779"/>
      <c r="D647" s="779"/>
      <c r="E647" s="779"/>
      <c r="F647" s="779"/>
      <c r="G647" s="779"/>
      <c r="H647" s="779"/>
    </row>
    <row r="648" spans="1:9" ht="15.75" outlineLevel="1">
      <c r="A648" s="178" t="s">
        <v>988</v>
      </c>
      <c r="B648" s="178"/>
      <c r="C648" s="184" t="s">
        <v>191</v>
      </c>
      <c r="D648" s="178"/>
      <c r="E648" s="181"/>
      <c r="F648" s="210"/>
      <c r="G648" s="221"/>
      <c r="H648" s="210"/>
    </row>
    <row r="649" spans="1:9" ht="60" outlineLevel="2">
      <c r="A649" s="68" t="s">
        <v>1111</v>
      </c>
      <c r="B649" s="227" t="s">
        <v>968</v>
      </c>
      <c r="C649" s="245" t="s">
        <v>969</v>
      </c>
      <c r="D649" s="170" t="s">
        <v>57</v>
      </c>
      <c r="E649" s="416">
        <f>GLP!F3</f>
        <v>2</v>
      </c>
      <c r="F649" s="222">
        <v>8291.91</v>
      </c>
      <c r="G649" s="219">
        <f t="shared" ref="G649:G663" si="182">TRUNC(F649*(1+$E$2),2)</f>
        <v>10508.33</v>
      </c>
      <c r="H649" s="219">
        <f t="shared" ref="H649" si="183">TRUNC((G649*E649),2)</f>
        <v>21016.66</v>
      </c>
    </row>
    <row r="650" spans="1:9" outlineLevel="2">
      <c r="A650" s="68" t="s">
        <v>1112</v>
      </c>
      <c r="B650" s="227" t="s">
        <v>2632</v>
      </c>
      <c r="C650" s="245" t="s">
        <v>524</v>
      </c>
      <c r="D650" s="170" t="s">
        <v>284</v>
      </c>
      <c r="E650" s="416">
        <f>GLP!F4</f>
        <v>38.119999999999997</v>
      </c>
      <c r="F650" s="222">
        <v>54.9</v>
      </c>
      <c r="G650" s="219">
        <f t="shared" si="182"/>
        <v>69.569999999999993</v>
      </c>
      <c r="H650" s="219">
        <f t="shared" ref="H650:H663" si="184">TRUNC((G650*E650),2)</f>
        <v>2652</v>
      </c>
    </row>
    <row r="651" spans="1:9" outlineLevel="2">
      <c r="A651" s="68" t="s">
        <v>1113</v>
      </c>
      <c r="B651" s="227" t="s">
        <v>268</v>
      </c>
      <c r="C651" s="245" t="s">
        <v>527</v>
      </c>
      <c r="D651" s="170" t="s">
        <v>284</v>
      </c>
      <c r="E651" s="416">
        <f>GLP!F5</f>
        <v>34.299999999999997</v>
      </c>
      <c r="F651" s="222">
        <v>41.64</v>
      </c>
      <c r="G651" s="219">
        <f t="shared" si="182"/>
        <v>52.77</v>
      </c>
      <c r="H651" s="219">
        <f t="shared" si="184"/>
        <v>1810.01</v>
      </c>
    </row>
    <row r="652" spans="1:9" ht="60" outlineLevel="2">
      <c r="A652" s="68" t="s">
        <v>1114</v>
      </c>
      <c r="B652" s="227" t="s">
        <v>970</v>
      </c>
      <c r="C652" s="245" t="s">
        <v>2806</v>
      </c>
      <c r="D652" s="170" t="s">
        <v>108</v>
      </c>
      <c r="E652" s="416">
        <f>GLP!F6</f>
        <v>95.29</v>
      </c>
      <c r="F652" s="222">
        <v>14.08</v>
      </c>
      <c r="G652" s="219">
        <f t="shared" si="182"/>
        <v>17.84</v>
      </c>
      <c r="H652" s="219">
        <f t="shared" si="184"/>
        <v>1699.97</v>
      </c>
    </row>
    <row r="653" spans="1:9" ht="60" outlineLevel="2">
      <c r="A653" s="68" t="s">
        <v>1115</v>
      </c>
      <c r="B653" s="227" t="s">
        <v>2807</v>
      </c>
      <c r="C653" s="245" t="s">
        <v>2808</v>
      </c>
      <c r="D653" s="170" t="s">
        <v>101</v>
      </c>
      <c r="E653" s="416">
        <f>GLP!F8</f>
        <v>28</v>
      </c>
      <c r="F653" s="222">
        <v>14.1</v>
      </c>
      <c r="G653" s="219">
        <f t="shared" si="182"/>
        <v>17.86</v>
      </c>
      <c r="H653" s="219">
        <f t="shared" si="184"/>
        <v>500.08</v>
      </c>
    </row>
    <row r="654" spans="1:9" ht="60" outlineLevel="2">
      <c r="A654" s="68" t="s">
        <v>1434</v>
      </c>
      <c r="B654" s="227" t="s">
        <v>2809</v>
      </c>
      <c r="C654" s="245" t="s">
        <v>971</v>
      </c>
      <c r="D654" s="170" t="s">
        <v>101</v>
      </c>
      <c r="E654" s="416">
        <f>GLP!F7</f>
        <v>67.290000000000006</v>
      </c>
      <c r="F654" s="222">
        <v>20.32</v>
      </c>
      <c r="G654" s="219">
        <f t="shared" si="182"/>
        <v>25.75</v>
      </c>
      <c r="H654" s="219">
        <f t="shared" si="184"/>
        <v>1732.71</v>
      </c>
    </row>
    <row r="655" spans="1:9" ht="60" outlineLevel="2">
      <c r="A655" s="68" t="s">
        <v>1435</v>
      </c>
      <c r="B655" s="227" t="s">
        <v>2810</v>
      </c>
      <c r="C655" s="245" t="s">
        <v>972</v>
      </c>
      <c r="D655" s="170" t="s">
        <v>57</v>
      </c>
      <c r="E655" s="416">
        <f>GLP!F10</f>
        <v>3</v>
      </c>
      <c r="F655" s="222">
        <v>13.06</v>
      </c>
      <c r="G655" s="219">
        <f t="shared" si="182"/>
        <v>16.55</v>
      </c>
      <c r="H655" s="219">
        <f t="shared" si="184"/>
        <v>49.65</v>
      </c>
    </row>
    <row r="656" spans="1:9" ht="60" outlineLevel="2">
      <c r="A656" s="68" t="s">
        <v>1436</v>
      </c>
      <c r="B656" s="227" t="s">
        <v>2811</v>
      </c>
      <c r="C656" s="245" t="s">
        <v>974</v>
      </c>
      <c r="D656" s="170" t="s">
        <v>57</v>
      </c>
      <c r="E656" s="416">
        <f>GLP!F9</f>
        <v>8</v>
      </c>
      <c r="F656" s="222">
        <v>21.36</v>
      </c>
      <c r="G656" s="219">
        <f t="shared" si="182"/>
        <v>27.06</v>
      </c>
      <c r="H656" s="219">
        <f t="shared" si="184"/>
        <v>216.48</v>
      </c>
    </row>
    <row r="657" spans="1:9" ht="60" outlineLevel="2">
      <c r="A657" s="68" t="s">
        <v>1437</v>
      </c>
      <c r="B657" s="227" t="s">
        <v>2812</v>
      </c>
      <c r="C657" s="245" t="s">
        <v>975</v>
      </c>
      <c r="D657" s="170" t="s">
        <v>57</v>
      </c>
      <c r="E657" s="416">
        <f>GLP!F12</f>
        <v>9</v>
      </c>
      <c r="F657" s="222">
        <v>17.59</v>
      </c>
      <c r="G657" s="219">
        <f t="shared" si="182"/>
        <v>22.29</v>
      </c>
      <c r="H657" s="219">
        <f t="shared" si="184"/>
        <v>200.61</v>
      </c>
    </row>
    <row r="658" spans="1:9" ht="60" outlineLevel="2">
      <c r="A658" s="68" t="s">
        <v>1438</v>
      </c>
      <c r="B658" s="227" t="s">
        <v>2813</v>
      </c>
      <c r="C658" s="245" t="s">
        <v>2814</v>
      </c>
      <c r="D658" s="170" t="s">
        <v>57</v>
      </c>
      <c r="E658" s="416">
        <f>GLP!F11</f>
        <v>27</v>
      </c>
      <c r="F658" s="222">
        <v>28.21</v>
      </c>
      <c r="G658" s="219">
        <f t="shared" si="182"/>
        <v>35.75</v>
      </c>
      <c r="H658" s="219">
        <f t="shared" si="184"/>
        <v>965.25</v>
      </c>
    </row>
    <row r="659" spans="1:9" ht="60" outlineLevel="2">
      <c r="A659" s="68" t="s">
        <v>1439</v>
      </c>
      <c r="B659" s="227" t="s">
        <v>2815</v>
      </c>
      <c r="C659" s="245" t="s">
        <v>976</v>
      </c>
      <c r="D659" s="170" t="s">
        <v>57</v>
      </c>
      <c r="E659" s="416">
        <f>GLP!F14</f>
        <v>11</v>
      </c>
      <c r="F659" s="222">
        <v>22.19</v>
      </c>
      <c r="G659" s="219">
        <f t="shared" si="182"/>
        <v>28.12</v>
      </c>
      <c r="H659" s="219">
        <f t="shared" si="184"/>
        <v>309.32</v>
      </c>
    </row>
    <row r="660" spans="1:9" ht="60" outlineLevel="2">
      <c r="A660" s="68" t="s">
        <v>1440</v>
      </c>
      <c r="B660" s="227" t="s">
        <v>2816</v>
      </c>
      <c r="C660" s="245" t="s">
        <v>977</v>
      </c>
      <c r="D660" s="170" t="s">
        <v>57</v>
      </c>
      <c r="E660" s="416">
        <f>GLP!F13</f>
        <v>11</v>
      </c>
      <c r="F660" s="222">
        <v>31.56</v>
      </c>
      <c r="G660" s="219">
        <f t="shared" si="182"/>
        <v>39.99</v>
      </c>
      <c r="H660" s="219">
        <f t="shared" si="184"/>
        <v>439.89</v>
      </c>
    </row>
    <row r="661" spans="1:9" ht="60" outlineLevel="2">
      <c r="A661" s="68" t="s">
        <v>1441</v>
      </c>
      <c r="B661" s="227" t="s">
        <v>2817</v>
      </c>
      <c r="C661" s="245" t="s">
        <v>978</v>
      </c>
      <c r="D661" s="170" t="s">
        <v>57</v>
      </c>
      <c r="E661" s="416">
        <f>GLP!F16</f>
        <v>2</v>
      </c>
      <c r="F661" s="222">
        <v>9.4499999999999993</v>
      </c>
      <c r="G661" s="219">
        <f t="shared" si="182"/>
        <v>11.97</v>
      </c>
      <c r="H661" s="219">
        <f t="shared" si="184"/>
        <v>23.94</v>
      </c>
    </row>
    <row r="662" spans="1:9" ht="60" outlineLevel="2">
      <c r="A662" s="68" t="s">
        <v>1442</v>
      </c>
      <c r="B662" s="227" t="s">
        <v>2818</v>
      </c>
      <c r="C662" s="245" t="s">
        <v>979</v>
      </c>
      <c r="D662" s="170" t="s">
        <v>57</v>
      </c>
      <c r="E662" s="416">
        <f>GLP!F15</f>
        <v>4</v>
      </c>
      <c r="F662" s="222">
        <v>14.93</v>
      </c>
      <c r="G662" s="219">
        <f t="shared" si="182"/>
        <v>18.920000000000002</v>
      </c>
      <c r="H662" s="219">
        <f t="shared" si="184"/>
        <v>75.680000000000007</v>
      </c>
    </row>
    <row r="663" spans="1:9" ht="60" outlineLevel="2">
      <c r="A663" s="68" t="s">
        <v>2382</v>
      </c>
      <c r="B663" s="227" t="s">
        <v>2819</v>
      </c>
      <c r="C663" s="245" t="s">
        <v>980</v>
      </c>
      <c r="D663" s="170" t="s">
        <v>57</v>
      </c>
      <c r="E663" s="416">
        <f>GLP!F17</f>
        <v>3</v>
      </c>
      <c r="F663" s="222">
        <v>16.13</v>
      </c>
      <c r="G663" s="219">
        <f t="shared" si="182"/>
        <v>20.440000000000001</v>
      </c>
      <c r="H663" s="219">
        <f t="shared" si="184"/>
        <v>61.32</v>
      </c>
    </row>
    <row r="664" spans="1:9" ht="15.75" outlineLevel="1">
      <c r="A664" s="79"/>
      <c r="B664" s="79"/>
      <c r="C664" s="80" t="s">
        <v>14</v>
      </c>
      <c r="D664" s="79"/>
      <c r="E664" s="81"/>
      <c r="F664" s="207"/>
      <c r="G664" s="220"/>
      <c r="H664" s="220">
        <f>SUM(H649:H663)</f>
        <v>31753.57</v>
      </c>
    </row>
    <row r="665" spans="1:9" ht="15.75">
      <c r="A665" s="79"/>
      <c r="B665" s="79"/>
      <c r="C665" s="80" t="s">
        <v>967</v>
      </c>
      <c r="D665" s="79"/>
      <c r="E665" s="81"/>
      <c r="F665" s="207"/>
      <c r="G665" s="220"/>
      <c r="H665" s="220">
        <f>H664</f>
        <v>31753.57</v>
      </c>
    </row>
    <row r="666" spans="1:9" ht="15.75">
      <c r="A666" s="779" t="s">
        <v>2525</v>
      </c>
      <c r="B666" s="779"/>
      <c r="C666" s="779"/>
      <c r="D666" s="779"/>
      <c r="E666" s="779"/>
      <c r="F666" s="779"/>
      <c r="G666" s="779"/>
      <c r="H666" s="779"/>
    </row>
    <row r="667" spans="1:9" s="71" customFormat="1" ht="15.75" outlineLevel="1">
      <c r="A667" s="178" t="s">
        <v>989</v>
      </c>
      <c r="B667" s="178"/>
      <c r="C667" s="184" t="s">
        <v>290</v>
      </c>
      <c r="D667" s="178"/>
      <c r="E667" s="181"/>
      <c r="F667" s="210"/>
      <c r="G667" s="221"/>
      <c r="H667" s="210"/>
      <c r="I667" s="281"/>
    </row>
    <row r="668" spans="1:9" s="71" customFormat="1" ht="45" outlineLevel="2">
      <c r="A668" s="68" t="s">
        <v>1116</v>
      </c>
      <c r="B668" s="227" t="s">
        <v>2820</v>
      </c>
      <c r="C668" s="245" t="s">
        <v>723</v>
      </c>
      <c r="D668" s="170" t="s">
        <v>101</v>
      </c>
      <c r="E668" s="416">
        <f>ELÉTRICO!E9</f>
        <v>9590</v>
      </c>
      <c r="F668" s="222">
        <v>2.95</v>
      </c>
      <c r="G668" s="219">
        <f t="shared" ref="G668:G731" si="185">TRUNC(F668*(1+$E$2),2)</f>
        <v>3.73</v>
      </c>
      <c r="H668" s="219">
        <f t="shared" ref="H668" si="186">TRUNC((G668*E668),2)</f>
        <v>35770.699999999997</v>
      </c>
      <c r="I668" s="281"/>
    </row>
    <row r="669" spans="1:9" s="71" customFormat="1" ht="45" outlineLevel="2">
      <c r="A669" s="68" t="s">
        <v>1117</v>
      </c>
      <c r="B669" s="227" t="s">
        <v>2821</v>
      </c>
      <c r="C669" s="245" t="s">
        <v>724</v>
      </c>
      <c r="D669" s="170" t="s">
        <v>101</v>
      </c>
      <c r="E669" s="416">
        <f>ELÉTRICO!E10</f>
        <v>7480</v>
      </c>
      <c r="F669" s="222">
        <v>4.17</v>
      </c>
      <c r="G669" s="219">
        <f t="shared" si="185"/>
        <v>5.28</v>
      </c>
      <c r="H669" s="219">
        <f t="shared" ref="H669:H732" si="187">TRUNC((G669*E669),2)</f>
        <v>39494.400000000001</v>
      </c>
      <c r="I669" s="281"/>
    </row>
    <row r="670" spans="1:9" s="71" customFormat="1" ht="45" outlineLevel="2">
      <c r="A670" s="68" t="s">
        <v>1443</v>
      </c>
      <c r="B670" s="227" t="s">
        <v>2822</v>
      </c>
      <c r="C670" s="245" t="s">
        <v>725</v>
      </c>
      <c r="D670" s="170" t="s">
        <v>101</v>
      </c>
      <c r="E670" s="416">
        <f>ELÉTRICO!E11</f>
        <v>85</v>
      </c>
      <c r="F670" s="222">
        <v>4.93</v>
      </c>
      <c r="G670" s="219">
        <f t="shared" si="185"/>
        <v>6.24</v>
      </c>
      <c r="H670" s="219">
        <f t="shared" si="187"/>
        <v>530.4</v>
      </c>
      <c r="I670" s="281"/>
    </row>
    <row r="671" spans="1:9" s="71" customFormat="1" ht="30" outlineLevel="2">
      <c r="A671" s="68" t="s">
        <v>1444</v>
      </c>
      <c r="B671" s="227" t="s">
        <v>1523</v>
      </c>
      <c r="C671" s="245" t="s">
        <v>1533</v>
      </c>
      <c r="D671" s="170" t="s">
        <v>101</v>
      </c>
      <c r="E671" s="416">
        <f>ELÉTRICO!E12</f>
        <v>875</v>
      </c>
      <c r="F671" s="222">
        <v>9.0500000000000007</v>
      </c>
      <c r="G671" s="219">
        <f t="shared" si="185"/>
        <v>11.46</v>
      </c>
      <c r="H671" s="219">
        <f t="shared" si="187"/>
        <v>10027.5</v>
      </c>
      <c r="I671" s="281"/>
    </row>
    <row r="672" spans="1:9" s="71" customFormat="1" ht="30" outlineLevel="2">
      <c r="A672" s="68" t="s">
        <v>2174</v>
      </c>
      <c r="B672" s="227" t="s">
        <v>3146</v>
      </c>
      <c r="C672" s="245" t="s">
        <v>3147</v>
      </c>
      <c r="D672" s="170" t="s">
        <v>101</v>
      </c>
      <c r="E672" s="416">
        <f>ELÉTRICO!E13</f>
        <v>430</v>
      </c>
      <c r="F672" s="222">
        <v>12.02</v>
      </c>
      <c r="G672" s="219">
        <f t="shared" si="185"/>
        <v>15.23</v>
      </c>
      <c r="H672" s="219">
        <f t="shared" si="187"/>
        <v>6548.9</v>
      </c>
      <c r="I672" s="281"/>
    </row>
    <row r="673" spans="1:9" s="71" customFormat="1" ht="30" outlineLevel="2">
      <c r="A673" s="68" t="s">
        <v>2175</v>
      </c>
      <c r="B673" s="227" t="s">
        <v>3148</v>
      </c>
      <c r="C673" s="245" t="s">
        <v>3149</v>
      </c>
      <c r="D673" s="170" t="s">
        <v>101</v>
      </c>
      <c r="E673" s="416">
        <f>ELÉTRICO!E14</f>
        <v>320</v>
      </c>
      <c r="F673" s="222">
        <v>15.9</v>
      </c>
      <c r="G673" s="219">
        <f t="shared" si="185"/>
        <v>20.149999999999999</v>
      </c>
      <c r="H673" s="219">
        <f t="shared" si="187"/>
        <v>6448</v>
      </c>
      <c r="I673" s="281"/>
    </row>
    <row r="674" spans="1:9" s="71" customFormat="1" ht="30" outlineLevel="2">
      <c r="A674" s="68" t="s">
        <v>2176</v>
      </c>
      <c r="B674" s="227" t="s">
        <v>3150</v>
      </c>
      <c r="C674" s="245" t="s">
        <v>3151</v>
      </c>
      <c r="D674" s="170" t="s">
        <v>101</v>
      </c>
      <c r="E674" s="416">
        <f>ELÉTRICO!E15</f>
        <v>280</v>
      </c>
      <c r="F674" s="222">
        <v>21.26</v>
      </c>
      <c r="G674" s="219">
        <f t="shared" si="185"/>
        <v>26.94</v>
      </c>
      <c r="H674" s="219">
        <f t="shared" si="187"/>
        <v>7543.2</v>
      </c>
      <c r="I674" s="281"/>
    </row>
    <row r="675" spans="1:9" s="71" customFormat="1" ht="30" outlineLevel="2">
      <c r="A675" s="68" t="s">
        <v>2177</v>
      </c>
      <c r="B675" s="227" t="s">
        <v>3152</v>
      </c>
      <c r="C675" s="245" t="s">
        <v>3153</v>
      </c>
      <c r="D675" s="170" t="s">
        <v>101</v>
      </c>
      <c r="E675" s="416">
        <f>ELÉTRICO!E16</f>
        <v>355</v>
      </c>
      <c r="F675" s="222">
        <v>38.99</v>
      </c>
      <c r="G675" s="219">
        <f t="shared" si="185"/>
        <v>49.41</v>
      </c>
      <c r="H675" s="219">
        <f t="shared" si="187"/>
        <v>17540.55</v>
      </c>
      <c r="I675" s="281"/>
    </row>
    <row r="676" spans="1:9" s="71" customFormat="1" ht="30" outlineLevel="2">
      <c r="A676" s="68" t="s">
        <v>2178</v>
      </c>
      <c r="B676" s="227" t="s">
        <v>3154</v>
      </c>
      <c r="C676" s="245" t="s">
        <v>3155</v>
      </c>
      <c r="D676" s="170" t="s">
        <v>101</v>
      </c>
      <c r="E676" s="416">
        <f>ELÉTRICO!E17</f>
        <v>120</v>
      </c>
      <c r="F676" s="222">
        <v>66.09</v>
      </c>
      <c r="G676" s="219">
        <f t="shared" si="185"/>
        <v>83.75</v>
      </c>
      <c r="H676" s="219">
        <f t="shared" si="187"/>
        <v>10050</v>
      </c>
      <c r="I676" s="281"/>
    </row>
    <row r="677" spans="1:9" s="71" customFormat="1" ht="60" outlineLevel="2">
      <c r="A677" s="68" t="s">
        <v>2179</v>
      </c>
      <c r="B677" s="227" t="s">
        <v>921</v>
      </c>
      <c r="C677" s="245" t="s">
        <v>1353</v>
      </c>
      <c r="D677" s="170" t="s">
        <v>57</v>
      </c>
      <c r="E677" s="416">
        <f>ELÉTRICO!E18</f>
        <v>307</v>
      </c>
      <c r="F677" s="222">
        <v>121.28</v>
      </c>
      <c r="G677" s="219">
        <f t="shared" si="185"/>
        <v>153.69</v>
      </c>
      <c r="H677" s="219">
        <f t="shared" si="187"/>
        <v>47182.83</v>
      </c>
      <c r="I677" s="281"/>
    </row>
    <row r="678" spans="1:9" s="71" customFormat="1" ht="45" outlineLevel="2">
      <c r="A678" s="68" t="s">
        <v>2180</v>
      </c>
      <c r="B678" s="227" t="s">
        <v>2823</v>
      </c>
      <c r="C678" s="245" t="s">
        <v>726</v>
      </c>
      <c r="D678" s="170" t="s">
        <v>57</v>
      </c>
      <c r="E678" s="416">
        <f>ELÉTRICO!E19</f>
        <v>7</v>
      </c>
      <c r="F678" s="222">
        <v>24.64</v>
      </c>
      <c r="G678" s="219">
        <f t="shared" si="185"/>
        <v>31.22</v>
      </c>
      <c r="H678" s="219">
        <f t="shared" si="187"/>
        <v>218.54</v>
      </c>
      <c r="I678" s="281"/>
    </row>
    <row r="679" spans="1:9" s="71" customFormat="1" ht="30" outlineLevel="2">
      <c r="A679" s="68" t="s">
        <v>2181</v>
      </c>
      <c r="B679" s="227" t="s">
        <v>922</v>
      </c>
      <c r="C679" s="245" t="s">
        <v>923</v>
      </c>
      <c r="D679" s="170" t="s">
        <v>57</v>
      </c>
      <c r="E679" s="416">
        <f>ELÉTRICO!E20</f>
        <v>25</v>
      </c>
      <c r="F679" s="222">
        <v>187.53</v>
      </c>
      <c r="G679" s="219">
        <f t="shared" si="185"/>
        <v>237.65</v>
      </c>
      <c r="H679" s="219">
        <f t="shared" si="187"/>
        <v>5941.25</v>
      </c>
      <c r="I679" s="281"/>
    </row>
    <row r="680" spans="1:9" ht="45" outlineLevel="2">
      <c r="A680" s="68" t="s">
        <v>2182</v>
      </c>
      <c r="B680" s="227" t="s">
        <v>2824</v>
      </c>
      <c r="C680" s="245" t="s">
        <v>727</v>
      </c>
      <c r="D680" s="170" t="s">
        <v>57</v>
      </c>
      <c r="E680" s="416">
        <f>ELÉTRICO!E21+LÓGICA!E15</f>
        <v>162</v>
      </c>
      <c r="F680" s="222">
        <v>6.38</v>
      </c>
      <c r="G680" s="219">
        <f t="shared" si="185"/>
        <v>8.08</v>
      </c>
      <c r="H680" s="219">
        <f t="shared" si="187"/>
        <v>1308.96</v>
      </c>
    </row>
    <row r="681" spans="1:9" ht="60" outlineLevel="2">
      <c r="A681" s="68" t="s">
        <v>2183</v>
      </c>
      <c r="B681" s="227" t="s">
        <v>2825</v>
      </c>
      <c r="C681" s="245" t="s">
        <v>2826</v>
      </c>
      <c r="D681" s="170" t="s">
        <v>57</v>
      </c>
      <c r="E681" s="416">
        <f>ELÉTRICO!E22</f>
        <v>5</v>
      </c>
      <c r="F681" s="222">
        <v>26.28</v>
      </c>
      <c r="G681" s="219">
        <f t="shared" si="185"/>
        <v>33.299999999999997</v>
      </c>
      <c r="H681" s="219">
        <f t="shared" si="187"/>
        <v>166.5</v>
      </c>
    </row>
    <row r="682" spans="1:9" ht="60" outlineLevel="2">
      <c r="A682" s="68" t="s">
        <v>2184</v>
      </c>
      <c r="B682" s="227" t="s">
        <v>2827</v>
      </c>
      <c r="C682" s="245" t="s">
        <v>2828</v>
      </c>
      <c r="D682" s="170" t="s">
        <v>57</v>
      </c>
      <c r="E682" s="416">
        <f>ELÉTRICO!E23</f>
        <v>22</v>
      </c>
      <c r="F682" s="222">
        <v>20.6</v>
      </c>
      <c r="G682" s="219">
        <f t="shared" si="185"/>
        <v>26.1</v>
      </c>
      <c r="H682" s="219">
        <f t="shared" si="187"/>
        <v>574.20000000000005</v>
      </c>
    </row>
    <row r="683" spans="1:9" ht="45" outlineLevel="2">
      <c r="A683" s="68" t="s">
        <v>2383</v>
      </c>
      <c r="B683" s="227" t="s">
        <v>2829</v>
      </c>
      <c r="C683" s="245" t="s">
        <v>2830</v>
      </c>
      <c r="D683" s="170" t="s">
        <v>57</v>
      </c>
      <c r="E683" s="416">
        <f>ELÉTRICO!E24</f>
        <v>6</v>
      </c>
      <c r="F683" s="222">
        <v>21.37</v>
      </c>
      <c r="G683" s="219">
        <f t="shared" si="185"/>
        <v>27.08</v>
      </c>
      <c r="H683" s="219">
        <f t="shared" si="187"/>
        <v>162.47999999999999</v>
      </c>
    </row>
    <row r="684" spans="1:9" ht="60" outlineLevel="2">
      <c r="A684" s="68" t="s">
        <v>2384</v>
      </c>
      <c r="B684" s="227" t="s">
        <v>2831</v>
      </c>
      <c r="C684" s="245" t="s">
        <v>2832</v>
      </c>
      <c r="D684" s="170" t="s">
        <v>57</v>
      </c>
      <c r="E684" s="416">
        <f>ELÉTRICO!E25</f>
        <v>2</v>
      </c>
      <c r="F684" s="222">
        <v>22.36</v>
      </c>
      <c r="G684" s="219">
        <f t="shared" si="185"/>
        <v>28.33</v>
      </c>
      <c r="H684" s="219">
        <f t="shared" si="187"/>
        <v>56.66</v>
      </c>
    </row>
    <row r="685" spans="1:9" ht="60" outlineLevel="2">
      <c r="A685" s="68" t="s">
        <v>2385</v>
      </c>
      <c r="B685" s="227" t="s">
        <v>2833</v>
      </c>
      <c r="C685" s="245" t="s">
        <v>2834</v>
      </c>
      <c r="D685" s="170" t="s">
        <v>57</v>
      </c>
      <c r="E685" s="416">
        <f>ELÉTRICO!E26</f>
        <v>1</v>
      </c>
      <c r="F685" s="222">
        <v>28.08</v>
      </c>
      <c r="G685" s="219">
        <f t="shared" si="185"/>
        <v>35.58</v>
      </c>
      <c r="H685" s="219">
        <f t="shared" si="187"/>
        <v>35.58</v>
      </c>
    </row>
    <row r="686" spans="1:9" ht="30" outlineLevel="2">
      <c r="A686" s="68" t="s">
        <v>2386</v>
      </c>
      <c r="B686" s="227" t="s">
        <v>2835</v>
      </c>
      <c r="C686" s="245" t="s">
        <v>1645</v>
      </c>
      <c r="D686" s="170" t="s">
        <v>57</v>
      </c>
      <c r="E686" s="416">
        <f>ELÉTRICO!E27</f>
        <v>332</v>
      </c>
      <c r="F686" s="222">
        <v>7.43</v>
      </c>
      <c r="G686" s="219">
        <f t="shared" si="185"/>
        <v>9.41</v>
      </c>
      <c r="H686" s="219">
        <f t="shared" si="187"/>
        <v>3124.12</v>
      </c>
    </row>
    <row r="687" spans="1:9" ht="45" outlineLevel="2">
      <c r="A687" s="68" t="s">
        <v>2387</v>
      </c>
      <c r="B687" s="227" t="s">
        <v>2836</v>
      </c>
      <c r="C687" s="245" t="s">
        <v>728</v>
      </c>
      <c r="D687" s="170" t="s">
        <v>57</v>
      </c>
      <c r="E687" s="416">
        <f>ELÉTRICO!E28</f>
        <v>4</v>
      </c>
      <c r="F687" s="222">
        <v>17.72</v>
      </c>
      <c r="G687" s="219">
        <f t="shared" si="185"/>
        <v>22.45</v>
      </c>
      <c r="H687" s="219">
        <f t="shared" si="187"/>
        <v>89.8</v>
      </c>
    </row>
    <row r="688" spans="1:9" ht="45" outlineLevel="2">
      <c r="A688" s="68" t="s">
        <v>2388</v>
      </c>
      <c r="B688" s="227" t="s">
        <v>2837</v>
      </c>
      <c r="C688" s="245" t="s">
        <v>729</v>
      </c>
      <c r="D688" s="170" t="s">
        <v>57</v>
      </c>
      <c r="E688" s="416">
        <f>ELÉTRICO!E29</f>
        <v>142</v>
      </c>
      <c r="F688" s="222">
        <v>16.510000000000002</v>
      </c>
      <c r="G688" s="219">
        <f t="shared" si="185"/>
        <v>20.92</v>
      </c>
      <c r="H688" s="219">
        <f t="shared" si="187"/>
        <v>2970.64</v>
      </c>
    </row>
    <row r="689" spans="1:9" ht="45" outlineLevel="2">
      <c r="A689" s="68" t="s">
        <v>2389</v>
      </c>
      <c r="B689" s="227" t="s">
        <v>2838</v>
      </c>
      <c r="C689" s="245" t="s">
        <v>730</v>
      </c>
      <c r="D689" s="170" t="s">
        <v>57</v>
      </c>
      <c r="E689" s="416">
        <f>ELÉTRICO!E30</f>
        <v>26</v>
      </c>
      <c r="F689" s="222">
        <v>15.66</v>
      </c>
      <c r="G689" s="219">
        <f t="shared" si="185"/>
        <v>19.84</v>
      </c>
      <c r="H689" s="219">
        <f t="shared" si="187"/>
        <v>515.84</v>
      </c>
    </row>
    <row r="690" spans="1:9" ht="45" outlineLevel="2">
      <c r="A690" s="68" t="s">
        <v>2390</v>
      </c>
      <c r="B690" s="227" t="s">
        <v>2839</v>
      </c>
      <c r="C690" s="245" t="s">
        <v>731</v>
      </c>
      <c r="D690" s="170" t="s">
        <v>57</v>
      </c>
      <c r="E690" s="416">
        <f>ELÉTRICO!E31</f>
        <v>4</v>
      </c>
      <c r="F690" s="222">
        <v>24.76</v>
      </c>
      <c r="G690" s="219">
        <f t="shared" si="185"/>
        <v>31.37</v>
      </c>
      <c r="H690" s="219">
        <f t="shared" si="187"/>
        <v>125.48</v>
      </c>
    </row>
    <row r="691" spans="1:9" ht="45" outlineLevel="2">
      <c r="A691" s="68" t="s">
        <v>2391</v>
      </c>
      <c r="B691" s="227" t="s">
        <v>2840</v>
      </c>
      <c r="C691" s="245" t="s">
        <v>732</v>
      </c>
      <c r="D691" s="170" t="s">
        <v>57</v>
      </c>
      <c r="E691" s="416">
        <f>ELÉTRICO!E32</f>
        <v>24</v>
      </c>
      <c r="F691" s="222">
        <v>29.23</v>
      </c>
      <c r="G691" s="219">
        <f t="shared" si="185"/>
        <v>37.04</v>
      </c>
      <c r="H691" s="219">
        <f t="shared" si="187"/>
        <v>888.96</v>
      </c>
    </row>
    <row r="692" spans="1:9" ht="30" outlineLevel="2">
      <c r="A692" s="68" t="s">
        <v>2392</v>
      </c>
      <c r="B692" s="227" t="s">
        <v>3047</v>
      </c>
      <c r="C692" s="245" t="s">
        <v>3048</v>
      </c>
      <c r="D692" s="170" t="s">
        <v>101</v>
      </c>
      <c r="E692" s="416">
        <v>180</v>
      </c>
      <c r="F692" s="222">
        <v>31.01</v>
      </c>
      <c r="G692" s="219">
        <f t="shared" si="185"/>
        <v>39.29</v>
      </c>
      <c r="H692" s="219">
        <f t="shared" si="187"/>
        <v>7072.2</v>
      </c>
    </row>
    <row r="693" spans="1:9" s="71" customFormat="1" ht="75" outlineLevel="2">
      <c r="A693" s="68" t="s">
        <v>2393</v>
      </c>
      <c r="B693" s="227" t="s">
        <v>292</v>
      </c>
      <c r="C693" s="245" t="s">
        <v>733</v>
      </c>
      <c r="D693" s="170" t="s">
        <v>57</v>
      </c>
      <c r="E693" s="416">
        <f>ELÉTRICO!E33</f>
        <v>3</v>
      </c>
      <c r="F693" s="222">
        <v>486.18</v>
      </c>
      <c r="G693" s="219">
        <f t="shared" si="185"/>
        <v>616.13</v>
      </c>
      <c r="H693" s="219">
        <f t="shared" si="187"/>
        <v>1848.39</v>
      </c>
      <c r="I693" s="281"/>
    </row>
    <row r="694" spans="1:9" ht="75" outlineLevel="2">
      <c r="A694" s="68" t="s">
        <v>2394</v>
      </c>
      <c r="B694" s="227" t="s">
        <v>164</v>
      </c>
      <c r="C694" s="245" t="s">
        <v>734</v>
      </c>
      <c r="D694" s="170" t="s">
        <v>57</v>
      </c>
      <c r="E694" s="416">
        <f>ELÉTRICO!E34</f>
        <v>5</v>
      </c>
      <c r="F694" s="222">
        <v>965.38</v>
      </c>
      <c r="G694" s="219">
        <f t="shared" si="185"/>
        <v>1223.42</v>
      </c>
      <c r="H694" s="219">
        <f t="shared" si="187"/>
        <v>6117.1</v>
      </c>
    </row>
    <row r="695" spans="1:9" ht="75" outlineLevel="2">
      <c r="A695" s="68" t="s">
        <v>2395</v>
      </c>
      <c r="B695" s="227" t="s">
        <v>293</v>
      </c>
      <c r="C695" s="245" t="s">
        <v>735</v>
      </c>
      <c r="D695" s="170" t="s">
        <v>57</v>
      </c>
      <c r="E695" s="416">
        <f>ELÉTRICO!E35</f>
        <v>2</v>
      </c>
      <c r="F695" s="222">
        <v>1176.17</v>
      </c>
      <c r="G695" s="219">
        <f t="shared" si="185"/>
        <v>1490.56</v>
      </c>
      <c r="H695" s="219">
        <f t="shared" si="187"/>
        <v>2981.12</v>
      </c>
    </row>
    <row r="696" spans="1:9" s="71" customFormat="1" ht="75" outlineLevel="2">
      <c r="A696" s="68" t="s">
        <v>2396</v>
      </c>
      <c r="B696" s="227" t="s">
        <v>935</v>
      </c>
      <c r="C696" s="245" t="s">
        <v>2841</v>
      </c>
      <c r="D696" s="170" t="s">
        <v>57</v>
      </c>
      <c r="E696" s="416">
        <f>ELÉTRICO!E36</f>
        <v>1</v>
      </c>
      <c r="F696" s="222">
        <v>1122.1099999999999</v>
      </c>
      <c r="G696" s="219">
        <f t="shared" si="185"/>
        <v>1422.05</v>
      </c>
      <c r="H696" s="219">
        <f t="shared" si="187"/>
        <v>1422.05</v>
      </c>
      <c r="I696" s="281"/>
    </row>
    <row r="697" spans="1:9" s="71" customFormat="1" ht="45" outlineLevel="2">
      <c r="A697" s="68" t="s">
        <v>2397</v>
      </c>
      <c r="B697" s="227" t="s">
        <v>2467</v>
      </c>
      <c r="C697" s="245" t="s">
        <v>1706</v>
      </c>
      <c r="D697" s="170" t="s">
        <v>101</v>
      </c>
      <c r="E697" s="416">
        <f>ELÉTRICO!E37</f>
        <v>8</v>
      </c>
      <c r="F697" s="222">
        <v>43.98</v>
      </c>
      <c r="G697" s="219">
        <f t="shared" si="185"/>
        <v>55.73</v>
      </c>
      <c r="H697" s="219">
        <f t="shared" si="187"/>
        <v>445.84</v>
      </c>
      <c r="I697" s="281"/>
    </row>
    <row r="698" spans="1:9" s="71" customFormat="1" ht="45" outlineLevel="2">
      <c r="A698" s="68" t="s">
        <v>2398</v>
      </c>
      <c r="B698" s="227" t="s">
        <v>2470</v>
      </c>
      <c r="C698" s="245" t="s">
        <v>1707</v>
      </c>
      <c r="D698" s="170" t="s">
        <v>101</v>
      </c>
      <c r="E698" s="416">
        <f>ELÉTRICO!E38</f>
        <v>2</v>
      </c>
      <c r="F698" s="222">
        <v>76.16</v>
      </c>
      <c r="G698" s="219">
        <f t="shared" si="185"/>
        <v>96.51</v>
      </c>
      <c r="H698" s="219">
        <f t="shared" si="187"/>
        <v>193.02</v>
      </c>
      <c r="I698" s="281"/>
    </row>
    <row r="699" spans="1:9" ht="45" outlineLevel="2">
      <c r="A699" s="68" t="s">
        <v>2399</v>
      </c>
      <c r="B699" s="227" t="s">
        <v>2842</v>
      </c>
      <c r="C699" s="245" t="s">
        <v>736</v>
      </c>
      <c r="D699" s="170" t="s">
        <v>57</v>
      </c>
      <c r="E699" s="416">
        <f>ELÉTRICO!E39</f>
        <v>38</v>
      </c>
      <c r="F699" s="222">
        <v>7.82</v>
      </c>
      <c r="G699" s="219">
        <f t="shared" si="185"/>
        <v>9.91</v>
      </c>
      <c r="H699" s="219">
        <f t="shared" si="187"/>
        <v>376.58</v>
      </c>
    </row>
    <row r="700" spans="1:9" ht="45" outlineLevel="2">
      <c r="A700" s="68" t="s">
        <v>2400</v>
      </c>
      <c r="B700" s="227" t="s">
        <v>2843</v>
      </c>
      <c r="C700" s="245" t="s">
        <v>2844</v>
      </c>
      <c r="D700" s="170" t="s">
        <v>57</v>
      </c>
      <c r="E700" s="416">
        <f>ELÉTRICO!E40</f>
        <v>11</v>
      </c>
      <c r="F700" s="222">
        <v>8.24</v>
      </c>
      <c r="G700" s="219">
        <f t="shared" si="185"/>
        <v>10.44</v>
      </c>
      <c r="H700" s="219">
        <f t="shared" si="187"/>
        <v>114.84</v>
      </c>
    </row>
    <row r="701" spans="1:9" ht="45" outlineLevel="2">
      <c r="A701" s="68" t="s">
        <v>2401</v>
      </c>
      <c r="B701" s="227">
        <v>91996</v>
      </c>
      <c r="C701" s="245" t="s">
        <v>3049</v>
      </c>
      <c r="D701" s="170" t="s">
        <v>57</v>
      </c>
      <c r="E701" s="416">
        <f>ELÉTRICO!E59</f>
        <v>14</v>
      </c>
      <c r="F701" s="222">
        <v>18.850000000000001</v>
      </c>
      <c r="G701" s="219">
        <f t="shared" si="185"/>
        <v>23.88</v>
      </c>
      <c r="H701" s="219">
        <f t="shared" si="187"/>
        <v>334.32</v>
      </c>
    </row>
    <row r="702" spans="1:9" ht="45" outlineLevel="2">
      <c r="A702" s="68" t="s">
        <v>2402</v>
      </c>
      <c r="B702" s="227">
        <v>91992</v>
      </c>
      <c r="C702" s="245" t="s">
        <v>3050</v>
      </c>
      <c r="D702" s="170" t="s">
        <v>57</v>
      </c>
      <c r="E702" s="416">
        <f>ELÉTRICO!E60</f>
        <v>67</v>
      </c>
      <c r="F702" s="222">
        <v>24.88</v>
      </c>
      <c r="G702" s="219">
        <f t="shared" si="185"/>
        <v>31.53</v>
      </c>
      <c r="H702" s="219">
        <f t="shared" si="187"/>
        <v>2112.5100000000002</v>
      </c>
    </row>
    <row r="703" spans="1:9" ht="45" outlineLevel="2">
      <c r="A703" s="68" t="s">
        <v>2403</v>
      </c>
      <c r="B703" s="227" t="s">
        <v>2845</v>
      </c>
      <c r="C703" s="245" t="s">
        <v>737</v>
      </c>
      <c r="D703" s="170" t="s">
        <v>57</v>
      </c>
      <c r="E703" s="416">
        <f>ELÉTRICO!E41</f>
        <v>9</v>
      </c>
      <c r="F703" s="222">
        <v>39.35</v>
      </c>
      <c r="G703" s="219">
        <f t="shared" si="185"/>
        <v>49.86</v>
      </c>
      <c r="H703" s="219">
        <f t="shared" si="187"/>
        <v>448.74</v>
      </c>
    </row>
    <row r="704" spans="1:9" ht="45" outlineLevel="2">
      <c r="A704" s="68" t="s">
        <v>2404</v>
      </c>
      <c r="B704" s="227" t="s">
        <v>2846</v>
      </c>
      <c r="C704" s="245" t="s">
        <v>2847</v>
      </c>
      <c r="D704" s="170" t="s">
        <v>57</v>
      </c>
      <c r="E704" s="416">
        <f>ELÉTRICO!E42</f>
        <v>51</v>
      </c>
      <c r="F704" s="222">
        <v>40.15</v>
      </c>
      <c r="G704" s="219">
        <f t="shared" si="185"/>
        <v>50.88</v>
      </c>
      <c r="H704" s="219">
        <f t="shared" si="187"/>
        <v>2594.88</v>
      </c>
    </row>
    <row r="705" spans="1:9" ht="45" outlineLevel="2">
      <c r="A705" s="68" t="s">
        <v>2405</v>
      </c>
      <c r="B705" s="227">
        <v>91993</v>
      </c>
      <c r="C705" s="245" t="s">
        <v>3051</v>
      </c>
      <c r="D705" s="170" t="s">
        <v>57</v>
      </c>
      <c r="E705" s="416">
        <f>ELÉTRICO!E61</f>
        <v>50</v>
      </c>
      <c r="F705" s="222">
        <v>26.09</v>
      </c>
      <c r="G705" s="219">
        <f t="shared" si="185"/>
        <v>33.06</v>
      </c>
      <c r="H705" s="219">
        <f t="shared" si="187"/>
        <v>1653</v>
      </c>
    </row>
    <row r="706" spans="1:9" ht="45" outlineLevel="2">
      <c r="A706" s="68" t="s">
        <v>2406</v>
      </c>
      <c r="B706" s="227" t="s">
        <v>2848</v>
      </c>
      <c r="C706" s="245" t="s">
        <v>1703</v>
      </c>
      <c r="D706" s="170" t="s">
        <v>57</v>
      </c>
      <c r="E706" s="416">
        <f>ELÉTRICO!E43</f>
        <v>2</v>
      </c>
      <c r="F706" s="222">
        <v>41.6</v>
      </c>
      <c r="G706" s="219">
        <f t="shared" si="185"/>
        <v>52.71</v>
      </c>
      <c r="H706" s="219">
        <f t="shared" si="187"/>
        <v>105.42</v>
      </c>
    </row>
    <row r="707" spans="1:9" ht="45" outlineLevel="2">
      <c r="A707" s="68" t="s">
        <v>2407</v>
      </c>
      <c r="B707" s="227">
        <v>91940</v>
      </c>
      <c r="C707" s="245" t="s">
        <v>3052</v>
      </c>
      <c r="D707" s="170" t="s">
        <v>57</v>
      </c>
      <c r="E707" s="416">
        <f>ELÉTRICO!E62</f>
        <v>68</v>
      </c>
      <c r="F707" s="222">
        <v>9.86</v>
      </c>
      <c r="G707" s="219">
        <f t="shared" si="185"/>
        <v>12.49</v>
      </c>
      <c r="H707" s="219">
        <f t="shared" si="187"/>
        <v>849.32</v>
      </c>
    </row>
    <row r="708" spans="1:9" ht="45" outlineLevel="2">
      <c r="A708" s="68" t="s">
        <v>2408</v>
      </c>
      <c r="B708" s="227" t="s">
        <v>2849</v>
      </c>
      <c r="C708" s="245" t="s">
        <v>2850</v>
      </c>
      <c r="D708" s="170" t="s">
        <v>57</v>
      </c>
      <c r="E708" s="416">
        <f>ELÉTRICO!E44</f>
        <v>8</v>
      </c>
      <c r="F708" s="222">
        <v>55.03</v>
      </c>
      <c r="G708" s="219">
        <f t="shared" si="185"/>
        <v>69.73</v>
      </c>
      <c r="H708" s="219">
        <f t="shared" si="187"/>
        <v>557.84</v>
      </c>
    </row>
    <row r="709" spans="1:9" s="71" customFormat="1" ht="45" outlineLevel="2">
      <c r="A709" s="68" t="s">
        <v>2409</v>
      </c>
      <c r="B709" s="227">
        <v>91939</v>
      </c>
      <c r="C709" s="245" t="s">
        <v>3053</v>
      </c>
      <c r="D709" s="170" t="s">
        <v>57</v>
      </c>
      <c r="E709" s="416">
        <f>ELÉTRICO!E63</f>
        <v>117</v>
      </c>
      <c r="F709" s="222">
        <v>18.59</v>
      </c>
      <c r="G709" s="219">
        <f t="shared" si="185"/>
        <v>23.55</v>
      </c>
      <c r="H709" s="219">
        <f t="shared" si="187"/>
        <v>2755.35</v>
      </c>
      <c r="I709" s="281"/>
    </row>
    <row r="710" spans="1:9" ht="45" outlineLevel="2">
      <c r="A710" s="68" t="s">
        <v>2410</v>
      </c>
      <c r="B710" s="227" t="s">
        <v>163</v>
      </c>
      <c r="C710" s="245" t="s">
        <v>738</v>
      </c>
      <c r="D710" s="170" t="s">
        <v>57</v>
      </c>
      <c r="E710" s="416">
        <f>ELÉTRICO!E45</f>
        <v>8</v>
      </c>
      <c r="F710" s="222">
        <v>90.57</v>
      </c>
      <c r="G710" s="219">
        <f t="shared" si="185"/>
        <v>114.77</v>
      </c>
      <c r="H710" s="219">
        <f t="shared" si="187"/>
        <v>918.16</v>
      </c>
    </row>
    <row r="711" spans="1:9" ht="45" outlineLevel="2">
      <c r="A711" s="68" t="s">
        <v>2411</v>
      </c>
      <c r="B711" s="227" t="s">
        <v>294</v>
      </c>
      <c r="C711" s="245" t="s">
        <v>739</v>
      </c>
      <c r="D711" s="170" t="s">
        <v>57</v>
      </c>
      <c r="E711" s="416">
        <f>ELÉTRICO!E46</f>
        <v>4</v>
      </c>
      <c r="F711" s="222">
        <v>255.96</v>
      </c>
      <c r="G711" s="219">
        <f t="shared" si="185"/>
        <v>324.37</v>
      </c>
      <c r="H711" s="219">
        <f t="shared" si="187"/>
        <v>1297.48</v>
      </c>
    </row>
    <row r="712" spans="1:9" ht="60" outlineLevel="2">
      <c r="A712" s="68" t="s">
        <v>2412</v>
      </c>
      <c r="B712" s="227">
        <v>91856</v>
      </c>
      <c r="C712" s="245" t="s">
        <v>1539</v>
      </c>
      <c r="D712" s="170" t="s">
        <v>101</v>
      </c>
      <c r="E712" s="416">
        <f>ELÉTRICO!E64</f>
        <v>920</v>
      </c>
      <c r="F712" s="222">
        <v>7.12</v>
      </c>
      <c r="G712" s="219">
        <f t="shared" si="185"/>
        <v>9.02</v>
      </c>
      <c r="H712" s="219">
        <f t="shared" si="187"/>
        <v>8298.4</v>
      </c>
    </row>
    <row r="713" spans="1:9" ht="45" outlineLevel="2">
      <c r="A713" s="68" t="s">
        <v>2413</v>
      </c>
      <c r="B713" s="227" t="s">
        <v>375</v>
      </c>
      <c r="C713" s="245" t="s">
        <v>740</v>
      </c>
      <c r="D713" s="170" t="s">
        <v>57</v>
      </c>
      <c r="E713" s="416">
        <f>ELÉTRICO!E47</f>
        <v>1</v>
      </c>
      <c r="F713" s="222">
        <v>903.26</v>
      </c>
      <c r="G713" s="219">
        <f t="shared" si="185"/>
        <v>1144.7</v>
      </c>
      <c r="H713" s="219">
        <f t="shared" si="187"/>
        <v>1144.7</v>
      </c>
    </row>
    <row r="714" spans="1:9" ht="60" outlineLevel="2">
      <c r="A714" s="68" t="s">
        <v>2414</v>
      </c>
      <c r="B714" s="227" t="s">
        <v>2851</v>
      </c>
      <c r="C714" s="245" t="s">
        <v>741</v>
      </c>
      <c r="D714" s="170" t="s">
        <v>101</v>
      </c>
      <c r="E714" s="416">
        <f>ELÉTRICO!E48</f>
        <v>2000</v>
      </c>
      <c r="F714" s="222">
        <v>6.81</v>
      </c>
      <c r="G714" s="219">
        <f t="shared" si="185"/>
        <v>8.6300000000000008</v>
      </c>
      <c r="H714" s="219">
        <f t="shared" si="187"/>
        <v>17260</v>
      </c>
    </row>
    <row r="715" spans="1:9" ht="60" outlineLevel="2">
      <c r="A715" s="68" t="s">
        <v>2415</v>
      </c>
      <c r="B715" s="227" t="s">
        <v>295</v>
      </c>
      <c r="C715" s="245" t="s">
        <v>742</v>
      </c>
      <c r="D715" s="170" t="s">
        <v>101</v>
      </c>
      <c r="E715" s="416">
        <f>ELÉTRICO!E49</f>
        <v>165</v>
      </c>
      <c r="F715" s="222">
        <v>38.92</v>
      </c>
      <c r="G715" s="219">
        <f t="shared" si="185"/>
        <v>49.32</v>
      </c>
      <c r="H715" s="219">
        <f t="shared" si="187"/>
        <v>8137.8</v>
      </c>
    </row>
    <row r="716" spans="1:9" ht="60" outlineLevel="2">
      <c r="A716" s="68" t="s">
        <v>2416</v>
      </c>
      <c r="B716" s="227" t="s">
        <v>296</v>
      </c>
      <c r="C716" s="245" t="s">
        <v>743</v>
      </c>
      <c r="D716" s="170" t="s">
        <v>101</v>
      </c>
      <c r="E716" s="416">
        <f>ELÉTRICO!E50</f>
        <v>75</v>
      </c>
      <c r="F716" s="222">
        <v>24.24</v>
      </c>
      <c r="G716" s="219">
        <f t="shared" si="185"/>
        <v>30.71</v>
      </c>
      <c r="H716" s="219">
        <f t="shared" si="187"/>
        <v>2303.25</v>
      </c>
    </row>
    <row r="717" spans="1:9" ht="45" outlineLevel="2">
      <c r="A717" s="68" t="s">
        <v>2417</v>
      </c>
      <c r="B717" s="227" t="s">
        <v>2852</v>
      </c>
      <c r="C717" s="245" t="s">
        <v>744</v>
      </c>
      <c r="D717" s="170" t="s">
        <v>101</v>
      </c>
      <c r="E717" s="416">
        <f>ELÉTRICO!E51+LÓGICA!E12</f>
        <v>295</v>
      </c>
      <c r="F717" s="222">
        <v>7.3</v>
      </c>
      <c r="G717" s="219">
        <f t="shared" si="185"/>
        <v>9.25</v>
      </c>
      <c r="H717" s="219">
        <f t="shared" si="187"/>
        <v>2728.75</v>
      </c>
    </row>
    <row r="718" spans="1:9" ht="60" outlineLevel="2">
      <c r="A718" s="68" t="s">
        <v>2418</v>
      </c>
      <c r="B718" s="227" t="s">
        <v>2853</v>
      </c>
      <c r="C718" s="245" t="s">
        <v>2544</v>
      </c>
      <c r="D718" s="170" t="s">
        <v>101</v>
      </c>
      <c r="E718" s="416">
        <f>LÓGICA!E10</f>
        <v>70</v>
      </c>
      <c r="F718" s="222">
        <v>3.97</v>
      </c>
      <c r="G718" s="219">
        <f t="shared" si="185"/>
        <v>5.03</v>
      </c>
      <c r="H718" s="219">
        <f t="shared" si="187"/>
        <v>352.1</v>
      </c>
    </row>
    <row r="719" spans="1:9" ht="60" outlineLevel="2">
      <c r="A719" s="68" t="s">
        <v>2419</v>
      </c>
      <c r="B719" s="168" t="s">
        <v>2854</v>
      </c>
      <c r="C719" s="169" t="s">
        <v>1593</v>
      </c>
      <c r="D719" s="168" t="s">
        <v>101</v>
      </c>
      <c r="E719" s="604">
        <f>LÓGICA!E11</f>
        <v>146</v>
      </c>
      <c r="F719" s="605">
        <v>7.52</v>
      </c>
      <c r="G719" s="219">
        <f t="shared" si="185"/>
        <v>9.5299999999999994</v>
      </c>
      <c r="H719" s="219">
        <f t="shared" si="187"/>
        <v>1391.38</v>
      </c>
    </row>
    <row r="720" spans="1:9" s="71" customFormat="1" ht="45" outlineLevel="2">
      <c r="A720" s="68" t="s">
        <v>2420</v>
      </c>
      <c r="B720" s="227" t="s">
        <v>2476</v>
      </c>
      <c r="C720" s="245" t="s">
        <v>1537</v>
      </c>
      <c r="D720" s="227" t="s">
        <v>101</v>
      </c>
      <c r="E720" s="570">
        <f>LÓGICA!E13</f>
        <v>16</v>
      </c>
      <c r="F720" s="222">
        <v>8.18</v>
      </c>
      <c r="G720" s="219">
        <f t="shared" si="185"/>
        <v>10.36</v>
      </c>
      <c r="H720" s="219">
        <f t="shared" si="187"/>
        <v>165.76</v>
      </c>
      <c r="I720" s="281"/>
    </row>
    <row r="721" spans="1:9" ht="60" outlineLevel="2">
      <c r="A721" s="68" t="s">
        <v>2421</v>
      </c>
      <c r="B721" s="168" t="s">
        <v>2855</v>
      </c>
      <c r="C721" s="169" t="s">
        <v>2856</v>
      </c>
      <c r="D721" s="168" t="s">
        <v>57</v>
      </c>
      <c r="E721" s="604">
        <f>LÓGICA!E14</f>
        <v>12</v>
      </c>
      <c r="F721" s="605">
        <v>17.09</v>
      </c>
      <c r="G721" s="219">
        <f t="shared" si="185"/>
        <v>21.65</v>
      </c>
      <c r="H721" s="219">
        <f t="shared" si="187"/>
        <v>259.8</v>
      </c>
    </row>
    <row r="722" spans="1:9" ht="60" outlineLevel="2">
      <c r="A722" s="68" t="s">
        <v>2422</v>
      </c>
      <c r="B722" s="168" t="s">
        <v>2857</v>
      </c>
      <c r="C722" s="169" t="s">
        <v>2858</v>
      </c>
      <c r="D722" s="168" t="s">
        <v>57</v>
      </c>
      <c r="E722" s="604">
        <f>LÓGICA!E16</f>
        <v>1</v>
      </c>
      <c r="F722" s="605">
        <v>170.6</v>
      </c>
      <c r="G722" s="219">
        <f t="shared" si="185"/>
        <v>216.2</v>
      </c>
      <c r="H722" s="219">
        <f t="shared" si="187"/>
        <v>216.2</v>
      </c>
    </row>
    <row r="723" spans="1:9" ht="30" outlineLevel="2">
      <c r="A723" s="68" t="s">
        <v>2423</v>
      </c>
      <c r="B723" s="227" t="s">
        <v>2859</v>
      </c>
      <c r="C723" s="245" t="s">
        <v>1705</v>
      </c>
      <c r="D723" s="170" t="s">
        <v>57</v>
      </c>
      <c r="E723" s="416">
        <f>ELÉTRICO!E52</f>
        <v>1</v>
      </c>
      <c r="F723" s="222">
        <v>367.28</v>
      </c>
      <c r="G723" s="219">
        <f t="shared" si="185"/>
        <v>465.45</v>
      </c>
      <c r="H723" s="219">
        <f t="shared" si="187"/>
        <v>465.45</v>
      </c>
    </row>
    <row r="724" spans="1:9" ht="30" outlineLevel="2">
      <c r="A724" s="68" t="s">
        <v>2424</v>
      </c>
      <c r="B724" s="227" t="s">
        <v>2860</v>
      </c>
      <c r="C724" s="245" t="s">
        <v>745</v>
      </c>
      <c r="D724" s="170" t="s">
        <v>57</v>
      </c>
      <c r="E724" s="416">
        <f>ELÉTRICO!E53</f>
        <v>12</v>
      </c>
      <c r="F724" s="222">
        <v>308.42</v>
      </c>
      <c r="G724" s="219">
        <f t="shared" si="185"/>
        <v>390.86</v>
      </c>
      <c r="H724" s="219">
        <f t="shared" si="187"/>
        <v>4690.32</v>
      </c>
    </row>
    <row r="725" spans="1:9" s="71" customFormat="1" ht="30" outlineLevel="2">
      <c r="A725" s="68" t="s">
        <v>2425</v>
      </c>
      <c r="B725" s="227" t="s">
        <v>2861</v>
      </c>
      <c r="C725" s="245" t="s">
        <v>746</v>
      </c>
      <c r="D725" s="170" t="s">
        <v>57</v>
      </c>
      <c r="E725" s="416">
        <f>ELÉTRICO!E54</f>
        <v>14</v>
      </c>
      <c r="F725" s="222">
        <v>144.79</v>
      </c>
      <c r="G725" s="219">
        <f t="shared" si="185"/>
        <v>183.49</v>
      </c>
      <c r="H725" s="219">
        <f t="shared" si="187"/>
        <v>2568.86</v>
      </c>
      <c r="I725" s="281"/>
    </row>
    <row r="726" spans="1:9" s="71" customFormat="1" ht="30" outlineLevel="2">
      <c r="A726" s="68" t="s">
        <v>2426</v>
      </c>
      <c r="B726" s="227" t="s">
        <v>2499</v>
      </c>
      <c r="C726" s="245" t="s">
        <v>2862</v>
      </c>
      <c r="D726" s="170" t="s">
        <v>57</v>
      </c>
      <c r="E726" s="416">
        <f>ELÉTRICO!E55</f>
        <v>14</v>
      </c>
      <c r="F726" s="222">
        <v>2543.56</v>
      </c>
      <c r="G726" s="219">
        <f t="shared" si="185"/>
        <v>3223.45</v>
      </c>
      <c r="H726" s="219">
        <f t="shared" si="187"/>
        <v>45128.3</v>
      </c>
      <c r="I726" s="281"/>
    </row>
    <row r="727" spans="1:9" s="71" customFormat="1" ht="30" outlineLevel="2">
      <c r="A727" s="68" t="s">
        <v>2545</v>
      </c>
      <c r="B727" s="227" t="s">
        <v>2863</v>
      </c>
      <c r="C727" s="245" t="s">
        <v>925</v>
      </c>
      <c r="D727" s="170" t="s">
        <v>57</v>
      </c>
      <c r="E727" s="416">
        <f>ELÉTRICO!E56</f>
        <v>46</v>
      </c>
      <c r="F727" s="222">
        <v>1327.34</v>
      </c>
      <c r="G727" s="219">
        <f t="shared" si="185"/>
        <v>1682.13</v>
      </c>
      <c r="H727" s="219">
        <f t="shared" si="187"/>
        <v>77377.98</v>
      </c>
      <c r="I727" s="281"/>
    </row>
    <row r="728" spans="1:9" s="71" customFormat="1" ht="60" outlineLevel="2">
      <c r="A728" s="68" t="s">
        <v>2546</v>
      </c>
      <c r="B728" s="227">
        <v>91844</v>
      </c>
      <c r="C728" s="245" t="s">
        <v>2544</v>
      </c>
      <c r="D728" s="170" t="s">
        <v>101</v>
      </c>
      <c r="E728" s="416">
        <f>ELÉTRICO!E65</f>
        <v>200</v>
      </c>
      <c r="F728" s="222">
        <v>3.97</v>
      </c>
      <c r="G728" s="219">
        <f t="shared" si="185"/>
        <v>5.03</v>
      </c>
      <c r="H728" s="219">
        <f t="shared" si="187"/>
        <v>1006</v>
      </c>
      <c r="I728" s="281"/>
    </row>
    <row r="729" spans="1:9" s="71" customFormat="1" ht="45" outlineLevel="2">
      <c r="A729" s="68" t="s">
        <v>2547</v>
      </c>
      <c r="B729" s="227" t="s">
        <v>3157</v>
      </c>
      <c r="C729" s="245" t="s">
        <v>3156</v>
      </c>
      <c r="D729" s="170" t="s">
        <v>57</v>
      </c>
      <c r="E729" s="416">
        <f>ELÉTRICO!E57</f>
        <v>14</v>
      </c>
      <c r="F729" s="222">
        <v>1265.95</v>
      </c>
      <c r="G729" s="219">
        <f t="shared" si="185"/>
        <v>1604.33</v>
      </c>
      <c r="H729" s="219">
        <f t="shared" si="187"/>
        <v>22460.62</v>
      </c>
      <c r="I729" s="281"/>
    </row>
    <row r="730" spans="1:9" s="71" customFormat="1" ht="60" outlineLevel="2">
      <c r="A730" s="68" t="s">
        <v>2548</v>
      </c>
      <c r="B730" s="227">
        <v>91854</v>
      </c>
      <c r="C730" s="245" t="s">
        <v>3054</v>
      </c>
      <c r="D730" s="170" t="s">
        <v>284</v>
      </c>
      <c r="E730" s="416">
        <f>ELÉTRICO!E66</f>
        <v>91</v>
      </c>
      <c r="F730" s="222">
        <v>5.7</v>
      </c>
      <c r="G730" s="219">
        <f t="shared" si="185"/>
        <v>7.22</v>
      </c>
      <c r="H730" s="219">
        <f t="shared" si="187"/>
        <v>657.02</v>
      </c>
      <c r="I730" s="281"/>
    </row>
    <row r="731" spans="1:9" ht="45" outlineLevel="2">
      <c r="A731" s="68" t="s">
        <v>2549</v>
      </c>
      <c r="B731" s="227" t="s">
        <v>2476</v>
      </c>
      <c r="C731" s="245" t="s">
        <v>1537</v>
      </c>
      <c r="D731" s="170" t="s">
        <v>101</v>
      </c>
      <c r="E731" s="416">
        <f>ELÉTRICO!E67</f>
        <v>155</v>
      </c>
      <c r="F731" s="222">
        <v>8.18</v>
      </c>
      <c r="G731" s="219">
        <f t="shared" si="185"/>
        <v>10.36</v>
      </c>
      <c r="H731" s="219">
        <f t="shared" si="187"/>
        <v>1605.8</v>
      </c>
    </row>
    <row r="732" spans="1:9" ht="60" outlineLevel="2">
      <c r="A732" s="68" t="s">
        <v>2607</v>
      </c>
      <c r="B732" s="227" t="s">
        <v>295</v>
      </c>
      <c r="C732" s="245" t="s">
        <v>742</v>
      </c>
      <c r="D732" s="170" t="s">
        <v>101</v>
      </c>
      <c r="E732" s="416">
        <f>ELÉTRICO!E68</f>
        <v>215</v>
      </c>
      <c r="F732" s="222">
        <v>38.92</v>
      </c>
      <c r="G732" s="219">
        <f t="shared" ref="G732" si="188">TRUNC(F732*(1+$E$2),2)</f>
        <v>49.32</v>
      </c>
      <c r="H732" s="219">
        <f t="shared" si="187"/>
        <v>10603.8</v>
      </c>
    </row>
    <row r="733" spans="1:9" ht="15.75" outlineLevel="1">
      <c r="A733" s="79"/>
      <c r="B733" s="588"/>
      <c r="C733" s="589" t="s">
        <v>14</v>
      </c>
      <c r="D733" s="588"/>
      <c r="E733" s="590"/>
      <c r="F733" s="591"/>
      <c r="G733" s="592"/>
      <c r="H733" s="592">
        <f>SUM(H668:H732)</f>
        <v>440335.94</v>
      </c>
    </row>
    <row r="734" spans="1:9" ht="31.5" outlineLevel="1">
      <c r="A734" s="178" t="s">
        <v>990</v>
      </c>
      <c r="B734" s="421"/>
      <c r="C734" s="593" t="s">
        <v>165</v>
      </c>
      <c r="D734" s="421"/>
      <c r="E734" s="599"/>
      <c r="F734" s="596"/>
      <c r="G734" s="598"/>
      <c r="H734" s="596"/>
    </row>
    <row r="735" spans="1:9" s="71" customFormat="1" ht="30" outlineLevel="2">
      <c r="A735" s="68" t="s">
        <v>1118</v>
      </c>
      <c r="B735" s="168" t="s">
        <v>1581</v>
      </c>
      <c r="C735" s="169" t="s">
        <v>1582</v>
      </c>
      <c r="D735" s="170" t="s">
        <v>57</v>
      </c>
      <c r="E735" s="604">
        <f>SPDA!E5</f>
        <v>95</v>
      </c>
      <c r="F735" s="605">
        <v>72.55</v>
      </c>
      <c r="G735" s="219">
        <f t="shared" ref="G735:G763" si="189">TRUNC(F735*(1+$E$2),2)</f>
        <v>91.94</v>
      </c>
      <c r="H735" s="219">
        <f t="shared" ref="H735" si="190">TRUNC((G735*E735),2)</f>
        <v>8734.2999999999993</v>
      </c>
      <c r="I735" s="281"/>
    </row>
    <row r="736" spans="1:9" ht="45" outlineLevel="2">
      <c r="A736" s="68" t="s">
        <v>1119</v>
      </c>
      <c r="B736" s="168" t="s">
        <v>1583</v>
      </c>
      <c r="C736" s="169" t="s">
        <v>2864</v>
      </c>
      <c r="D736" s="168" t="s">
        <v>57</v>
      </c>
      <c r="E736" s="604">
        <f>SPDA!E6</f>
        <v>13</v>
      </c>
      <c r="F736" s="605">
        <v>21.5</v>
      </c>
      <c r="G736" s="219">
        <f t="shared" si="189"/>
        <v>27.24</v>
      </c>
      <c r="H736" s="219">
        <f t="shared" ref="H736:H763" si="191">TRUNC((G736*E736),2)</f>
        <v>354.12</v>
      </c>
    </row>
    <row r="737" spans="1:9" ht="45" outlineLevel="2">
      <c r="A737" s="68" t="s">
        <v>2185</v>
      </c>
      <c r="B737" s="168" t="s">
        <v>946</v>
      </c>
      <c r="C737" s="169" t="s">
        <v>945</v>
      </c>
      <c r="D737" s="168" t="s">
        <v>57</v>
      </c>
      <c r="E737" s="604">
        <f>SPDA!E7</f>
        <v>569</v>
      </c>
      <c r="F737" s="605">
        <v>0.26</v>
      </c>
      <c r="G737" s="219">
        <f t="shared" si="189"/>
        <v>0.32</v>
      </c>
      <c r="H737" s="219">
        <f t="shared" si="191"/>
        <v>182.08</v>
      </c>
    </row>
    <row r="738" spans="1:9" s="71" customFormat="1" ht="30" outlineLevel="2">
      <c r="A738" s="68" t="s">
        <v>2186</v>
      </c>
      <c r="B738" s="168" t="s">
        <v>2865</v>
      </c>
      <c r="C738" s="169" t="s">
        <v>749</v>
      </c>
      <c r="D738" s="170" t="s">
        <v>57</v>
      </c>
      <c r="E738" s="604">
        <f>SPDA!E8</f>
        <v>250</v>
      </c>
      <c r="F738" s="605">
        <v>21.54</v>
      </c>
      <c r="G738" s="219">
        <f t="shared" si="189"/>
        <v>27.29</v>
      </c>
      <c r="H738" s="219">
        <f t="shared" si="191"/>
        <v>6822.5</v>
      </c>
      <c r="I738" s="281"/>
    </row>
    <row r="739" spans="1:9" s="71" customFormat="1" outlineLevel="2">
      <c r="A739" s="68" t="s">
        <v>2187</v>
      </c>
      <c r="B739" s="168" t="s">
        <v>1585</v>
      </c>
      <c r="C739" s="169" t="s">
        <v>2866</v>
      </c>
      <c r="D739" s="170" t="s">
        <v>57</v>
      </c>
      <c r="E739" s="604">
        <f>SPDA!E9</f>
        <v>622</v>
      </c>
      <c r="F739" s="605">
        <v>6.41</v>
      </c>
      <c r="G739" s="219">
        <f t="shared" si="189"/>
        <v>8.1199999999999992</v>
      </c>
      <c r="H739" s="219">
        <f t="shared" si="191"/>
        <v>5050.6400000000003</v>
      </c>
      <c r="I739" s="281"/>
    </row>
    <row r="740" spans="1:9" s="71" customFormat="1" ht="30" outlineLevel="2">
      <c r="A740" s="68" t="s">
        <v>2188</v>
      </c>
      <c r="B740" s="168" t="s">
        <v>943</v>
      </c>
      <c r="C740" s="169" t="s">
        <v>944</v>
      </c>
      <c r="D740" s="170" t="s">
        <v>57</v>
      </c>
      <c r="E740" s="604">
        <f>SPDA!E10</f>
        <v>58</v>
      </c>
      <c r="F740" s="605">
        <v>24.05</v>
      </c>
      <c r="G740" s="219">
        <f t="shared" si="189"/>
        <v>30.47</v>
      </c>
      <c r="H740" s="219">
        <f t="shared" si="191"/>
        <v>1767.26</v>
      </c>
      <c r="I740" s="281"/>
    </row>
    <row r="741" spans="1:9" s="281" customFormat="1" ht="30" outlineLevel="2">
      <c r="A741" s="68" t="s">
        <v>2189</v>
      </c>
      <c r="B741" s="168" t="s">
        <v>2867</v>
      </c>
      <c r="C741" s="169" t="s">
        <v>747</v>
      </c>
      <c r="D741" s="170" t="s">
        <v>57</v>
      </c>
      <c r="E741" s="604">
        <f>SPDA!E11</f>
        <v>116</v>
      </c>
      <c r="F741" s="605">
        <v>12.18</v>
      </c>
      <c r="G741" s="219">
        <f t="shared" si="189"/>
        <v>15.43</v>
      </c>
      <c r="H741" s="219">
        <f t="shared" si="191"/>
        <v>1789.88</v>
      </c>
    </row>
    <row r="742" spans="1:9" s="71" customFormat="1" ht="30" outlineLevel="2">
      <c r="A742" s="68" t="s">
        <v>2190</v>
      </c>
      <c r="B742" s="168" t="s">
        <v>2868</v>
      </c>
      <c r="C742" s="169" t="s">
        <v>748</v>
      </c>
      <c r="D742" s="170" t="s">
        <v>57</v>
      </c>
      <c r="E742" s="604">
        <f>SPDA!E12</f>
        <v>59</v>
      </c>
      <c r="F742" s="605">
        <v>16.350000000000001</v>
      </c>
      <c r="G742" s="219">
        <f t="shared" si="189"/>
        <v>20.72</v>
      </c>
      <c r="H742" s="219">
        <f t="shared" si="191"/>
        <v>1222.48</v>
      </c>
      <c r="I742" s="281"/>
    </row>
    <row r="743" spans="1:9" s="71" customFormat="1" ht="60" outlineLevel="2">
      <c r="A743" s="68" t="s">
        <v>2191</v>
      </c>
      <c r="B743" s="168" t="s">
        <v>2869</v>
      </c>
      <c r="C743" s="169" t="s">
        <v>752</v>
      </c>
      <c r="D743" s="168" t="s">
        <v>101</v>
      </c>
      <c r="E743" s="604">
        <f>SPDA!E13</f>
        <v>174</v>
      </c>
      <c r="F743" s="605">
        <v>9.4700000000000006</v>
      </c>
      <c r="G743" s="219">
        <f t="shared" si="189"/>
        <v>12</v>
      </c>
      <c r="H743" s="219">
        <f t="shared" si="191"/>
        <v>2088</v>
      </c>
      <c r="I743" s="281"/>
    </row>
    <row r="744" spans="1:9" s="71" customFormat="1" outlineLevel="2">
      <c r="A744" s="68" t="s">
        <v>2192</v>
      </c>
      <c r="B744" s="168" t="s">
        <v>897</v>
      </c>
      <c r="C744" s="169" t="s">
        <v>898</v>
      </c>
      <c r="D744" s="170" t="s">
        <v>57</v>
      </c>
      <c r="E744" s="604">
        <f>SPDA!E14</f>
        <v>231.9999942</v>
      </c>
      <c r="F744" s="605">
        <v>4.6100000000000003</v>
      </c>
      <c r="G744" s="219">
        <f t="shared" si="189"/>
        <v>5.84</v>
      </c>
      <c r="H744" s="219">
        <f t="shared" si="191"/>
        <v>1354.87</v>
      </c>
      <c r="I744" s="281"/>
    </row>
    <row r="745" spans="1:9" s="71" customFormat="1" ht="30" outlineLevel="2">
      <c r="A745" s="68" t="s">
        <v>2193</v>
      </c>
      <c r="B745" s="168" t="s">
        <v>940</v>
      </c>
      <c r="C745" s="169" t="s">
        <v>939</v>
      </c>
      <c r="D745" s="170" t="s">
        <v>57</v>
      </c>
      <c r="E745" s="604">
        <f>SPDA!E15</f>
        <v>231.9999942</v>
      </c>
      <c r="F745" s="605">
        <v>3.11</v>
      </c>
      <c r="G745" s="219">
        <f t="shared" si="189"/>
        <v>3.94</v>
      </c>
      <c r="H745" s="219">
        <f t="shared" si="191"/>
        <v>914.07</v>
      </c>
      <c r="I745" s="281"/>
    </row>
    <row r="746" spans="1:9" s="71" customFormat="1" ht="30" outlineLevel="2">
      <c r="A746" s="68" t="s">
        <v>2194</v>
      </c>
      <c r="B746" s="168" t="s">
        <v>2870</v>
      </c>
      <c r="C746" s="169" t="s">
        <v>750</v>
      </c>
      <c r="D746" s="168" t="s">
        <v>101</v>
      </c>
      <c r="E746" s="604">
        <f>SPDA!E16</f>
        <v>735</v>
      </c>
      <c r="F746" s="605">
        <v>21.65</v>
      </c>
      <c r="G746" s="219">
        <f t="shared" si="189"/>
        <v>27.43</v>
      </c>
      <c r="H746" s="219">
        <f t="shared" si="191"/>
        <v>20161.05</v>
      </c>
      <c r="I746" s="281"/>
    </row>
    <row r="747" spans="1:9" s="71" customFormat="1" ht="30" outlineLevel="2">
      <c r="A747" s="68" t="s">
        <v>2195</v>
      </c>
      <c r="B747" s="168" t="s">
        <v>2871</v>
      </c>
      <c r="C747" s="169" t="s">
        <v>751</v>
      </c>
      <c r="D747" s="168" t="s">
        <v>101</v>
      </c>
      <c r="E747" s="604">
        <f>SPDA!E17</f>
        <v>764</v>
      </c>
      <c r="F747" s="605">
        <v>30.72</v>
      </c>
      <c r="G747" s="219">
        <f t="shared" si="189"/>
        <v>38.93</v>
      </c>
      <c r="H747" s="219">
        <f t="shared" si="191"/>
        <v>29742.52</v>
      </c>
      <c r="I747" s="281"/>
    </row>
    <row r="748" spans="1:9" s="71" customFormat="1" ht="60" outlineLevel="2">
      <c r="A748" s="68" t="s">
        <v>2196</v>
      </c>
      <c r="B748" s="168" t="s">
        <v>941</v>
      </c>
      <c r="C748" s="169" t="s">
        <v>2872</v>
      </c>
      <c r="D748" s="170" t="s">
        <v>57</v>
      </c>
      <c r="E748" s="604">
        <f>SPDA!E18</f>
        <v>12</v>
      </c>
      <c r="F748" s="605">
        <v>71.540000000000006</v>
      </c>
      <c r="G748" s="219">
        <f t="shared" si="189"/>
        <v>90.66</v>
      </c>
      <c r="H748" s="219">
        <f t="shared" si="191"/>
        <v>1087.92</v>
      </c>
      <c r="I748" s="281"/>
    </row>
    <row r="749" spans="1:9" s="71" customFormat="1" ht="45" outlineLevel="2">
      <c r="A749" s="68" t="s">
        <v>2197</v>
      </c>
      <c r="B749" s="168" t="s">
        <v>2873</v>
      </c>
      <c r="C749" s="169" t="s">
        <v>2874</v>
      </c>
      <c r="D749" s="168" t="s">
        <v>57</v>
      </c>
      <c r="E749" s="604">
        <f>SPDA!E19</f>
        <v>115</v>
      </c>
      <c r="F749" s="605">
        <v>40.4</v>
      </c>
      <c r="G749" s="219">
        <f t="shared" si="189"/>
        <v>51.19</v>
      </c>
      <c r="H749" s="219">
        <f t="shared" si="191"/>
        <v>5886.85</v>
      </c>
      <c r="I749" s="281"/>
    </row>
    <row r="750" spans="1:9" s="71" customFormat="1" ht="30" outlineLevel="2">
      <c r="A750" s="68" t="s">
        <v>2198</v>
      </c>
      <c r="B750" s="168" t="s">
        <v>947</v>
      </c>
      <c r="C750" s="169" t="s">
        <v>948</v>
      </c>
      <c r="D750" s="170" t="s">
        <v>57</v>
      </c>
      <c r="E750" s="604">
        <f>SPDA!E20</f>
        <v>174</v>
      </c>
      <c r="F750" s="605">
        <v>8.15</v>
      </c>
      <c r="G750" s="219">
        <f t="shared" si="189"/>
        <v>10.32</v>
      </c>
      <c r="H750" s="219">
        <f t="shared" si="191"/>
        <v>1795.68</v>
      </c>
      <c r="I750" s="281"/>
    </row>
    <row r="751" spans="1:9" s="71" customFormat="1" outlineLevel="2">
      <c r="A751" s="68" t="s">
        <v>2199</v>
      </c>
      <c r="B751" s="168" t="s">
        <v>2632</v>
      </c>
      <c r="C751" s="169" t="s">
        <v>524</v>
      </c>
      <c r="D751" s="168" t="s">
        <v>284</v>
      </c>
      <c r="E751" s="604">
        <f>SPDA!E21</f>
        <v>132</v>
      </c>
      <c r="F751" s="605">
        <v>54.9</v>
      </c>
      <c r="G751" s="219">
        <f t="shared" si="189"/>
        <v>69.569999999999993</v>
      </c>
      <c r="H751" s="219">
        <f t="shared" si="191"/>
        <v>9183.24</v>
      </c>
      <c r="I751" s="281"/>
    </row>
    <row r="752" spans="1:9" s="71" customFormat="1" outlineLevel="2">
      <c r="A752" s="68" t="s">
        <v>2200</v>
      </c>
      <c r="B752" s="168" t="s">
        <v>268</v>
      </c>
      <c r="C752" s="169" t="s">
        <v>527</v>
      </c>
      <c r="D752" s="168" t="s">
        <v>284</v>
      </c>
      <c r="E752" s="604">
        <f>SPDA!E22</f>
        <v>132</v>
      </c>
      <c r="F752" s="605">
        <v>41.64</v>
      </c>
      <c r="G752" s="219">
        <f t="shared" si="189"/>
        <v>52.77</v>
      </c>
      <c r="H752" s="219">
        <f t="shared" si="191"/>
        <v>6965.64</v>
      </c>
      <c r="I752" s="281"/>
    </row>
    <row r="753" spans="1:8" ht="30" outlineLevel="2">
      <c r="A753" s="68" t="s">
        <v>2201</v>
      </c>
      <c r="B753" s="168" t="s">
        <v>949</v>
      </c>
      <c r="C753" s="169" t="s">
        <v>950</v>
      </c>
      <c r="D753" s="168" t="s">
        <v>57</v>
      </c>
      <c r="E753" s="604">
        <f>SPDA!E23</f>
        <v>1</v>
      </c>
      <c r="F753" s="605">
        <v>316.73</v>
      </c>
      <c r="G753" s="219">
        <f t="shared" si="189"/>
        <v>401.39</v>
      </c>
      <c r="H753" s="219">
        <f t="shared" si="191"/>
        <v>401.39</v>
      </c>
    </row>
    <row r="754" spans="1:8" ht="45" outlineLevel="2">
      <c r="A754" s="68" t="s">
        <v>2202</v>
      </c>
      <c r="B754" s="168" t="s">
        <v>2875</v>
      </c>
      <c r="C754" s="169" t="s">
        <v>1588</v>
      </c>
      <c r="D754" s="168" t="s">
        <v>57</v>
      </c>
      <c r="E754" s="604">
        <f>SPDA!E24</f>
        <v>2</v>
      </c>
      <c r="F754" s="605">
        <v>278.10000000000002</v>
      </c>
      <c r="G754" s="219">
        <f t="shared" si="189"/>
        <v>352.43</v>
      </c>
      <c r="H754" s="219">
        <f t="shared" si="191"/>
        <v>704.86</v>
      </c>
    </row>
    <row r="755" spans="1:8" ht="30" outlineLevel="2">
      <c r="A755" s="68" t="s">
        <v>2203</v>
      </c>
      <c r="B755" s="168" t="s">
        <v>2876</v>
      </c>
      <c r="C755" s="169" t="s">
        <v>1589</v>
      </c>
      <c r="D755" s="168" t="s">
        <v>101</v>
      </c>
      <c r="E755" s="604">
        <f>SPDA!E25</f>
        <v>20</v>
      </c>
      <c r="F755" s="605">
        <v>48.3</v>
      </c>
      <c r="G755" s="219">
        <f t="shared" si="189"/>
        <v>61.21</v>
      </c>
      <c r="H755" s="219">
        <f t="shared" si="191"/>
        <v>1224.2</v>
      </c>
    </row>
    <row r="756" spans="1:8" ht="45" outlineLevel="2">
      <c r="A756" s="68" t="s">
        <v>2204</v>
      </c>
      <c r="B756" s="168" t="s">
        <v>1590</v>
      </c>
      <c r="C756" s="169" t="s">
        <v>1604</v>
      </c>
      <c r="D756" s="168" t="s">
        <v>57</v>
      </c>
      <c r="E756" s="604">
        <f>SPDA!E26</f>
        <v>2</v>
      </c>
      <c r="F756" s="605">
        <v>334.73</v>
      </c>
      <c r="G756" s="219">
        <f t="shared" si="189"/>
        <v>424.2</v>
      </c>
      <c r="H756" s="219">
        <f t="shared" si="191"/>
        <v>848.4</v>
      </c>
    </row>
    <row r="757" spans="1:8" ht="45" outlineLevel="2">
      <c r="A757" s="68" t="s">
        <v>2205</v>
      </c>
      <c r="B757" s="168" t="s">
        <v>1591</v>
      </c>
      <c r="C757" s="169" t="s">
        <v>1610</v>
      </c>
      <c r="D757" s="168" t="s">
        <v>57</v>
      </c>
      <c r="E757" s="604">
        <f>SPDA!E27</f>
        <v>2</v>
      </c>
      <c r="F757" s="605">
        <v>49.71</v>
      </c>
      <c r="G757" s="219">
        <f t="shared" si="189"/>
        <v>62.99</v>
      </c>
      <c r="H757" s="219">
        <f t="shared" si="191"/>
        <v>125.98</v>
      </c>
    </row>
    <row r="758" spans="1:8" ht="45" outlineLevel="2">
      <c r="A758" s="68" t="s">
        <v>2206</v>
      </c>
      <c r="B758" s="168" t="s">
        <v>2877</v>
      </c>
      <c r="C758" s="169" t="s">
        <v>1520</v>
      </c>
      <c r="D758" s="168" t="s">
        <v>101</v>
      </c>
      <c r="E758" s="604">
        <f>SPDA!E28</f>
        <v>240</v>
      </c>
      <c r="F758" s="605">
        <v>2.85</v>
      </c>
      <c r="G758" s="219">
        <f t="shared" si="189"/>
        <v>3.61</v>
      </c>
      <c r="H758" s="219">
        <f t="shared" si="191"/>
        <v>866.4</v>
      </c>
    </row>
    <row r="759" spans="1:8" ht="45" outlineLevel="2">
      <c r="A759" s="68" t="s">
        <v>2207</v>
      </c>
      <c r="B759" s="168" t="s">
        <v>2842</v>
      </c>
      <c r="C759" s="169" t="s">
        <v>736</v>
      </c>
      <c r="D759" s="168" t="s">
        <v>57</v>
      </c>
      <c r="E759" s="604">
        <f>SPDA!E29</f>
        <v>2</v>
      </c>
      <c r="F759" s="605">
        <v>7.82</v>
      </c>
      <c r="G759" s="219">
        <f t="shared" si="189"/>
        <v>9.91</v>
      </c>
      <c r="H759" s="219">
        <f t="shared" si="191"/>
        <v>19.82</v>
      </c>
    </row>
    <row r="760" spans="1:8" ht="60" outlineLevel="2">
      <c r="A760" s="68" t="s">
        <v>2208</v>
      </c>
      <c r="B760" s="168" t="s">
        <v>2854</v>
      </c>
      <c r="C760" s="169" t="s">
        <v>1593</v>
      </c>
      <c r="D760" s="168" t="s">
        <v>101</v>
      </c>
      <c r="E760" s="604">
        <f>SPDA!E30</f>
        <v>160</v>
      </c>
      <c r="F760" s="605">
        <v>7.52</v>
      </c>
      <c r="G760" s="219">
        <f t="shared" si="189"/>
        <v>9.5299999999999994</v>
      </c>
      <c r="H760" s="219">
        <f t="shared" si="191"/>
        <v>1524.8</v>
      </c>
    </row>
    <row r="761" spans="1:8" ht="60" outlineLevel="2">
      <c r="A761" s="68" t="s">
        <v>2209</v>
      </c>
      <c r="B761" s="168" t="s">
        <v>2878</v>
      </c>
      <c r="C761" s="169" t="s">
        <v>2879</v>
      </c>
      <c r="D761" s="168" t="s">
        <v>57</v>
      </c>
      <c r="E761" s="604">
        <f>SPDA!E31</f>
        <v>16</v>
      </c>
      <c r="F761" s="605">
        <v>5.89</v>
      </c>
      <c r="G761" s="219">
        <f t="shared" si="189"/>
        <v>7.46</v>
      </c>
      <c r="H761" s="219">
        <f t="shared" si="191"/>
        <v>119.36</v>
      </c>
    </row>
    <row r="762" spans="1:8" ht="60" outlineLevel="2">
      <c r="A762" s="68" t="s">
        <v>2210</v>
      </c>
      <c r="B762" s="168" t="s">
        <v>2855</v>
      </c>
      <c r="C762" s="169" t="s">
        <v>2856</v>
      </c>
      <c r="D762" s="168" t="s">
        <v>57</v>
      </c>
      <c r="E762" s="604">
        <f>SPDA!E32</f>
        <v>2</v>
      </c>
      <c r="F762" s="605">
        <v>17.09</v>
      </c>
      <c r="G762" s="219">
        <f t="shared" si="189"/>
        <v>21.65</v>
      </c>
      <c r="H762" s="219">
        <f t="shared" si="191"/>
        <v>43.3</v>
      </c>
    </row>
    <row r="763" spans="1:8" ht="60" outlineLevel="2">
      <c r="A763" s="68" t="s">
        <v>2211</v>
      </c>
      <c r="B763" s="168" t="s">
        <v>2880</v>
      </c>
      <c r="C763" s="169" t="s">
        <v>1596</v>
      </c>
      <c r="D763" s="168" t="s">
        <v>57</v>
      </c>
      <c r="E763" s="604">
        <f>SPDA!E33</f>
        <v>10</v>
      </c>
      <c r="F763" s="605">
        <v>9.51</v>
      </c>
      <c r="G763" s="219">
        <f t="shared" si="189"/>
        <v>12.05</v>
      </c>
      <c r="H763" s="219">
        <f t="shared" si="191"/>
        <v>120.5</v>
      </c>
    </row>
    <row r="764" spans="1:8" ht="15.75" outlineLevel="1">
      <c r="A764" s="122"/>
      <c r="B764" s="79"/>
      <c r="C764" s="80" t="s">
        <v>14</v>
      </c>
      <c r="D764" s="79"/>
      <c r="E764" s="81"/>
      <c r="F764" s="207"/>
      <c r="G764" s="220"/>
      <c r="H764" s="220">
        <f>SUM(H735:H763)</f>
        <v>111102.11</v>
      </c>
    </row>
    <row r="765" spans="1:8" ht="15.75">
      <c r="A765" s="66"/>
      <c r="B765" s="66"/>
      <c r="C765" s="67" t="s">
        <v>169</v>
      </c>
      <c r="D765" s="66"/>
      <c r="E765" s="81"/>
      <c r="F765" s="206"/>
      <c r="G765" s="208"/>
      <c r="H765" s="208">
        <f>H764+H733</f>
        <v>551438.05000000005</v>
      </c>
    </row>
    <row r="766" spans="1:8" ht="15.75">
      <c r="A766" s="778" t="s">
        <v>204</v>
      </c>
      <c r="B766" s="778"/>
      <c r="C766" s="778"/>
      <c r="D766" s="778"/>
      <c r="E766" s="778"/>
      <c r="F766" s="778"/>
      <c r="G766" s="778"/>
      <c r="H766" s="778"/>
    </row>
    <row r="767" spans="1:8" ht="15.75" outlineLevel="1">
      <c r="A767" s="175" t="s">
        <v>991</v>
      </c>
      <c r="B767" s="175"/>
      <c r="C767" s="176" t="s">
        <v>205</v>
      </c>
      <c r="D767" s="175"/>
      <c r="E767" s="177"/>
      <c r="F767" s="204"/>
      <c r="G767" s="218"/>
      <c r="H767" s="218"/>
    </row>
    <row r="768" spans="1:8" ht="30" outlineLevel="2">
      <c r="A768" s="68" t="s">
        <v>1120</v>
      </c>
      <c r="B768" s="227" t="s">
        <v>2881</v>
      </c>
      <c r="C768" s="69" t="s">
        <v>1517</v>
      </c>
      <c r="D768" s="68" t="s">
        <v>57</v>
      </c>
      <c r="E768" s="493">
        <f>'INCÊNDIO (2)'!E3</f>
        <v>9</v>
      </c>
      <c r="F768" s="205">
        <v>170.48</v>
      </c>
      <c r="G768" s="219">
        <f t="shared" ref="G768:G771" si="192">TRUNC(F768*(1+$E$2),2)</f>
        <v>216.04</v>
      </c>
      <c r="H768" s="219">
        <f t="shared" ref="H768" si="193">TRUNC((G768*E768),2)</f>
        <v>1944.36</v>
      </c>
    </row>
    <row r="769" spans="1:9" ht="45" outlineLevel="2">
      <c r="A769" s="68" t="s">
        <v>1121</v>
      </c>
      <c r="B769" s="68" t="s">
        <v>332</v>
      </c>
      <c r="C769" s="69" t="s">
        <v>2882</v>
      </c>
      <c r="D769" s="68" t="s">
        <v>57</v>
      </c>
      <c r="E769" s="493">
        <f>'INCÊNDIO (2)'!E4</f>
        <v>4</v>
      </c>
      <c r="F769" s="205">
        <v>151.1</v>
      </c>
      <c r="G769" s="219">
        <f t="shared" si="192"/>
        <v>191.48</v>
      </c>
      <c r="H769" s="219">
        <f t="shared" ref="H769:H771" si="194">TRUNC((G769*E769),2)</f>
        <v>765.92</v>
      </c>
    </row>
    <row r="770" spans="1:9" s="71" customFormat="1" ht="30" outlineLevel="2">
      <c r="A770" s="68" t="s">
        <v>1122</v>
      </c>
      <c r="B770" s="68" t="s">
        <v>899</v>
      </c>
      <c r="C770" s="69" t="s">
        <v>900</v>
      </c>
      <c r="D770" s="68" t="s">
        <v>57</v>
      </c>
      <c r="E770" s="493">
        <f>'INCÊNDIO (2)'!E5</f>
        <v>16</v>
      </c>
      <c r="F770" s="205">
        <v>17.18</v>
      </c>
      <c r="G770" s="219">
        <f t="shared" si="192"/>
        <v>21.77</v>
      </c>
      <c r="H770" s="219">
        <f t="shared" si="194"/>
        <v>348.32</v>
      </c>
      <c r="I770" s="281"/>
    </row>
    <row r="771" spans="1:9" s="71" customFormat="1" ht="30" outlineLevel="2">
      <c r="A771" s="68" t="s">
        <v>1123</v>
      </c>
      <c r="B771" s="68" t="s">
        <v>2704</v>
      </c>
      <c r="C771" s="245" t="s">
        <v>755</v>
      </c>
      <c r="D771" s="68" t="s">
        <v>108</v>
      </c>
      <c r="E771" s="493">
        <f>'INCÊNDIO (2)'!E6</f>
        <v>20</v>
      </c>
      <c r="F771" s="205">
        <v>15.93</v>
      </c>
      <c r="G771" s="219">
        <f t="shared" si="192"/>
        <v>20.18</v>
      </c>
      <c r="H771" s="219">
        <f t="shared" si="194"/>
        <v>403.6</v>
      </c>
      <c r="I771" s="281"/>
    </row>
    <row r="772" spans="1:9" ht="15.75" outlineLevel="1">
      <c r="A772" s="79"/>
      <c r="B772" s="79"/>
      <c r="C772" s="80" t="s">
        <v>14</v>
      </c>
      <c r="D772" s="79"/>
      <c r="E772" s="81"/>
      <c r="F772" s="207"/>
      <c r="G772" s="220"/>
      <c r="H772" s="220">
        <f>SUM(H768:H771)</f>
        <v>3462.2</v>
      </c>
    </row>
    <row r="773" spans="1:9" ht="15.75" outlineLevel="1">
      <c r="A773" s="175" t="s">
        <v>992</v>
      </c>
      <c r="B773" s="175"/>
      <c r="C773" s="176" t="s">
        <v>206</v>
      </c>
      <c r="D773" s="175"/>
      <c r="E773" s="177"/>
      <c r="F773" s="204"/>
      <c r="G773" s="218"/>
      <c r="H773" s="218"/>
    </row>
    <row r="774" spans="1:9" s="71" customFormat="1" ht="60" outlineLevel="2">
      <c r="A774" s="68" t="s">
        <v>1124</v>
      </c>
      <c r="B774" s="68" t="s">
        <v>901</v>
      </c>
      <c r="C774" s="69" t="s">
        <v>902</v>
      </c>
      <c r="D774" s="68" t="s">
        <v>57</v>
      </c>
      <c r="E774" s="70">
        <f>'INCÊNDIO (2)'!E8</f>
        <v>59</v>
      </c>
      <c r="F774" s="205">
        <v>24.52</v>
      </c>
      <c r="G774" s="219">
        <f t="shared" ref="G774:G775" si="195">TRUNC(F774*(1+$E$2),2)</f>
        <v>31.07</v>
      </c>
      <c r="H774" s="219">
        <f t="shared" ref="H774" si="196">TRUNC((G774*E774),2)</f>
        <v>1833.13</v>
      </c>
      <c r="I774" s="281"/>
    </row>
    <row r="775" spans="1:9" s="71" customFormat="1" ht="60" outlineLevel="2">
      <c r="A775" s="68" t="s">
        <v>1445</v>
      </c>
      <c r="B775" s="68" t="s">
        <v>903</v>
      </c>
      <c r="C775" s="69" t="s">
        <v>904</v>
      </c>
      <c r="D775" s="68" t="s">
        <v>57</v>
      </c>
      <c r="E775" s="70">
        <f>'INCÊNDIO (2)'!E9</f>
        <v>5</v>
      </c>
      <c r="F775" s="205">
        <v>32.65</v>
      </c>
      <c r="G775" s="219">
        <f t="shared" si="195"/>
        <v>41.37</v>
      </c>
      <c r="H775" s="219">
        <f t="shared" ref="H775" si="197">TRUNC((G775*E775),2)</f>
        <v>206.85</v>
      </c>
      <c r="I775" s="281"/>
    </row>
    <row r="776" spans="1:9" ht="15.75" outlineLevel="1">
      <c r="A776" s="79"/>
      <c r="B776" s="79"/>
      <c r="C776" s="80" t="s">
        <v>14</v>
      </c>
      <c r="D776" s="79"/>
      <c r="E776" s="81"/>
      <c r="F776" s="207"/>
      <c r="G776" s="220"/>
      <c r="H776" s="220">
        <f>SUM(H774:H775)</f>
        <v>2039.98</v>
      </c>
    </row>
    <row r="777" spans="1:9" ht="15.75" outlineLevel="1">
      <c r="A777" s="175" t="s">
        <v>1446</v>
      </c>
      <c r="B777" s="175"/>
      <c r="C777" s="176" t="s">
        <v>207</v>
      </c>
      <c r="D777" s="175"/>
      <c r="E777" s="177"/>
      <c r="F777" s="204"/>
      <c r="G777" s="218"/>
      <c r="H777" s="218"/>
    </row>
    <row r="778" spans="1:9" s="71" customFormat="1" ht="45" outlineLevel="2">
      <c r="A778" s="68" t="s">
        <v>1447</v>
      </c>
      <c r="B778" s="115" t="s">
        <v>905</v>
      </c>
      <c r="C778" s="116" t="s">
        <v>906</v>
      </c>
      <c r="D778" s="115" t="s">
        <v>57</v>
      </c>
      <c r="E778" s="492">
        <f>'INCÊNDIO (2)'!E11</f>
        <v>6</v>
      </c>
      <c r="F778" s="211">
        <v>79.41</v>
      </c>
      <c r="G778" s="219">
        <f t="shared" ref="G778:G797" si="198">TRUNC(F778*(1+$E$2),2)</f>
        <v>100.63</v>
      </c>
      <c r="H778" s="219">
        <f t="shared" ref="H778" si="199">TRUNC((G778*E778),2)</f>
        <v>603.78</v>
      </c>
      <c r="I778" s="281"/>
    </row>
    <row r="779" spans="1:9" s="71" customFormat="1" ht="30" outlineLevel="2">
      <c r="A779" s="68" t="s">
        <v>1538</v>
      </c>
      <c r="B779" s="115" t="s">
        <v>907</v>
      </c>
      <c r="C779" s="116" t="s">
        <v>908</v>
      </c>
      <c r="D779" s="115" t="s">
        <v>57</v>
      </c>
      <c r="E779" s="492">
        <f>'INCÊNDIO (2)'!E12</f>
        <v>6</v>
      </c>
      <c r="F779" s="211">
        <v>39.76</v>
      </c>
      <c r="G779" s="219">
        <f t="shared" si="198"/>
        <v>50.38</v>
      </c>
      <c r="H779" s="219">
        <f t="shared" ref="H779:H797" si="200">TRUNC((G779*E779),2)</f>
        <v>302.27999999999997</v>
      </c>
      <c r="I779" s="281"/>
    </row>
    <row r="780" spans="1:9" s="71" customFormat="1" ht="30" outlineLevel="2">
      <c r="A780" s="68" t="s">
        <v>2427</v>
      </c>
      <c r="B780" s="115" t="s">
        <v>909</v>
      </c>
      <c r="C780" s="116" t="s">
        <v>910</v>
      </c>
      <c r="D780" s="115" t="s">
        <v>57</v>
      </c>
      <c r="E780" s="492">
        <f>'INCÊNDIO (2)'!E13</f>
        <v>1</v>
      </c>
      <c r="F780" s="211">
        <v>596.64</v>
      </c>
      <c r="G780" s="219">
        <f t="shared" si="198"/>
        <v>756.12</v>
      </c>
      <c r="H780" s="219">
        <f t="shared" si="200"/>
        <v>756.12</v>
      </c>
      <c r="I780" s="281"/>
    </row>
    <row r="781" spans="1:9" s="71" customFormat="1" ht="30" outlineLevel="2">
      <c r="A781" s="68" t="s">
        <v>2428</v>
      </c>
      <c r="B781" s="115" t="s">
        <v>911</v>
      </c>
      <c r="C781" s="116" t="s">
        <v>912</v>
      </c>
      <c r="D781" s="115" t="s">
        <v>57</v>
      </c>
      <c r="E781" s="492">
        <f>'INCÊNDIO (2)'!E14</f>
        <v>2</v>
      </c>
      <c r="F781" s="211">
        <v>227.79</v>
      </c>
      <c r="G781" s="219">
        <f t="shared" si="198"/>
        <v>288.67</v>
      </c>
      <c r="H781" s="219">
        <f t="shared" si="200"/>
        <v>577.34</v>
      </c>
      <c r="I781" s="281"/>
    </row>
    <row r="782" spans="1:9" ht="45" outlineLevel="2">
      <c r="A782" s="68" t="s">
        <v>2429</v>
      </c>
      <c r="B782" s="68" t="s">
        <v>2877</v>
      </c>
      <c r="C782" s="69" t="s">
        <v>1520</v>
      </c>
      <c r="D782" s="68" t="s">
        <v>101</v>
      </c>
      <c r="E782" s="492">
        <f>'INCÊNDIO (2)'!E15</f>
        <v>1920</v>
      </c>
      <c r="F782" s="205">
        <v>2.85</v>
      </c>
      <c r="G782" s="219">
        <f t="shared" si="198"/>
        <v>3.61</v>
      </c>
      <c r="H782" s="219">
        <f t="shared" si="200"/>
        <v>6931.2</v>
      </c>
    </row>
    <row r="783" spans="1:9" s="71" customFormat="1" ht="45" outlineLevel="2">
      <c r="A783" s="68" t="s">
        <v>2430</v>
      </c>
      <c r="B783" s="68" t="s">
        <v>2883</v>
      </c>
      <c r="C783" s="69" t="s">
        <v>754</v>
      </c>
      <c r="D783" s="68" t="s">
        <v>57</v>
      </c>
      <c r="E783" s="492">
        <f>'INCÊNDIO (2)'!E16</f>
        <v>25</v>
      </c>
      <c r="F783" s="205">
        <v>9.86</v>
      </c>
      <c r="G783" s="219">
        <f t="shared" si="198"/>
        <v>12.49</v>
      </c>
      <c r="H783" s="219">
        <f t="shared" si="200"/>
        <v>312.25</v>
      </c>
      <c r="I783" s="281"/>
    </row>
    <row r="784" spans="1:9" ht="60" outlineLevel="2">
      <c r="A784" s="68" t="s">
        <v>2431</v>
      </c>
      <c r="B784" s="68" t="s">
        <v>915</v>
      </c>
      <c r="C784" s="69" t="s">
        <v>916</v>
      </c>
      <c r="D784" s="68" t="s">
        <v>57</v>
      </c>
      <c r="E784" s="492">
        <f>'INCÊNDIO (2)'!E17</f>
        <v>8</v>
      </c>
      <c r="F784" s="205">
        <v>20.38</v>
      </c>
      <c r="G784" s="219">
        <f t="shared" si="198"/>
        <v>25.82</v>
      </c>
      <c r="H784" s="219">
        <f t="shared" si="200"/>
        <v>206.56</v>
      </c>
    </row>
    <row r="785" spans="1:9" s="71" customFormat="1" ht="30" outlineLevel="2">
      <c r="A785" s="68" t="s">
        <v>2432</v>
      </c>
      <c r="B785" s="68" t="s">
        <v>3176</v>
      </c>
      <c r="C785" s="69" t="s">
        <v>3177</v>
      </c>
      <c r="D785" s="68" t="s">
        <v>101</v>
      </c>
      <c r="E785" s="492">
        <f>'INCÊNDIO (2)'!E18</f>
        <v>57</v>
      </c>
      <c r="F785" s="205">
        <v>18.899999999999999</v>
      </c>
      <c r="G785" s="219">
        <f t="shared" si="198"/>
        <v>23.95</v>
      </c>
      <c r="H785" s="219">
        <f t="shared" si="200"/>
        <v>1365.15</v>
      </c>
      <c r="I785" s="281"/>
    </row>
    <row r="786" spans="1:9" s="71" customFormat="1" ht="30" outlineLevel="2">
      <c r="A786" s="68" t="s">
        <v>2433</v>
      </c>
      <c r="B786" s="68" t="s">
        <v>3178</v>
      </c>
      <c r="C786" s="69" t="s">
        <v>3179</v>
      </c>
      <c r="D786" s="68" t="s">
        <v>101</v>
      </c>
      <c r="E786" s="492">
        <f>'INCÊNDIO (2)'!E19</f>
        <v>12</v>
      </c>
      <c r="F786" s="205">
        <v>14.37</v>
      </c>
      <c r="G786" s="219">
        <f t="shared" si="198"/>
        <v>18.21</v>
      </c>
      <c r="H786" s="219">
        <f t="shared" si="200"/>
        <v>218.52</v>
      </c>
      <c r="I786" s="281"/>
    </row>
    <row r="787" spans="1:9" s="71" customFormat="1" outlineLevel="2">
      <c r="A787" s="68" t="s">
        <v>2434</v>
      </c>
      <c r="B787" s="68" t="s">
        <v>3180</v>
      </c>
      <c r="C787" s="69" t="s">
        <v>3181</v>
      </c>
      <c r="D787" s="68" t="s">
        <v>57</v>
      </c>
      <c r="E787" s="492">
        <f>'INCÊNDIO (2)'!E20</f>
        <v>12</v>
      </c>
      <c r="F787" s="205">
        <v>4</v>
      </c>
      <c r="G787" s="219">
        <f t="shared" si="198"/>
        <v>5.0599999999999996</v>
      </c>
      <c r="H787" s="219">
        <f t="shared" si="200"/>
        <v>60.72</v>
      </c>
      <c r="I787" s="281"/>
    </row>
    <row r="788" spans="1:9" s="71" customFormat="1" outlineLevel="2">
      <c r="A788" s="68" t="s">
        <v>2435</v>
      </c>
      <c r="B788" s="68" t="s">
        <v>3182</v>
      </c>
      <c r="C788" s="69" t="s">
        <v>3183</v>
      </c>
      <c r="D788" s="68" t="s">
        <v>57</v>
      </c>
      <c r="E788" s="492">
        <f>'INCÊNDIO (2)'!E21</f>
        <v>57</v>
      </c>
      <c r="F788" s="205">
        <v>4.13</v>
      </c>
      <c r="G788" s="219">
        <f t="shared" si="198"/>
        <v>5.23</v>
      </c>
      <c r="H788" s="219">
        <f t="shared" si="200"/>
        <v>298.11</v>
      </c>
      <c r="I788" s="281"/>
    </row>
    <row r="789" spans="1:9" s="71" customFormat="1" outlineLevel="2">
      <c r="A789" s="68" t="s">
        <v>3287</v>
      </c>
      <c r="B789" s="68" t="s">
        <v>3184</v>
      </c>
      <c r="C789" s="69" t="s">
        <v>3185</v>
      </c>
      <c r="D789" s="68" t="s">
        <v>57</v>
      </c>
      <c r="E789" s="492">
        <f>'INCÊNDIO (2)'!E22</f>
        <v>20</v>
      </c>
      <c r="F789" s="205">
        <v>14.42</v>
      </c>
      <c r="G789" s="219">
        <f t="shared" si="198"/>
        <v>18.27</v>
      </c>
      <c r="H789" s="219">
        <f t="shared" si="200"/>
        <v>365.4</v>
      </c>
      <c r="I789" s="281"/>
    </row>
    <row r="790" spans="1:9" s="71" customFormat="1" ht="45" outlineLevel="2">
      <c r="A790" s="68" t="s">
        <v>3288</v>
      </c>
      <c r="B790" s="68" t="s">
        <v>913</v>
      </c>
      <c r="C790" s="69" t="s">
        <v>914</v>
      </c>
      <c r="D790" s="68" t="s">
        <v>57</v>
      </c>
      <c r="E790" s="492">
        <f>'INCÊNDIO (2)'!E23</f>
        <v>36</v>
      </c>
      <c r="F790" s="205">
        <v>4.54</v>
      </c>
      <c r="G790" s="219">
        <f t="shared" si="198"/>
        <v>5.75</v>
      </c>
      <c r="H790" s="219">
        <f t="shared" si="200"/>
        <v>207</v>
      </c>
      <c r="I790" s="281"/>
    </row>
    <row r="791" spans="1:9" s="71" customFormat="1" outlineLevel="2">
      <c r="A791" s="68" t="s">
        <v>3289</v>
      </c>
      <c r="B791" s="68" t="s">
        <v>897</v>
      </c>
      <c r="C791" s="69" t="s">
        <v>898</v>
      </c>
      <c r="D791" s="68" t="s">
        <v>57</v>
      </c>
      <c r="E791" s="492">
        <f>'INCÊNDIO (2)'!E24</f>
        <v>75</v>
      </c>
      <c r="F791" s="205">
        <v>4.6100000000000003</v>
      </c>
      <c r="G791" s="219">
        <f t="shared" si="198"/>
        <v>5.84</v>
      </c>
      <c r="H791" s="219">
        <f t="shared" si="200"/>
        <v>438</v>
      </c>
      <c r="I791" s="281"/>
    </row>
    <row r="792" spans="1:9" s="71" customFormat="1" ht="30" outlineLevel="2">
      <c r="A792" s="68" t="s">
        <v>3290</v>
      </c>
      <c r="B792" s="68" t="s">
        <v>926</v>
      </c>
      <c r="C792" s="69" t="s">
        <v>1521</v>
      </c>
      <c r="D792" s="68" t="s">
        <v>57</v>
      </c>
      <c r="E792" s="492">
        <f>'INCÊNDIO (2)'!E25</f>
        <v>2</v>
      </c>
      <c r="F792" s="205">
        <v>25.75</v>
      </c>
      <c r="G792" s="219">
        <f t="shared" si="198"/>
        <v>32.630000000000003</v>
      </c>
      <c r="H792" s="219">
        <f t="shared" si="200"/>
        <v>65.260000000000005</v>
      </c>
      <c r="I792" s="281"/>
    </row>
    <row r="793" spans="1:9" s="71" customFormat="1" ht="30" outlineLevel="2">
      <c r="A793" s="68" t="s">
        <v>3291</v>
      </c>
      <c r="B793" s="68" t="s">
        <v>927</v>
      </c>
      <c r="C793" s="69" t="s">
        <v>928</v>
      </c>
      <c r="D793" s="68" t="s">
        <v>57</v>
      </c>
      <c r="E793" s="492">
        <f>'INCÊNDIO (2)'!E26</f>
        <v>10</v>
      </c>
      <c r="F793" s="205">
        <v>3.53</v>
      </c>
      <c r="G793" s="219">
        <f t="shared" si="198"/>
        <v>4.47</v>
      </c>
      <c r="H793" s="219">
        <f t="shared" si="200"/>
        <v>44.7</v>
      </c>
      <c r="I793" s="281"/>
    </row>
    <row r="794" spans="1:9" s="71" customFormat="1" ht="45" outlineLevel="2">
      <c r="A794" s="68" t="s">
        <v>3292</v>
      </c>
      <c r="B794" s="68">
        <v>95818</v>
      </c>
      <c r="C794" s="69" t="s">
        <v>3186</v>
      </c>
      <c r="D794" s="68" t="s">
        <v>57</v>
      </c>
      <c r="E794" s="492">
        <f>'INCÊNDIO (2)'!E27</f>
        <v>30</v>
      </c>
      <c r="F794" s="205">
        <v>28.37</v>
      </c>
      <c r="G794" s="219">
        <f t="shared" si="198"/>
        <v>35.950000000000003</v>
      </c>
      <c r="H794" s="219">
        <f t="shared" si="200"/>
        <v>1078.5</v>
      </c>
      <c r="I794" s="281"/>
    </row>
    <row r="795" spans="1:9" s="71" customFormat="1" ht="30" outlineLevel="2">
      <c r="A795" s="68" t="s">
        <v>3293</v>
      </c>
      <c r="B795" s="68" t="s">
        <v>3187</v>
      </c>
      <c r="C795" s="69" t="s">
        <v>3188</v>
      </c>
      <c r="D795" s="68" t="s">
        <v>57</v>
      </c>
      <c r="E795" s="492">
        <f>'INCÊNDIO (2)'!E28</f>
        <v>25</v>
      </c>
      <c r="F795" s="205">
        <v>4</v>
      </c>
      <c r="G795" s="219">
        <f t="shared" si="198"/>
        <v>5.0599999999999996</v>
      </c>
      <c r="H795" s="219">
        <f t="shared" si="200"/>
        <v>126.5</v>
      </c>
      <c r="I795" s="281"/>
    </row>
    <row r="796" spans="1:9" s="71" customFormat="1" ht="30" outlineLevel="2">
      <c r="A796" s="68" t="s">
        <v>3294</v>
      </c>
      <c r="B796" s="68" t="s">
        <v>3189</v>
      </c>
      <c r="C796" s="69" t="s">
        <v>3190</v>
      </c>
      <c r="D796" s="68" t="s">
        <v>57</v>
      </c>
      <c r="E796" s="492">
        <f>'INCÊNDIO (2)'!E29</f>
        <v>30</v>
      </c>
      <c r="F796" s="205">
        <v>5.0599999999999996</v>
      </c>
      <c r="G796" s="219">
        <f t="shared" si="198"/>
        <v>6.41</v>
      </c>
      <c r="H796" s="219">
        <f t="shared" si="200"/>
        <v>192.3</v>
      </c>
      <c r="I796" s="281"/>
    </row>
    <row r="797" spans="1:9" s="71" customFormat="1" ht="60" outlineLevel="2">
      <c r="A797" s="68" t="s">
        <v>3295</v>
      </c>
      <c r="B797" s="68" t="s">
        <v>970</v>
      </c>
      <c r="C797" s="69" t="s">
        <v>2806</v>
      </c>
      <c r="D797" s="68" t="s">
        <v>10</v>
      </c>
      <c r="E797" s="492">
        <f>'INCÊNDIO (2)'!E30</f>
        <v>18</v>
      </c>
      <c r="F797" s="205">
        <v>14.08</v>
      </c>
      <c r="G797" s="219">
        <f t="shared" si="198"/>
        <v>17.84</v>
      </c>
      <c r="H797" s="219">
        <f t="shared" si="200"/>
        <v>321.12</v>
      </c>
      <c r="I797" s="281"/>
    </row>
    <row r="798" spans="1:9" ht="15.75" outlineLevel="1">
      <c r="A798" s="79"/>
      <c r="B798" s="79"/>
      <c r="C798" s="80" t="s">
        <v>14</v>
      </c>
      <c r="D798" s="79"/>
      <c r="E798" s="81"/>
      <c r="F798" s="207"/>
      <c r="G798" s="220"/>
      <c r="H798" s="220">
        <f>SUM(H778:H797)</f>
        <v>14470.81</v>
      </c>
    </row>
    <row r="799" spans="1:9" ht="15.75" outlineLevel="1">
      <c r="A799" s="175" t="s">
        <v>2212</v>
      </c>
      <c r="B799" s="175"/>
      <c r="C799" s="176" t="s">
        <v>208</v>
      </c>
      <c r="D799" s="175"/>
      <c r="E799" s="177"/>
      <c r="F799" s="204"/>
      <c r="G799" s="218"/>
      <c r="H799" s="218"/>
    </row>
    <row r="800" spans="1:9" s="71" customFormat="1" ht="30" outlineLevel="2">
      <c r="A800" s="68" t="s">
        <v>2213</v>
      </c>
      <c r="B800" s="115">
        <v>72288</v>
      </c>
      <c r="C800" s="116" t="s">
        <v>3191</v>
      </c>
      <c r="D800" s="115" t="s">
        <v>57</v>
      </c>
      <c r="E800" s="492">
        <f>'INCÊNDIO (2)'!E34</f>
        <v>4</v>
      </c>
      <c r="F800" s="211">
        <v>223.51</v>
      </c>
      <c r="G800" s="219">
        <f t="shared" ref="G800:G839" si="201">TRUNC(F800*(1+$E$2),2)</f>
        <v>283.25</v>
      </c>
      <c r="H800" s="219">
        <f t="shared" ref="H800" si="202">TRUNC((G800*E800),2)</f>
        <v>1133</v>
      </c>
      <c r="I800" s="281"/>
    </row>
    <row r="801" spans="1:9" s="71" customFormat="1" ht="45" outlineLevel="2">
      <c r="A801" s="68" t="s">
        <v>2214</v>
      </c>
      <c r="B801" s="115">
        <v>92346</v>
      </c>
      <c r="C801" s="116" t="s">
        <v>3192</v>
      </c>
      <c r="D801" s="115" t="s">
        <v>57</v>
      </c>
      <c r="E801" s="492">
        <f>'INCÊNDIO (2)'!E35</f>
        <v>9</v>
      </c>
      <c r="F801" s="211">
        <v>59.48</v>
      </c>
      <c r="G801" s="219">
        <f t="shared" si="201"/>
        <v>75.37</v>
      </c>
      <c r="H801" s="219">
        <f t="shared" ref="H801:H839" si="203">TRUNC((G801*E801),2)</f>
        <v>678.33</v>
      </c>
      <c r="I801" s="281"/>
    </row>
    <row r="802" spans="1:9" s="71" customFormat="1" ht="60" outlineLevel="2">
      <c r="A802" s="68" t="s">
        <v>2215</v>
      </c>
      <c r="B802" s="575" t="s">
        <v>3193</v>
      </c>
      <c r="C802" s="116" t="s">
        <v>3194</v>
      </c>
      <c r="D802" s="115" t="s">
        <v>57</v>
      </c>
      <c r="E802" s="492">
        <f>'INCÊNDIO (2)'!E36</f>
        <v>5</v>
      </c>
      <c r="F802" s="211">
        <v>186.6</v>
      </c>
      <c r="G802" s="219">
        <f t="shared" si="201"/>
        <v>236.47</v>
      </c>
      <c r="H802" s="219">
        <f t="shared" si="203"/>
        <v>1182.3499999999999</v>
      </c>
      <c r="I802" s="281"/>
    </row>
    <row r="803" spans="1:9" s="71" customFormat="1" ht="60" outlineLevel="2">
      <c r="A803" s="68" t="s">
        <v>2216</v>
      </c>
      <c r="B803" s="575">
        <v>71516</v>
      </c>
      <c r="C803" s="116" t="s">
        <v>3195</v>
      </c>
      <c r="D803" s="68" t="s">
        <v>57</v>
      </c>
      <c r="E803" s="492">
        <f>'INCÊNDIO (2)'!E37</f>
        <v>4</v>
      </c>
      <c r="F803" s="205">
        <v>563.28</v>
      </c>
      <c r="G803" s="219">
        <f t="shared" si="201"/>
        <v>713.84</v>
      </c>
      <c r="H803" s="219">
        <f t="shared" si="203"/>
        <v>2855.36</v>
      </c>
      <c r="I803" s="281"/>
    </row>
    <row r="804" spans="1:9" ht="45" outlineLevel="2">
      <c r="A804" s="68" t="s">
        <v>2217</v>
      </c>
      <c r="B804" s="575" t="s">
        <v>3196</v>
      </c>
      <c r="C804" s="116" t="s">
        <v>3197</v>
      </c>
      <c r="D804" s="68" t="s">
        <v>57</v>
      </c>
      <c r="E804" s="492">
        <f>'INCÊNDIO (2)'!E38</f>
        <v>5</v>
      </c>
      <c r="F804" s="205">
        <v>163.19</v>
      </c>
      <c r="G804" s="219">
        <f t="shared" si="201"/>
        <v>206.81</v>
      </c>
      <c r="H804" s="219">
        <f t="shared" si="203"/>
        <v>1034.05</v>
      </c>
    </row>
    <row r="805" spans="1:9" ht="30" outlineLevel="2">
      <c r="A805" s="68" t="s">
        <v>2218</v>
      </c>
      <c r="B805" s="575" t="s">
        <v>3198</v>
      </c>
      <c r="C805" s="116" t="s">
        <v>3199</v>
      </c>
      <c r="D805" s="68" t="s">
        <v>57</v>
      </c>
      <c r="E805" s="492">
        <f>'INCÊNDIO (2)'!E39</f>
        <v>4</v>
      </c>
      <c r="F805" s="205">
        <v>85.92</v>
      </c>
      <c r="G805" s="219">
        <f t="shared" si="201"/>
        <v>108.88</v>
      </c>
      <c r="H805" s="219">
        <f t="shared" si="203"/>
        <v>435.52</v>
      </c>
    </row>
    <row r="806" spans="1:9" ht="45" outlineLevel="2">
      <c r="A806" s="68" t="s">
        <v>2219</v>
      </c>
      <c r="B806" s="575" t="s">
        <v>3200</v>
      </c>
      <c r="C806" s="116" t="s">
        <v>3201</v>
      </c>
      <c r="D806" s="68" t="s">
        <v>57</v>
      </c>
      <c r="E806" s="492">
        <f>'INCÊNDIO (2)'!E40</f>
        <v>4</v>
      </c>
      <c r="F806" s="205">
        <v>15.43</v>
      </c>
      <c r="G806" s="219">
        <f t="shared" si="201"/>
        <v>19.55</v>
      </c>
      <c r="H806" s="219">
        <f t="shared" si="203"/>
        <v>78.2</v>
      </c>
    </row>
    <row r="807" spans="1:9" ht="30" outlineLevel="2">
      <c r="A807" s="68" t="s">
        <v>2220</v>
      </c>
      <c r="B807" s="575">
        <v>72287</v>
      </c>
      <c r="C807" s="116" t="s">
        <v>3202</v>
      </c>
      <c r="D807" s="68" t="s">
        <v>57</v>
      </c>
      <c r="E807" s="492">
        <f>'INCÊNDIO (2)'!E42</f>
        <v>1</v>
      </c>
      <c r="F807" s="205">
        <v>180.02</v>
      </c>
      <c r="G807" s="219">
        <f t="shared" si="201"/>
        <v>228.13</v>
      </c>
      <c r="H807" s="219">
        <f t="shared" si="203"/>
        <v>228.13</v>
      </c>
    </row>
    <row r="808" spans="1:9" s="71" customFormat="1" outlineLevel="2">
      <c r="A808" s="68" t="s">
        <v>2221</v>
      </c>
      <c r="B808" s="575" t="s">
        <v>3203</v>
      </c>
      <c r="C808" s="116" t="s">
        <v>3204</v>
      </c>
      <c r="D808" s="68" t="s">
        <v>57</v>
      </c>
      <c r="E808" s="492">
        <f>'INCÊNDIO (2)'!E43</f>
        <v>4</v>
      </c>
      <c r="F808" s="205">
        <v>66.27</v>
      </c>
      <c r="G808" s="219">
        <f t="shared" si="201"/>
        <v>83.98</v>
      </c>
      <c r="H808" s="219">
        <f t="shared" si="203"/>
        <v>335.92</v>
      </c>
      <c r="I808" s="281"/>
    </row>
    <row r="809" spans="1:9" s="71" customFormat="1" ht="45" outlineLevel="2">
      <c r="A809" s="68" t="s">
        <v>2222</v>
      </c>
      <c r="B809" s="575">
        <v>92346</v>
      </c>
      <c r="C809" s="116" t="s">
        <v>3192</v>
      </c>
      <c r="D809" s="68" t="s">
        <v>57</v>
      </c>
      <c r="E809" s="492">
        <f>'INCÊNDIO (2)'!E44</f>
        <v>14</v>
      </c>
      <c r="F809" s="222">
        <v>59.48</v>
      </c>
      <c r="G809" s="219">
        <f t="shared" si="201"/>
        <v>75.37</v>
      </c>
      <c r="H809" s="219">
        <f t="shared" si="203"/>
        <v>1055.18</v>
      </c>
      <c r="I809" s="281"/>
    </row>
    <row r="810" spans="1:9" ht="45" outlineLevel="2">
      <c r="A810" s="68" t="s">
        <v>2223</v>
      </c>
      <c r="B810" s="575" t="s">
        <v>3205</v>
      </c>
      <c r="C810" s="116" t="s">
        <v>3206</v>
      </c>
      <c r="D810" s="68" t="s">
        <v>57</v>
      </c>
      <c r="E810" s="492">
        <f>'INCÊNDIO (2)'!E45</f>
        <v>5</v>
      </c>
      <c r="F810" s="205">
        <v>213.22</v>
      </c>
      <c r="G810" s="219">
        <f t="shared" si="201"/>
        <v>270.20999999999998</v>
      </c>
      <c r="H810" s="219">
        <f t="shared" si="203"/>
        <v>1351.05</v>
      </c>
    </row>
    <row r="811" spans="1:9" ht="30" outlineLevel="2">
      <c r="A811" s="68" t="s">
        <v>2436</v>
      </c>
      <c r="B811" s="575" t="s">
        <v>3207</v>
      </c>
      <c r="C811" s="116" t="str">
        <f>UPPER("Fornecimento e instalação de Registro gaveta bruto, d = 65 mm (2 1/2)")</f>
        <v>FORNECIMENTO E INSTALAÇÃO DE REGISTRO GAVETA BRUTO, D = 65 MM (2 1/2)</v>
      </c>
      <c r="D811" s="68" t="s">
        <v>57</v>
      </c>
      <c r="E811" s="492">
        <f>'INCÊNDIO (2)'!E47</f>
        <v>4</v>
      </c>
      <c r="F811" s="205">
        <v>190.88</v>
      </c>
      <c r="G811" s="219">
        <f t="shared" si="201"/>
        <v>241.9</v>
      </c>
      <c r="H811" s="219">
        <f t="shared" si="203"/>
        <v>967.6</v>
      </c>
    </row>
    <row r="812" spans="1:9" s="71" customFormat="1" ht="30" outlineLevel="2">
      <c r="A812" s="68" t="s">
        <v>2437</v>
      </c>
      <c r="B812" s="575" t="s">
        <v>333</v>
      </c>
      <c r="C812" s="116" t="s">
        <v>756</v>
      </c>
      <c r="D812" s="68" t="s">
        <v>57</v>
      </c>
      <c r="E812" s="492">
        <f>'INCÊNDIO (2)'!E48</f>
        <v>1</v>
      </c>
      <c r="F812" s="205">
        <v>288.17</v>
      </c>
      <c r="G812" s="219">
        <f t="shared" si="201"/>
        <v>365.19</v>
      </c>
      <c r="H812" s="219">
        <f t="shared" si="203"/>
        <v>365.19</v>
      </c>
      <c r="I812" s="281"/>
    </row>
    <row r="813" spans="1:9" s="71" customFormat="1" ht="30" outlineLevel="2">
      <c r="A813" s="68" t="s">
        <v>2438</v>
      </c>
      <c r="B813" s="575" t="s">
        <v>1541</v>
      </c>
      <c r="C813" s="116" t="s">
        <v>3208</v>
      </c>
      <c r="D813" s="68" t="s">
        <v>57</v>
      </c>
      <c r="E813" s="492">
        <f>'INCÊNDIO (2)'!E49</f>
        <v>1</v>
      </c>
      <c r="F813" s="205">
        <v>272.32</v>
      </c>
      <c r="G813" s="219">
        <f t="shared" si="201"/>
        <v>345.11</v>
      </c>
      <c r="H813" s="219">
        <f t="shared" si="203"/>
        <v>345.11</v>
      </c>
      <c r="I813" s="281"/>
    </row>
    <row r="814" spans="1:9" s="71" customFormat="1" ht="30" outlineLevel="2">
      <c r="A814" s="68" t="s">
        <v>2439</v>
      </c>
      <c r="B814" s="575">
        <v>73607</v>
      </c>
      <c r="C814" s="116" t="s">
        <v>3209</v>
      </c>
      <c r="D814" s="68" t="s">
        <v>57</v>
      </c>
      <c r="E814" s="492">
        <f>'INCÊNDIO (2)'!E50</f>
        <v>1</v>
      </c>
      <c r="F814" s="205">
        <v>71.010000000000005</v>
      </c>
      <c r="G814" s="219">
        <f t="shared" si="201"/>
        <v>89.99</v>
      </c>
      <c r="H814" s="219">
        <f t="shared" si="203"/>
        <v>89.99</v>
      </c>
      <c r="I814" s="281"/>
    </row>
    <row r="815" spans="1:9" s="71" customFormat="1" ht="60" outlineLevel="2">
      <c r="A815" s="68" t="s">
        <v>2440</v>
      </c>
      <c r="B815" s="575">
        <v>72132</v>
      </c>
      <c r="C815" s="116" t="s">
        <v>3210</v>
      </c>
      <c r="D815" s="68" t="s">
        <v>10</v>
      </c>
      <c r="E815" s="492">
        <f>'INCÊNDIO (2)'!E51</f>
        <v>3.2</v>
      </c>
      <c r="F815" s="205">
        <v>54.73</v>
      </c>
      <c r="G815" s="219">
        <f t="shared" si="201"/>
        <v>69.349999999999994</v>
      </c>
      <c r="H815" s="219">
        <f t="shared" si="203"/>
        <v>221.92</v>
      </c>
      <c r="I815" s="281"/>
    </row>
    <row r="816" spans="1:9" s="71" customFormat="1" ht="60" outlineLevel="2">
      <c r="A816" s="68" t="s">
        <v>2441</v>
      </c>
      <c r="B816" s="575" t="s">
        <v>3211</v>
      </c>
      <c r="C816" s="116" t="s">
        <v>3212</v>
      </c>
      <c r="D816" s="68" t="s">
        <v>57</v>
      </c>
      <c r="E816" s="492">
        <f>'INCÊNDIO (2)'!E52</f>
        <v>5</v>
      </c>
      <c r="F816" s="205">
        <v>56.99</v>
      </c>
      <c r="G816" s="219">
        <f t="shared" si="201"/>
        <v>72.22</v>
      </c>
      <c r="H816" s="219">
        <f t="shared" si="203"/>
        <v>361.1</v>
      </c>
      <c r="I816" s="281"/>
    </row>
    <row r="817" spans="1:9" s="71" customFormat="1" ht="30" outlineLevel="2">
      <c r="A817" s="68" t="s">
        <v>2442</v>
      </c>
      <c r="B817" s="575" t="s">
        <v>2478</v>
      </c>
      <c r="C817" s="116" t="s">
        <v>3213</v>
      </c>
      <c r="D817" s="68" t="s">
        <v>57</v>
      </c>
      <c r="E817" s="492">
        <f>'INCÊNDIO (2)'!E53</f>
        <v>1</v>
      </c>
      <c r="F817" s="205">
        <v>2656.21</v>
      </c>
      <c r="G817" s="219">
        <f t="shared" si="201"/>
        <v>3366.21</v>
      </c>
      <c r="H817" s="219">
        <f t="shared" si="203"/>
        <v>3366.21</v>
      </c>
      <c r="I817" s="281"/>
    </row>
    <row r="818" spans="1:9" ht="60" outlineLevel="2">
      <c r="A818" s="68" t="s">
        <v>2443</v>
      </c>
      <c r="B818" s="575" t="s">
        <v>3214</v>
      </c>
      <c r="C818" s="576" t="s">
        <v>3215</v>
      </c>
      <c r="D818" s="68" t="s">
        <v>101</v>
      </c>
      <c r="E818" s="492">
        <f>'INCÊNDIO (2)'!E54</f>
        <v>150</v>
      </c>
      <c r="F818" s="205">
        <v>70.459999999999994</v>
      </c>
      <c r="G818" s="219">
        <f t="shared" si="201"/>
        <v>89.29</v>
      </c>
      <c r="H818" s="219">
        <f t="shared" si="203"/>
        <v>13393.5</v>
      </c>
    </row>
    <row r="819" spans="1:9" ht="75" outlineLevel="2">
      <c r="A819" s="68" t="s">
        <v>2444</v>
      </c>
      <c r="B819" s="575">
        <v>94473</v>
      </c>
      <c r="C819" s="116" t="s">
        <v>917</v>
      </c>
      <c r="D819" s="68" t="s">
        <v>57</v>
      </c>
      <c r="E819" s="492">
        <f>'INCÊNDIO (2)'!E55</f>
        <v>25</v>
      </c>
      <c r="F819" s="205">
        <v>78.94</v>
      </c>
      <c r="G819" s="219">
        <f t="shared" si="201"/>
        <v>100.04</v>
      </c>
      <c r="H819" s="219">
        <f t="shared" si="203"/>
        <v>2501</v>
      </c>
    </row>
    <row r="820" spans="1:9" s="71" customFormat="1" ht="75" outlineLevel="2">
      <c r="A820" s="68" t="s">
        <v>2445</v>
      </c>
      <c r="B820" s="575">
        <v>94474</v>
      </c>
      <c r="C820" s="116" t="s">
        <v>918</v>
      </c>
      <c r="D820" s="68" t="s">
        <v>57</v>
      </c>
      <c r="E820" s="492">
        <f>'INCÊNDIO (2)'!E56</f>
        <v>4</v>
      </c>
      <c r="F820" s="205">
        <v>85.82</v>
      </c>
      <c r="G820" s="219">
        <f t="shared" si="201"/>
        <v>108.75</v>
      </c>
      <c r="H820" s="219">
        <f t="shared" si="203"/>
        <v>435</v>
      </c>
      <c r="I820" s="281"/>
    </row>
    <row r="821" spans="1:9" ht="60" outlineLevel="2">
      <c r="A821" s="68" t="s">
        <v>2446</v>
      </c>
      <c r="B821" s="575">
        <v>92378</v>
      </c>
      <c r="C821" s="116" t="s">
        <v>919</v>
      </c>
      <c r="D821" s="68" t="s">
        <v>57</v>
      </c>
      <c r="E821" s="492">
        <f>'INCÊNDIO (2)'!E57</f>
        <v>25</v>
      </c>
      <c r="F821" s="205">
        <v>67.569999999999993</v>
      </c>
      <c r="G821" s="219">
        <f t="shared" si="201"/>
        <v>85.63</v>
      </c>
      <c r="H821" s="219">
        <f t="shared" si="203"/>
        <v>2140.75</v>
      </c>
    </row>
    <row r="822" spans="1:9" s="71" customFormat="1" ht="60" outlineLevel="2">
      <c r="A822" s="68" t="s">
        <v>2447</v>
      </c>
      <c r="B822" s="575">
        <v>92642</v>
      </c>
      <c r="C822" s="116" t="s">
        <v>920</v>
      </c>
      <c r="D822" s="68" t="s">
        <v>57</v>
      </c>
      <c r="E822" s="492">
        <f>'INCÊNDIO (2)'!E58</f>
        <v>10</v>
      </c>
      <c r="F822" s="222">
        <v>133.44</v>
      </c>
      <c r="G822" s="219">
        <f t="shared" si="201"/>
        <v>169.1</v>
      </c>
      <c r="H822" s="219">
        <f t="shared" si="203"/>
        <v>1691</v>
      </c>
      <c r="I822" s="281"/>
    </row>
    <row r="823" spans="1:9" ht="30" outlineLevel="2">
      <c r="A823" s="68" t="s">
        <v>2448</v>
      </c>
      <c r="B823" s="575" t="s">
        <v>334</v>
      </c>
      <c r="C823" s="116" t="s">
        <v>757</v>
      </c>
      <c r="D823" s="68" t="s">
        <v>57</v>
      </c>
      <c r="E823" s="492">
        <f>'INCÊNDIO (2)'!E59</f>
        <v>1</v>
      </c>
      <c r="F823" s="205">
        <v>211.27</v>
      </c>
      <c r="G823" s="219">
        <f t="shared" si="201"/>
        <v>267.74</v>
      </c>
      <c r="H823" s="219">
        <f t="shared" si="203"/>
        <v>267.74</v>
      </c>
    </row>
    <row r="824" spans="1:9" s="71" customFormat="1" ht="30" outlineLevel="2">
      <c r="A824" s="68" t="s">
        <v>2449</v>
      </c>
      <c r="B824" s="575" t="s">
        <v>3216</v>
      </c>
      <c r="C824" s="116" t="s">
        <v>3217</v>
      </c>
      <c r="D824" s="68" t="s">
        <v>57</v>
      </c>
      <c r="E824" s="492">
        <f>'INCÊNDIO (2)'!E60</f>
        <v>1</v>
      </c>
      <c r="F824" s="205">
        <v>1380.99</v>
      </c>
      <c r="G824" s="219">
        <f t="shared" si="201"/>
        <v>1750.12</v>
      </c>
      <c r="H824" s="219">
        <f t="shared" si="203"/>
        <v>1750.12</v>
      </c>
      <c r="I824" s="281"/>
    </row>
    <row r="825" spans="1:9" s="71" customFormat="1" ht="30" outlineLevel="2">
      <c r="A825" s="68" t="s">
        <v>2450</v>
      </c>
      <c r="B825" s="575" t="s">
        <v>1523</v>
      </c>
      <c r="C825" s="116" t="str">
        <f>UPPER("Cabo de cobre isolado em EPR flexível 10mm² - 0,6Kv/1Kv/90°")</f>
        <v>CABO DE COBRE ISOLADO EM EPR FLEXÍVEL 10MM² - 0,6KV/1KV/90°</v>
      </c>
      <c r="D825" s="68" t="s">
        <v>101</v>
      </c>
      <c r="E825" s="492">
        <f>'INCÊNDIO (2)'!E61</f>
        <v>495</v>
      </c>
      <c r="F825" s="205">
        <v>9.0500000000000007</v>
      </c>
      <c r="G825" s="219">
        <f t="shared" si="201"/>
        <v>11.46</v>
      </c>
      <c r="H825" s="219">
        <f t="shared" si="203"/>
        <v>5672.7</v>
      </c>
      <c r="I825" s="281"/>
    </row>
    <row r="826" spans="1:9" ht="45" outlineLevel="2">
      <c r="A826" s="68" t="s">
        <v>2451</v>
      </c>
      <c r="B826" s="575" t="s">
        <v>2476</v>
      </c>
      <c r="C826" s="116" t="str">
        <f>UPPER("Duto corrugado flexível em PEAD Ø = 1', tipo Kanalex ou similar, lançado diretamente no solo, exclusive escavação e reaterro")</f>
        <v>DUTO CORRUGADO FLEXÍVEL EM PEAD Ø = 1', TIPO KANALEX OU SIMILAR, LANÇADO DIRETAMENTE NO SOLO, EXCLUSIVE ESCAVAÇÃO E REATERRO</v>
      </c>
      <c r="D826" s="68" t="s">
        <v>101</v>
      </c>
      <c r="E826" s="492">
        <f>'INCÊNDIO (2)'!E62</f>
        <v>171</v>
      </c>
      <c r="F826" s="205">
        <v>8.18</v>
      </c>
      <c r="G826" s="219">
        <f t="shared" si="201"/>
        <v>10.36</v>
      </c>
      <c r="H826" s="219">
        <f t="shared" si="203"/>
        <v>1771.56</v>
      </c>
    </row>
    <row r="827" spans="1:9" s="71" customFormat="1" ht="45" outlineLevel="2">
      <c r="A827" s="68" t="s">
        <v>2452</v>
      </c>
      <c r="B827" s="575" t="s">
        <v>2473</v>
      </c>
      <c r="C827" s="116" t="str">
        <f>UPPER("Duto corrugado flexível em PEAD Ø = 1.1/2', tipo Kanalex ou similar, lançado diretamente no solo, exclusive escavação e reaterro")</f>
        <v>DUTO CORRUGADO FLEXÍVEL EM PEAD Ø = 1.1/2', TIPO KANALEX OU SIMILAR, LANÇADO DIRETAMENTE NO SOLO, EXCLUSIVE ESCAVAÇÃO E REATERRO</v>
      </c>
      <c r="D827" s="68" t="s">
        <v>101</v>
      </c>
      <c r="E827" s="492">
        <f>'INCÊNDIO (2)'!E63</f>
        <v>60</v>
      </c>
      <c r="F827" s="205">
        <v>8.9600000000000009</v>
      </c>
      <c r="G827" s="219">
        <f t="shared" si="201"/>
        <v>11.35</v>
      </c>
      <c r="H827" s="219">
        <f t="shared" si="203"/>
        <v>681</v>
      </c>
      <c r="I827" s="281"/>
    </row>
    <row r="828" spans="1:9" ht="60" outlineLevel="2">
      <c r="A828" s="68" t="s">
        <v>2453</v>
      </c>
      <c r="B828" s="575" t="s">
        <v>296</v>
      </c>
      <c r="C828" s="116" t="s">
        <v>743</v>
      </c>
      <c r="D828" s="68" t="s">
        <v>101</v>
      </c>
      <c r="E828" s="492">
        <f>'INCÊNDIO (2)'!E64</f>
        <v>20</v>
      </c>
      <c r="F828" s="205">
        <v>24.24</v>
      </c>
      <c r="G828" s="219">
        <f t="shared" si="201"/>
        <v>30.71</v>
      </c>
      <c r="H828" s="219">
        <f t="shared" si="203"/>
        <v>614.20000000000005</v>
      </c>
    </row>
    <row r="829" spans="1:9" ht="30" outlineLevel="2">
      <c r="A829" s="68" t="s">
        <v>2454</v>
      </c>
      <c r="B829" s="575" t="s">
        <v>3218</v>
      </c>
      <c r="C829" s="116" t="s">
        <v>3219</v>
      </c>
      <c r="D829" s="68" t="s">
        <v>10</v>
      </c>
      <c r="E829" s="492">
        <f>'INCÊNDIO (2)'!E65</f>
        <v>10.199999999999999</v>
      </c>
      <c r="F829" s="205">
        <v>247.39</v>
      </c>
      <c r="G829" s="219">
        <f t="shared" si="201"/>
        <v>313.51</v>
      </c>
      <c r="H829" s="219">
        <f t="shared" si="203"/>
        <v>3197.8</v>
      </c>
    </row>
    <row r="830" spans="1:9" ht="90" outlineLevel="2">
      <c r="A830" s="68" t="s">
        <v>2455</v>
      </c>
      <c r="B830" s="575" t="s">
        <v>700</v>
      </c>
      <c r="C830" s="116" t="s">
        <v>701</v>
      </c>
      <c r="D830" s="68" t="s">
        <v>57</v>
      </c>
      <c r="E830" s="492">
        <f>'INCÊNDIO (2)'!E66</f>
        <v>26</v>
      </c>
      <c r="F830" s="205">
        <v>127.19</v>
      </c>
      <c r="G830" s="219">
        <f t="shared" si="201"/>
        <v>161.18</v>
      </c>
      <c r="H830" s="219">
        <f t="shared" si="203"/>
        <v>4190.68</v>
      </c>
    </row>
    <row r="831" spans="1:9" ht="60" outlineLevel="2">
      <c r="A831" s="68" t="s">
        <v>3296</v>
      </c>
      <c r="B831" s="575" t="s">
        <v>970</v>
      </c>
      <c r="C831" s="116" t="s">
        <v>2806</v>
      </c>
      <c r="D831" s="68" t="s">
        <v>10</v>
      </c>
      <c r="E831" s="492">
        <f>'INCÊNDIO (2)'!E67</f>
        <v>42</v>
      </c>
      <c r="F831" s="205">
        <v>14.08</v>
      </c>
      <c r="G831" s="219">
        <f t="shared" si="201"/>
        <v>17.84</v>
      </c>
      <c r="H831" s="219">
        <f t="shared" si="203"/>
        <v>749.28</v>
      </c>
    </row>
    <row r="832" spans="1:9" ht="30" outlineLevel="2">
      <c r="A832" s="68" t="s">
        <v>3297</v>
      </c>
      <c r="B832" s="575" t="s">
        <v>3220</v>
      </c>
      <c r="C832" s="116" t="s">
        <v>1524</v>
      </c>
      <c r="D832" s="68" t="s">
        <v>57</v>
      </c>
      <c r="E832" s="492">
        <f>'INCÊNDIO (2)'!E68</f>
        <v>1</v>
      </c>
      <c r="F832" s="205">
        <v>212.02</v>
      </c>
      <c r="G832" s="219">
        <f t="shared" si="201"/>
        <v>268.69</v>
      </c>
      <c r="H832" s="219">
        <f t="shared" si="203"/>
        <v>268.69</v>
      </c>
    </row>
    <row r="833" spans="1:9" ht="45" outlineLevel="2">
      <c r="A833" s="68" t="s">
        <v>3298</v>
      </c>
      <c r="B833" s="575">
        <v>93672</v>
      </c>
      <c r="C833" s="116" t="s">
        <v>3221</v>
      </c>
      <c r="D833" s="68" t="s">
        <v>57</v>
      </c>
      <c r="E833" s="492">
        <f>'INCÊNDIO (2)'!E69</f>
        <v>3</v>
      </c>
      <c r="F833" s="205">
        <v>59.44</v>
      </c>
      <c r="G833" s="219">
        <f t="shared" si="201"/>
        <v>75.319999999999993</v>
      </c>
      <c r="H833" s="219">
        <f t="shared" si="203"/>
        <v>225.96</v>
      </c>
    </row>
    <row r="834" spans="1:9" outlineLevel="2">
      <c r="A834" s="68" t="s">
        <v>3299</v>
      </c>
      <c r="B834" s="575">
        <v>93358</v>
      </c>
      <c r="C834" s="116" t="s">
        <v>524</v>
      </c>
      <c r="D834" s="68" t="s">
        <v>3101</v>
      </c>
      <c r="E834" s="492">
        <f>'INCÊNDIO (2)'!E70</f>
        <v>69</v>
      </c>
      <c r="F834" s="205">
        <v>54.9</v>
      </c>
      <c r="G834" s="219">
        <f t="shared" si="201"/>
        <v>69.569999999999993</v>
      </c>
      <c r="H834" s="219">
        <f t="shared" si="203"/>
        <v>4800.33</v>
      </c>
    </row>
    <row r="835" spans="1:9" outlineLevel="2">
      <c r="A835" s="68" t="s">
        <v>3300</v>
      </c>
      <c r="B835" s="575" t="s">
        <v>268</v>
      </c>
      <c r="C835" s="116" t="s">
        <v>527</v>
      </c>
      <c r="D835" s="68" t="s">
        <v>3101</v>
      </c>
      <c r="E835" s="492">
        <f>'INCÊNDIO (2)'!E71</f>
        <v>74</v>
      </c>
      <c r="F835" s="205">
        <v>41.64</v>
      </c>
      <c r="G835" s="219">
        <f t="shared" si="201"/>
        <v>52.77</v>
      </c>
      <c r="H835" s="219">
        <f t="shared" si="203"/>
        <v>3904.98</v>
      </c>
    </row>
    <row r="836" spans="1:9" ht="30" outlineLevel="2">
      <c r="A836" s="68" t="s">
        <v>3301</v>
      </c>
      <c r="B836" s="575" t="s">
        <v>3176</v>
      </c>
      <c r="C836" s="116" t="s">
        <v>3222</v>
      </c>
      <c r="D836" s="68" t="s">
        <v>101</v>
      </c>
      <c r="E836" s="492">
        <f>'INCÊNDIO (2)'!E72</f>
        <v>8</v>
      </c>
      <c r="F836" s="205">
        <v>18.899999999999999</v>
      </c>
      <c r="G836" s="219">
        <f t="shared" si="201"/>
        <v>23.95</v>
      </c>
      <c r="H836" s="219">
        <f t="shared" si="203"/>
        <v>191.6</v>
      </c>
    </row>
    <row r="837" spans="1:9" outlineLevel="2">
      <c r="A837" s="68" t="s">
        <v>3302</v>
      </c>
      <c r="B837" s="575" t="s">
        <v>3182</v>
      </c>
      <c r="C837" s="116" t="s">
        <v>3223</v>
      </c>
      <c r="D837" s="68" t="s">
        <v>57</v>
      </c>
      <c r="E837" s="492">
        <f>'INCÊNDIO (2)'!E73</f>
        <v>14</v>
      </c>
      <c r="F837" s="222">
        <v>4.13</v>
      </c>
      <c r="G837" s="219">
        <f t="shared" si="201"/>
        <v>5.23</v>
      </c>
      <c r="H837" s="219">
        <f t="shared" si="203"/>
        <v>73.22</v>
      </c>
    </row>
    <row r="838" spans="1:9" ht="30" outlineLevel="2">
      <c r="A838" s="68" t="s">
        <v>3303</v>
      </c>
      <c r="B838" s="575" t="s">
        <v>3184</v>
      </c>
      <c r="C838" s="116" t="s">
        <v>3224</v>
      </c>
      <c r="D838" s="68" t="s">
        <v>57</v>
      </c>
      <c r="E838" s="492">
        <f>'INCÊNDIO (2)'!E74</f>
        <v>10</v>
      </c>
      <c r="F838" s="205">
        <v>14.42</v>
      </c>
      <c r="G838" s="219">
        <f t="shared" si="201"/>
        <v>18.27</v>
      </c>
      <c r="H838" s="219">
        <f t="shared" si="203"/>
        <v>182.7</v>
      </c>
    </row>
    <row r="839" spans="1:9" ht="30" outlineLevel="2">
      <c r="A839" s="68" t="s">
        <v>3304</v>
      </c>
      <c r="B839" s="575" t="s">
        <v>897</v>
      </c>
      <c r="C839" s="116" t="s">
        <v>3225</v>
      </c>
      <c r="D839" s="68" t="s">
        <v>57</v>
      </c>
      <c r="E839" s="492">
        <f>'INCÊNDIO (2)'!E75</f>
        <v>24</v>
      </c>
      <c r="F839" s="205">
        <v>4.6100000000000003</v>
      </c>
      <c r="G839" s="219">
        <f t="shared" si="201"/>
        <v>5.84</v>
      </c>
      <c r="H839" s="219">
        <f t="shared" si="203"/>
        <v>140.16</v>
      </c>
    </row>
    <row r="840" spans="1:9" ht="15.75" outlineLevel="1">
      <c r="A840" s="79"/>
      <c r="B840" s="79"/>
      <c r="C840" s="80" t="s">
        <v>14</v>
      </c>
      <c r="D840" s="79"/>
      <c r="E840" s="81"/>
      <c r="F840" s="207"/>
      <c r="G840" s="220"/>
      <c r="H840" s="220">
        <f>SUM(H800:H839)</f>
        <v>64928.180000000008</v>
      </c>
    </row>
    <row r="841" spans="1:9" ht="15.75" outlineLevel="1">
      <c r="A841" s="175" t="s">
        <v>2224</v>
      </c>
      <c r="B841" s="175"/>
      <c r="C841" s="176" t="s">
        <v>209</v>
      </c>
      <c r="D841" s="175"/>
      <c r="E841" s="177"/>
      <c r="F841" s="204"/>
      <c r="G841" s="218"/>
      <c r="H841" s="218"/>
    </row>
    <row r="842" spans="1:9" ht="30" outlineLevel="2">
      <c r="A842" s="68" t="s">
        <v>2225</v>
      </c>
      <c r="B842" s="68" t="s">
        <v>929</v>
      </c>
      <c r="C842" s="69" t="s">
        <v>930</v>
      </c>
      <c r="D842" s="68" t="s">
        <v>57</v>
      </c>
      <c r="E842" s="70">
        <f>'INCÊNDIO (2)'!E77</f>
        <v>52</v>
      </c>
      <c r="F842" s="205">
        <v>34.549999999999997</v>
      </c>
      <c r="G842" s="219">
        <f t="shared" ref="G842:G843" si="204">TRUNC(F842*(1+$E$2),2)</f>
        <v>43.78</v>
      </c>
      <c r="H842" s="219">
        <f t="shared" ref="H842" si="205">TRUNC((G842*E842),2)</f>
        <v>2276.56</v>
      </c>
    </row>
    <row r="843" spans="1:9" ht="45" outlineLevel="2">
      <c r="A843" s="68" t="s">
        <v>2226</v>
      </c>
      <c r="B843" s="227" t="s">
        <v>2884</v>
      </c>
      <c r="C843" s="69" t="s">
        <v>1526</v>
      </c>
      <c r="D843" s="68" t="s">
        <v>57</v>
      </c>
      <c r="E843" s="70">
        <f>'INCÊNDIO (2)'!E78</f>
        <v>3</v>
      </c>
      <c r="F843" s="222">
        <v>242.95</v>
      </c>
      <c r="G843" s="219">
        <f t="shared" si="204"/>
        <v>307.89</v>
      </c>
      <c r="H843" s="219">
        <f t="shared" ref="H843" si="206">TRUNC((G843*E843),2)</f>
        <v>923.67</v>
      </c>
    </row>
    <row r="844" spans="1:9" ht="15.75" outlineLevel="1">
      <c r="A844" s="79"/>
      <c r="B844" s="79"/>
      <c r="C844" s="80" t="s">
        <v>14</v>
      </c>
      <c r="D844" s="79"/>
      <c r="E844" s="81"/>
      <c r="F844" s="207"/>
      <c r="G844" s="220"/>
      <c r="H844" s="220">
        <f>SUM(H842:H843)</f>
        <v>3200.23</v>
      </c>
    </row>
    <row r="845" spans="1:9" ht="15.75">
      <c r="A845" s="66"/>
      <c r="B845" s="66"/>
      <c r="C845" s="67" t="s">
        <v>214</v>
      </c>
      <c r="D845" s="66"/>
      <c r="E845" s="81"/>
      <c r="F845" s="206"/>
      <c r="G845" s="208"/>
      <c r="H845" s="208">
        <f>H772+H776+H798+H840+H844</f>
        <v>88101.400000000009</v>
      </c>
    </row>
    <row r="846" spans="1:9" ht="15.75">
      <c r="A846" s="66"/>
      <c r="B846" s="66"/>
      <c r="C846" s="67" t="s">
        <v>35</v>
      </c>
      <c r="D846" s="66"/>
      <c r="E846" s="279"/>
      <c r="F846" s="208"/>
      <c r="G846" s="206"/>
      <c r="H846" s="208">
        <f>H845+H765+H665+H646+H445+H404+H270+H166+H26</f>
        <v>8332161.4699999997</v>
      </c>
      <c r="I846" s="1039"/>
    </row>
    <row r="847" spans="1:9">
      <c r="A847" s="777" t="str">
        <f>[4]!VExtenso(H846)</f>
        <v>oito milhões, trezentos e trinta e dois mil, cento e sessenta e um reais e quarenta e sete centavos</v>
      </c>
      <c r="B847" s="777"/>
      <c r="C847" s="777"/>
      <c r="D847" s="777"/>
      <c r="E847" s="777"/>
      <c r="F847" s="777"/>
      <c r="G847" s="777"/>
      <c r="H847" s="777"/>
    </row>
    <row r="850" spans="1:8">
      <c r="A850" s="58"/>
      <c r="B850" s="58"/>
      <c r="C850" s="72"/>
      <c r="D850" s="58"/>
      <c r="E850" s="71"/>
      <c r="F850" s="213"/>
      <c r="G850" s="213"/>
      <c r="H850" s="213"/>
    </row>
  </sheetData>
  <protectedRanges>
    <protectedRange sqref="F690" name="Intervalo1_11_1_1_1_2_2_2"/>
    <protectedRange sqref="F714:F718 F691:F698 F723 F730:F732" name="Intervalo1_11_1_1_1_1_1_1_2"/>
    <protectedRange sqref="F668:F670 F678 F649:F663 F638:F644" name="Intervalo1_13_1_2_1_1_1_1_2"/>
    <protectedRange sqref="F699:F702 F682:F686" name="Intervalo1_4_1_1_1_1_1_1_2"/>
    <protectedRange sqref="F703:F707" name="Intervalo1_4_1_3_1_2_1_2"/>
    <protectedRange sqref="F687:F688 F724:F725 F710:F713 F727 F708" name="Intervalo1_11_1_2_1_2"/>
    <protectedRange sqref="F677" name="Intervalo1_13_1_4_1_2"/>
    <protectedRange sqref="F681" name="Intervalo1_13_1_7_1_1_1_1_2"/>
    <protectedRange sqref="F689" name="Intervalo1_13_1_6_1_1_1_1_1_1"/>
    <protectedRange sqref="F680" name="Intervalo1_13_1_7_1_1_1_1_2_2"/>
    <protectedRange sqref="F726" name="Intervalo1_11_1_1_1_1_1_1_2_2"/>
    <protectedRange sqref="F709" name="Intervalo1_11_1_1_1_1_1_1_2_2_1"/>
    <protectedRange sqref="F728:F729" name="Intervalo1_11_1_2_1_2_1_1"/>
    <protectedRange sqref="F490:F492" name="Intervalo1_11_1_2_1_1_2_1_1_1_2_1_2"/>
    <protectedRange sqref="F525:F526 F535" name="Intervalo1_4_1_2_1_1_2_1_2_1_1_1"/>
    <protectedRange sqref="F630" name="Intervalo1_11_1_2_1_1_2_1_1_1_2_2_1"/>
    <protectedRange sqref="F546" name="Intervalo1_4_1_2_1_1_2_1_2_1_1_5"/>
    <protectedRange sqref="F536" name="Intervalo1_4_1_2_1_1_2_1_2_1_1_6"/>
    <protectedRange sqref="F566" name="Intervalo1_4_1_2_1_1_2_1_2_1_1_7"/>
    <protectedRange sqref="F671:F673" name="Intervalo1_13_1_2_1_1_1_1_2_2"/>
    <protectedRange sqref="F674" name="Intervalo1_13_1_2_1_1_1_1_2_1_1"/>
    <protectedRange sqref="F675" name="Intervalo1_13_1_2_1_1_1_1_2_2_1"/>
    <protectedRange sqref="F676" name="Intervalo1_13_1_4_1_2_1"/>
  </protectedRanges>
  <autoFilter ref="G1:G850"/>
  <mergeCells count="12">
    <mergeCell ref="B1:H1"/>
    <mergeCell ref="A5:H5"/>
    <mergeCell ref="A847:H847"/>
    <mergeCell ref="A27:H27"/>
    <mergeCell ref="A666:H666"/>
    <mergeCell ref="A446:H446"/>
    <mergeCell ref="A766:H766"/>
    <mergeCell ref="A271:H271"/>
    <mergeCell ref="A167:H167"/>
    <mergeCell ref="A405:H405"/>
    <mergeCell ref="A7:H7"/>
    <mergeCell ref="A647:H647"/>
  </mergeCells>
  <conditionalFormatting sqref="B675:D676 F675:H676 A447:H665">
    <cfRule type="expression" dxfId="59" priority="56">
      <formula>EVEN(ROW())=ROW()</formula>
    </cfRule>
  </conditionalFormatting>
  <conditionalFormatting sqref="A163:H164">
    <cfRule type="expression" dxfId="58" priority="58">
      <formula>EVEN(ROW())=ROW()</formula>
    </cfRule>
  </conditionalFormatting>
  <conditionalFormatting sqref="B671:H671 B672:D674 F672:H674 E672:E676">
    <cfRule type="expression" dxfId="57" priority="57">
      <formula>EVEN(ROW())=ROW()</formula>
    </cfRule>
  </conditionalFormatting>
  <conditionalFormatting sqref="A8:H445 A667:H765 A767:H847">
    <cfRule type="expression" dxfId="56" priority="55">
      <formula>EVEN(ROW())=ROW()</formula>
    </cfRule>
  </conditionalFormatting>
  <conditionalFormatting sqref="G169:H170">
    <cfRule type="expression" dxfId="55" priority="54">
      <formula>EVEN(ROW())=ROW()</formula>
    </cfRule>
  </conditionalFormatting>
  <conditionalFormatting sqref="G173:H188">
    <cfRule type="expression" dxfId="54" priority="53">
      <formula>EVEN(ROW())=ROW()</formula>
    </cfRule>
  </conditionalFormatting>
  <conditionalFormatting sqref="G191:H194">
    <cfRule type="expression" dxfId="53" priority="52">
      <formula>EVEN(ROW())=ROW()</formula>
    </cfRule>
  </conditionalFormatting>
  <conditionalFormatting sqref="G197:H206">
    <cfRule type="expression" dxfId="52" priority="51">
      <formula>EVEN(ROW())=ROW()</formula>
    </cfRule>
  </conditionalFormatting>
  <conditionalFormatting sqref="G209:H213">
    <cfRule type="expression" dxfId="51" priority="50">
      <formula>EVEN(ROW())=ROW()</formula>
    </cfRule>
  </conditionalFormatting>
  <conditionalFormatting sqref="G216:H221">
    <cfRule type="expression" dxfId="50" priority="49">
      <formula>EVEN(ROW())=ROW()</formula>
    </cfRule>
  </conditionalFormatting>
  <conditionalFormatting sqref="G224:H228">
    <cfRule type="expression" dxfId="49" priority="48">
      <formula>EVEN(ROW())=ROW()</formula>
    </cfRule>
  </conditionalFormatting>
  <conditionalFormatting sqref="G231:H237">
    <cfRule type="expression" dxfId="48" priority="47">
      <formula>EVEN(ROW())=ROW()</formula>
    </cfRule>
  </conditionalFormatting>
  <conditionalFormatting sqref="G240:H242">
    <cfRule type="expression" dxfId="47" priority="46">
      <formula>EVEN(ROW())=ROW()</formula>
    </cfRule>
  </conditionalFormatting>
  <conditionalFormatting sqref="G245:H248">
    <cfRule type="expression" dxfId="46" priority="45">
      <formula>EVEN(ROW())=ROW()</formula>
    </cfRule>
  </conditionalFormatting>
  <conditionalFormatting sqref="G251:H257">
    <cfRule type="expression" dxfId="45" priority="44">
      <formula>EVEN(ROW())=ROW()</formula>
    </cfRule>
  </conditionalFormatting>
  <conditionalFormatting sqref="G260:H265">
    <cfRule type="expression" dxfId="44" priority="43">
      <formula>EVEN(ROW())=ROW()</formula>
    </cfRule>
  </conditionalFormatting>
  <conditionalFormatting sqref="G268:H268">
    <cfRule type="expression" dxfId="43" priority="42">
      <formula>EVEN(ROW())=ROW()</formula>
    </cfRule>
  </conditionalFormatting>
  <conditionalFormatting sqref="G273:H274">
    <cfRule type="expression" dxfId="42" priority="41">
      <formula>EVEN(ROW())=ROW()</formula>
    </cfRule>
  </conditionalFormatting>
  <conditionalFormatting sqref="G277:H295">
    <cfRule type="expression" dxfId="41" priority="40">
      <formula>EVEN(ROW())=ROW()</formula>
    </cfRule>
  </conditionalFormatting>
  <conditionalFormatting sqref="G298:H305">
    <cfRule type="expression" dxfId="40" priority="39">
      <formula>EVEN(ROW())=ROW()</formula>
    </cfRule>
  </conditionalFormatting>
  <conditionalFormatting sqref="G308:H317">
    <cfRule type="expression" dxfId="39" priority="38">
      <formula>EVEN(ROW())=ROW()</formula>
    </cfRule>
  </conditionalFormatting>
  <conditionalFormatting sqref="G320:H325">
    <cfRule type="expression" dxfId="38" priority="37">
      <formula>EVEN(ROW())=ROW()</formula>
    </cfRule>
  </conditionalFormatting>
  <conditionalFormatting sqref="G328:H334">
    <cfRule type="expression" dxfId="37" priority="36">
      <formula>EVEN(ROW())=ROW()</formula>
    </cfRule>
  </conditionalFormatting>
  <conditionalFormatting sqref="G337:H339">
    <cfRule type="expression" dxfId="36" priority="35">
      <formula>EVEN(ROW())=ROW()</formula>
    </cfRule>
  </conditionalFormatting>
  <conditionalFormatting sqref="G342:H348">
    <cfRule type="expression" dxfId="35" priority="34">
      <formula>EVEN(ROW())=ROW()</formula>
    </cfRule>
  </conditionalFormatting>
  <conditionalFormatting sqref="G351:H355">
    <cfRule type="expression" dxfId="34" priority="33">
      <formula>EVEN(ROW())=ROW()</formula>
    </cfRule>
  </conditionalFormatting>
  <conditionalFormatting sqref="G358:H360">
    <cfRule type="expression" dxfId="33" priority="32">
      <formula>EVEN(ROW())=ROW()</formula>
    </cfRule>
  </conditionalFormatting>
  <conditionalFormatting sqref="G363:H368">
    <cfRule type="expression" dxfId="32" priority="31">
      <formula>EVEN(ROW())=ROW()</formula>
    </cfRule>
  </conditionalFormatting>
  <conditionalFormatting sqref="G371:H382">
    <cfRule type="expression" dxfId="31" priority="30">
      <formula>EVEN(ROW())=ROW()</formula>
    </cfRule>
  </conditionalFormatting>
  <conditionalFormatting sqref="G385:H386">
    <cfRule type="expression" dxfId="30" priority="29">
      <formula>EVEN(ROW())=ROW()</formula>
    </cfRule>
  </conditionalFormatting>
  <conditionalFormatting sqref="G389:H399">
    <cfRule type="expression" dxfId="29" priority="28">
      <formula>EVEN(ROW())=ROW()</formula>
    </cfRule>
  </conditionalFormatting>
  <conditionalFormatting sqref="G402:H402">
    <cfRule type="expression" dxfId="28" priority="27">
      <formula>EVEN(ROW())=ROW()</formula>
    </cfRule>
  </conditionalFormatting>
  <conditionalFormatting sqref="G407:H410">
    <cfRule type="expression" dxfId="27" priority="26">
      <formula>EVEN(ROW())=ROW()</formula>
    </cfRule>
  </conditionalFormatting>
  <conditionalFormatting sqref="G413:H430">
    <cfRule type="expression" dxfId="26" priority="25">
      <formula>EVEN(ROW())=ROW()</formula>
    </cfRule>
  </conditionalFormatting>
  <conditionalFormatting sqref="G433:H440">
    <cfRule type="expression" dxfId="25" priority="24">
      <formula>EVEN(ROW())=ROW()</formula>
    </cfRule>
  </conditionalFormatting>
  <conditionalFormatting sqref="G443:H443">
    <cfRule type="expression" dxfId="24" priority="23">
      <formula>EVEN(ROW())=ROW()</formula>
    </cfRule>
  </conditionalFormatting>
  <conditionalFormatting sqref="G448:H455">
    <cfRule type="expression" dxfId="23" priority="22">
      <formula>EVEN(ROW())=ROW()</formula>
    </cfRule>
  </conditionalFormatting>
  <conditionalFormatting sqref="G466:H514">
    <cfRule type="expression" dxfId="22" priority="21">
      <formula>EVEN(ROW())=ROW()</formula>
    </cfRule>
  </conditionalFormatting>
  <conditionalFormatting sqref="G517:H522">
    <cfRule type="expression" dxfId="21" priority="20">
      <formula>EVEN(ROW())=ROW()</formula>
    </cfRule>
  </conditionalFormatting>
  <conditionalFormatting sqref="G525:H532">
    <cfRule type="expression" dxfId="20" priority="19">
      <formula>EVEN(ROW())=ROW()</formula>
    </cfRule>
  </conditionalFormatting>
  <conditionalFormatting sqref="G535:H542">
    <cfRule type="expression" dxfId="19" priority="18">
      <formula>EVEN(ROW())=ROW()</formula>
    </cfRule>
  </conditionalFormatting>
  <conditionalFormatting sqref="G545:H550">
    <cfRule type="expression" dxfId="18" priority="17">
      <formula>EVEN(ROW())=ROW()</formula>
    </cfRule>
  </conditionalFormatting>
  <conditionalFormatting sqref="G553:H554">
    <cfRule type="expression" dxfId="17" priority="16">
      <formula>EVEN(ROW())=ROW()</formula>
    </cfRule>
  </conditionalFormatting>
  <conditionalFormatting sqref="G557:H562">
    <cfRule type="expression" dxfId="16" priority="15">
      <formula>EVEN(ROW())=ROW()</formula>
    </cfRule>
  </conditionalFormatting>
  <conditionalFormatting sqref="G565:H570">
    <cfRule type="expression" dxfId="15" priority="14">
      <formula>EVEN(ROW())=ROW()</formula>
    </cfRule>
  </conditionalFormatting>
  <conditionalFormatting sqref="G584:H611">
    <cfRule type="expression" dxfId="14" priority="12">
      <formula>EVEN(ROW())=ROW()</formula>
    </cfRule>
  </conditionalFormatting>
  <conditionalFormatting sqref="G614:H619">
    <cfRule type="expression" dxfId="13" priority="11">
      <formula>EVEN(ROW())=ROW()</formula>
    </cfRule>
  </conditionalFormatting>
  <conditionalFormatting sqref="G622:H625">
    <cfRule type="expression" dxfId="12" priority="10">
      <formula>EVEN(ROW())=ROW()</formula>
    </cfRule>
  </conditionalFormatting>
  <conditionalFormatting sqref="G628:H644">
    <cfRule type="expression" dxfId="11" priority="9">
      <formula>EVEN(ROW())=ROW()</formula>
    </cfRule>
  </conditionalFormatting>
  <conditionalFormatting sqref="G649:H663">
    <cfRule type="expression" dxfId="10" priority="8">
      <formula>EVEN(ROW())=ROW()</formula>
    </cfRule>
  </conditionalFormatting>
  <conditionalFormatting sqref="G668:H732">
    <cfRule type="expression" dxfId="9" priority="7">
      <formula>EVEN(ROW())=ROW()</formula>
    </cfRule>
  </conditionalFormatting>
  <conditionalFormatting sqref="G735:H763">
    <cfRule type="expression" dxfId="8" priority="6">
      <formula>EVEN(ROW())=ROW()</formula>
    </cfRule>
  </conditionalFormatting>
  <conditionalFormatting sqref="G768:H771">
    <cfRule type="expression" dxfId="7" priority="5">
      <formula>EVEN(ROW())=ROW()</formula>
    </cfRule>
  </conditionalFormatting>
  <conditionalFormatting sqref="G774:H775">
    <cfRule type="expression" dxfId="6" priority="4">
      <formula>EVEN(ROW())=ROW()</formula>
    </cfRule>
  </conditionalFormatting>
  <conditionalFormatting sqref="G778:H797">
    <cfRule type="expression" dxfId="5" priority="3">
      <formula>EVEN(ROW())=ROW()</formula>
    </cfRule>
  </conditionalFormatting>
  <conditionalFormatting sqref="G800:H839">
    <cfRule type="expression" dxfId="4" priority="2">
      <formula>EVEN(ROW())=ROW()</formula>
    </cfRule>
  </conditionalFormatting>
  <conditionalFormatting sqref="G842:H843">
    <cfRule type="expression" dxfId="3" priority="1">
      <formula>EVEN(ROW())=ROW()</formula>
    </cfRule>
  </conditionalFormatting>
  <pageMargins left="0.51181102362204722" right="0.51181102362204722" top="0.89806547619047616" bottom="1.0629921259842521" header="0.31496062992125984" footer="0.31496062992125984"/>
  <pageSetup paperSize="9" scale="85" orientation="landscape" r:id="rId1"/>
  <headerFooter>
    <oddHeader>&amp;L&amp;G&amp;C&amp;"-,Negrito"&amp;9&amp;K00-035GOVERNO DO ESTADO DE MATO GROSSO&amp;"-,Regular"SECRETARIA DE ESTADO DE EDUCAÇÃOSECRETARIA ADJUNTA DE ESTRUTURA ESCOLAR&amp;R&amp;G</oddHeader>
    <oddFooter>&amp;L&amp;"-,Negrito"&amp;7&amp;K00-035Secretaria de Estado de Educação, Esporte e Lazer de Mato Grosso&amp;"-,Regular"Rua Engenheiro Edgar Prado Arze, 215 - Centro Político AdministrativoCEP: 78049-909 | Cuiabá-MTFone: (65) 3613-6300&amp;C&amp;9&amp;K00-037&amp;P / &amp;N&amp;R&amp;7&amp;K00-036&amp;A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9CC00"/>
  </sheetPr>
  <dimension ref="A1:G65597"/>
  <sheetViews>
    <sheetView topLeftCell="A100" workbookViewId="0">
      <selection activeCell="E84" sqref="E84"/>
    </sheetView>
  </sheetViews>
  <sheetFormatPr defaultRowHeight="15"/>
  <cols>
    <col min="1" max="1" width="6" style="43" bestFit="1" customWidth="1"/>
    <col min="2" max="2" width="47.140625" style="40" customWidth="1"/>
    <col min="3" max="3" width="57.42578125" style="40" customWidth="1"/>
    <col min="4" max="4" width="9.7109375" style="40" customWidth="1"/>
    <col min="5" max="5" width="14.5703125" style="40" customWidth="1"/>
    <col min="6" max="6" width="13.7109375" style="57" customWidth="1"/>
  </cols>
  <sheetData>
    <row r="1" spans="1:6">
      <c r="A1" s="781" t="s">
        <v>58</v>
      </c>
      <c r="B1" s="781"/>
      <c r="C1" s="781"/>
      <c r="D1" s="781"/>
      <c r="E1" s="781"/>
      <c r="F1" s="782" t="s">
        <v>150</v>
      </c>
    </row>
    <row r="2" spans="1:6">
      <c r="A2" s="781" t="s">
        <v>59</v>
      </c>
      <c r="B2" s="781"/>
      <c r="C2" s="781"/>
      <c r="D2" s="781"/>
      <c r="E2" s="781"/>
      <c r="F2" s="782"/>
    </row>
    <row r="3" spans="1:6">
      <c r="A3" s="90" t="s">
        <v>60</v>
      </c>
      <c r="B3" s="248"/>
      <c r="C3" s="248"/>
      <c r="D3" s="248"/>
      <c r="E3" s="248"/>
      <c r="F3" s="782"/>
    </row>
    <row r="4" spans="1:6">
      <c r="A4" s="90" t="s">
        <v>60</v>
      </c>
      <c r="B4" s="90" t="s">
        <v>61</v>
      </c>
      <c r="C4" s="248" t="s">
        <v>62</v>
      </c>
      <c r="D4" s="90" t="s">
        <v>63</v>
      </c>
      <c r="E4" s="90" t="s">
        <v>64</v>
      </c>
      <c r="F4" s="782"/>
    </row>
    <row r="5" spans="1:6">
      <c r="A5" s="385" t="s">
        <v>16</v>
      </c>
      <c r="B5" s="386" t="s">
        <v>90</v>
      </c>
      <c r="C5" s="387"/>
      <c r="D5" s="385" t="s">
        <v>91</v>
      </c>
      <c r="E5" s="388">
        <v>10</v>
      </c>
      <c r="F5" s="224">
        <f>ROUND(E5,2)</f>
        <v>10</v>
      </c>
    </row>
    <row r="6" spans="1:6">
      <c r="A6" s="90" t="s">
        <v>60</v>
      </c>
      <c r="B6" s="90" t="s">
        <v>61</v>
      </c>
      <c r="C6" s="248" t="s">
        <v>62</v>
      </c>
      <c r="D6" s="90" t="s">
        <v>63</v>
      </c>
      <c r="E6" s="90" t="s">
        <v>64</v>
      </c>
      <c r="F6" s="89"/>
    </row>
    <row r="7" spans="1:6" ht="25.5">
      <c r="A7" s="385" t="s">
        <v>18</v>
      </c>
      <c r="B7" s="387" t="s">
        <v>69</v>
      </c>
      <c r="C7" s="387" t="s">
        <v>256</v>
      </c>
      <c r="D7" s="390" t="s">
        <v>70</v>
      </c>
      <c r="E7" s="388">
        <v>1</v>
      </c>
      <c r="F7" s="224">
        <f>ROUND(E7,2)</f>
        <v>1</v>
      </c>
    </row>
    <row r="8" spans="1:6" ht="25.5">
      <c r="A8" s="385" t="s">
        <v>19</v>
      </c>
      <c r="B8" s="387" t="s">
        <v>71</v>
      </c>
      <c r="C8" s="387" t="s">
        <v>255</v>
      </c>
      <c r="D8" s="390" t="s">
        <v>73</v>
      </c>
      <c r="E8" s="388">
        <v>8454.25</v>
      </c>
      <c r="F8" s="224">
        <f>ROUND(E8,2)</f>
        <v>8454.25</v>
      </c>
    </row>
    <row r="9" spans="1:6">
      <c r="A9" s="385" t="s">
        <v>77</v>
      </c>
      <c r="B9" s="387" t="s">
        <v>74</v>
      </c>
      <c r="C9" s="409" t="s">
        <v>2110</v>
      </c>
      <c r="D9" s="390" t="s">
        <v>73</v>
      </c>
      <c r="E9" s="411">
        <v>4483.9799999999996</v>
      </c>
      <c r="F9" s="224">
        <f>ROUND(E9,2)</f>
        <v>4483.9799999999996</v>
      </c>
    </row>
    <row r="10" spans="1:6" ht="38.25">
      <c r="A10" s="385" t="s">
        <v>78</v>
      </c>
      <c r="B10" s="387" t="s">
        <v>249</v>
      </c>
      <c r="C10" s="387" t="s">
        <v>212</v>
      </c>
      <c r="D10" s="390" t="s">
        <v>73</v>
      </c>
      <c r="E10" s="388">
        <v>20.3</v>
      </c>
      <c r="F10" s="224">
        <f>ROUND(E10,2)</f>
        <v>20.3</v>
      </c>
    </row>
    <row r="11" spans="1:6" ht="38.25">
      <c r="A11" s="385" t="s">
        <v>83</v>
      </c>
      <c r="B11" s="387" t="s">
        <v>250</v>
      </c>
      <c r="C11" s="387" t="s">
        <v>212</v>
      </c>
      <c r="D11" s="390" t="s">
        <v>73</v>
      </c>
      <c r="E11" s="388">
        <v>21.8</v>
      </c>
      <c r="F11" s="224">
        <f>ROUND(E11,2)</f>
        <v>21.8</v>
      </c>
    </row>
    <row r="12" spans="1:6" ht="38.25">
      <c r="A12" s="385" t="s">
        <v>92</v>
      </c>
      <c r="B12" s="387" t="s">
        <v>251</v>
      </c>
      <c r="C12" s="387" t="s">
        <v>212</v>
      </c>
      <c r="D12" s="390" t="s">
        <v>73</v>
      </c>
      <c r="E12" s="388">
        <v>14.5</v>
      </c>
      <c r="F12" s="224">
        <f t="shared" ref="F12:F17" si="0">ROUND(E12,2)</f>
        <v>14.5</v>
      </c>
    </row>
    <row r="13" spans="1:6" ht="38.25">
      <c r="A13" s="385" t="s">
        <v>93</v>
      </c>
      <c r="B13" s="409" t="s">
        <v>1459</v>
      </c>
      <c r="C13" s="387" t="s">
        <v>212</v>
      </c>
      <c r="D13" s="410" t="s">
        <v>91</v>
      </c>
      <c r="E13" s="411">
        <v>10</v>
      </c>
      <c r="F13" s="224">
        <f>ROUND(E13,2)</f>
        <v>10</v>
      </c>
    </row>
    <row r="14" spans="1:6" ht="51">
      <c r="A14" s="385" t="s">
        <v>298</v>
      </c>
      <c r="B14" s="408" t="s">
        <v>961</v>
      </c>
      <c r="C14" s="387" t="s">
        <v>213</v>
      </c>
      <c r="D14" s="390" t="s">
        <v>73</v>
      </c>
      <c r="E14" s="435">
        <f>290.67*2.2</f>
        <v>639.47400000000005</v>
      </c>
      <c r="F14" s="224">
        <f t="shared" si="0"/>
        <v>639.47</v>
      </c>
    </row>
    <row r="15" spans="1:6" ht="25.5">
      <c r="A15" s="392" t="s">
        <v>252</v>
      </c>
      <c r="B15" s="393" t="s">
        <v>316</v>
      </c>
      <c r="C15" s="393" t="s">
        <v>315</v>
      </c>
      <c r="D15" s="394" t="s">
        <v>128</v>
      </c>
      <c r="E15" s="395">
        <v>24</v>
      </c>
      <c r="F15" s="224">
        <f t="shared" si="0"/>
        <v>24</v>
      </c>
    </row>
    <row r="16" spans="1:6">
      <c r="A16" s="385" t="s">
        <v>253</v>
      </c>
      <c r="B16" s="396" t="s">
        <v>148</v>
      </c>
      <c r="C16" s="387"/>
      <c r="D16" s="390" t="s">
        <v>70</v>
      </c>
      <c r="E16" s="388">
        <v>1</v>
      </c>
      <c r="F16" s="224">
        <f t="shared" si="0"/>
        <v>1</v>
      </c>
    </row>
    <row r="17" spans="1:6">
      <c r="A17" s="385" t="s">
        <v>254</v>
      </c>
      <c r="B17" s="396" t="s">
        <v>149</v>
      </c>
      <c r="C17" s="387"/>
      <c r="D17" s="390" t="s">
        <v>70</v>
      </c>
      <c r="E17" s="388">
        <v>1</v>
      </c>
      <c r="F17" s="224">
        <f t="shared" si="0"/>
        <v>1</v>
      </c>
    </row>
    <row r="18" spans="1:6">
      <c r="A18" s="783" t="s">
        <v>95</v>
      </c>
      <c r="B18" s="783"/>
      <c r="C18" s="783"/>
      <c r="D18" s="783"/>
      <c r="E18" s="783"/>
      <c r="F18" s="89"/>
    </row>
    <row r="19" spans="1:6">
      <c r="A19" s="780" t="s">
        <v>75</v>
      </c>
      <c r="B19" s="780"/>
      <c r="C19" s="780"/>
      <c r="D19" s="780"/>
      <c r="E19" s="780"/>
      <c r="F19" s="89"/>
    </row>
    <row r="20" spans="1:6">
      <c r="A20" s="90" t="s">
        <v>60</v>
      </c>
      <c r="B20" s="90" t="s">
        <v>61</v>
      </c>
      <c r="C20" s="248" t="s">
        <v>62</v>
      </c>
      <c r="D20" s="90" t="s">
        <v>63</v>
      </c>
      <c r="E20" s="90" t="s">
        <v>64</v>
      </c>
      <c r="F20" s="89"/>
    </row>
    <row r="21" spans="1:6">
      <c r="A21" s="385" t="s">
        <v>24</v>
      </c>
      <c r="B21" s="386" t="s">
        <v>98</v>
      </c>
      <c r="C21" s="387" t="s">
        <v>2055</v>
      </c>
      <c r="D21" s="397" t="s">
        <v>73</v>
      </c>
      <c r="E21" s="388">
        <v>34.5</v>
      </c>
      <c r="F21" s="224">
        <f>ROUND(E21,2)</f>
        <v>34.5</v>
      </c>
    </row>
    <row r="22" spans="1:6" ht="25.5">
      <c r="A22" s="385" t="s">
        <v>25</v>
      </c>
      <c r="B22" s="386" t="s">
        <v>275</v>
      </c>
      <c r="C22" s="387" t="s">
        <v>2056</v>
      </c>
      <c r="D22" s="398" t="s">
        <v>73</v>
      </c>
      <c r="E22" s="388">
        <f>1142.98+1291.42</f>
        <v>2434.4</v>
      </c>
      <c r="F22" s="224">
        <f>ROUND(E22,2)</f>
        <v>2434.4</v>
      </c>
    </row>
    <row r="23" spans="1:6" ht="25.5">
      <c r="A23" s="385" t="s">
        <v>26</v>
      </c>
      <c r="B23" s="386" t="s">
        <v>276</v>
      </c>
      <c r="C23" s="387" t="s">
        <v>2057</v>
      </c>
      <c r="D23" s="398" t="s">
        <v>73</v>
      </c>
      <c r="E23" s="435">
        <v>158.58000000000001</v>
      </c>
      <c r="F23" s="224">
        <f>ROUND(E23,2)</f>
        <v>158.58000000000001</v>
      </c>
    </row>
    <row r="24" spans="1:6" ht="25.5">
      <c r="A24" s="385" t="s">
        <v>27</v>
      </c>
      <c r="B24" s="386" t="s">
        <v>277</v>
      </c>
      <c r="C24" s="387" t="s">
        <v>2058</v>
      </c>
      <c r="D24" s="397" t="s">
        <v>76</v>
      </c>
      <c r="E24" s="435">
        <v>13.8</v>
      </c>
      <c r="F24" s="224">
        <f>ROUND(E24,2)</f>
        <v>13.8</v>
      </c>
    </row>
    <row r="25" spans="1:6">
      <c r="A25" s="385" t="s">
        <v>28</v>
      </c>
      <c r="B25" s="386" t="s">
        <v>278</v>
      </c>
      <c r="C25" s="387" t="s">
        <v>2059</v>
      </c>
      <c r="D25" s="398" t="s">
        <v>76</v>
      </c>
      <c r="E25" s="435">
        <v>17.8</v>
      </c>
      <c r="F25" s="224">
        <f>ROUND(E25,2)</f>
        <v>17.8</v>
      </c>
    </row>
    <row r="26" spans="1:6">
      <c r="A26" s="780" t="s">
        <v>79</v>
      </c>
      <c r="B26" s="780"/>
      <c r="C26" s="780"/>
      <c r="D26" s="780"/>
      <c r="E26" s="780"/>
      <c r="F26" s="89"/>
    </row>
    <row r="27" spans="1:6">
      <c r="A27" s="90" t="s">
        <v>60</v>
      </c>
      <c r="B27" s="90" t="s">
        <v>61</v>
      </c>
      <c r="C27" s="248" t="s">
        <v>62</v>
      </c>
      <c r="D27" s="90" t="s">
        <v>63</v>
      </c>
      <c r="E27" s="90" t="s">
        <v>64</v>
      </c>
      <c r="F27" s="89"/>
    </row>
    <row r="28" spans="1:6">
      <c r="A28" s="385"/>
      <c r="B28" s="386" t="s">
        <v>773</v>
      </c>
      <c r="C28" s="409" t="s">
        <v>2114</v>
      </c>
      <c r="D28" s="305" t="s">
        <v>73</v>
      </c>
      <c r="E28" s="412">
        <f>8*0.8*1.7</f>
        <v>10.88</v>
      </c>
      <c r="F28" s="224">
        <f t="shared" ref="F28:F43" si="1">ROUND(E28,2)</f>
        <v>10.88</v>
      </c>
    </row>
    <row r="29" spans="1:6" ht="25.5">
      <c r="A29" s="385"/>
      <c r="B29" s="386" t="s">
        <v>772</v>
      </c>
      <c r="C29" s="387" t="s">
        <v>2060</v>
      </c>
      <c r="D29" s="390" t="s">
        <v>563</v>
      </c>
      <c r="E29" s="399">
        <v>4</v>
      </c>
      <c r="F29" s="224">
        <f t="shared" si="1"/>
        <v>4</v>
      </c>
    </row>
    <row r="30" spans="1:6" ht="25.5">
      <c r="A30" s="385"/>
      <c r="B30" s="386" t="s">
        <v>776</v>
      </c>
      <c r="C30" s="387" t="s">
        <v>2061</v>
      </c>
      <c r="D30" s="390" t="s">
        <v>563</v>
      </c>
      <c r="E30" s="399">
        <v>21</v>
      </c>
      <c r="F30" s="224">
        <f t="shared" si="1"/>
        <v>21</v>
      </c>
    </row>
    <row r="31" spans="1:6">
      <c r="A31" s="385"/>
      <c r="B31" s="386" t="s">
        <v>774</v>
      </c>
      <c r="C31" s="387" t="s">
        <v>777</v>
      </c>
      <c r="D31" s="390" t="s">
        <v>563</v>
      </c>
      <c r="E31" s="399">
        <v>2</v>
      </c>
      <c r="F31" s="224">
        <f t="shared" si="1"/>
        <v>2</v>
      </c>
    </row>
    <row r="32" spans="1:6">
      <c r="A32" s="385"/>
      <c r="B32" s="386" t="s">
        <v>778</v>
      </c>
      <c r="C32" s="387" t="s">
        <v>779</v>
      </c>
      <c r="D32" s="390" t="s">
        <v>563</v>
      </c>
      <c r="E32" s="399">
        <v>1</v>
      </c>
      <c r="F32" s="224">
        <f t="shared" si="1"/>
        <v>1</v>
      </c>
    </row>
    <row r="33" spans="1:7">
      <c r="A33" s="385"/>
      <c r="B33" s="386" t="s">
        <v>780</v>
      </c>
      <c r="C33" s="400" t="s">
        <v>781</v>
      </c>
      <c r="D33" s="390" t="s">
        <v>563</v>
      </c>
      <c r="E33" s="399">
        <v>1</v>
      </c>
      <c r="F33" s="224">
        <f t="shared" si="1"/>
        <v>1</v>
      </c>
    </row>
    <row r="34" spans="1:7">
      <c r="A34" s="385"/>
      <c r="B34" s="386" t="s">
        <v>2062</v>
      </c>
      <c r="C34" s="387" t="s">
        <v>2063</v>
      </c>
      <c r="D34" s="390" t="s">
        <v>563</v>
      </c>
      <c r="E34" s="399">
        <v>6</v>
      </c>
      <c r="F34" s="224">
        <f t="shared" si="1"/>
        <v>6</v>
      </c>
    </row>
    <row r="35" spans="1:7" ht="38.25">
      <c r="A35" s="385"/>
      <c r="B35" s="386" t="s">
        <v>2064</v>
      </c>
      <c r="C35" s="387" t="s">
        <v>782</v>
      </c>
      <c r="D35" s="390" t="s">
        <v>563</v>
      </c>
      <c r="E35" s="399">
        <v>26</v>
      </c>
      <c r="F35" s="224">
        <f t="shared" si="1"/>
        <v>26</v>
      </c>
      <c r="G35" s="413">
        <f>F35*3*0.6</f>
        <v>46.8</v>
      </c>
    </row>
    <row r="36" spans="1:7">
      <c r="A36" s="385"/>
      <c r="B36" s="386" t="s">
        <v>2065</v>
      </c>
      <c r="C36" s="387" t="s">
        <v>775</v>
      </c>
      <c r="D36" s="390" t="s">
        <v>563</v>
      </c>
      <c r="E36" s="399">
        <v>2</v>
      </c>
      <c r="F36" s="224">
        <f>ROUND(E36,2)</f>
        <v>2</v>
      </c>
      <c r="G36" s="413">
        <f>F36*3*0.8</f>
        <v>4.8000000000000007</v>
      </c>
    </row>
    <row r="37" spans="1:7" ht="38.25">
      <c r="A37" s="385"/>
      <c r="B37" s="386" t="s">
        <v>2066</v>
      </c>
      <c r="C37" s="387" t="s">
        <v>783</v>
      </c>
      <c r="D37" s="390" t="s">
        <v>563</v>
      </c>
      <c r="E37" s="399">
        <v>46</v>
      </c>
      <c r="F37" s="224">
        <f>ROUND(E37,2)</f>
        <v>46</v>
      </c>
      <c r="G37" s="413">
        <f>F37*1.2*2.4</f>
        <v>132.47999999999999</v>
      </c>
    </row>
    <row r="38" spans="1:7">
      <c r="A38" s="385"/>
      <c r="B38" s="386" t="s">
        <v>2067</v>
      </c>
      <c r="C38" s="387" t="s">
        <v>777</v>
      </c>
      <c r="D38" s="390" t="s">
        <v>563</v>
      </c>
      <c r="E38" s="399">
        <v>4</v>
      </c>
      <c r="F38" s="224">
        <f>ROUND(E38,2)</f>
        <v>4</v>
      </c>
      <c r="G38" s="413">
        <f>F38*0.4*0.4</f>
        <v>0.64000000000000012</v>
      </c>
    </row>
    <row r="39" spans="1:7">
      <c r="A39" s="385"/>
      <c r="B39" s="386" t="s">
        <v>2068</v>
      </c>
      <c r="C39" s="387" t="s">
        <v>784</v>
      </c>
      <c r="D39" s="390" t="s">
        <v>563</v>
      </c>
      <c r="E39" s="399">
        <v>1</v>
      </c>
      <c r="F39" s="224">
        <f>ROUND(E39,2)</f>
        <v>1</v>
      </c>
      <c r="G39" s="413">
        <f>F39*2*0.8</f>
        <v>1.6</v>
      </c>
    </row>
    <row r="40" spans="1:7">
      <c r="A40" s="385"/>
      <c r="B40" s="386" t="s">
        <v>931</v>
      </c>
      <c r="C40" s="387" t="s">
        <v>932</v>
      </c>
      <c r="D40" s="390" t="s">
        <v>108</v>
      </c>
      <c r="E40" s="399">
        <v>37.42</v>
      </c>
      <c r="F40" s="224">
        <f t="shared" si="1"/>
        <v>37.42</v>
      </c>
    </row>
    <row r="41" spans="1:7">
      <c r="A41" s="385"/>
      <c r="B41" s="386" t="s">
        <v>933</v>
      </c>
      <c r="C41" s="387" t="s">
        <v>934</v>
      </c>
      <c r="D41" s="390" t="s">
        <v>108</v>
      </c>
      <c r="E41" s="399">
        <v>19.25</v>
      </c>
      <c r="F41" s="224">
        <f t="shared" si="1"/>
        <v>19.25</v>
      </c>
    </row>
    <row r="42" spans="1:7">
      <c r="A42" s="385"/>
      <c r="B42" s="386"/>
      <c r="C42" s="387"/>
      <c r="D42" s="401"/>
      <c r="E42" s="388"/>
      <c r="F42" s="389"/>
    </row>
    <row r="43" spans="1:7" s="42" customFormat="1" ht="113.25" customHeight="1">
      <c r="A43" s="426" t="s">
        <v>552</v>
      </c>
      <c r="B43" s="427" t="s">
        <v>311</v>
      </c>
      <c r="C43" s="428" t="s">
        <v>2597</v>
      </c>
      <c r="D43" s="429" t="s">
        <v>73</v>
      </c>
      <c r="E43" s="430">
        <f>15.02+79.38+7.56+20.16+6.55</f>
        <v>128.66999999999999</v>
      </c>
      <c r="F43" s="224">
        <f t="shared" si="1"/>
        <v>128.66999999999999</v>
      </c>
      <c r="G43" s="39"/>
    </row>
    <row r="44" spans="1:7">
      <c r="A44" s="385"/>
      <c r="B44" s="386"/>
      <c r="C44" s="387"/>
      <c r="D44" s="401"/>
      <c r="E44" s="388"/>
      <c r="F44" s="389"/>
    </row>
    <row r="45" spans="1:7">
      <c r="A45" s="780" t="s">
        <v>2069</v>
      </c>
      <c r="B45" s="780"/>
      <c r="C45" s="780"/>
      <c r="D45" s="780"/>
      <c r="E45" s="780"/>
      <c r="F45" s="89"/>
    </row>
    <row r="46" spans="1:7">
      <c r="A46" s="90" t="s">
        <v>60</v>
      </c>
      <c r="B46" s="90" t="s">
        <v>61</v>
      </c>
      <c r="C46" s="248" t="s">
        <v>62</v>
      </c>
      <c r="D46" s="90" t="s">
        <v>63</v>
      </c>
      <c r="E46" s="90" t="s">
        <v>64</v>
      </c>
      <c r="F46" s="89"/>
    </row>
    <row r="47" spans="1:7">
      <c r="A47" s="385" t="s">
        <v>33</v>
      </c>
      <c r="B47" s="386" t="s">
        <v>317</v>
      </c>
      <c r="C47" s="387" t="s">
        <v>2070</v>
      </c>
      <c r="D47" s="385" t="s">
        <v>108</v>
      </c>
      <c r="E47" s="388"/>
      <c r="F47" s="224"/>
    </row>
    <row r="48" spans="1:7">
      <c r="A48" s="385"/>
      <c r="B48" s="391" t="s">
        <v>763</v>
      </c>
      <c r="C48" s="391" t="s">
        <v>764</v>
      </c>
      <c r="D48" s="385" t="s">
        <v>76</v>
      </c>
      <c r="E48" s="414">
        <v>42.3</v>
      </c>
      <c r="F48" s="389"/>
    </row>
    <row r="49" spans="1:6">
      <c r="A49" s="385"/>
      <c r="B49" s="386" t="s">
        <v>765</v>
      </c>
      <c r="C49" s="391" t="s">
        <v>766</v>
      </c>
      <c r="D49" s="385" t="s">
        <v>76</v>
      </c>
      <c r="E49" s="414">
        <v>177</v>
      </c>
      <c r="F49" s="389"/>
    </row>
    <row r="50" spans="1:6">
      <c r="A50" s="385"/>
      <c r="B50" s="386" t="s">
        <v>767</v>
      </c>
      <c r="C50" s="391">
        <v>1.4</v>
      </c>
      <c r="D50" s="385" t="s">
        <v>76</v>
      </c>
      <c r="E50" s="414">
        <v>3.2</v>
      </c>
      <c r="F50" s="389"/>
    </row>
    <row r="51" spans="1:6">
      <c r="A51" s="385"/>
      <c r="B51" s="386"/>
      <c r="C51" s="387"/>
      <c r="D51" s="401"/>
      <c r="E51" s="388"/>
      <c r="F51" s="389"/>
    </row>
    <row r="52" spans="1:6">
      <c r="A52" s="385"/>
      <c r="B52" s="386" t="s">
        <v>768</v>
      </c>
      <c r="C52" s="387" t="s">
        <v>769</v>
      </c>
      <c r="D52" s="401" t="s">
        <v>770</v>
      </c>
      <c r="E52" s="415">
        <v>177</v>
      </c>
      <c r="F52" s="389"/>
    </row>
    <row r="53" spans="1:6">
      <c r="A53" s="385"/>
      <c r="B53" s="386" t="s">
        <v>771</v>
      </c>
      <c r="C53" s="391">
        <v>2.8</v>
      </c>
      <c r="D53" s="401" t="s">
        <v>770</v>
      </c>
      <c r="E53" s="415">
        <v>3.2</v>
      </c>
      <c r="F53" s="389"/>
    </row>
    <row r="54" spans="1:6">
      <c r="A54" s="385"/>
      <c r="B54" s="386"/>
      <c r="C54" s="387"/>
      <c r="D54" s="401"/>
      <c r="E54" s="388"/>
      <c r="F54" s="389"/>
    </row>
    <row r="55" spans="1:6">
      <c r="A55" s="385"/>
      <c r="B55" s="386"/>
      <c r="C55" s="387"/>
      <c r="D55" s="401"/>
      <c r="E55" s="388"/>
      <c r="F55" s="389"/>
    </row>
    <row r="56" spans="1:6">
      <c r="A56" s="385"/>
      <c r="B56" s="386"/>
      <c r="C56" s="387"/>
      <c r="D56" s="401"/>
      <c r="E56" s="388"/>
      <c r="F56" s="389"/>
    </row>
    <row r="57" spans="1:6">
      <c r="A57" s="385"/>
      <c r="B57" s="386"/>
      <c r="C57" s="387"/>
      <c r="D57" s="401"/>
      <c r="E57" s="388"/>
      <c r="F57" s="389"/>
    </row>
    <row r="58" spans="1:6">
      <c r="A58" s="780" t="s">
        <v>95</v>
      </c>
      <c r="B58" s="780"/>
      <c r="C58" s="780"/>
      <c r="D58" s="780"/>
      <c r="E58" s="780"/>
      <c r="F58" s="89"/>
    </row>
    <row r="59" spans="1:6">
      <c r="A59" s="90" t="s">
        <v>60</v>
      </c>
      <c r="B59" s="90" t="s">
        <v>61</v>
      </c>
      <c r="C59" s="248" t="s">
        <v>62</v>
      </c>
      <c r="D59" s="90" t="s">
        <v>63</v>
      </c>
      <c r="E59" s="90" t="s">
        <v>64</v>
      </c>
      <c r="F59" s="89"/>
    </row>
    <row r="60" spans="1:6">
      <c r="A60" s="385" t="s">
        <v>33</v>
      </c>
      <c r="B60" s="386" t="s">
        <v>317</v>
      </c>
      <c r="C60" s="387" t="s">
        <v>2070</v>
      </c>
      <c r="D60" s="385" t="s">
        <v>108</v>
      </c>
      <c r="E60" s="388">
        <v>2890.52</v>
      </c>
      <c r="F60" s="224">
        <f>ROUND(E60,2)</f>
        <v>2890.52</v>
      </c>
    </row>
    <row r="61" spans="1:6">
      <c r="A61" s="385"/>
      <c r="B61" s="391"/>
      <c r="C61" s="387"/>
      <c r="D61" s="385"/>
      <c r="E61" s="388"/>
      <c r="F61" s="389"/>
    </row>
    <row r="62" spans="1:6">
      <c r="A62" s="780" t="s">
        <v>109</v>
      </c>
      <c r="B62" s="780"/>
      <c r="C62" s="780"/>
      <c r="D62" s="780"/>
      <c r="E62" s="780"/>
      <c r="F62" s="89"/>
    </row>
    <row r="63" spans="1:6">
      <c r="A63" s="90" t="s">
        <v>60</v>
      </c>
      <c r="B63" s="90" t="s">
        <v>61</v>
      </c>
      <c r="C63" s="248" t="s">
        <v>62</v>
      </c>
      <c r="D63" s="90" t="s">
        <v>63</v>
      </c>
      <c r="E63" s="90" t="s">
        <v>64</v>
      </c>
      <c r="F63" s="89"/>
    </row>
    <row r="64" spans="1:6" ht="25.5">
      <c r="A64" s="385" t="s">
        <v>33</v>
      </c>
      <c r="B64" s="386" t="s">
        <v>111</v>
      </c>
      <c r="C64" s="387" t="s">
        <v>2071</v>
      </c>
      <c r="D64" s="385" t="s">
        <v>108</v>
      </c>
      <c r="E64" s="388">
        <v>4579.6499999999996</v>
      </c>
      <c r="F64" s="224">
        <f>ROUND(E64,2)</f>
        <v>4579.6499999999996</v>
      </c>
    </row>
    <row r="65" spans="1:6">
      <c r="A65" s="385" t="s">
        <v>124</v>
      </c>
      <c r="B65" s="386" t="s">
        <v>2072</v>
      </c>
      <c r="C65" s="387" t="s">
        <v>2073</v>
      </c>
      <c r="D65" s="385" t="s">
        <v>108</v>
      </c>
      <c r="E65" s="388">
        <v>4579.6499999999996</v>
      </c>
      <c r="F65" s="224">
        <f>ROUND(E65,2)</f>
        <v>4579.6499999999996</v>
      </c>
    </row>
    <row r="66" spans="1:6">
      <c r="A66" s="385"/>
      <c r="B66" s="386" t="s">
        <v>2074</v>
      </c>
      <c r="C66" s="387" t="s">
        <v>2075</v>
      </c>
      <c r="D66" s="385" t="s">
        <v>108</v>
      </c>
      <c r="E66" s="415">
        <v>1717</v>
      </c>
      <c r="F66" s="389"/>
    </row>
    <row r="67" spans="1:6">
      <c r="A67" s="385"/>
      <c r="B67" s="386" t="s">
        <v>2076</v>
      </c>
      <c r="C67" s="387" t="s">
        <v>2075</v>
      </c>
      <c r="D67" s="385" t="s">
        <v>108</v>
      </c>
      <c r="E67" s="415">
        <v>1717</v>
      </c>
      <c r="F67" s="389"/>
    </row>
    <row r="68" spans="1:6">
      <c r="A68" s="385" t="s">
        <v>303</v>
      </c>
      <c r="B68" s="402" t="s">
        <v>2077</v>
      </c>
      <c r="C68" s="403" t="s">
        <v>2078</v>
      </c>
      <c r="D68" s="385" t="s">
        <v>108</v>
      </c>
      <c r="E68" s="388">
        <v>220.72</v>
      </c>
      <c r="F68" s="224">
        <f>ROUND(E68,2)</f>
        <v>220.72</v>
      </c>
    </row>
    <row r="69" spans="1:6" ht="51.75">
      <c r="A69" s="385"/>
      <c r="B69" s="402" t="s">
        <v>2079</v>
      </c>
      <c r="C69" s="403" t="s">
        <v>2080</v>
      </c>
      <c r="D69" s="385" t="s">
        <v>108</v>
      </c>
      <c r="E69" s="415">
        <v>991.42</v>
      </c>
      <c r="F69" s="389"/>
    </row>
    <row r="70" spans="1:6" ht="26.25">
      <c r="A70" s="385"/>
      <c r="B70" s="402" t="s">
        <v>2081</v>
      </c>
      <c r="C70" s="403" t="s">
        <v>2082</v>
      </c>
      <c r="D70" s="385" t="s">
        <v>108</v>
      </c>
      <c r="E70" s="415">
        <v>142.91999999999999</v>
      </c>
      <c r="F70" s="389"/>
    </row>
    <row r="71" spans="1:6">
      <c r="A71" s="385"/>
      <c r="B71" s="402" t="s">
        <v>2083</v>
      </c>
      <c r="C71" s="403" t="s">
        <v>2084</v>
      </c>
      <c r="D71" s="385" t="s">
        <v>108</v>
      </c>
      <c r="E71" s="415">
        <v>353.24</v>
      </c>
      <c r="F71" s="389"/>
    </row>
    <row r="72" spans="1:6">
      <c r="A72" s="385"/>
      <c r="B72" s="402"/>
      <c r="C72" s="403"/>
      <c r="D72" s="385"/>
      <c r="E72" s="388"/>
      <c r="F72" s="389"/>
    </row>
    <row r="73" spans="1:6">
      <c r="A73" s="385"/>
      <c r="B73" s="402"/>
      <c r="C73" s="403"/>
      <c r="D73" s="385"/>
      <c r="E73" s="388"/>
      <c r="F73" s="389"/>
    </row>
    <row r="74" spans="1:6" ht="26.25">
      <c r="A74" s="385" t="s">
        <v>303</v>
      </c>
      <c r="B74" s="404" t="s">
        <v>308</v>
      </c>
      <c r="C74" s="403" t="s">
        <v>2085</v>
      </c>
      <c r="D74" s="402" t="s">
        <v>108</v>
      </c>
      <c r="E74" s="388">
        <v>343.74</v>
      </c>
      <c r="F74" s="224">
        <f>ROUND(E74,2)</f>
        <v>343.74</v>
      </c>
    </row>
    <row r="75" spans="1:6">
      <c r="A75" s="783" t="s">
        <v>11</v>
      </c>
      <c r="B75" s="783"/>
      <c r="C75" s="783"/>
      <c r="D75" s="783"/>
      <c r="E75" s="783"/>
      <c r="F75" s="89"/>
    </row>
    <row r="76" spans="1:6">
      <c r="A76" s="90" t="s">
        <v>60</v>
      </c>
      <c r="B76" s="90" t="s">
        <v>61</v>
      </c>
      <c r="C76" s="248" t="s">
        <v>62</v>
      </c>
      <c r="D76" s="90" t="s">
        <v>63</v>
      </c>
      <c r="E76" s="90" t="s">
        <v>64</v>
      </c>
      <c r="F76" s="89"/>
    </row>
    <row r="77" spans="1:6" ht="25.5">
      <c r="A77" s="385" t="s">
        <v>97</v>
      </c>
      <c r="B77" s="386" t="s">
        <v>115</v>
      </c>
      <c r="C77" s="387" t="s">
        <v>2086</v>
      </c>
      <c r="D77" s="385" t="s">
        <v>108</v>
      </c>
      <c r="E77" s="388">
        <v>1976.65</v>
      </c>
      <c r="F77" s="224">
        <f t="shared" ref="F77:F84" si="2">ROUND(E77,2)</f>
        <v>1976.65</v>
      </c>
    </row>
    <row r="78" spans="1:6">
      <c r="A78" s="385" t="s">
        <v>100</v>
      </c>
      <c r="B78" s="386" t="s">
        <v>363</v>
      </c>
      <c r="C78" s="387" t="s">
        <v>2087</v>
      </c>
      <c r="D78" s="385" t="s">
        <v>76</v>
      </c>
      <c r="E78" s="388">
        <v>31.1</v>
      </c>
      <c r="F78" s="224">
        <f t="shared" si="2"/>
        <v>31.1</v>
      </c>
    </row>
    <row r="79" spans="1:6" ht="51">
      <c r="A79" s="385" t="s">
        <v>127</v>
      </c>
      <c r="B79" s="386" t="s">
        <v>2500</v>
      </c>
      <c r="C79" s="387" t="s">
        <v>2088</v>
      </c>
      <c r="D79" s="385" t="s">
        <v>108</v>
      </c>
      <c r="E79" s="435">
        <f>76.36+102.58+150+74.63+51.19+113.13+176.8+63.18+49.97+87.15+11.57+98.65</f>
        <v>1055.21</v>
      </c>
      <c r="F79" s="224">
        <f t="shared" si="2"/>
        <v>1055.21</v>
      </c>
    </row>
    <row r="80" spans="1:6" ht="25.5">
      <c r="A80" s="385" t="s">
        <v>271</v>
      </c>
      <c r="B80" s="386" t="s">
        <v>257</v>
      </c>
      <c r="C80" s="387" t="s">
        <v>2089</v>
      </c>
      <c r="D80" s="385" t="s">
        <v>76</v>
      </c>
      <c r="E80" s="388">
        <v>175.33</v>
      </c>
      <c r="F80" s="224">
        <f t="shared" si="2"/>
        <v>175.33</v>
      </c>
    </row>
    <row r="81" spans="1:6">
      <c r="A81" s="385" t="s">
        <v>272</v>
      </c>
      <c r="B81" s="386" t="s">
        <v>258</v>
      </c>
      <c r="C81" s="387" t="s">
        <v>2090</v>
      </c>
      <c r="D81" s="385" t="s">
        <v>76</v>
      </c>
      <c r="E81" s="388">
        <v>32.68</v>
      </c>
      <c r="F81" s="224">
        <f t="shared" si="2"/>
        <v>32.68</v>
      </c>
    </row>
    <row r="82" spans="1:6">
      <c r="A82" s="385" t="s">
        <v>273</v>
      </c>
      <c r="B82" s="386" t="s">
        <v>259</v>
      </c>
      <c r="C82" s="387" t="s">
        <v>2091</v>
      </c>
      <c r="D82" s="385" t="s">
        <v>108</v>
      </c>
      <c r="E82" s="388">
        <v>312</v>
      </c>
      <c r="F82" s="224">
        <f t="shared" si="2"/>
        <v>312</v>
      </c>
    </row>
    <row r="83" spans="1:6" ht="38.25">
      <c r="A83" s="385" t="s">
        <v>304</v>
      </c>
      <c r="B83" s="386" t="s">
        <v>261</v>
      </c>
      <c r="C83" s="387" t="s">
        <v>2092</v>
      </c>
      <c r="D83" s="385" t="s">
        <v>108</v>
      </c>
      <c r="E83" s="388">
        <v>3.54</v>
      </c>
      <c r="F83" s="224">
        <f t="shared" si="2"/>
        <v>3.54</v>
      </c>
    </row>
    <row r="84" spans="1:6">
      <c r="A84" s="385" t="s">
        <v>364</v>
      </c>
      <c r="B84" s="386" t="s">
        <v>262</v>
      </c>
      <c r="C84" s="387" t="s">
        <v>2093</v>
      </c>
      <c r="D84" s="385" t="s">
        <v>108</v>
      </c>
      <c r="E84" s="388">
        <v>618.02</v>
      </c>
      <c r="F84" s="224">
        <f t="shared" si="2"/>
        <v>618.02</v>
      </c>
    </row>
    <row r="85" spans="1:6">
      <c r="A85" s="780" t="s">
        <v>12</v>
      </c>
      <c r="B85" s="780"/>
      <c r="C85" s="780"/>
      <c r="D85" s="780"/>
      <c r="E85" s="780"/>
      <c r="F85" s="89"/>
    </row>
    <row r="86" spans="1:6">
      <c r="A86" s="90" t="s">
        <v>60</v>
      </c>
      <c r="B86" s="90" t="s">
        <v>61</v>
      </c>
      <c r="C86" s="248" t="s">
        <v>62</v>
      </c>
      <c r="D86" s="90" t="s">
        <v>63</v>
      </c>
      <c r="E86" s="90" t="s">
        <v>64</v>
      </c>
      <c r="F86" s="89"/>
    </row>
    <row r="87" spans="1:6" ht="25.5">
      <c r="A87" s="385" t="s">
        <v>102</v>
      </c>
      <c r="B87" s="386" t="s">
        <v>305</v>
      </c>
      <c r="C87" s="387" t="s">
        <v>2094</v>
      </c>
      <c r="D87" s="405" t="s">
        <v>73</v>
      </c>
      <c r="E87" s="396">
        <v>1916.87</v>
      </c>
      <c r="F87" s="224">
        <f>ROUND(E87,2)</f>
        <v>1916.87</v>
      </c>
    </row>
    <row r="88" spans="1:6" ht="25.5">
      <c r="A88" s="385" t="s">
        <v>103</v>
      </c>
      <c r="B88" s="386" t="s">
        <v>306</v>
      </c>
      <c r="C88" s="387" t="s">
        <v>2094</v>
      </c>
      <c r="D88" s="405" t="s">
        <v>73</v>
      </c>
      <c r="E88" s="396">
        <v>1916.87</v>
      </c>
      <c r="F88" s="224">
        <f>ROUND(E88,2)</f>
        <v>1916.87</v>
      </c>
    </row>
    <row r="89" spans="1:6">
      <c r="A89" s="385"/>
      <c r="B89" s="386" t="s">
        <v>2095</v>
      </c>
      <c r="C89" s="387" t="s">
        <v>2075</v>
      </c>
      <c r="D89" s="405" t="s">
        <v>108</v>
      </c>
      <c r="E89" s="415">
        <f>E66</f>
        <v>1717</v>
      </c>
      <c r="F89" s="389"/>
    </row>
    <row r="90" spans="1:6">
      <c r="A90" s="385"/>
      <c r="B90" s="386" t="s">
        <v>2096</v>
      </c>
      <c r="C90" s="387" t="s">
        <v>2075</v>
      </c>
      <c r="D90" s="405" t="s">
        <v>108</v>
      </c>
      <c r="E90" s="415">
        <f>E67</f>
        <v>1717</v>
      </c>
      <c r="F90" s="389"/>
    </row>
    <row r="91" spans="1:6" ht="38.25">
      <c r="A91" s="385" t="s">
        <v>104</v>
      </c>
      <c r="B91" s="386" t="s">
        <v>2618</v>
      </c>
      <c r="C91" s="387" t="s">
        <v>2097</v>
      </c>
      <c r="D91" s="405" t="s">
        <v>73</v>
      </c>
      <c r="E91" s="388">
        <v>992.42</v>
      </c>
      <c r="F91" s="224">
        <f>ROUND(E91,2)</f>
        <v>992.42</v>
      </c>
    </row>
    <row r="92" spans="1:6" ht="38.25">
      <c r="A92" s="385" t="s">
        <v>105</v>
      </c>
      <c r="B92" s="386" t="s">
        <v>307</v>
      </c>
      <c r="C92" s="387" t="s">
        <v>2097</v>
      </c>
      <c r="D92" s="405" t="s">
        <v>73</v>
      </c>
      <c r="E92" s="388">
        <v>1213.54</v>
      </c>
      <c r="F92" s="224">
        <f>ROUND(E92,2)</f>
        <v>1213.54</v>
      </c>
    </row>
    <row r="93" spans="1:6">
      <c r="A93" s="385" t="s">
        <v>106</v>
      </c>
      <c r="B93" s="386" t="s">
        <v>2098</v>
      </c>
      <c r="C93" s="387" t="s">
        <v>2099</v>
      </c>
      <c r="D93" s="405" t="s">
        <v>73</v>
      </c>
      <c r="E93" s="396">
        <v>140.72</v>
      </c>
      <c r="F93" s="224">
        <f>ROUND(E93,2)</f>
        <v>140.72</v>
      </c>
    </row>
    <row r="94" spans="1:6">
      <c r="A94" s="385" t="s">
        <v>105</v>
      </c>
      <c r="B94" s="386" t="s">
        <v>2620</v>
      </c>
      <c r="C94" s="387"/>
      <c r="D94" s="405" t="s">
        <v>70</v>
      </c>
      <c r="E94" s="388">
        <v>1</v>
      </c>
      <c r="F94" s="224">
        <f>ROUND(E94,2)</f>
        <v>1</v>
      </c>
    </row>
    <row r="95" spans="1:6">
      <c r="A95" s="385" t="s">
        <v>105</v>
      </c>
      <c r="B95" s="386" t="s">
        <v>2123</v>
      </c>
      <c r="C95" s="387" t="s">
        <v>2122</v>
      </c>
      <c r="D95" s="405" t="s">
        <v>57</v>
      </c>
      <c r="E95" s="388">
        <v>27</v>
      </c>
      <c r="F95" s="224">
        <f>ROUND(E95,2)</f>
        <v>27</v>
      </c>
    </row>
    <row r="96" spans="1:6">
      <c r="A96" s="783" t="s">
        <v>2100</v>
      </c>
      <c r="B96" s="783"/>
      <c r="C96" s="783"/>
      <c r="D96" s="783"/>
      <c r="E96" s="783"/>
      <c r="F96" s="89"/>
    </row>
    <row r="97" spans="1:6">
      <c r="A97" s="90" t="s">
        <v>60</v>
      </c>
      <c r="B97" s="90" t="s">
        <v>61</v>
      </c>
      <c r="C97" s="248" t="s">
        <v>62</v>
      </c>
      <c r="D97" s="90" t="s">
        <v>63</v>
      </c>
      <c r="E97" s="90" t="s">
        <v>64</v>
      </c>
      <c r="F97" s="89"/>
    </row>
    <row r="98" spans="1:6">
      <c r="A98" s="90"/>
      <c r="B98" s="90"/>
      <c r="C98" s="248"/>
      <c r="D98" s="90"/>
      <c r="E98" s="90"/>
      <c r="F98" s="89"/>
    </row>
    <row r="99" spans="1:6">
      <c r="A99" s="385" t="s">
        <v>116</v>
      </c>
      <c r="B99" s="386" t="s">
        <v>265</v>
      </c>
      <c r="C99" s="387" t="s">
        <v>2101</v>
      </c>
      <c r="D99" s="385" t="s">
        <v>108</v>
      </c>
      <c r="E99" s="388">
        <v>64.849999999999994</v>
      </c>
      <c r="F99" s="417">
        <f>ROUND(E99,2)</f>
        <v>64.849999999999994</v>
      </c>
    </row>
    <row r="100" spans="1:6">
      <c r="A100" s="385" t="s">
        <v>133</v>
      </c>
      <c r="B100" s="386" t="s">
        <v>151</v>
      </c>
      <c r="C100" s="387" t="s">
        <v>517</v>
      </c>
      <c r="D100" s="385" t="s">
        <v>73</v>
      </c>
      <c r="E100" s="435">
        <f xml:space="preserve"> 16.69+13.56</f>
        <v>30.25</v>
      </c>
      <c r="F100" s="417">
        <f>ROUND(E100,2)</f>
        <v>30.25</v>
      </c>
    </row>
    <row r="101" spans="1:6">
      <c r="A101" s="783" t="s">
        <v>318</v>
      </c>
      <c r="B101" s="783"/>
      <c r="C101" s="783"/>
      <c r="D101" s="783"/>
      <c r="E101" s="783"/>
      <c r="F101" s="89"/>
    </row>
    <row r="102" spans="1:6">
      <c r="A102" s="90" t="s">
        <v>60</v>
      </c>
      <c r="B102" s="90" t="s">
        <v>61</v>
      </c>
      <c r="C102" s="248" t="s">
        <v>62</v>
      </c>
      <c r="D102" s="90" t="s">
        <v>63</v>
      </c>
      <c r="E102" s="90" t="s">
        <v>64</v>
      </c>
      <c r="F102" s="89"/>
    </row>
    <row r="103" spans="1:6">
      <c r="A103" s="90"/>
      <c r="B103" s="90"/>
      <c r="C103" s="248"/>
      <c r="D103" s="90"/>
      <c r="E103" s="90"/>
      <c r="F103" s="89"/>
    </row>
    <row r="104" spans="1:6">
      <c r="A104" s="385" t="s">
        <v>116</v>
      </c>
      <c r="B104" s="406" t="s">
        <v>263</v>
      </c>
      <c r="C104" s="387" t="s">
        <v>2102</v>
      </c>
      <c r="D104" s="385" t="s">
        <v>73</v>
      </c>
      <c r="E104" s="388">
        <v>2300.36</v>
      </c>
      <c r="F104" s="224">
        <f t="shared" ref="F104:F109" si="3">ROUND(E104,2)</f>
        <v>2300.36</v>
      </c>
    </row>
    <row r="105" spans="1:6">
      <c r="A105" s="41" t="s">
        <v>133</v>
      </c>
      <c r="B105" s="39" t="s">
        <v>319</v>
      </c>
      <c r="C105" s="74" t="s">
        <v>373</v>
      </c>
      <c r="D105" s="41" t="s">
        <v>70</v>
      </c>
      <c r="E105" s="75">
        <v>14</v>
      </c>
      <c r="F105" s="224">
        <f>ROUND(E105,2)</f>
        <v>14</v>
      </c>
    </row>
    <row r="106" spans="1:6">
      <c r="A106" s="41" t="s">
        <v>134</v>
      </c>
      <c r="B106" s="39" t="s">
        <v>320</v>
      </c>
      <c r="C106" s="74" t="s">
        <v>371</v>
      </c>
      <c r="D106" s="41" t="s">
        <v>70</v>
      </c>
      <c r="E106" s="75">
        <v>17</v>
      </c>
      <c r="F106" s="224">
        <f t="shared" si="3"/>
        <v>17</v>
      </c>
    </row>
    <row r="107" spans="1:6">
      <c r="A107" s="41" t="s">
        <v>135</v>
      </c>
      <c r="B107" s="39" t="s">
        <v>321</v>
      </c>
      <c r="C107" s="74" t="s">
        <v>372</v>
      </c>
      <c r="D107" s="41" t="s">
        <v>70</v>
      </c>
      <c r="E107" s="75">
        <v>10</v>
      </c>
      <c r="F107" s="224">
        <f t="shared" si="3"/>
        <v>10</v>
      </c>
    </row>
    <row r="108" spans="1:6">
      <c r="A108" s="41" t="s">
        <v>147</v>
      </c>
      <c r="B108" s="39" t="s">
        <v>322</v>
      </c>
      <c r="C108" s="74" t="s">
        <v>328</v>
      </c>
      <c r="D108" s="41" t="s">
        <v>70</v>
      </c>
      <c r="E108" s="75">
        <v>5</v>
      </c>
      <c r="F108" s="224">
        <f t="shared" si="3"/>
        <v>5</v>
      </c>
    </row>
    <row r="109" spans="1:6">
      <c r="A109" s="41" t="s">
        <v>297</v>
      </c>
      <c r="B109" s="39" t="s">
        <v>323</v>
      </c>
      <c r="C109" s="91"/>
      <c r="D109" s="41" t="s">
        <v>70</v>
      </c>
      <c r="E109" s="75">
        <v>6</v>
      </c>
      <c r="F109" s="224">
        <f t="shared" si="3"/>
        <v>6</v>
      </c>
    </row>
    <row r="110" spans="1:6">
      <c r="A110" s="783" t="s">
        <v>82</v>
      </c>
      <c r="B110" s="783"/>
      <c r="C110" s="783"/>
      <c r="D110" s="783"/>
      <c r="E110" s="783"/>
      <c r="F110" s="89"/>
    </row>
    <row r="111" spans="1:6">
      <c r="A111" s="90" t="s">
        <v>60</v>
      </c>
      <c r="B111" s="90" t="s">
        <v>61</v>
      </c>
      <c r="C111" s="248" t="s">
        <v>62</v>
      </c>
      <c r="D111" s="90" t="s">
        <v>63</v>
      </c>
      <c r="E111" s="90" t="s">
        <v>64</v>
      </c>
      <c r="F111" s="89"/>
    </row>
    <row r="112" spans="1:6">
      <c r="A112" s="385" t="s">
        <v>119</v>
      </c>
      <c r="B112" s="406" t="s">
        <v>182</v>
      </c>
      <c r="C112" s="387" t="s">
        <v>518</v>
      </c>
      <c r="D112" s="385" t="s">
        <v>57</v>
      </c>
      <c r="E112" s="388">
        <v>1</v>
      </c>
      <c r="F112" s="224">
        <f t="shared" ref="F112:F117" si="4">ROUND(E112,2)</f>
        <v>1</v>
      </c>
    </row>
    <row r="113" spans="1:6">
      <c r="A113" s="385" t="s">
        <v>121</v>
      </c>
      <c r="B113" s="406" t="s">
        <v>365</v>
      </c>
      <c r="C113" s="387" t="s">
        <v>2124</v>
      </c>
      <c r="D113" s="385" t="s">
        <v>57</v>
      </c>
      <c r="E113" s="411">
        <v>1</v>
      </c>
      <c r="F113" s="224">
        <f>ROUND(E113,2)</f>
        <v>1</v>
      </c>
    </row>
    <row r="114" spans="1:6" ht="25.5">
      <c r="A114" s="385" t="s">
        <v>181</v>
      </c>
      <c r="B114" s="406" t="s">
        <v>120</v>
      </c>
      <c r="C114" s="387" t="s">
        <v>274</v>
      </c>
      <c r="D114" s="385" t="s">
        <v>57</v>
      </c>
      <c r="E114" s="435">
        <v>22</v>
      </c>
      <c r="F114" s="224">
        <f t="shared" si="4"/>
        <v>22</v>
      </c>
    </row>
    <row r="115" spans="1:6">
      <c r="A115" s="385" t="s">
        <v>185</v>
      </c>
      <c r="B115" s="406" t="s">
        <v>123</v>
      </c>
      <c r="C115" s="387" t="s">
        <v>279</v>
      </c>
      <c r="D115" s="385" t="s">
        <v>73</v>
      </c>
      <c r="E115" s="388">
        <f>16*0.45*0.55</f>
        <v>3.9600000000000004</v>
      </c>
      <c r="F115" s="224">
        <f t="shared" si="4"/>
        <v>3.96</v>
      </c>
    </row>
    <row r="116" spans="1:6">
      <c r="A116" s="385" t="s">
        <v>186</v>
      </c>
      <c r="B116" s="406"/>
      <c r="C116" s="387"/>
      <c r="D116" s="385"/>
      <c r="E116" s="388"/>
      <c r="F116" s="389"/>
    </row>
    <row r="117" spans="1:6" ht="25.5">
      <c r="A117" s="385" t="s">
        <v>187</v>
      </c>
      <c r="B117" s="406" t="s">
        <v>288</v>
      </c>
      <c r="C117" s="387" t="s">
        <v>2103</v>
      </c>
      <c r="D117" s="385" t="s">
        <v>73</v>
      </c>
      <c r="E117" s="388">
        <v>35.04</v>
      </c>
      <c r="F117" s="224">
        <f t="shared" si="4"/>
        <v>35.04</v>
      </c>
    </row>
    <row r="118" spans="1:6">
      <c r="A118" s="385" t="s">
        <v>188</v>
      </c>
      <c r="B118" s="406" t="s">
        <v>183</v>
      </c>
      <c r="C118" s="387" t="s">
        <v>136</v>
      </c>
      <c r="D118" s="385" t="s">
        <v>70</v>
      </c>
      <c r="E118" s="388">
        <v>1</v>
      </c>
      <c r="F118" s="224">
        <f>ROUND(E118,2)</f>
        <v>1</v>
      </c>
    </row>
    <row r="119" spans="1:6">
      <c r="A119" s="385" t="s">
        <v>197</v>
      </c>
      <c r="B119" s="406" t="s">
        <v>184</v>
      </c>
      <c r="C119" s="387" t="s">
        <v>136</v>
      </c>
      <c r="D119" s="385" t="s">
        <v>70</v>
      </c>
      <c r="E119" s="388">
        <v>1</v>
      </c>
      <c r="F119" s="224">
        <f>ROUND(E119,2)</f>
        <v>1</v>
      </c>
    </row>
    <row r="120" spans="1:6">
      <c r="A120" s="385" t="s">
        <v>366</v>
      </c>
      <c r="B120" s="406" t="s">
        <v>189</v>
      </c>
      <c r="C120" s="387" t="s">
        <v>269</v>
      </c>
      <c r="D120" s="385" t="s">
        <v>70</v>
      </c>
      <c r="E120" s="435">
        <v>6</v>
      </c>
      <c r="F120" s="224">
        <f t="shared" ref="F120:F127" si="5">E120</f>
        <v>6</v>
      </c>
    </row>
    <row r="121" spans="1:6">
      <c r="A121" s="385" t="s">
        <v>367</v>
      </c>
      <c r="B121" s="406" t="s">
        <v>190</v>
      </c>
      <c r="C121" s="387" t="s">
        <v>270</v>
      </c>
      <c r="D121" s="385" t="s">
        <v>70</v>
      </c>
      <c r="E121" s="388">
        <v>6</v>
      </c>
      <c r="F121" s="224">
        <f t="shared" si="5"/>
        <v>6</v>
      </c>
    </row>
    <row r="122" spans="1:6">
      <c r="A122" s="385" t="s">
        <v>281</v>
      </c>
      <c r="B122" s="406" t="s">
        <v>280</v>
      </c>
      <c r="C122" s="387" t="s">
        <v>289</v>
      </c>
      <c r="D122" s="385" t="s">
        <v>70</v>
      </c>
      <c r="E122" s="388">
        <v>31</v>
      </c>
      <c r="F122" s="224">
        <f t="shared" si="5"/>
        <v>31</v>
      </c>
    </row>
    <row r="123" spans="1:6">
      <c r="A123" s="385" t="s">
        <v>285</v>
      </c>
      <c r="B123" s="406" t="s">
        <v>335</v>
      </c>
      <c r="C123" s="387" t="s">
        <v>336</v>
      </c>
      <c r="D123" s="385" t="s">
        <v>70</v>
      </c>
      <c r="E123" s="388">
        <v>1</v>
      </c>
      <c r="F123" s="224">
        <f t="shared" si="5"/>
        <v>1</v>
      </c>
    </row>
    <row r="124" spans="1:6">
      <c r="A124" s="385" t="s">
        <v>286</v>
      </c>
      <c r="B124" s="406" t="s">
        <v>312</v>
      </c>
      <c r="C124" s="387" t="s">
        <v>313</v>
      </c>
      <c r="D124" s="385" t="s">
        <v>76</v>
      </c>
      <c r="E124" s="388">
        <v>103.15</v>
      </c>
      <c r="F124" s="224">
        <f t="shared" si="5"/>
        <v>103.15</v>
      </c>
    </row>
    <row r="125" spans="1:6">
      <c r="A125" s="385" t="s">
        <v>368</v>
      </c>
      <c r="B125" s="436" t="s">
        <v>2557</v>
      </c>
      <c r="C125" s="437" t="s">
        <v>2558</v>
      </c>
      <c r="D125" s="438" t="s">
        <v>76</v>
      </c>
      <c r="E125" s="435">
        <v>276.57</v>
      </c>
      <c r="F125" s="224">
        <f t="shared" si="5"/>
        <v>276.57</v>
      </c>
    </row>
    <row r="126" spans="1:6">
      <c r="A126" s="385" t="s">
        <v>368</v>
      </c>
      <c r="B126" s="436" t="s">
        <v>2559</v>
      </c>
      <c r="C126" s="437" t="s">
        <v>2619</v>
      </c>
      <c r="D126" s="438" t="s">
        <v>76</v>
      </c>
      <c r="E126" s="435">
        <f>3*4.3</f>
        <v>12.899999999999999</v>
      </c>
      <c r="F126" s="224">
        <f t="shared" si="5"/>
        <v>12.899999999999999</v>
      </c>
    </row>
    <row r="127" spans="1:6">
      <c r="A127" s="385" t="s">
        <v>369</v>
      </c>
      <c r="B127" s="406" t="s">
        <v>309</v>
      </c>
      <c r="C127" s="387" t="s">
        <v>310</v>
      </c>
      <c r="D127" s="385" t="s">
        <v>70</v>
      </c>
      <c r="E127" s="388">
        <v>1</v>
      </c>
      <c r="F127" s="224">
        <f t="shared" si="5"/>
        <v>1</v>
      </c>
    </row>
    <row r="128" spans="1:6">
      <c r="A128" s="783" t="s">
        <v>137</v>
      </c>
      <c r="B128" s="783"/>
      <c r="C128" s="783"/>
      <c r="D128" s="783"/>
      <c r="E128" s="783"/>
      <c r="F128" s="89"/>
    </row>
    <row r="129" spans="1:6">
      <c r="A129" s="90" t="s">
        <v>60</v>
      </c>
      <c r="B129" s="90" t="s">
        <v>61</v>
      </c>
      <c r="C129" s="248" t="s">
        <v>62</v>
      </c>
      <c r="D129" s="90" t="s">
        <v>63</v>
      </c>
      <c r="E129" s="90" t="s">
        <v>64</v>
      </c>
      <c r="F129" s="89"/>
    </row>
    <row r="130" spans="1:6">
      <c r="A130" s="426" t="s">
        <v>119</v>
      </c>
      <c r="B130" s="431" t="s">
        <v>2491</v>
      </c>
      <c r="C130" s="428" t="s">
        <v>2492</v>
      </c>
      <c r="D130" s="426" t="s">
        <v>70</v>
      </c>
      <c r="E130" s="430">
        <v>8</v>
      </c>
      <c r="F130" s="224">
        <f t="shared" ref="F130:F140" si="6">ROUND(E130,2)</f>
        <v>8</v>
      </c>
    </row>
    <row r="131" spans="1:6">
      <c r="A131" s="426" t="s">
        <v>143</v>
      </c>
      <c r="B131" s="431" t="s">
        <v>2493</v>
      </c>
      <c r="C131" s="428" t="s">
        <v>2494</v>
      </c>
      <c r="D131" s="426" t="s">
        <v>973</v>
      </c>
      <c r="E131" s="430">
        <v>37</v>
      </c>
      <c r="F131" s="224">
        <f t="shared" si="6"/>
        <v>37</v>
      </c>
    </row>
    <row r="132" spans="1:6" ht="25.5">
      <c r="A132" s="426" t="s">
        <v>144</v>
      </c>
      <c r="B132" s="431" t="s">
        <v>2495</v>
      </c>
      <c r="C132" s="428" t="s">
        <v>2496</v>
      </c>
      <c r="D132" s="426" t="s">
        <v>973</v>
      </c>
      <c r="E132" s="430">
        <f>8+27</f>
        <v>35</v>
      </c>
      <c r="F132" s="224">
        <f t="shared" si="6"/>
        <v>35</v>
      </c>
    </row>
    <row r="133" spans="1:6">
      <c r="A133" s="426" t="s">
        <v>145</v>
      </c>
      <c r="B133" s="431" t="s">
        <v>2497</v>
      </c>
      <c r="C133" s="428" t="s">
        <v>2498</v>
      </c>
      <c r="D133" s="426" t="s">
        <v>973</v>
      </c>
      <c r="E133" s="430">
        <v>12</v>
      </c>
      <c r="F133" s="224">
        <f t="shared" si="6"/>
        <v>12</v>
      </c>
    </row>
    <row r="134" spans="1:6">
      <c r="A134" s="426" t="s">
        <v>181</v>
      </c>
      <c r="B134" s="436" t="s">
        <v>2560</v>
      </c>
      <c r="C134" s="437" t="s">
        <v>2561</v>
      </c>
      <c r="D134" s="438" t="s">
        <v>76</v>
      </c>
      <c r="E134" s="435">
        <v>16.32</v>
      </c>
      <c r="F134" s="224">
        <f t="shared" si="6"/>
        <v>16.32</v>
      </c>
    </row>
    <row r="135" spans="1:6">
      <c r="A135" s="385" t="s">
        <v>187</v>
      </c>
      <c r="B135" s="406" t="s">
        <v>2104</v>
      </c>
      <c r="C135" s="387" t="s">
        <v>2105</v>
      </c>
      <c r="D135" s="385" t="s">
        <v>70</v>
      </c>
      <c r="E135" s="388">
        <v>8</v>
      </c>
      <c r="F135" s="224">
        <f>ROUND(E135,2)</f>
        <v>8</v>
      </c>
    </row>
    <row r="136" spans="1:6">
      <c r="A136" s="385" t="s">
        <v>188</v>
      </c>
      <c r="B136" s="406" t="s">
        <v>376</v>
      </c>
      <c r="C136" s="387" t="s">
        <v>138</v>
      </c>
      <c r="D136" s="385" t="s">
        <v>70</v>
      </c>
      <c r="E136" s="388">
        <v>1</v>
      </c>
      <c r="F136" s="224">
        <f t="shared" si="6"/>
        <v>1</v>
      </c>
    </row>
    <row r="137" spans="1:6">
      <c r="A137" s="426" t="s">
        <v>196</v>
      </c>
      <c r="B137" s="431" t="s">
        <v>377</v>
      </c>
      <c r="C137" s="428" t="s">
        <v>2524</v>
      </c>
      <c r="D137" s="410" t="s">
        <v>70</v>
      </c>
      <c r="E137" s="411">
        <f>235*0.25*0.25</f>
        <v>14.6875</v>
      </c>
      <c r="F137" s="224">
        <f t="shared" si="6"/>
        <v>14.69</v>
      </c>
    </row>
    <row r="138" spans="1:6">
      <c r="A138" s="385" t="s">
        <v>197</v>
      </c>
      <c r="B138" s="406" t="s">
        <v>378</v>
      </c>
      <c r="C138" s="387" t="s">
        <v>2681</v>
      </c>
      <c r="D138" s="385" t="s">
        <v>70</v>
      </c>
      <c r="E138" s="388">
        <f>1169*0.25*0.25</f>
        <v>73.0625</v>
      </c>
      <c r="F138" s="224">
        <f>ROUND(E138,2)</f>
        <v>73.06</v>
      </c>
    </row>
    <row r="139" spans="1:6">
      <c r="A139" s="385" t="s">
        <v>366</v>
      </c>
      <c r="B139" s="406" t="s">
        <v>379</v>
      </c>
      <c r="C139" s="387" t="s">
        <v>2106</v>
      </c>
      <c r="D139" s="410" t="s">
        <v>161</v>
      </c>
      <c r="E139" s="411">
        <f>542*0.25*0.25</f>
        <v>33.875</v>
      </c>
      <c r="F139" s="224">
        <f>ROUND(E139,2)</f>
        <v>33.880000000000003</v>
      </c>
    </row>
    <row r="140" spans="1:6">
      <c r="A140" s="385" t="s">
        <v>367</v>
      </c>
      <c r="B140" s="406" t="s">
        <v>2107</v>
      </c>
      <c r="C140" s="387" t="s">
        <v>2108</v>
      </c>
      <c r="D140" s="385" t="s">
        <v>161</v>
      </c>
      <c r="E140" s="388">
        <f>2*3.7*5</f>
        <v>37</v>
      </c>
      <c r="F140" s="224">
        <f t="shared" si="6"/>
        <v>37</v>
      </c>
    </row>
    <row r="141" spans="1:6">
      <c r="A141" s="784" t="s">
        <v>66</v>
      </c>
      <c r="B141" s="784"/>
      <c r="C141" s="780"/>
      <c r="D141" s="780"/>
      <c r="E141" s="780"/>
      <c r="F141" s="89"/>
    </row>
    <row r="142" spans="1:6">
      <c r="A142" s="90" t="s">
        <v>60</v>
      </c>
      <c r="B142" s="90" t="s">
        <v>61</v>
      </c>
      <c r="C142" s="248" t="s">
        <v>62</v>
      </c>
      <c r="D142" s="90" t="s">
        <v>63</v>
      </c>
      <c r="E142" s="90" t="s">
        <v>64</v>
      </c>
      <c r="F142" s="89"/>
    </row>
    <row r="143" spans="1:6">
      <c r="A143" s="385" t="s">
        <v>122</v>
      </c>
      <c r="B143" s="386" t="s">
        <v>67</v>
      </c>
      <c r="C143" s="387" t="s">
        <v>2109</v>
      </c>
      <c r="D143" s="385" t="s">
        <v>10</v>
      </c>
      <c r="E143" s="435">
        <v>2341</v>
      </c>
      <c r="F143" s="224">
        <f>ROUND(E143,2)</f>
        <v>2341</v>
      </c>
    </row>
    <row r="144" spans="1:6">
      <c r="A144" s="407"/>
      <c r="B144" s="402"/>
      <c r="C144" s="402"/>
      <c r="D144" s="402"/>
      <c r="E144" s="402"/>
      <c r="F144" s="389"/>
    </row>
    <row r="145" spans="2:6">
      <c r="F145" s="44"/>
    </row>
    <row r="146" spans="2:6">
      <c r="F146" s="44"/>
    </row>
    <row r="147" spans="2:6">
      <c r="B147" s="109"/>
      <c r="C147" s="110"/>
      <c r="D147" s="109"/>
      <c r="E147" s="111">
        <f>0.4*0.4</f>
        <v>0.16000000000000003</v>
      </c>
      <c r="F147" s="44"/>
    </row>
    <row r="148" spans="2:6">
      <c r="B148" s="109"/>
      <c r="C148" s="112"/>
      <c r="D148" s="109"/>
      <c r="E148" s="111"/>
      <c r="F148" s="44"/>
    </row>
    <row r="149" spans="2:6">
      <c r="B149" s="109"/>
      <c r="C149" s="113"/>
      <c r="D149" s="109"/>
      <c r="E149" s="111"/>
      <c r="F149" s="44"/>
    </row>
    <row r="150" spans="2:6">
      <c r="B150" s="114"/>
      <c r="C150" s="114"/>
      <c r="D150" s="114"/>
      <c r="E150" s="114"/>
      <c r="F150" s="44"/>
    </row>
    <row r="151" spans="2:6">
      <c r="F151" s="44"/>
    </row>
    <row r="152" spans="2:6">
      <c r="F152" s="44"/>
    </row>
    <row r="153" spans="2:6">
      <c r="B153" s="42"/>
      <c r="C153" s="42"/>
      <c r="D153" s="42"/>
      <c r="E153" s="42"/>
      <c r="F153" s="44"/>
    </row>
    <row r="154" spans="2:6">
      <c r="B154" s="42"/>
      <c r="C154" s="45"/>
      <c r="D154" s="46"/>
      <c r="E154" s="46"/>
      <c r="F154" s="44"/>
    </row>
    <row r="155" spans="2:6">
      <c r="B155" s="42"/>
      <c r="C155" s="47"/>
      <c r="D155" s="44"/>
      <c r="E155" s="44"/>
      <c r="F155" s="44"/>
    </row>
    <row r="156" spans="2:6">
      <c r="B156" s="42"/>
      <c r="C156" s="47"/>
      <c r="D156" s="44"/>
      <c r="E156" s="44"/>
      <c r="F156" s="44"/>
    </row>
    <row r="157" spans="2:6">
      <c r="B157" s="42"/>
      <c r="C157" s="47"/>
      <c r="D157" s="44"/>
      <c r="E157" s="44"/>
      <c r="F157" s="44"/>
    </row>
    <row r="158" spans="2:6">
      <c r="B158" s="42"/>
      <c r="C158" s="47"/>
      <c r="D158" s="44"/>
      <c r="E158" s="44"/>
      <c r="F158" s="44"/>
    </row>
    <row r="159" spans="2:6">
      <c r="B159" s="42"/>
      <c r="C159" s="47"/>
      <c r="D159" s="44"/>
      <c r="E159" s="44"/>
      <c r="F159" s="44"/>
    </row>
    <row r="160" spans="2:6">
      <c r="B160" s="42"/>
      <c r="C160" s="47"/>
      <c r="D160" s="44"/>
      <c r="E160" s="44"/>
      <c r="F160" s="44"/>
    </row>
    <row r="161" spans="2:6">
      <c r="B161" s="42"/>
      <c r="C161" s="47"/>
      <c r="D161" s="44"/>
      <c r="E161" s="44"/>
      <c r="F161" s="44"/>
    </row>
    <row r="162" spans="2:6">
      <c r="B162" s="42"/>
      <c r="C162" s="47"/>
      <c r="D162" s="44"/>
      <c r="E162" s="44"/>
      <c r="F162" s="44"/>
    </row>
    <row r="163" spans="2:6">
      <c r="B163" s="42"/>
      <c r="C163" s="47"/>
      <c r="D163" s="44"/>
      <c r="E163" s="44"/>
      <c r="F163" s="44"/>
    </row>
    <row r="164" spans="2:6">
      <c r="B164" s="42"/>
      <c r="C164" s="47"/>
      <c r="D164" s="44"/>
      <c r="E164" s="44"/>
      <c r="F164" s="44"/>
    </row>
    <row r="165" spans="2:6">
      <c r="B165" s="42"/>
      <c r="C165" s="47"/>
      <c r="D165" s="44"/>
      <c r="E165" s="44"/>
      <c r="F165" s="44"/>
    </row>
    <row r="166" spans="2:6">
      <c r="B166" s="42"/>
      <c r="C166" s="47"/>
      <c r="D166" s="44"/>
      <c r="E166" s="44"/>
      <c r="F166" s="44"/>
    </row>
    <row r="167" spans="2:6">
      <c r="B167" s="42"/>
      <c r="C167" s="47"/>
      <c r="D167" s="44"/>
      <c r="E167" s="44"/>
      <c r="F167" s="44"/>
    </row>
    <row r="168" spans="2:6">
      <c r="B168" s="42"/>
      <c r="C168" s="47"/>
      <c r="D168" s="44"/>
      <c r="E168" s="44"/>
      <c r="F168" s="44"/>
    </row>
    <row r="169" spans="2:6">
      <c r="B169" s="42"/>
      <c r="C169" s="47"/>
      <c r="D169" s="44"/>
      <c r="E169" s="44"/>
      <c r="F169" s="44"/>
    </row>
    <row r="170" spans="2:6">
      <c r="B170" s="42"/>
      <c r="C170" s="47"/>
      <c r="D170" s="44"/>
      <c r="E170" s="44"/>
      <c r="F170" s="44"/>
    </row>
    <row r="171" spans="2:6">
      <c r="B171" s="42"/>
      <c r="C171" s="47"/>
      <c r="D171" s="44"/>
      <c r="E171" s="44"/>
      <c r="F171" s="44"/>
    </row>
    <row r="172" spans="2:6">
      <c r="B172" s="42"/>
      <c r="C172" s="47"/>
      <c r="D172" s="44"/>
      <c r="E172" s="44"/>
      <c r="F172" s="44"/>
    </row>
    <row r="173" spans="2:6">
      <c r="B173" s="42"/>
      <c r="C173" s="47"/>
      <c r="D173" s="44"/>
      <c r="E173" s="44"/>
      <c r="F173" s="44"/>
    </row>
    <row r="174" spans="2:6">
      <c r="B174" s="42"/>
      <c r="C174" s="47"/>
      <c r="D174" s="44"/>
      <c r="E174" s="44"/>
      <c r="F174" s="44"/>
    </row>
    <row r="175" spans="2:6">
      <c r="B175" s="42"/>
      <c r="C175" s="47"/>
      <c r="D175" s="44"/>
      <c r="E175" s="44"/>
      <c r="F175" s="44"/>
    </row>
    <row r="176" spans="2:6">
      <c r="B176" s="42"/>
      <c r="C176" s="47"/>
      <c r="D176" s="44"/>
      <c r="E176" s="44"/>
      <c r="F176" s="44"/>
    </row>
    <row r="177" spans="2:6">
      <c r="B177" s="42"/>
      <c r="C177" s="45"/>
      <c r="D177" s="46"/>
      <c r="E177" s="46"/>
      <c r="F177" s="44"/>
    </row>
    <row r="178" spans="2:6">
      <c r="B178" s="42"/>
      <c r="C178" s="47"/>
      <c r="D178" s="44"/>
      <c r="E178" s="44"/>
      <c r="F178" s="44"/>
    </row>
    <row r="179" spans="2:6">
      <c r="B179" s="42"/>
      <c r="C179" s="47"/>
      <c r="D179" s="44"/>
      <c r="E179" s="44"/>
      <c r="F179" s="44"/>
    </row>
    <row r="180" spans="2:6">
      <c r="B180" s="42"/>
      <c r="C180" s="47"/>
      <c r="D180" s="44"/>
      <c r="E180" s="44"/>
      <c r="F180" s="44"/>
    </row>
    <row r="181" spans="2:6">
      <c r="C181" s="49"/>
      <c r="D181" s="48"/>
      <c r="E181" s="48"/>
      <c r="F181" s="44"/>
    </row>
    <row r="182" spans="2:6">
      <c r="C182" s="49"/>
      <c r="D182" s="48"/>
      <c r="E182" s="48"/>
      <c r="F182" s="44"/>
    </row>
    <row r="183" spans="2:6">
      <c r="C183" s="49"/>
      <c r="D183" s="48"/>
      <c r="E183" s="48"/>
      <c r="F183" s="44"/>
    </row>
    <row r="184" spans="2:6">
      <c r="C184" s="49"/>
      <c r="D184" s="48"/>
      <c r="E184" s="48"/>
      <c r="F184" s="44"/>
    </row>
    <row r="185" spans="2:6">
      <c r="C185" s="49"/>
      <c r="D185" s="48"/>
      <c r="E185" s="48"/>
      <c r="F185" s="44"/>
    </row>
    <row r="186" spans="2:6">
      <c r="B186" s="42"/>
      <c r="C186" s="47"/>
      <c r="D186" s="44"/>
      <c r="E186" s="44"/>
      <c r="F186" s="44"/>
    </row>
    <row r="187" spans="2:6">
      <c r="B187" s="42"/>
      <c r="C187" s="47"/>
      <c r="D187" s="44"/>
      <c r="E187" s="44"/>
      <c r="F187" s="44"/>
    </row>
    <row r="188" spans="2:6">
      <c r="B188" s="42"/>
      <c r="C188" s="47"/>
      <c r="D188" s="44"/>
      <c r="E188" s="44"/>
      <c r="F188" s="44"/>
    </row>
    <row r="189" spans="2:6">
      <c r="B189" s="42"/>
      <c r="C189" s="47"/>
      <c r="D189" s="44"/>
      <c r="E189" s="44"/>
      <c r="F189" s="44"/>
    </row>
    <row r="190" spans="2:6">
      <c r="B190" s="42"/>
      <c r="C190" s="47"/>
      <c r="D190" s="44"/>
      <c r="E190" s="44"/>
      <c r="F190" s="44"/>
    </row>
    <row r="191" spans="2:6">
      <c r="B191" s="42"/>
      <c r="C191" s="47"/>
      <c r="D191" s="44"/>
      <c r="E191" s="44"/>
      <c r="F191" s="44"/>
    </row>
    <row r="192" spans="2:6">
      <c r="B192" s="42"/>
      <c r="C192" s="47"/>
      <c r="D192" s="44"/>
      <c r="E192" s="44"/>
      <c r="F192" s="44"/>
    </row>
    <row r="193" spans="2:6">
      <c r="B193" s="42"/>
      <c r="C193" s="47"/>
      <c r="D193" s="44"/>
      <c r="E193" s="44"/>
      <c r="F193" s="44"/>
    </row>
    <row r="194" spans="2:6">
      <c r="B194" s="42"/>
      <c r="C194" s="47"/>
      <c r="D194" s="44"/>
      <c r="E194" s="44"/>
      <c r="F194" s="44"/>
    </row>
    <row r="195" spans="2:6">
      <c r="B195" s="42"/>
      <c r="C195" s="47"/>
      <c r="D195" s="42"/>
      <c r="E195" s="42"/>
      <c r="F195" s="44"/>
    </row>
    <row r="196" spans="2:6">
      <c r="B196" s="42"/>
      <c r="C196" s="45"/>
      <c r="D196" s="46"/>
      <c r="E196" s="46"/>
      <c r="F196" s="44"/>
    </row>
    <row r="197" spans="2:6">
      <c r="B197" s="42"/>
      <c r="C197" s="47"/>
      <c r="D197" s="44"/>
      <c r="E197" s="44"/>
      <c r="F197" s="44"/>
    </row>
    <row r="198" spans="2:6">
      <c r="B198" s="42"/>
      <c r="C198" s="47"/>
      <c r="D198" s="44"/>
      <c r="E198" s="44"/>
      <c r="F198" s="44"/>
    </row>
    <row r="199" spans="2:6">
      <c r="B199" s="42"/>
      <c r="C199" s="47"/>
      <c r="D199" s="44"/>
      <c r="E199" s="44"/>
      <c r="F199" s="44"/>
    </row>
    <row r="200" spans="2:6">
      <c r="B200" s="42"/>
      <c r="C200" s="47"/>
      <c r="D200" s="44"/>
      <c r="E200" s="44"/>
      <c r="F200" s="44"/>
    </row>
    <row r="201" spans="2:6">
      <c r="B201" s="42"/>
      <c r="C201" s="47"/>
      <c r="D201" s="44"/>
      <c r="E201" s="44"/>
      <c r="F201" s="44"/>
    </row>
    <row r="202" spans="2:6">
      <c r="B202" s="42"/>
      <c r="C202" s="47"/>
      <c r="D202" s="44"/>
      <c r="E202" s="44"/>
      <c r="F202" s="44"/>
    </row>
    <row r="203" spans="2:6">
      <c r="B203" s="42"/>
      <c r="C203" s="47"/>
      <c r="D203" s="44"/>
      <c r="E203" s="44"/>
      <c r="F203" s="44"/>
    </row>
    <row r="204" spans="2:6">
      <c r="B204" s="42"/>
      <c r="C204" s="47"/>
      <c r="D204" s="44"/>
      <c r="E204" s="44"/>
      <c r="F204" s="44"/>
    </row>
    <row r="205" spans="2:6">
      <c r="B205" s="42"/>
      <c r="C205" s="47"/>
      <c r="D205" s="44"/>
      <c r="E205" s="44"/>
      <c r="F205" s="44"/>
    </row>
    <row r="206" spans="2:6">
      <c r="B206" s="42"/>
      <c r="C206" s="47"/>
      <c r="D206" s="44"/>
      <c r="E206" s="44"/>
      <c r="F206" s="44"/>
    </row>
    <row r="207" spans="2:6">
      <c r="B207" s="42"/>
      <c r="C207" s="47"/>
      <c r="D207" s="44"/>
      <c r="E207" s="44"/>
      <c r="F207" s="44"/>
    </row>
    <row r="208" spans="2:6">
      <c r="B208" s="50"/>
      <c r="C208" s="51"/>
      <c r="D208" s="52"/>
      <c r="E208" s="52"/>
      <c r="F208" s="52"/>
    </row>
    <row r="209" spans="2:6">
      <c r="B209" s="50"/>
      <c r="C209" s="51"/>
      <c r="D209" s="50"/>
      <c r="E209" s="50"/>
      <c r="F209" s="52"/>
    </row>
    <row r="210" spans="2:6">
      <c r="B210" s="50"/>
      <c r="C210" s="53"/>
      <c r="D210" s="54"/>
      <c r="E210" s="54"/>
      <c r="F210" s="52"/>
    </row>
    <row r="211" spans="2:6">
      <c r="B211" s="50"/>
      <c r="C211" s="51"/>
      <c r="D211" s="50"/>
      <c r="E211" s="50"/>
      <c r="F211" s="52"/>
    </row>
    <row r="212" spans="2:6">
      <c r="B212" s="50"/>
      <c r="C212" s="51"/>
      <c r="D212" s="50"/>
      <c r="E212" s="50"/>
      <c r="F212" s="52"/>
    </row>
    <row r="213" spans="2:6">
      <c r="B213" s="50"/>
      <c r="C213" s="55"/>
      <c r="D213" s="50"/>
      <c r="E213" s="50"/>
      <c r="F213" s="52"/>
    </row>
    <row r="214" spans="2:6">
      <c r="B214" s="50"/>
      <c r="C214" s="51"/>
      <c r="D214" s="50"/>
      <c r="E214" s="50"/>
      <c r="F214" s="50"/>
    </row>
    <row r="215" spans="2:6">
      <c r="B215" s="50"/>
      <c r="C215" s="51"/>
      <c r="D215" s="50"/>
      <c r="E215" s="50"/>
      <c r="F215" s="50"/>
    </row>
    <row r="216" spans="2:6">
      <c r="B216" s="50"/>
      <c r="C216" s="51"/>
      <c r="D216" s="50"/>
      <c r="E216" s="50"/>
      <c r="F216" s="50"/>
    </row>
    <row r="217" spans="2:6">
      <c r="B217" s="50"/>
      <c r="C217" s="51"/>
      <c r="D217" s="50"/>
      <c r="E217" s="50"/>
      <c r="F217" s="50"/>
    </row>
    <row r="218" spans="2:6">
      <c r="B218" s="50"/>
      <c r="C218" s="51"/>
      <c r="D218" s="50"/>
      <c r="E218" s="50"/>
      <c r="F218" s="50"/>
    </row>
    <row r="219" spans="2:6">
      <c r="B219" s="50"/>
      <c r="C219" s="51"/>
      <c r="D219" s="50"/>
      <c r="E219" s="50"/>
      <c r="F219" s="50"/>
    </row>
    <row r="220" spans="2:6">
      <c r="B220" s="50"/>
      <c r="C220" s="51"/>
      <c r="D220" s="50"/>
      <c r="E220" s="50"/>
      <c r="F220" s="50"/>
    </row>
    <row r="221" spans="2:6">
      <c r="B221" s="50"/>
      <c r="C221" s="51"/>
      <c r="D221" s="50"/>
      <c r="E221" s="50"/>
      <c r="F221" s="50"/>
    </row>
    <row r="222" spans="2:6">
      <c r="B222" s="50"/>
      <c r="C222" s="51"/>
      <c r="D222" s="50"/>
      <c r="E222" s="50"/>
      <c r="F222" s="50"/>
    </row>
    <row r="223" spans="2:6">
      <c r="B223" s="50"/>
      <c r="C223" s="51"/>
      <c r="D223" s="50"/>
      <c r="E223" s="50"/>
      <c r="F223" s="50"/>
    </row>
    <row r="224" spans="2:6">
      <c r="B224" s="50"/>
      <c r="C224" s="51"/>
      <c r="D224" s="50"/>
      <c r="E224" s="50"/>
      <c r="F224" s="50"/>
    </row>
    <row r="225" spans="2:6">
      <c r="B225" s="56"/>
      <c r="C225" s="53"/>
      <c r="D225" s="56"/>
      <c r="E225" s="50"/>
      <c r="F225" s="52"/>
    </row>
    <row r="226" spans="2:6">
      <c r="B226" s="50"/>
      <c r="C226" s="51"/>
      <c r="D226" s="50"/>
      <c r="E226" s="50"/>
      <c r="F226" s="52"/>
    </row>
    <row r="227" spans="2:6">
      <c r="B227" s="50"/>
      <c r="C227" s="51"/>
      <c r="D227" s="50"/>
      <c r="E227" s="50"/>
      <c r="F227" s="52"/>
    </row>
    <row r="228" spans="2:6">
      <c r="B228" s="50"/>
      <c r="C228" s="51"/>
      <c r="D228" s="50"/>
      <c r="E228" s="50"/>
      <c r="F228" s="52"/>
    </row>
    <row r="229" spans="2:6">
      <c r="B229" s="50"/>
      <c r="C229" s="51"/>
      <c r="D229" s="50"/>
      <c r="E229" s="50"/>
      <c r="F229" s="52"/>
    </row>
    <row r="230" spans="2:6">
      <c r="B230" s="50"/>
      <c r="C230" s="51"/>
      <c r="D230" s="50"/>
      <c r="E230" s="50"/>
      <c r="F230" s="52"/>
    </row>
    <row r="231" spans="2:6">
      <c r="B231" s="50"/>
      <c r="C231" s="51"/>
      <c r="D231" s="50"/>
      <c r="E231" s="50"/>
      <c r="F231" s="52"/>
    </row>
    <row r="232" spans="2:6">
      <c r="B232" s="50"/>
      <c r="C232" s="51"/>
      <c r="D232" s="50"/>
      <c r="E232" s="50"/>
      <c r="F232" s="52"/>
    </row>
    <row r="233" spans="2:6">
      <c r="B233" s="50"/>
      <c r="C233" s="51"/>
      <c r="D233" s="50"/>
      <c r="E233" s="50"/>
      <c r="F233" s="52"/>
    </row>
    <row r="234" spans="2:6">
      <c r="C234" s="49"/>
    </row>
    <row r="235" spans="2:6">
      <c r="C235" s="49"/>
    </row>
    <row r="236" spans="2:6">
      <c r="C236" s="49"/>
    </row>
    <row r="237" spans="2:6">
      <c r="C237" s="49"/>
    </row>
    <row r="238" spans="2:6">
      <c r="C238" s="49"/>
    </row>
    <row r="239" spans="2:6">
      <c r="C239" s="49"/>
    </row>
    <row r="240" spans="2:6">
      <c r="C240" s="49"/>
    </row>
    <row r="241" spans="3:3">
      <c r="C241" s="49"/>
    </row>
    <row r="242" spans="3:3">
      <c r="C242" s="49"/>
    </row>
    <row r="243" spans="3:3">
      <c r="C243" s="49"/>
    </row>
    <row r="244" spans="3:3">
      <c r="C244" s="49"/>
    </row>
    <row r="245" spans="3:3">
      <c r="C245" s="49"/>
    </row>
    <row r="246" spans="3:3">
      <c r="C246" s="49"/>
    </row>
    <row r="247" spans="3:3">
      <c r="C247" s="49"/>
    </row>
    <row r="248" spans="3:3">
      <c r="C248" s="49"/>
    </row>
    <row r="249" spans="3:3">
      <c r="C249" s="49"/>
    </row>
    <row r="250" spans="3:3">
      <c r="C250" s="49"/>
    </row>
    <row r="251" spans="3:3">
      <c r="C251" s="49"/>
    </row>
    <row r="252" spans="3:3">
      <c r="C252" s="49"/>
    </row>
    <row r="253" spans="3:3">
      <c r="C253" s="49"/>
    </row>
    <row r="254" spans="3:3">
      <c r="C254" s="49"/>
    </row>
    <row r="255" spans="3:3">
      <c r="C255" s="49"/>
    </row>
    <row r="256" spans="3:3">
      <c r="C256" s="49"/>
    </row>
    <row r="257" spans="3:3">
      <c r="C257" s="49"/>
    </row>
    <row r="258" spans="3:3">
      <c r="C258" s="49"/>
    </row>
    <row r="259" spans="3:3">
      <c r="C259" s="49"/>
    </row>
    <row r="260" spans="3:3">
      <c r="C260" s="49"/>
    </row>
    <row r="261" spans="3:3">
      <c r="C261" s="49"/>
    </row>
    <row r="262" spans="3:3">
      <c r="C262" s="49"/>
    </row>
    <row r="263" spans="3:3">
      <c r="C263" s="49"/>
    </row>
    <row r="264" spans="3:3">
      <c r="C264" s="49"/>
    </row>
    <row r="265" spans="3:3">
      <c r="C265" s="49"/>
    </row>
    <row r="266" spans="3:3">
      <c r="C266" s="49"/>
    </row>
    <row r="267" spans="3:3">
      <c r="C267" s="49"/>
    </row>
    <row r="268" spans="3:3">
      <c r="C268" s="49"/>
    </row>
    <row r="269" spans="3:3">
      <c r="C269" s="49"/>
    </row>
    <row r="270" spans="3:3">
      <c r="C270" s="49"/>
    </row>
    <row r="271" spans="3:3">
      <c r="C271" s="49"/>
    </row>
    <row r="272" spans="3:3">
      <c r="C272" s="49"/>
    </row>
    <row r="273" spans="3:3">
      <c r="C273" s="49"/>
    </row>
    <row r="274" spans="3:3">
      <c r="C274" s="49"/>
    </row>
    <row r="275" spans="3:3">
      <c r="C275" s="49"/>
    </row>
    <row r="276" spans="3:3">
      <c r="C276" s="49"/>
    </row>
    <row r="277" spans="3:3">
      <c r="C277" s="49"/>
    </row>
    <row r="278" spans="3:3">
      <c r="C278" s="49"/>
    </row>
    <row r="279" spans="3:3">
      <c r="C279" s="49"/>
    </row>
    <row r="280" spans="3:3">
      <c r="C280" s="49"/>
    </row>
    <row r="281" spans="3:3">
      <c r="C281" s="49"/>
    </row>
    <row r="282" spans="3:3">
      <c r="C282" s="49"/>
    </row>
    <row r="283" spans="3:3">
      <c r="C283" s="49"/>
    </row>
    <row r="284" spans="3:3">
      <c r="C284" s="49"/>
    </row>
    <row r="285" spans="3:3">
      <c r="C285" s="49"/>
    </row>
    <row r="286" spans="3:3">
      <c r="C286" s="49"/>
    </row>
    <row r="287" spans="3:3">
      <c r="C287" s="49"/>
    </row>
    <row r="288" spans="3:3">
      <c r="C288" s="49"/>
    </row>
    <row r="289" spans="3:3">
      <c r="C289" s="49"/>
    </row>
    <row r="290" spans="3:3">
      <c r="C290" s="49"/>
    </row>
    <row r="291" spans="3:3">
      <c r="C291" s="49"/>
    </row>
    <row r="292" spans="3:3">
      <c r="C292" s="49"/>
    </row>
    <row r="293" spans="3:3">
      <c r="C293" s="49"/>
    </row>
    <row r="294" spans="3:3">
      <c r="C294" s="49"/>
    </row>
    <row r="295" spans="3:3">
      <c r="C295" s="49"/>
    </row>
    <row r="296" spans="3:3">
      <c r="C296" s="49"/>
    </row>
    <row r="297" spans="3:3">
      <c r="C297" s="49"/>
    </row>
    <row r="298" spans="3:3">
      <c r="C298" s="49"/>
    </row>
    <row r="299" spans="3:3">
      <c r="C299" s="49"/>
    </row>
    <row r="300" spans="3:3">
      <c r="C300" s="49"/>
    </row>
    <row r="301" spans="3:3">
      <c r="C301" s="49"/>
    </row>
    <row r="302" spans="3:3">
      <c r="C302" s="49"/>
    </row>
    <row r="65597" spans="6:6">
      <c r="F65597" s="44"/>
    </row>
  </sheetData>
  <mergeCells count="16">
    <mergeCell ref="A101:E101"/>
    <mergeCell ref="A110:E110"/>
    <mergeCell ref="A128:E128"/>
    <mergeCell ref="A141:E141"/>
    <mergeCell ref="A45:E45"/>
    <mergeCell ref="A58:E58"/>
    <mergeCell ref="A62:E62"/>
    <mergeCell ref="A75:E75"/>
    <mergeCell ref="A85:E85"/>
    <mergeCell ref="A96:E96"/>
    <mergeCell ref="A26:E26"/>
    <mergeCell ref="A1:E1"/>
    <mergeCell ref="F1:F4"/>
    <mergeCell ref="A2:E2"/>
    <mergeCell ref="A18:E18"/>
    <mergeCell ref="A19:E1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9CC00"/>
  </sheetPr>
  <dimension ref="A1:E193"/>
  <sheetViews>
    <sheetView view="pageBreakPreview" zoomScale="60" workbookViewId="0">
      <selection activeCell="F19" sqref="F19"/>
    </sheetView>
  </sheetViews>
  <sheetFormatPr defaultRowHeight="15"/>
  <cols>
    <col min="1" max="1" width="61.42578125" style="65" customWidth="1"/>
    <col min="2" max="2" width="11" style="64" customWidth="1"/>
    <col min="3" max="3" width="12.140625" style="374" customWidth="1"/>
    <col min="4" max="4" width="11" style="64" customWidth="1"/>
    <col min="5" max="5" width="12.140625" style="374" customWidth="1"/>
  </cols>
  <sheetData>
    <row r="1" spans="1:5" ht="15.75">
      <c r="A1" s="790" t="s">
        <v>3309</v>
      </c>
      <c r="B1" s="790"/>
      <c r="C1" s="790"/>
      <c r="D1"/>
      <c r="E1"/>
    </row>
    <row r="2" spans="1:5" ht="15.75">
      <c r="A2" s="791"/>
      <c r="B2" s="791"/>
      <c r="C2" s="791"/>
      <c r="D2"/>
      <c r="E2"/>
    </row>
    <row r="3" spans="1:5" ht="15.75">
      <c r="A3" s="792" t="s">
        <v>1875</v>
      </c>
      <c r="B3" s="792"/>
      <c r="C3" s="792"/>
      <c r="D3"/>
      <c r="E3"/>
    </row>
    <row r="4" spans="1:5">
      <c r="A4" s="793" t="s">
        <v>346</v>
      </c>
      <c r="B4" s="793"/>
      <c r="C4" s="793"/>
      <c r="D4"/>
      <c r="E4"/>
    </row>
    <row r="5" spans="1:5" ht="45">
      <c r="A5" s="370" t="s">
        <v>1876</v>
      </c>
      <c r="B5" s="375" t="s">
        <v>57</v>
      </c>
      <c r="C5" s="375">
        <v>4</v>
      </c>
      <c r="D5"/>
      <c r="E5"/>
    </row>
    <row r="6" spans="1:5">
      <c r="A6" s="370" t="s">
        <v>1981</v>
      </c>
      <c r="B6" s="375" t="s">
        <v>57</v>
      </c>
      <c r="C6" s="375">
        <v>1</v>
      </c>
      <c r="D6"/>
      <c r="E6"/>
    </row>
    <row r="7" spans="1:5">
      <c r="A7" s="370" t="s">
        <v>1980</v>
      </c>
      <c r="B7" s="375" t="s">
        <v>57</v>
      </c>
      <c r="C7" s="375">
        <v>2</v>
      </c>
      <c r="D7"/>
      <c r="E7"/>
    </row>
    <row r="8" spans="1:5">
      <c r="A8" s="567" t="s">
        <v>3056</v>
      </c>
      <c r="B8" s="375" t="s">
        <v>5</v>
      </c>
      <c r="C8" s="375">
        <v>1</v>
      </c>
      <c r="D8"/>
      <c r="E8"/>
    </row>
    <row r="9" spans="1:5" ht="30">
      <c r="A9" s="567" t="s">
        <v>1892</v>
      </c>
      <c r="B9" s="375" t="s">
        <v>57</v>
      </c>
      <c r="C9" s="375">
        <v>9</v>
      </c>
      <c r="D9"/>
      <c r="E9"/>
    </row>
    <row r="10" spans="1:5">
      <c r="A10" s="370" t="s">
        <v>1877</v>
      </c>
      <c r="B10" s="375" t="s">
        <v>57</v>
      </c>
      <c r="C10" s="375">
        <v>1</v>
      </c>
      <c r="D10"/>
      <c r="E10"/>
    </row>
    <row r="11" spans="1:5" ht="30">
      <c r="A11" s="567" t="s">
        <v>3057</v>
      </c>
      <c r="B11" s="375" t="s">
        <v>5</v>
      </c>
      <c r="C11" s="375">
        <v>9</v>
      </c>
      <c r="D11"/>
      <c r="E11"/>
    </row>
    <row r="12" spans="1:5" ht="30">
      <c r="A12" s="567" t="s">
        <v>3055</v>
      </c>
      <c r="B12" s="375" t="s">
        <v>57</v>
      </c>
      <c r="C12" s="375">
        <v>2</v>
      </c>
      <c r="D12"/>
      <c r="E12"/>
    </row>
    <row r="13" spans="1:5">
      <c r="A13" s="567" t="s">
        <v>3096</v>
      </c>
      <c r="B13" s="375" t="s">
        <v>5</v>
      </c>
      <c r="C13" s="375">
        <v>1</v>
      </c>
      <c r="D13"/>
      <c r="E13"/>
    </row>
    <row r="14" spans="1:5">
      <c r="A14" s="567" t="s">
        <v>3058</v>
      </c>
      <c r="B14" s="375" t="s">
        <v>5</v>
      </c>
      <c r="C14" s="375">
        <v>1</v>
      </c>
      <c r="D14"/>
      <c r="E14"/>
    </row>
    <row r="15" spans="1:5">
      <c r="A15" s="567" t="s">
        <v>3059</v>
      </c>
      <c r="B15" s="375" t="s">
        <v>5</v>
      </c>
      <c r="C15" s="375">
        <v>16</v>
      </c>
      <c r="D15"/>
      <c r="E15"/>
    </row>
    <row r="16" spans="1:5">
      <c r="A16" s="567" t="s">
        <v>3060</v>
      </c>
      <c r="B16" s="375" t="s">
        <v>5</v>
      </c>
      <c r="C16" s="375">
        <v>3</v>
      </c>
      <c r="D16"/>
      <c r="E16"/>
    </row>
    <row r="17" spans="1:5">
      <c r="A17" s="567" t="s">
        <v>1880</v>
      </c>
      <c r="B17" s="375" t="s">
        <v>101</v>
      </c>
      <c r="C17" s="375">
        <v>158.13</v>
      </c>
      <c r="D17"/>
      <c r="E17"/>
    </row>
    <row r="18" spans="1:5">
      <c r="A18" s="567" t="s">
        <v>3061</v>
      </c>
      <c r="B18" s="375" t="s">
        <v>101</v>
      </c>
      <c r="C18" s="375">
        <v>3.54</v>
      </c>
      <c r="D18"/>
      <c r="E18"/>
    </row>
    <row r="19" spans="1:5">
      <c r="A19" s="567" t="s">
        <v>3062</v>
      </c>
      <c r="B19" s="375" t="s">
        <v>5</v>
      </c>
      <c r="C19" s="375">
        <v>1</v>
      </c>
      <c r="D19"/>
      <c r="E19"/>
    </row>
    <row r="20" spans="1:5">
      <c r="A20" s="567" t="s">
        <v>3063</v>
      </c>
      <c r="B20" s="375" t="s">
        <v>5</v>
      </c>
      <c r="C20" s="375">
        <v>1</v>
      </c>
      <c r="D20"/>
      <c r="E20"/>
    </row>
    <row r="21" spans="1:5" ht="15.75">
      <c r="A21" s="785"/>
      <c r="B21" s="785"/>
      <c r="C21" s="785"/>
      <c r="D21"/>
      <c r="E21"/>
    </row>
    <row r="22" spans="1:5">
      <c r="A22" s="376" t="s">
        <v>347</v>
      </c>
      <c r="B22" s="377"/>
      <c r="C22" s="369"/>
      <c r="D22"/>
      <c r="E22"/>
    </row>
    <row r="23" spans="1:5">
      <c r="A23" s="370" t="s">
        <v>1881</v>
      </c>
      <c r="B23" s="375" t="s">
        <v>57</v>
      </c>
      <c r="C23" s="375">
        <v>3</v>
      </c>
      <c r="D23"/>
      <c r="E23"/>
    </row>
    <row r="24" spans="1:5">
      <c r="A24" s="370" t="s">
        <v>1882</v>
      </c>
      <c r="B24" s="375" t="s">
        <v>57</v>
      </c>
      <c r="C24" s="375">
        <v>2</v>
      </c>
      <c r="D24"/>
      <c r="E24"/>
    </row>
    <row r="25" spans="1:5">
      <c r="A25" s="370" t="s">
        <v>1883</v>
      </c>
      <c r="B25" s="375" t="s">
        <v>57</v>
      </c>
      <c r="C25" s="375">
        <v>5</v>
      </c>
      <c r="D25"/>
      <c r="E25"/>
    </row>
    <row r="26" spans="1:5" ht="30">
      <c r="A26" s="370" t="s">
        <v>1884</v>
      </c>
      <c r="B26" s="375" t="s">
        <v>57</v>
      </c>
      <c r="C26" s="375">
        <v>15</v>
      </c>
      <c r="D26"/>
      <c r="E26"/>
    </row>
    <row r="27" spans="1:5" ht="30">
      <c r="A27" s="370" t="s">
        <v>1885</v>
      </c>
      <c r="B27" s="375" t="s">
        <v>57</v>
      </c>
      <c r="C27" s="375">
        <v>8</v>
      </c>
      <c r="D27"/>
      <c r="E27"/>
    </row>
    <row r="28" spans="1:5" ht="30">
      <c r="A28" s="370" t="s">
        <v>1886</v>
      </c>
      <c r="B28" s="375" t="s">
        <v>57</v>
      </c>
      <c r="C28" s="375">
        <v>16</v>
      </c>
      <c r="D28"/>
      <c r="E28"/>
    </row>
    <row r="29" spans="1:5" ht="30">
      <c r="A29" s="370" t="s">
        <v>1887</v>
      </c>
      <c r="B29" s="375" t="s">
        <v>57</v>
      </c>
      <c r="C29" s="375">
        <v>10</v>
      </c>
      <c r="D29"/>
      <c r="E29"/>
    </row>
    <row r="30" spans="1:5" ht="30">
      <c r="A30" s="370" t="s">
        <v>1888</v>
      </c>
      <c r="B30" s="375" t="s">
        <v>57</v>
      </c>
      <c r="C30" s="375">
        <v>3</v>
      </c>
      <c r="D30"/>
      <c r="E30"/>
    </row>
    <row r="31" spans="1:5" ht="30">
      <c r="A31" s="370" t="s">
        <v>1889</v>
      </c>
      <c r="B31" s="375" t="s">
        <v>57</v>
      </c>
      <c r="C31" s="375">
        <v>2</v>
      </c>
      <c r="D31"/>
      <c r="E31"/>
    </row>
    <row r="32" spans="1:5" ht="30">
      <c r="A32" s="370" t="s">
        <v>1890</v>
      </c>
      <c r="B32" s="375" t="s">
        <v>57</v>
      </c>
      <c r="C32" s="375">
        <v>3</v>
      </c>
      <c r="D32"/>
      <c r="E32"/>
    </row>
    <row r="33" spans="1:5" ht="30">
      <c r="A33" s="370" t="s">
        <v>1891</v>
      </c>
      <c r="B33" s="375" t="s">
        <v>57</v>
      </c>
      <c r="C33" s="375">
        <f>32+8</f>
        <v>40</v>
      </c>
      <c r="D33"/>
      <c r="E33"/>
    </row>
    <row r="34" spans="1:5">
      <c r="A34" s="567" t="s">
        <v>3065</v>
      </c>
      <c r="B34" s="375" t="s">
        <v>57</v>
      </c>
      <c r="C34" s="375">
        <v>1</v>
      </c>
      <c r="D34"/>
      <c r="E34"/>
    </row>
    <row r="35" spans="1:5" ht="30">
      <c r="A35" s="370" t="s">
        <v>1893</v>
      </c>
      <c r="B35" s="375" t="s">
        <v>57</v>
      </c>
      <c r="C35" s="375">
        <f>28+14</f>
        <v>42</v>
      </c>
      <c r="D35"/>
      <c r="E35"/>
    </row>
    <row r="36" spans="1:5" ht="30">
      <c r="A36" s="370" t="s">
        <v>1894</v>
      </c>
      <c r="B36" s="375" t="s">
        <v>57</v>
      </c>
      <c r="C36" s="375">
        <f>4+6</f>
        <v>10</v>
      </c>
      <c r="D36"/>
      <c r="E36"/>
    </row>
    <row r="37" spans="1:5" ht="30">
      <c r="A37" s="370" t="s">
        <v>1895</v>
      </c>
      <c r="B37" s="375" t="s">
        <v>57</v>
      </c>
      <c r="C37" s="375">
        <v>6</v>
      </c>
      <c r="D37"/>
      <c r="E37"/>
    </row>
    <row r="38" spans="1:5" ht="30">
      <c r="A38" s="370" t="s">
        <v>1896</v>
      </c>
      <c r="B38" s="375" t="s">
        <v>57</v>
      </c>
      <c r="C38" s="375">
        <v>4</v>
      </c>
      <c r="D38"/>
      <c r="E38"/>
    </row>
    <row r="39" spans="1:5" ht="30">
      <c r="A39" s="370" t="s">
        <v>1897</v>
      </c>
      <c r="B39" s="375" t="s">
        <v>57</v>
      </c>
      <c r="C39" s="375">
        <f>9+10</f>
        <v>19</v>
      </c>
      <c r="D39"/>
      <c r="E39"/>
    </row>
    <row r="40" spans="1:5" ht="22.5" customHeight="1">
      <c r="A40" s="567" t="s">
        <v>3064</v>
      </c>
      <c r="B40" s="375" t="s">
        <v>5</v>
      </c>
      <c r="C40" s="375">
        <v>1</v>
      </c>
      <c r="D40"/>
      <c r="E40"/>
    </row>
    <row r="41" spans="1:5">
      <c r="A41" s="567" t="s">
        <v>3066</v>
      </c>
      <c r="B41" s="375" t="s">
        <v>5</v>
      </c>
      <c r="C41" s="375">
        <v>1</v>
      </c>
      <c r="D41"/>
      <c r="E41"/>
    </row>
    <row r="42" spans="1:5" ht="30">
      <c r="A42" s="370" t="s">
        <v>1898</v>
      </c>
      <c r="B42" s="375" t="s">
        <v>57</v>
      </c>
      <c r="C42" s="375">
        <f>15+7</f>
        <v>22</v>
      </c>
      <c r="D42"/>
      <c r="E42"/>
    </row>
    <row r="43" spans="1:5" ht="30">
      <c r="A43" s="370" t="s">
        <v>1899</v>
      </c>
      <c r="B43" s="375" t="s">
        <v>57</v>
      </c>
      <c r="C43" s="375">
        <v>8</v>
      </c>
      <c r="D43"/>
      <c r="E43"/>
    </row>
    <row r="44" spans="1:5" ht="30">
      <c r="A44" s="370" t="s">
        <v>1900</v>
      </c>
      <c r="B44" s="375" t="s">
        <v>57</v>
      </c>
      <c r="C44" s="375">
        <v>6</v>
      </c>
      <c r="D44"/>
      <c r="E44"/>
    </row>
    <row r="45" spans="1:5" ht="30">
      <c r="A45" s="370" t="s">
        <v>1901</v>
      </c>
      <c r="B45" s="375" t="s">
        <v>57</v>
      </c>
      <c r="C45" s="375">
        <v>3</v>
      </c>
      <c r="D45"/>
      <c r="E45"/>
    </row>
    <row r="46" spans="1:5">
      <c r="A46" s="370" t="s">
        <v>1902</v>
      </c>
      <c r="B46" s="375" t="s">
        <v>57</v>
      </c>
      <c r="C46" s="375">
        <v>2</v>
      </c>
      <c r="D46"/>
      <c r="E46"/>
    </row>
    <row r="47" spans="1:5">
      <c r="A47" s="370" t="s">
        <v>1878</v>
      </c>
      <c r="B47" s="375" t="s">
        <v>57</v>
      </c>
      <c r="C47" s="375">
        <f>37+7</f>
        <v>44</v>
      </c>
      <c r="D47"/>
      <c r="E47"/>
    </row>
    <row r="48" spans="1:5">
      <c r="A48" s="370" t="s">
        <v>1903</v>
      </c>
      <c r="B48" s="375" t="s">
        <v>57</v>
      </c>
      <c r="C48" s="375">
        <f>26+5</f>
        <v>31</v>
      </c>
      <c r="D48"/>
      <c r="E48"/>
    </row>
    <row r="49" spans="1:5">
      <c r="A49" s="370" t="s">
        <v>1904</v>
      </c>
      <c r="B49" s="375" t="s">
        <v>57</v>
      </c>
      <c r="C49" s="375">
        <f>6+9</f>
        <v>15</v>
      </c>
      <c r="D49"/>
      <c r="E49"/>
    </row>
    <row r="50" spans="1:5">
      <c r="A50" s="370" t="s">
        <v>1905</v>
      </c>
      <c r="B50" s="375" t="s">
        <v>57</v>
      </c>
      <c r="C50" s="375">
        <v>10</v>
      </c>
      <c r="D50"/>
      <c r="E50"/>
    </row>
    <row r="51" spans="1:5">
      <c r="A51" s="370" t="s">
        <v>1906</v>
      </c>
      <c r="B51" s="375" t="s">
        <v>57</v>
      </c>
      <c r="C51" s="375">
        <v>12</v>
      </c>
      <c r="D51"/>
      <c r="E51"/>
    </row>
    <row r="52" spans="1:5">
      <c r="A52" s="370" t="s">
        <v>1907</v>
      </c>
      <c r="B52" s="375" t="s">
        <v>101</v>
      </c>
      <c r="C52" s="375">
        <v>1.1499999999999999</v>
      </c>
      <c r="D52"/>
      <c r="E52"/>
    </row>
    <row r="53" spans="1:5">
      <c r="A53" s="370" t="s">
        <v>1879</v>
      </c>
      <c r="B53" s="375" t="s">
        <v>101</v>
      </c>
      <c r="C53" s="375">
        <f>82.81+15.7</f>
        <v>98.51</v>
      </c>
      <c r="D53"/>
      <c r="E53"/>
    </row>
    <row r="54" spans="1:5">
      <c r="A54" s="370" t="s">
        <v>1908</v>
      </c>
      <c r="B54" s="375" t="s">
        <v>101</v>
      </c>
      <c r="C54" s="375">
        <f>81.28+20.9</f>
        <v>102.18</v>
      </c>
      <c r="D54"/>
      <c r="E54"/>
    </row>
    <row r="55" spans="1:5">
      <c r="A55" s="370" t="s">
        <v>1909</v>
      </c>
      <c r="B55" s="375" t="s">
        <v>101</v>
      </c>
      <c r="C55" s="375">
        <f>22.57+11.73</f>
        <v>34.299999999999997</v>
      </c>
      <c r="D55"/>
      <c r="E55"/>
    </row>
    <row r="56" spans="1:5">
      <c r="A56" s="370" t="s">
        <v>1910</v>
      </c>
      <c r="B56" s="375" t="s">
        <v>101</v>
      </c>
      <c r="C56" s="375">
        <v>22.34</v>
      </c>
      <c r="D56"/>
      <c r="E56"/>
    </row>
    <row r="57" spans="1:5">
      <c r="A57" s="370" t="s">
        <v>1911</v>
      </c>
      <c r="B57" s="375" t="s">
        <v>101</v>
      </c>
      <c r="C57" s="375">
        <f>105.64+15.16</f>
        <v>120.8</v>
      </c>
      <c r="D57"/>
      <c r="E57"/>
    </row>
    <row r="58" spans="1:5">
      <c r="A58" s="370" t="s">
        <v>1912</v>
      </c>
      <c r="B58" s="375" t="s">
        <v>57</v>
      </c>
      <c r="C58" s="375">
        <v>7</v>
      </c>
      <c r="D58"/>
      <c r="E58"/>
    </row>
    <row r="59" spans="1:5">
      <c r="A59" s="370" t="s">
        <v>1913</v>
      </c>
      <c r="B59" s="375" t="s">
        <v>57</v>
      </c>
      <c r="C59" s="375">
        <v>7</v>
      </c>
      <c r="D59"/>
      <c r="E59"/>
    </row>
    <row r="60" spans="1:5">
      <c r="A60" s="370" t="s">
        <v>1914</v>
      </c>
      <c r="B60" s="375" t="s">
        <v>57</v>
      </c>
      <c r="C60" s="375">
        <f>8+5</f>
        <v>13</v>
      </c>
      <c r="D60"/>
      <c r="E60"/>
    </row>
    <row r="61" spans="1:5">
      <c r="A61" s="370" t="s">
        <v>1915</v>
      </c>
      <c r="B61" s="375" t="s">
        <v>57</v>
      </c>
      <c r="C61" s="375">
        <v>2</v>
      </c>
      <c r="D61"/>
      <c r="E61"/>
    </row>
    <row r="62" spans="1:5">
      <c r="A62" s="370" t="s">
        <v>1916</v>
      </c>
      <c r="B62" s="375" t="s">
        <v>57</v>
      </c>
      <c r="C62" s="375">
        <v>2</v>
      </c>
      <c r="D62"/>
      <c r="E62"/>
    </row>
    <row r="63" spans="1:5">
      <c r="A63" s="370" t="s">
        <v>1917</v>
      </c>
      <c r="B63" s="375" t="s">
        <v>57</v>
      </c>
      <c r="C63" s="375">
        <v>9</v>
      </c>
      <c r="D63"/>
      <c r="E63"/>
    </row>
    <row r="64" spans="1:5">
      <c r="A64" s="370" t="s">
        <v>1918</v>
      </c>
      <c r="B64" s="375" t="s">
        <v>57</v>
      </c>
      <c r="C64" s="375">
        <v>5</v>
      </c>
      <c r="D64"/>
      <c r="E64"/>
    </row>
    <row r="65" spans="1:5">
      <c r="A65" s="370" t="s">
        <v>1919</v>
      </c>
      <c r="B65" s="375" t="s">
        <v>57</v>
      </c>
      <c r="C65" s="375">
        <v>10</v>
      </c>
      <c r="D65"/>
      <c r="E65"/>
    </row>
    <row r="66" spans="1:5">
      <c r="A66" s="370" t="s">
        <v>1920</v>
      </c>
      <c r="B66" s="163" t="s">
        <v>57</v>
      </c>
      <c r="C66" s="369">
        <v>3</v>
      </c>
      <c r="D66"/>
      <c r="E66"/>
    </row>
    <row r="67" spans="1:5" ht="30">
      <c r="A67" s="370" t="s">
        <v>1921</v>
      </c>
      <c r="B67" s="375" t="s">
        <v>57</v>
      </c>
      <c r="C67" s="375">
        <f>11+8</f>
        <v>19</v>
      </c>
      <c r="D67"/>
      <c r="E67"/>
    </row>
    <row r="68" spans="1:5" ht="30">
      <c r="A68" s="370" t="s">
        <v>1922</v>
      </c>
      <c r="B68" s="375" t="s">
        <v>57</v>
      </c>
      <c r="C68" s="375">
        <v>25</v>
      </c>
      <c r="D68"/>
      <c r="E68"/>
    </row>
    <row r="69" spans="1:5" ht="30">
      <c r="A69" s="370" t="s">
        <v>1923</v>
      </c>
      <c r="B69" s="375" t="s">
        <v>57</v>
      </c>
      <c r="C69" s="375">
        <v>3</v>
      </c>
      <c r="D69"/>
      <c r="E69"/>
    </row>
    <row r="70" spans="1:5" ht="30">
      <c r="A70" s="370" t="s">
        <v>1924</v>
      </c>
      <c r="B70" s="375" t="s">
        <v>57</v>
      </c>
      <c r="C70" s="375">
        <v>48</v>
      </c>
      <c r="D70"/>
      <c r="E70"/>
    </row>
    <row r="71" spans="1:5" ht="30">
      <c r="A71" s="370" t="s">
        <v>1925</v>
      </c>
      <c r="B71" s="375" t="s">
        <v>57</v>
      </c>
      <c r="C71" s="375">
        <v>4</v>
      </c>
      <c r="D71"/>
      <c r="E71"/>
    </row>
    <row r="72" spans="1:5" ht="15.75">
      <c r="A72" s="371" t="s">
        <v>338</v>
      </c>
      <c r="B72" s="375"/>
      <c r="C72" s="375"/>
      <c r="D72"/>
      <c r="E72"/>
    </row>
    <row r="73" spans="1:5" ht="75">
      <c r="A73" s="368" t="s">
        <v>1926</v>
      </c>
      <c r="B73" s="375" t="s">
        <v>57</v>
      </c>
      <c r="C73" s="375">
        <v>1</v>
      </c>
      <c r="D73"/>
      <c r="E73"/>
    </row>
    <row r="74" spans="1:5">
      <c r="A74" s="368" t="s">
        <v>1927</v>
      </c>
      <c r="B74" s="378" t="s">
        <v>57</v>
      </c>
      <c r="C74" s="378">
        <v>2</v>
      </c>
      <c r="D74"/>
      <c r="E74"/>
    </row>
    <row r="75" spans="1:5">
      <c r="A75" s="568" t="s">
        <v>3067</v>
      </c>
      <c r="B75" s="569" t="s">
        <v>5</v>
      </c>
      <c r="C75" s="378">
        <v>1</v>
      </c>
      <c r="D75"/>
      <c r="E75"/>
    </row>
    <row r="76" spans="1:5">
      <c r="A76" s="568" t="s">
        <v>3068</v>
      </c>
      <c r="B76" s="569" t="s">
        <v>5</v>
      </c>
      <c r="C76" s="378">
        <v>1</v>
      </c>
      <c r="D76"/>
      <c r="E76"/>
    </row>
    <row r="77" spans="1:5">
      <c r="A77" s="368" t="s">
        <v>2570</v>
      </c>
      <c r="B77" s="378" t="s">
        <v>57</v>
      </c>
      <c r="C77" s="378">
        <v>3</v>
      </c>
      <c r="D77"/>
      <c r="E77"/>
    </row>
    <row r="78" spans="1:5">
      <c r="A78" s="368" t="s">
        <v>2571</v>
      </c>
      <c r="B78" s="375" t="s">
        <v>57</v>
      </c>
      <c r="C78" s="378">
        <v>3</v>
      </c>
      <c r="D78"/>
      <c r="E78"/>
    </row>
    <row r="79" spans="1:5" ht="15.75">
      <c r="A79" s="785"/>
      <c r="B79" s="785"/>
      <c r="C79" s="785"/>
      <c r="D79"/>
      <c r="E79"/>
    </row>
    <row r="80" spans="1:5" ht="15.75">
      <c r="A80" s="371" t="s">
        <v>339</v>
      </c>
      <c r="B80" s="375"/>
      <c r="C80" s="375"/>
      <c r="D80"/>
      <c r="E80"/>
    </row>
    <row r="81" spans="1:5" ht="45">
      <c r="A81" s="368" t="s">
        <v>1928</v>
      </c>
      <c r="B81" s="375" t="s">
        <v>57</v>
      </c>
      <c r="C81" s="375">
        <v>8</v>
      </c>
      <c r="D81"/>
      <c r="E81"/>
    </row>
    <row r="82" spans="1:5" ht="30">
      <c r="A82" s="368" t="s">
        <v>1929</v>
      </c>
      <c r="B82" s="375" t="s">
        <v>57</v>
      </c>
      <c r="C82" s="375">
        <v>8</v>
      </c>
      <c r="D82"/>
      <c r="E82"/>
    </row>
    <row r="83" spans="1:5" ht="45">
      <c r="A83" s="368" t="s">
        <v>1930</v>
      </c>
      <c r="B83" s="375" t="s">
        <v>57</v>
      </c>
      <c r="C83" s="375">
        <v>3</v>
      </c>
      <c r="D83"/>
      <c r="E83"/>
    </row>
    <row r="84" spans="1:5" ht="30">
      <c r="A84" s="368" t="s">
        <v>1931</v>
      </c>
      <c r="B84" s="375" t="s">
        <v>57</v>
      </c>
      <c r="C84" s="375">
        <v>10</v>
      </c>
      <c r="D84"/>
      <c r="E84"/>
    </row>
    <row r="85" spans="1:5">
      <c r="A85" s="368" t="s">
        <v>1932</v>
      </c>
      <c r="B85" s="375" t="s">
        <v>57</v>
      </c>
      <c r="C85" s="375">
        <v>10</v>
      </c>
      <c r="D85"/>
      <c r="E85"/>
    </row>
    <row r="86" spans="1:5">
      <c r="A86" s="368" t="s">
        <v>1933</v>
      </c>
      <c r="B86" s="375" t="s">
        <v>57</v>
      </c>
      <c r="C86" s="375">
        <v>8</v>
      </c>
      <c r="D86"/>
      <c r="E86"/>
    </row>
    <row r="87" spans="1:5">
      <c r="A87" s="370" t="s">
        <v>1934</v>
      </c>
      <c r="B87" s="375" t="s">
        <v>57</v>
      </c>
      <c r="C87" s="375">
        <v>2</v>
      </c>
      <c r="D87"/>
      <c r="E87"/>
    </row>
    <row r="88" spans="1:5" ht="30">
      <c r="A88" s="368" t="s">
        <v>1935</v>
      </c>
      <c r="B88" s="375" t="s">
        <v>57</v>
      </c>
      <c r="C88" s="375">
        <v>2</v>
      </c>
      <c r="D88"/>
      <c r="E88"/>
    </row>
    <row r="89" spans="1:5" ht="15.75">
      <c r="A89" s="785"/>
      <c r="B89" s="785"/>
      <c r="C89" s="785"/>
      <c r="D89"/>
      <c r="E89"/>
    </row>
    <row r="90" spans="1:5" ht="15.75">
      <c r="A90" s="371" t="s">
        <v>380</v>
      </c>
      <c r="B90" s="375"/>
      <c r="C90" s="375"/>
      <c r="D90"/>
      <c r="E90"/>
    </row>
    <row r="91" spans="1:5" ht="45">
      <c r="A91" s="368" t="s">
        <v>1928</v>
      </c>
      <c r="B91" s="375" t="s">
        <v>57</v>
      </c>
      <c r="C91" s="375">
        <v>4</v>
      </c>
      <c r="D91"/>
      <c r="E91"/>
    </row>
    <row r="92" spans="1:5" ht="30">
      <c r="A92" s="368" t="s">
        <v>1929</v>
      </c>
      <c r="B92" s="375" t="s">
        <v>57</v>
      </c>
      <c r="C92" s="375">
        <v>4</v>
      </c>
      <c r="D92"/>
      <c r="E92"/>
    </row>
    <row r="93" spans="1:5">
      <c r="A93" s="368" t="s">
        <v>1936</v>
      </c>
      <c r="B93" s="375" t="s">
        <v>57</v>
      </c>
      <c r="C93" s="375">
        <v>6</v>
      </c>
      <c r="D93"/>
      <c r="E93"/>
    </row>
    <row r="94" spans="1:5" ht="30">
      <c r="A94" s="368" t="s">
        <v>1931</v>
      </c>
      <c r="B94" s="375" t="s">
        <v>57</v>
      </c>
      <c r="C94" s="375">
        <v>4</v>
      </c>
      <c r="D94"/>
      <c r="E94"/>
    </row>
    <row r="95" spans="1:5" ht="30">
      <c r="A95" s="368" t="s">
        <v>1937</v>
      </c>
      <c r="B95" s="375" t="s">
        <v>57</v>
      </c>
      <c r="C95" s="375">
        <v>4</v>
      </c>
      <c r="D95"/>
      <c r="E95"/>
    </row>
    <row r="96" spans="1:5">
      <c r="A96" s="368" t="s">
        <v>1933</v>
      </c>
      <c r="B96" s="375" t="s">
        <v>57</v>
      </c>
      <c r="C96" s="375">
        <v>4</v>
      </c>
      <c r="D96"/>
      <c r="E96"/>
    </row>
    <row r="97" spans="1:5">
      <c r="A97" s="370" t="s">
        <v>1938</v>
      </c>
      <c r="B97" s="375" t="s">
        <v>57</v>
      </c>
      <c r="C97" s="375">
        <v>2</v>
      </c>
      <c r="D97"/>
      <c r="E97"/>
    </row>
    <row r="98" spans="1:5" ht="30">
      <c r="A98" s="368" t="s">
        <v>1935</v>
      </c>
      <c r="B98" s="375" t="s">
        <v>57</v>
      </c>
      <c r="C98" s="375">
        <v>2</v>
      </c>
      <c r="D98"/>
      <c r="E98"/>
    </row>
    <row r="99" spans="1:5" ht="15.75">
      <c r="A99" s="785"/>
      <c r="B99" s="785"/>
      <c r="C99" s="785"/>
      <c r="D99"/>
      <c r="E99"/>
    </row>
    <row r="100" spans="1:5" ht="15.75">
      <c r="A100" s="371" t="s">
        <v>340</v>
      </c>
      <c r="B100" s="375"/>
      <c r="C100" s="375"/>
      <c r="D100"/>
      <c r="E100"/>
    </row>
    <row r="101" spans="1:5" ht="60">
      <c r="A101" s="368" t="s">
        <v>1939</v>
      </c>
      <c r="B101" s="375" t="s">
        <v>57</v>
      </c>
      <c r="C101" s="375">
        <v>2</v>
      </c>
      <c r="D101"/>
      <c r="E101"/>
    </row>
    <row r="102" spans="1:5" ht="45">
      <c r="A102" s="368" t="s">
        <v>1940</v>
      </c>
      <c r="B102" s="375" t="s">
        <v>57</v>
      </c>
      <c r="C102" s="375">
        <v>2</v>
      </c>
      <c r="D102"/>
      <c r="E102"/>
    </row>
    <row r="103" spans="1:5">
      <c r="A103" s="368" t="s">
        <v>1933</v>
      </c>
      <c r="B103" s="375" t="s">
        <v>57</v>
      </c>
      <c r="C103" s="375">
        <v>2</v>
      </c>
      <c r="D103"/>
      <c r="E103"/>
    </row>
    <row r="104" spans="1:5">
      <c r="A104" s="370" t="s">
        <v>1938</v>
      </c>
      <c r="B104" s="375" t="s">
        <v>57</v>
      </c>
      <c r="C104" s="375">
        <v>2</v>
      </c>
      <c r="D104"/>
      <c r="E104"/>
    </row>
    <row r="105" spans="1:5" ht="30">
      <c r="A105" s="368" t="s">
        <v>1935</v>
      </c>
      <c r="B105" s="375" t="s">
        <v>57</v>
      </c>
      <c r="C105" s="375">
        <v>2</v>
      </c>
      <c r="D105"/>
      <c r="E105"/>
    </row>
    <row r="106" spans="1:5" ht="30">
      <c r="A106" s="368" t="s">
        <v>1941</v>
      </c>
      <c r="B106" s="375" t="s">
        <v>57</v>
      </c>
      <c r="C106" s="375">
        <v>1</v>
      </c>
      <c r="D106"/>
      <c r="E106"/>
    </row>
    <row r="107" spans="1:5" ht="15.75">
      <c r="A107" s="785"/>
      <c r="B107" s="785"/>
      <c r="C107" s="785"/>
      <c r="D107"/>
      <c r="E107"/>
    </row>
    <row r="108" spans="1:5" ht="15.75">
      <c r="A108" s="371" t="s">
        <v>341</v>
      </c>
      <c r="B108" s="375"/>
      <c r="C108" s="375"/>
      <c r="D108"/>
      <c r="E108"/>
    </row>
    <row r="109" spans="1:5" ht="30">
      <c r="A109" s="368" t="s">
        <v>1942</v>
      </c>
      <c r="B109" s="163" t="s">
        <v>57</v>
      </c>
      <c r="C109" s="369">
        <v>4</v>
      </c>
      <c r="D109"/>
      <c r="E109"/>
    </row>
    <row r="110" spans="1:5">
      <c r="A110" s="368" t="s">
        <v>1943</v>
      </c>
      <c r="B110" s="375" t="s">
        <v>57</v>
      </c>
      <c r="C110" s="375">
        <v>2</v>
      </c>
      <c r="D110"/>
      <c r="E110"/>
    </row>
    <row r="111" spans="1:5" ht="15.75">
      <c r="A111" s="785"/>
      <c r="B111" s="785"/>
      <c r="C111" s="785"/>
      <c r="D111"/>
      <c r="E111"/>
    </row>
    <row r="112" spans="1:5" ht="31.5">
      <c r="A112" s="371" t="s">
        <v>342</v>
      </c>
      <c r="B112" s="375"/>
      <c r="C112" s="375"/>
      <c r="D112"/>
      <c r="E112"/>
    </row>
    <row r="113" spans="1:5" ht="120">
      <c r="A113" s="368" t="s">
        <v>1944</v>
      </c>
      <c r="B113" s="375" t="s">
        <v>57</v>
      </c>
      <c r="C113" s="375">
        <v>2</v>
      </c>
      <c r="D113"/>
      <c r="E113"/>
    </row>
    <row r="114" spans="1:5" ht="30">
      <c r="A114" s="368" t="s">
        <v>1945</v>
      </c>
      <c r="B114" s="375" t="s">
        <v>57</v>
      </c>
      <c r="C114" s="375">
        <v>1</v>
      </c>
      <c r="D114"/>
      <c r="E114"/>
    </row>
    <row r="115" spans="1:5" ht="30">
      <c r="A115" s="368" t="s">
        <v>1946</v>
      </c>
      <c r="B115" s="375" t="s">
        <v>57</v>
      </c>
      <c r="C115" s="375">
        <v>1</v>
      </c>
      <c r="D115"/>
      <c r="E115"/>
    </row>
    <row r="116" spans="1:5" ht="30">
      <c r="A116" s="368" t="s">
        <v>1947</v>
      </c>
      <c r="B116" s="375" t="s">
        <v>57</v>
      </c>
      <c r="C116" s="375">
        <v>6</v>
      </c>
      <c r="D116"/>
      <c r="E116"/>
    </row>
    <row r="117" spans="1:5" ht="60">
      <c r="A117" s="370" t="s">
        <v>1939</v>
      </c>
      <c r="B117" s="375" t="s">
        <v>57</v>
      </c>
      <c r="C117" s="375">
        <v>1</v>
      </c>
      <c r="D117"/>
      <c r="E117"/>
    </row>
    <row r="118" spans="1:5" ht="45">
      <c r="A118" s="568" t="s">
        <v>3069</v>
      </c>
      <c r="B118" s="367" t="s">
        <v>5</v>
      </c>
      <c r="C118" s="375">
        <v>1</v>
      </c>
      <c r="D118"/>
      <c r="E118"/>
    </row>
    <row r="119" spans="1:5" ht="15.75">
      <c r="A119" s="785"/>
      <c r="B119" s="785"/>
      <c r="C119" s="785"/>
      <c r="D119"/>
      <c r="E119"/>
    </row>
    <row r="120" spans="1:5" ht="15.75">
      <c r="A120" s="371" t="s">
        <v>343</v>
      </c>
      <c r="B120" s="375"/>
      <c r="C120" s="375"/>
      <c r="D120"/>
      <c r="E120"/>
    </row>
    <row r="121" spans="1:5" ht="60">
      <c r="A121" s="370" t="s">
        <v>1939</v>
      </c>
      <c r="B121" s="375" t="s">
        <v>57</v>
      </c>
      <c r="C121" s="375">
        <v>2</v>
      </c>
      <c r="D121"/>
      <c r="E121"/>
    </row>
    <row r="122" spans="1:5" ht="45">
      <c r="A122" s="370" t="s">
        <v>1940</v>
      </c>
      <c r="B122" s="375" t="s">
        <v>57</v>
      </c>
      <c r="C122" s="375">
        <v>2</v>
      </c>
      <c r="D122"/>
      <c r="E122"/>
    </row>
    <row r="123" spans="1:5">
      <c r="A123" s="370" t="s">
        <v>1933</v>
      </c>
      <c r="B123" s="375" t="s">
        <v>57</v>
      </c>
      <c r="C123" s="375">
        <v>2</v>
      </c>
      <c r="D123"/>
      <c r="E123"/>
    </row>
    <row r="124" spans="1:5">
      <c r="A124" s="368" t="s">
        <v>1936</v>
      </c>
      <c r="B124" s="375" t="s">
        <v>57</v>
      </c>
      <c r="C124" s="375">
        <v>2</v>
      </c>
      <c r="D124"/>
      <c r="E124"/>
    </row>
    <row r="125" spans="1:5">
      <c r="A125" s="370" t="s">
        <v>1938</v>
      </c>
      <c r="B125" s="375" t="s">
        <v>57</v>
      </c>
      <c r="C125" s="375">
        <v>2</v>
      </c>
      <c r="D125"/>
      <c r="E125"/>
    </row>
    <row r="126" spans="1:5" ht="30">
      <c r="A126" s="370" t="s">
        <v>1935</v>
      </c>
      <c r="B126" s="375" t="s">
        <v>57</v>
      </c>
      <c r="C126" s="375">
        <v>2</v>
      </c>
      <c r="D126"/>
      <c r="E126"/>
    </row>
    <row r="127" spans="1:5" ht="15.75">
      <c r="A127" s="785"/>
      <c r="B127" s="785"/>
      <c r="C127" s="785"/>
      <c r="D127"/>
      <c r="E127"/>
    </row>
    <row r="128" spans="1:5" ht="15.75">
      <c r="A128" s="371" t="s">
        <v>203</v>
      </c>
      <c r="B128" s="375"/>
      <c r="C128" s="375"/>
      <c r="D128"/>
      <c r="E128"/>
    </row>
    <row r="129" spans="1:5" ht="45">
      <c r="A129" s="368" t="s">
        <v>1948</v>
      </c>
      <c r="B129" s="375" t="s">
        <v>57</v>
      </c>
      <c r="C129" s="375">
        <v>4</v>
      </c>
      <c r="D129"/>
      <c r="E129"/>
    </row>
    <row r="130" spans="1:5">
      <c r="A130" s="368" t="s">
        <v>1949</v>
      </c>
      <c r="B130" s="375" t="s">
        <v>5</v>
      </c>
      <c r="C130" s="375">
        <v>4</v>
      </c>
      <c r="D130"/>
      <c r="E130"/>
    </row>
    <row r="131" spans="1:5" ht="45">
      <c r="A131" s="368" t="s">
        <v>1950</v>
      </c>
      <c r="B131" s="378" t="s">
        <v>57</v>
      </c>
      <c r="C131" s="378">
        <v>4</v>
      </c>
      <c r="D131"/>
      <c r="E131"/>
    </row>
    <row r="132" spans="1:5">
      <c r="A132" s="368" t="s">
        <v>1951</v>
      </c>
      <c r="B132" s="378" t="s">
        <v>57</v>
      </c>
      <c r="C132" s="378">
        <v>4</v>
      </c>
      <c r="D132"/>
      <c r="E132"/>
    </row>
    <row r="133" spans="1:5">
      <c r="A133" s="370" t="s">
        <v>1933</v>
      </c>
      <c r="B133" s="375" t="s">
        <v>57</v>
      </c>
      <c r="C133" s="375">
        <v>4</v>
      </c>
      <c r="D133"/>
      <c r="E133"/>
    </row>
    <row r="134" spans="1:5">
      <c r="A134" s="370" t="s">
        <v>1938</v>
      </c>
      <c r="B134" s="375" t="s">
        <v>57</v>
      </c>
      <c r="C134" s="375">
        <v>4</v>
      </c>
      <c r="D134"/>
      <c r="E134"/>
    </row>
    <row r="135" spans="1:5">
      <c r="A135" s="368" t="s">
        <v>1936</v>
      </c>
      <c r="B135" s="375" t="s">
        <v>57</v>
      </c>
      <c r="C135" s="375">
        <v>2</v>
      </c>
      <c r="D135"/>
      <c r="E135"/>
    </row>
    <row r="136" spans="1:5" ht="30">
      <c r="A136" s="370" t="s">
        <v>1935</v>
      </c>
      <c r="B136" s="375" t="s">
        <v>57</v>
      </c>
      <c r="C136" s="375">
        <v>4</v>
      </c>
      <c r="D136"/>
      <c r="E136"/>
    </row>
    <row r="137" spans="1:5" ht="30">
      <c r="A137" s="370" t="s">
        <v>1952</v>
      </c>
      <c r="B137" s="375" t="s">
        <v>57</v>
      </c>
      <c r="C137" s="375">
        <v>2</v>
      </c>
      <c r="D137"/>
      <c r="E137"/>
    </row>
    <row r="138" spans="1:5" ht="15.75">
      <c r="A138" s="785"/>
      <c r="B138" s="785"/>
      <c r="C138" s="785"/>
      <c r="D138"/>
      <c r="E138"/>
    </row>
    <row r="139" spans="1:5" ht="15.75">
      <c r="A139" s="371" t="s">
        <v>201</v>
      </c>
      <c r="B139" s="372"/>
      <c r="C139" s="373"/>
      <c r="D139"/>
      <c r="E139"/>
    </row>
    <row r="140" spans="1:5" ht="30">
      <c r="A140" s="368" t="s">
        <v>1953</v>
      </c>
      <c r="B140" s="163" t="s">
        <v>57</v>
      </c>
      <c r="C140" s="369">
        <v>2</v>
      </c>
      <c r="D140"/>
      <c r="E140"/>
    </row>
    <row r="141" spans="1:5" ht="30">
      <c r="A141" s="368" t="s">
        <v>1954</v>
      </c>
      <c r="B141" s="163" t="s">
        <v>57</v>
      </c>
      <c r="C141" s="369">
        <v>7</v>
      </c>
      <c r="D141"/>
      <c r="E141"/>
    </row>
    <row r="142" spans="1:5">
      <c r="A142" s="368" t="s">
        <v>1955</v>
      </c>
      <c r="B142" s="163" t="s">
        <v>57</v>
      </c>
      <c r="C142" s="369">
        <v>7</v>
      </c>
      <c r="D142"/>
      <c r="E142"/>
    </row>
    <row r="143" spans="1:5">
      <c r="A143" s="368" t="s">
        <v>1956</v>
      </c>
      <c r="B143" s="163" t="s">
        <v>57</v>
      </c>
      <c r="C143" s="369">
        <f>6+7</f>
        <v>13</v>
      </c>
      <c r="D143"/>
      <c r="E143"/>
    </row>
    <row r="144" spans="1:5" ht="30">
      <c r="A144" s="368" t="s">
        <v>1957</v>
      </c>
      <c r="B144" s="163" t="s">
        <v>57</v>
      </c>
      <c r="C144" s="369">
        <v>16</v>
      </c>
      <c r="D144"/>
      <c r="E144"/>
    </row>
    <row r="145" spans="1:5" ht="30">
      <c r="A145" s="568" t="s">
        <v>3070</v>
      </c>
      <c r="B145" s="161" t="s">
        <v>5</v>
      </c>
      <c r="C145" s="369">
        <v>18</v>
      </c>
      <c r="D145"/>
      <c r="E145"/>
    </row>
    <row r="146" spans="1:5" ht="30">
      <c r="A146" s="568" t="s">
        <v>1976</v>
      </c>
      <c r="B146" s="161" t="s">
        <v>5</v>
      </c>
      <c r="C146" s="369">
        <v>31</v>
      </c>
      <c r="D146"/>
      <c r="E146"/>
    </row>
    <row r="147" spans="1:5" ht="30">
      <c r="A147" s="568" t="s">
        <v>3071</v>
      </c>
      <c r="B147" s="161" t="s">
        <v>5</v>
      </c>
      <c r="C147" s="369">
        <v>6</v>
      </c>
      <c r="D147"/>
      <c r="E147"/>
    </row>
    <row r="148" spans="1:5" ht="30">
      <c r="A148" s="568" t="s">
        <v>3072</v>
      </c>
      <c r="B148" s="161" t="s">
        <v>5</v>
      </c>
      <c r="C148" s="369">
        <v>3</v>
      </c>
      <c r="D148"/>
      <c r="E148"/>
    </row>
    <row r="149" spans="1:5" ht="30">
      <c r="A149" s="368" t="s">
        <v>1958</v>
      </c>
      <c r="B149" s="163" t="s">
        <v>57</v>
      </c>
      <c r="C149" s="369">
        <v>23</v>
      </c>
      <c r="D149"/>
      <c r="E149"/>
    </row>
    <row r="150" spans="1:5" ht="30">
      <c r="A150" s="368" t="s">
        <v>1959</v>
      </c>
      <c r="B150" s="163" t="s">
        <v>57</v>
      </c>
      <c r="C150" s="369">
        <v>26</v>
      </c>
      <c r="D150"/>
      <c r="E150"/>
    </row>
    <row r="151" spans="1:5" ht="30">
      <c r="A151" s="368" t="s">
        <v>1960</v>
      </c>
      <c r="B151" s="163" t="s">
        <v>57</v>
      </c>
      <c r="C151" s="369">
        <v>27</v>
      </c>
      <c r="D151"/>
      <c r="E151"/>
    </row>
    <row r="152" spans="1:5" ht="30">
      <c r="A152" s="368" t="s">
        <v>1961</v>
      </c>
      <c r="B152" s="163" t="s">
        <v>57</v>
      </c>
      <c r="C152" s="369">
        <v>6</v>
      </c>
      <c r="D152"/>
      <c r="E152"/>
    </row>
    <row r="153" spans="1:5" ht="30">
      <c r="A153" s="368" t="s">
        <v>1962</v>
      </c>
      <c r="B153" s="163" t="s">
        <v>57</v>
      </c>
      <c r="C153" s="369">
        <v>17</v>
      </c>
      <c r="D153"/>
      <c r="E153"/>
    </row>
    <row r="154" spans="1:5" ht="30">
      <c r="A154" s="368" t="s">
        <v>1963</v>
      </c>
      <c r="B154" s="163" t="s">
        <v>57</v>
      </c>
      <c r="C154" s="369">
        <v>26</v>
      </c>
      <c r="D154"/>
      <c r="E154"/>
    </row>
    <row r="155" spans="1:5" ht="30">
      <c r="A155" s="368" t="s">
        <v>1964</v>
      </c>
      <c r="B155" s="163" t="s">
        <v>57</v>
      </c>
      <c r="C155" s="369">
        <f>16+8</f>
        <v>24</v>
      </c>
      <c r="D155"/>
      <c r="E155"/>
    </row>
    <row r="156" spans="1:5">
      <c r="A156" s="568" t="s">
        <v>3097</v>
      </c>
      <c r="B156" s="161" t="s">
        <v>5</v>
      </c>
      <c r="C156" s="369">
        <v>4</v>
      </c>
      <c r="D156"/>
      <c r="E156"/>
    </row>
    <row r="157" spans="1:5" ht="30">
      <c r="A157" s="368" t="s">
        <v>1965</v>
      </c>
      <c r="B157" s="163" t="s">
        <v>57</v>
      </c>
      <c r="C157" s="369">
        <v>15</v>
      </c>
      <c r="D157"/>
      <c r="E157"/>
    </row>
    <row r="158" spans="1:5" ht="30">
      <c r="A158" s="370" t="s">
        <v>1966</v>
      </c>
      <c r="B158" s="163" t="s">
        <v>57</v>
      </c>
      <c r="C158" s="369">
        <v>7</v>
      </c>
      <c r="D158"/>
      <c r="E158"/>
    </row>
    <row r="159" spans="1:5" ht="30">
      <c r="A159" s="370" t="s">
        <v>1967</v>
      </c>
      <c r="B159" s="163" t="s">
        <v>57</v>
      </c>
      <c r="C159" s="369">
        <v>1</v>
      </c>
      <c r="D159"/>
      <c r="E159"/>
    </row>
    <row r="160" spans="1:5">
      <c r="A160" s="370" t="s">
        <v>1968</v>
      </c>
      <c r="B160" s="163" t="s">
        <v>57</v>
      </c>
      <c r="C160" s="369">
        <v>6</v>
      </c>
      <c r="D160"/>
      <c r="E160"/>
    </row>
    <row r="161" spans="1:5" ht="30">
      <c r="A161" s="370" t="s">
        <v>1969</v>
      </c>
      <c r="B161" s="163" t="s">
        <v>57</v>
      </c>
      <c r="C161" s="369">
        <v>6</v>
      </c>
      <c r="D161"/>
      <c r="E161"/>
    </row>
    <row r="162" spans="1:5">
      <c r="A162" s="370" t="s">
        <v>1970</v>
      </c>
      <c r="B162" s="163" t="s">
        <v>101</v>
      </c>
      <c r="C162" s="369">
        <v>115</v>
      </c>
      <c r="D162"/>
      <c r="E162"/>
    </row>
    <row r="163" spans="1:5">
      <c r="A163" s="370" t="s">
        <v>1971</v>
      </c>
      <c r="B163" s="163" t="s">
        <v>101</v>
      </c>
      <c r="C163" s="369">
        <f>62.08+3.6+17.55</f>
        <v>83.22999999999999</v>
      </c>
      <c r="D163"/>
      <c r="E163"/>
    </row>
    <row r="164" spans="1:5">
      <c r="A164" s="370" t="s">
        <v>1972</v>
      </c>
      <c r="B164" s="163" t="s">
        <v>101</v>
      </c>
      <c r="C164" s="369">
        <f>21.51+3.6</f>
        <v>25.110000000000003</v>
      </c>
      <c r="D164"/>
      <c r="E164"/>
    </row>
    <row r="165" spans="1:5">
      <c r="A165" s="370" t="s">
        <v>1973</v>
      </c>
      <c r="B165" s="163" t="s">
        <v>101</v>
      </c>
      <c r="C165" s="369">
        <v>10.5</v>
      </c>
      <c r="D165"/>
      <c r="E165"/>
    </row>
    <row r="166" spans="1:5">
      <c r="A166" s="368" t="s">
        <v>1974</v>
      </c>
      <c r="B166" s="163" t="s">
        <v>101</v>
      </c>
      <c r="C166" s="369">
        <f>7.17+12+2.7+3.6</f>
        <v>25.470000000000002</v>
      </c>
      <c r="D166"/>
      <c r="E166"/>
    </row>
    <row r="167" spans="1:5">
      <c r="A167" s="566" t="s">
        <v>3073</v>
      </c>
      <c r="B167" s="161" t="s">
        <v>5</v>
      </c>
      <c r="C167" s="369">
        <v>10</v>
      </c>
      <c r="D167"/>
      <c r="E167"/>
    </row>
    <row r="168" spans="1:5" ht="15.75">
      <c r="A168" s="785"/>
      <c r="B168" s="785"/>
      <c r="C168" s="785"/>
      <c r="D168"/>
      <c r="E168"/>
    </row>
    <row r="169" spans="1:5" ht="15.75">
      <c r="A169" s="371" t="s">
        <v>202</v>
      </c>
      <c r="B169" s="372"/>
      <c r="C169" s="373"/>
      <c r="D169"/>
      <c r="E169"/>
    </row>
    <row r="170" spans="1:5" ht="30">
      <c r="A170" s="368" t="s">
        <v>1975</v>
      </c>
      <c r="B170" s="163" t="s">
        <v>57</v>
      </c>
      <c r="C170" s="369">
        <v>2</v>
      </c>
      <c r="D170"/>
      <c r="E170"/>
    </row>
    <row r="171" spans="1:5" ht="30">
      <c r="A171" s="368" t="s">
        <v>1960</v>
      </c>
      <c r="B171" s="163" t="s">
        <v>57</v>
      </c>
      <c r="C171" s="369">
        <v>24</v>
      </c>
      <c r="D171"/>
      <c r="E171"/>
    </row>
    <row r="172" spans="1:5" ht="30">
      <c r="A172" s="370" t="s">
        <v>1966</v>
      </c>
      <c r="B172" s="163" t="s">
        <v>57</v>
      </c>
      <c r="C172" s="369">
        <v>2</v>
      </c>
      <c r="D172"/>
      <c r="E172"/>
    </row>
    <row r="173" spans="1:5">
      <c r="A173" s="368" t="s">
        <v>1977</v>
      </c>
      <c r="B173" s="163" t="s">
        <v>57</v>
      </c>
      <c r="C173" s="369">
        <v>10</v>
      </c>
      <c r="D173"/>
      <c r="E173"/>
    </row>
    <row r="174" spans="1:5">
      <c r="A174" s="370" t="s">
        <v>1971</v>
      </c>
      <c r="B174" s="163" t="s">
        <v>101</v>
      </c>
      <c r="C174" s="369">
        <f>40.56+34.93</f>
        <v>75.490000000000009</v>
      </c>
      <c r="D174"/>
      <c r="E174"/>
    </row>
    <row r="175" spans="1:5">
      <c r="A175" s="368" t="s">
        <v>1978</v>
      </c>
      <c r="B175" s="163" t="s">
        <v>57</v>
      </c>
      <c r="C175" s="369">
        <f>9+12</f>
        <v>21</v>
      </c>
      <c r="D175"/>
      <c r="E175"/>
    </row>
    <row r="176" spans="1:5" ht="15.75">
      <c r="A176" s="785"/>
      <c r="B176" s="785"/>
      <c r="C176" s="785"/>
      <c r="D176"/>
      <c r="E176"/>
    </row>
    <row r="177" spans="1:5" ht="15.75">
      <c r="A177" s="371" t="s">
        <v>345</v>
      </c>
      <c r="B177" s="372"/>
      <c r="C177" s="373"/>
      <c r="D177"/>
      <c r="E177"/>
    </row>
    <row r="178" spans="1:5" ht="30">
      <c r="A178" s="566" t="s">
        <v>3074</v>
      </c>
      <c r="B178" s="161" t="s">
        <v>5</v>
      </c>
      <c r="C178" s="369">
        <v>1</v>
      </c>
      <c r="D178"/>
      <c r="E178"/>
    </row>
    <row r="179" spans="1:5" ht="30">
      <c r="A179" s="566" t="s">
        <v>3075</v>
      </c>
      <c r="B179" s="161" t="s">
        <v>5</v>
      </c>
      <c r="C179" s="369">
        <v>1</v>
      </c>
      <c r="D179"/>
      <c r="E179"/>
    </row>
    <row r="180" spans="1:5" ht="30">
      <c r="A180" s="566" t="s">
        <v>1979</v>
      </c>
      <c r="B180" s="161" t="s">
        <v>5</v>
      </c>
      <c r="C180" s="369">
        <v>2</v>
      </c>
      <c r="D180"/>
      <c r="E180"/>
    </row>
    <row r="181" spans="1:5" ht="60">
      <c r="A181" s="566" t="s">
        <v>3076</v>
      </c>
      <c r="B181" s="161" t="s">
        <v>5</v>
      </c>
      <c r="C181" s="369">
        <v>3</v>
      </c>
      <c r="D181"/>
      <c r="E181"/>
    </row>
    <row r="182" spans="1:5" ht="15.75">
      <c r="A182" s="786"/>
      <c r="B182" s="786"/>
      <c r="C182" s="786"/>
      <c r="D182"/>
      <c r="E182"/>
    </row>
    <row r="183" spans="1:5" ht="15.75">
      <c r="A183" s="787" t="s">
        <v>2614</v>
      </c>
      <c r="B183" s="788"/>
      <c r="C183" s="789"/>
      <c r="D183"/>
      <c r="E183"/>
    </row>
    <row r="184" spans="1:5">
      <c r="A184" s="370" t="s">
        <v>1879</v>
      </c>
      <c r="B184" s="375" t="s">
        <v>101</v>
      </c>
      <c r="C184" s="375">
        <v>224.45</v>
      </c>
      <c r="D184"/>
      <c r="E184"/>
    </row>
    <row r="185" spans="1:5">
      <c r="A185" s="370" t="s">
        <v>2125</v>
      </c>
      <c r="B185" s="163" t="s">
        <v>57</v>
      </c>
      <c r="C185" s="378">
        <v>18</v>
      </c>
      <c r="D185"/>
      <c r="E185"/>
    </row>
    <row r="186" spans="1:5">
      <c r="A186" s="370" t="s">
        <v>1878</v>
      </c>
      <c r="B186" s="375" t="s">
        <v>57</v>
      </c>
      <c r="C186" s="375">
        <v>69</v>
      </c>
      <c r="D186"/>
      <c r="E186"/>
    </row>
    <row r="187" spans="1:5">
      <c r="A187" s="370" t="s">
        <v>1912</v>
      </c>
      <c r="B187" s="375" t="s">
        <v>57</v>
      </c>
      <c r="C187" s="375">
        <v>22</v>
      </c>
      <c r="D187"/>
      <c r="E187"/>
    </row>
    <row r="188" spans="1:5">
      <c r="D188"/>
      <c r="E188"/>
    </row>
    <row r="189" spans="1:5" ht="15.75" customHeight="1">
      <c r="D189"/>
      <c r="E189"/>
    </row>
    <row r="190" spans="1:5">
      <c r="D190"/>
      <c r="E190"/>
    </row>
    <row r="191" spans="1:5">
      <c r="D191"/>
      <c r="E191"/>
    </row>
    <row r="192" spans="1:5">
      <c r="D192"/>
      <c r="E192"/>
    </row>
    <row r="193" spans="4:5">
      <c r="D193"/>
      <c r="E193"/>
    </row>
  </sheetData>
  <mergeCells count="17">
    <mergeCell ref="A127:C127"/>
    <mergeCell ref="A119:C119"/>
    <mergeCell ref="A1:C1"/>
    <mergeCell ref="A2:C2"/>
    <mergeCell ref="A3:C3"/>
    <mergeCell ref="A4:C4"/>
    <mergeCell ref="A21:C21"/>
    <mergeCell ref="A79:C79"/>
    <mergeCell ref="A89:C89"/>
    <mergeCell ref="A99:C99"/>
    <mergeCell ref="A107:C107"/>
    <mergeCell ref="A111:C111"/>
    <mergeCell ref="A138:C138"/>
    <mergeCell ref="A168:C168"/>
    <mergeCell ref="A176:C176"/>
    <mergeCell ref="A182:C182"/>
    <mergeCell ref="A183:C18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761"/>
  <sheetViews>
    <sheetView showOutlineSymbols="0" view="pageLayout" workbookViewId="0">
      <selection activeCell="A2" sqref="A2:K2"/>
    </sheetView>
  </sheetViews>
  <sheetFormatPr defaultRowHeight="14.25"/>
  <cols>
    <col min="1" max="3" width="11.42578125" style="707" bestFit="1" customWidth="1"/>
    <col min="4" max="4" width="9.140625" style="707" bestFit="1" customWidth="1"/>
    <col min="5" max="5" width="68.5703125" style="707" bestFit="1" customWidth="1"/>
    <col min="6" max="6" width="34.28515625" style="707" bestFit="1" customWidth="1"/>
    <col min="7" max="7" width="11.42578125" style="707" bestFit="1" customWidth="1"/>
    <col min="8" max="8" width="12.5703125" style="707" bestFit="1" customWidth="1"/>
    <col min="9" max="9" width="11.42578125" style="707" bestFit="1" customWidth="1"/>
    <col min="10" max="10" width="12.5703125" style="707" bestFit="1" customWidth="1"/>
    <col min="11" max="11" width="11.42578125" style="707" bestFit="1" customWidth="1"/>
    <col min="12" max="16384" width="9.140625" style="707"/>
  </cols>
  <sheetData>
    <row r="1" spans="1:11" ht="15">
      <c r="A1" s="799" t="s">
        <v>4606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</row>
    <row r="2" spans="1:11" ht="30" customHeight="1">
      <c r="A2" s="799" t="s">
        <v>4607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</row>
    <row r="3" spans="1:11" ht="18" customHeight="1">
      <c r="A3" s="738"/>
      <c r="B3" s="738" t="s">
        <v>60</v>
      </c>
      <c r="C3" s="739" t="s">
        <v>3312</v>
      </c>
      <c r="D3" s="738" t="s">
        <v>3602</v>
      </c>
      <c r="E3" s="738" t="s">
        <v>3313</v>
      </c>
      <c r="F3" s="738" t="s">
        <v>3390</v>
      </c>
      <c r="G3" s="740" t="s">
        <v>70</v>
      </c>
      <c r="H3" s="739" t="s">
        <v>64</v>
      </c>
      <c r="I3" s="739" t="s">
        <v>3617</v>
      </c>
      <c r="J3" s="797" t="s">
        <v>474</v>
      </c>
      <c r="K3" s="795"/>
    </row>
    <row r="4" spans="1:11" ht="21.95" customHeight="1">
      <c r="A4" s="741" t="s">
        <v>4608</v>
      </c>
      <c r="B4" s="741" t="s">
        <v>4609</v>
      </c>
      <c r="C4" s="742" t="s">
        <v>3603</v>
      </c>
      <c r="D4" s="741" t="s">
        <v>3604</v>
      </c>
      <c r="E4" s="741" t="s">
        <v>5295</v>
      </c>
      <c r="F4" s="741" t="s">
        <v>3605</v>
      </c>
      <c r="G4" s="743" t="s">
        <v>1460</v>
      </c>
      <c r="H4" s="742">
        <v>1</v>
      </c>
      <c r="I4" s="742" t="s">
        <v>4610</v>
      </c>
      <c r="J4" s="798" t="s">
        <v>4610</v>
      </c>
      <c r="K4" s="795"/>
    </row>
    <row r="5" spans="1:11" ht="21.95" customHeight="1">
      <c r="A5" s="744" t="s">
        <v>4611</v>
      </c>
      <c r="B5" s="744"/>
      <c r="C5" s="745" t="s">
        <v>3606</v>
      </c>
      <c r="D5" s="744" t="s">
        <v>1127</v>
      </c>
      <c r="E5" s="744" t="s">
        <v>1128</v>
      </c>
      <c r="F5" s="744" t="s">
        <v>3430</v>
      </c>
      <c r="G5" s="746" t="s">
        <v>1129</v>
      </c>
      <c r="H5" s="745" t="s">
        <v>4612</v>
      </c>
      <c r="I5" s="745" t="s">
        <v>3607</v>
      </c>
      <c r="J5" s="796">
        <v>12327.04</v>
      </c>
      <c r="K5" s="795"/>
    </row>
    <row r="6" spans="1:11" ht="21.95" customHeight="1">
      <c r="A6" s="744" t="s">
        <v>4611</v>
      </c>
      <c r="B6" s="744"/>
      <c r="C6" s="745" t="s">
        <v>3608</v>
      </c>
      <c r="D6" s="744" t="s">
        <v>1127</v>
      </c>
      <c r="E6" s="744" t="s">
        <v>1130</v>
      </c>
      <c r="F6" s="744" t="s">
        <v>3430</v>
      </c>
      <c r="G6" s="746" t="s">
        <v>3609</v>
      </c>
      <c r="H6" s="745" t="s">
        <v>3610</v>
      </c>
      <c r="I6" s="745" t="s">
        <v>4613</v>
      </c>
      <c r="J6" s="796">
        <v>4971.3500000000004</v>
      </c>
      <c r="K6" s="795"/>
    </row>
    <row r="7" spans="1:11" ht="21.95" customHeight="1">
      <c r="A7" s="744" t="s">
        <v>4611</v>
      </c>
      <c r="B7" s="744"/>
      <c r="C7" s="745" t="s">
        <v>3611</v>
      </c>
      <c r="D7" s="744" t="s">
        <v>1127</v>
      </c>
      <c r="E7" s="744" t="s">
        <v>1131</v>
      </c>
      <c r="F7" s="744" t="s">
        <v>3430</v>
      </c>
      <c r="G7" s="746" t="s">
        <v>1129</v>
      </c>
      <c r="H7" s="745" t="s">
        <v>3612</v>
      </c>
      <c r="I7" s="745" t="s">
        <v>3613</v>
      </c>
      <c r="J7" s="796">
        <v>5594.4</v>
      </c>
      <c r="K7" s="795"/>
    </row>
    <row r="8" spans="1:11" ht="21.95" customHeight="1">
      <c r="A8" s="744" t="s">
        <v>4611</v>
      </c>
      <c r="B8" s="744"/>
      <c r="C8" s="745" t="s">
        <v>3546</v>
      </c>
      <c r="D8" s="744" t="s">
        <v>3604</v>
      </c>
      <c r="E8" s="744" t="s">
        <v>1493</v>
      </c>
      <c r="F8" s="744" t="s">
        <v>3430</v>
      </c>
      <c r="G8" s="746" t="s">
        <v>1129</v>
      </c>
      <c r="H8" s="745" t="s">
        <v>3614</v>
      </c>
      <c r="I8" s="745" t="s">
        <v>3615</v>
      </c>
      <c r="J8" s="796">
        <v>1456.8</v>
      </c>
      <c r="K8" s="795"/>
    </row>
    <row r="9" spans="1:11" ht="21.95" customHeight="1" thickBot="1">
      <c r="A9" s="744" t="s">
        <v>4611</v>
      </c>
      <c r="B9" s="744"/>
      <c r="C9" s="745" t="s">
        <v>3616</v>
      </c>
      <c r="D9" s="744" t="s">
        <v>1127</v>
      </c>
      <c r="E9" s="744" t="s">
        <v>1132</v>
      </c>
      <c r="F9" s="744" t="s">
        <v>3430</v>
      </c>
      <c r="G9" s="746" t="s">
        <v>3609</v>
      </c>
      <c r="H9" s="745" t="s">
        <v>3610</v>
      </c>
      <c r="I9" s="745" t="s">
        <v>4614</v>
      </c>
      <c r="J9" s="796">
        <v>3536.54</v>
      </c>
      <c r="K9" s="795"/>
    </row>
    <row r="10" spans="1:11" ht="0.95" customHeight="1" thickTop="1">
      <c r="A10" s="747"/>
      <c r="B10" s="747"/>
      <c r="C10" s="747"/>
      <c r="D10" s="747"/>
      <c r="E10" s="747"/>
      <c r="F10" s="747"/>
      <c r="G10" s="747"/>
      <c r="H10" s="747"/>
      <c r="I10" s="747"/>
      <c r="J10" s="747"/>
      <c r="K10" s="747"/>
    </row>
    <row r="11" spans="1:11" ht="18" customHeight="1">
      <c r="A11" s="738"/>
      <c r="B11" s="738" t="s">
        <v>60</v>
      </c>
      <c r="C11" s="739" t="s">
        <v>3312</v>
      </c>
      <c r="D11" s="738" t="s">
        <v>3602</v>
      </c>
      <c r="E11" s="738" t="s">
        <v>3313</v>
      </c>
      <c r="F11" s="738" t="s">
        <v>3390</v>
      </c>
      <c r="G11" s="740" t="s">
        <v>70</v>
      </c>
      <c r="H11" s="739" t="s">
        <v>64</v>
      </c>
      <c r="I11" s="739" t="s">
        <v>3617</v>
      </c>
      <c r="J11" s="797" t="s">
        <v>474</v>
      </c>
      <c r="K11" s="795"/>
    </row>
    <row r="12" spans="1:11" ht="33" customHeight="1">
      <c r="A12" s="741" t="s">
        <v>4608</v>
      </c>
      <c r="B12" s="741" t="s">
        <v>4615</v>
      </c>
      <c r="C12" s="742" t="s">
        <v>3528</v>
      </c>
      <c r="D12" s="741" t="s">
        <v>3604</v>
      </c>
      <c r="E12" s="741" t="s">
        <v>1459</v>
      </c>
      <c r="F12" s="741" t="s">
        <v>3530</v>
      </c>
      <c r="G12" s="743" t="s">
        <v>1460</v>
      </c>
      <c r="H12" s="742">
        <v>1</v>
      </c>
      <c r="I12" s="742" t="s">
        <v>3621</v>
      </c>
      <c r="J12" s="798" t="s">
        <v>3621</v>
      </c>
      <c r="K12" s="795"/>
    </row>
    <row r="13" spans="1:11" ht="33" customHeight="1" thickBot="1">
      <c r="A13" s="748" t="s">
        <v>4616</v>
      </c>
      <c r="B13" s="748"/>
      <c r="C13" s="749" t="s">
        <v>3622</v>
      </c>
      <c r="D13" s="748" t="s">
        <v>1127</v>
      </c>
      <c r="E13" s="748" t="s">
        <v>3623</v>
      </c>
      <c r="F13" s="748" t="s">
        <v>3624</v>
      </c>
      <c r="G13" s="750" t="s">
        <v>3609</v>
      </c>
      <c r="H13" s="749" t="s">
        <v>3610</v>
      </c>
      <c r="I13" s="749" t="s">
        <v>3621</v>
      </c>
      <c r="J13" s="794">
        <v>643.75</v>
      </c>
      <c r="K13" s="795"/>
    </row>
    <row r="14" spans="1:11" ht="0.95" customHeight="1" thickTop="1">
      <c r="A14" s="747"/>
      <c r="B14" s="747"/>
      <c r="C14" s="747"/>
      <c r="D14" s="747"/>
      <c r="E14" s="747"/>
      <c r="F14" s="747"/>
      <c r="G14" s="747"/>
      <c r="H14" s="747"/>
      <c r="I14" s="747"/>
      <c r="J14" s="747"/>
      <c r="K14" s="747"/>
    </row>
    <row r="15" spans="1:11" ht="18" customHeight="1">
      <c r="A15" s="738"/>
      <c r="B15" s="738" t="s">
        <v>60</v>
      </c>
      <c r="C15" s="739" t="s">
        <v>3312</v>
      </c>
      <c r="D15" s="738" t="s">
        <v>3602</v>
      </c>
      <c r="E15" s="738" t="s">
        <v>3313</v>
      </c>
      <c r="F15" s="738" t="s">
        <v>3390</v>
      </c>
      <c r="G15" s="740" t="s">
        <v>70</v>
      </c>
      <c r="H15" s="739" t="s">
        <v>64</v>
      </c>
      <c r="I15" s="739" t="s">
        <v>3617</v>
      </c>
      <c r="J15" s="797" t="s">
        <v>474</v>
      </c>
      <c r="K15" s="795"/>
    </row>
    <row r="16" spans="1:11" ht="21.95" customHeight="1">
      <c r="A16" s="741" t="s">
        <v>4608</v>
      </c>
      <c r="B16" s="741" t="s">
        <v>4617</v>
      </c>
      <c r="C16" s="742" t="s">
        <v>3531</v>
      </c>
      <c r="D16" s="741" t="s">
        <v>3604</v>
      </c>
      <c r="E16" s="741" t="s">
        <v>1462</v>
      </c>
      <c r="F16" s="741" t="s">
        <v>3530</v>
      </c>
      <c r="G16" s="743" t="s">
        <v>57</v>
      </c>
      <c r="H16" s="742">
        <v>1</v>
      </c>
      <c r="I16" s="742" t="s">
        <v>4618</v>
      </c>
      <c r="J16" s="798" t="s">
        <v>4618</v>
      </c>
      <c r="K16" s="795"/>
    </row>
    <row r="17" spans="1:11" ht="21.95" customHeight="1">
      <c r="A17" s="744" t="s">
        <v>4611</v>
      </c>
      <c r="B17" s="744"/>
      <c r="C17" s="745" t="s">
        <v>3625</v>
      </c>
      <c r="D17" s="744" t="s">
        <v>1127</v>
      </c>
      <c r="E17" s="744" t="s">
        <v>1296</v>
      </c>
      <c r="F17" s="744" t="s">
        <v>3430</v>
      </c>
      <c r="G17" s="746" t="s">
        <v>1129</v>
      </c>
      <c r="H17" s="745" t="s">
        <v>3626</v>
      </c>
      <c r="I17" s="745" t="s">
        <v>3627</v>
      </c>
      <c r="J17" s="796">
        <v>57</v>
      </c>
      <c r="K17" s="795"/>
    </row>
    <row r="18" spans="1:11" ht="21.95" customHeight="1">
      <c r="A18" s="744" t="s">
        <v>4611</v>
      </c>
      <c r="B18" s="744"/>
      <c r="C18" s="745" t="s">
        <v>3628</v>
      </c>
      <c r="D18" s="744" t="s">
        <v>1127</v>
      </c>
      <c r="E18" s="744" t="s">
        <v>1286</v>
      </c>
      <c r="F18" s="744" t="s">
        <v>3430</v>
      </c>
      <c r="G18" s="746" t="s">
        <v>1129</v>
      </c>
      <c r="H18" s="745" t="s">
        <v>3629</v>
      </c>
      <c r="I18" s="745" t="s">
        <v>3630</v>
      </c>
      <c r="J18" s="796">
        <v>139.84</v>
      </c>
      <c r="K18" s="795"/>
    </row>
    <row r="19" spans="1:11" ht="21.95" customHeight="1">
      <c r="A19" s="744" t="s">
        <v>4611</v>
      </c>
      <c r="B19" s="744"/>
      <c r="C19" s="745" t="s">
        <v>3631</v>
      </c>
      <c r="D19" s="744" t="s">
        <v>1127</v>
      </c>
      <c r="E19" s="744" t="s">
        <v>1145</v>
      </c>
      <c r="F19" s="744" t="s">
        <v>3430</v>
      </c>
      <c r="G19" s="746" t="s">
        <v>1129</v>
      </c>
      <c r="H19" s="745" t="s">
        <v>3629</v>
      </c>
      <c r="I19" s="745" t="s">
        <v>3632</v>
      </c>
      <c r="J19" s="796">
        <v>136.63999999999999</v>
      </c>
      <c r="K19" s="795"/>
    </row>
    <row r="20" spans="1:11" ht="21.95" customHeight="1">
      <c r="A20" s="744" t="s">
        <v>4611</v>
      </c>
      <c r="B20" s="744"/>
      <c r="C20" s="745" t="s">
        <v>3633</v>
      </c>
      <c r="D20" s="744" t="s">
        <v>1127</v>
      </c>
      <c r="E20" s="744" t="s">
        <v>1146</v>
      </c>
      <c r="F20" s="744" t="s">
        <v>3430</v>
      </c>
      <c r="G20" s="746" t="s">
        <v>1129</v>
      </c>
      <c r="H20" s="745" t="s">
        <v>3634</v>
      </c>
      <c r="I20" s="745" t="s">
        <v>3635</v>
      </c>
      <c r="J20" s="796">
        <v>112.7</v>
      </c>
      <c r="K20" s="795"/>
    </row>
    <row r="21" spans="1:11" ht="21.95" customHeight="1">
      <c r="A21" s="744" t="s">
        <v>4611</v>
      </c>
      <c r="B21" s="744"/>
      <c r="C21" s="745" t="s">
        <v>3636</v>
      </c>
      <c r="D21" s="744" t="s">
        <v>1127</v>
      </c>
      <c r="E21" s="744" t="s">
        <v>1144</v>
      </c>
      <c r="F21" s="744" t="s">
        <v>3430</v>
      </c>
      <c r="G21" s="746" t="s">
        <v>1129</v>
      </c>
      <c r="H21" s="745" t="s">
        <v>3629</v>
      </c>
      <c r="I21" s="745" t="s">
        <v>4619</v>
      </c>
      <c r="J21" s="796">
        <v>135.91999999999999</v>
      </c>
      <c r="K21" s="795"/>
    </row>
    <row r="22" spans="1:11" ht="21.95" customHeight="1">
      <c r="A22" s="748" t="s">
        <v>4616</v>
      </c>
      <c r="B22" s="748"/>
      <c r="C22" s="749" t="s">
        <v>3637</v>
      </c>
      <c r="D22" s="748" t="s">
        <v>1127</v>
      </c>
      <c r="E22" s="748" t="s">
        <v>3638</v>
      </c>
      <c r="F22" s="748" t="s">
        <v>1187</v>
      </c>
      <c r="G22" s="750" t="s">
        <v>94</v>
      </c>
      <c r="H22" s="749" t="s">
        <v>3610</v>
      </c>
      <c r="I22" s="749" t="s">
        <v>3639</v>
      </c>
      <c r="J22" s="794">
        <v>8.8800000000000008</v>
      </c>
      <c r="K22" s="795"/>
    </row>
    <row r="23" spans="1:11" ht="21.95" customHeight="1">
      <c r="A23" s="748" t="s">
        <v>4616</v>
      </c>
      <c r="B23" s="748"/>
      <c r="C23" s="749" t="s">
        <v>3640</v>
      </c>
      <c r="D23" s="748" t="s">
        <v>1127</v>
      </c>
      <c r="E23" s="748" t="s">
        <v>3641</v>
      </c>
      <c r="F23" s="748" t="s">
        <v>1187</v>
      </c>
      <c r="G23" s="750" t="s">
        <v>101</v>
      </c>
      <c r="H23" s="749" t="s">
        <v>3642</v>
      </c>
      <c r="I23" s="749" t="s">
        <v>3643</v>
      </c>
      <c r="J23" s="794">
        <v>44.1</v>
      </c>
      <c r="K23" s="795"/>
    </row>
    <row r="24" spans="1:11" ht="21.95" customHeight="1">
      <c r="A24" s="748" t="s">
        <v>4616</v>
      </c>
      <c r="B24" s="748"/>
      <c r="C24" s="749" t="s">
        <v>3644</v>
      </c>
      <c r="D24" s="748" t="s">
        <v>1127</v>
      </c>
      <c r="E24" s="748" t="s">
        <v>1215</v>
      </c>
      <c r="F24" s="748" t="s">
        <v>1187</v>
      </c>
      <c r="G24" s="750" t="s">
        <v>284</v>
      </c>
      <c r="H24" s="749" t="s">
        <v>3645</v>
      </c>
      <c r="I24" s="749" t="s">
        <v>3646</v>
      </c>
      <c r="J24" s="794">
        <v>1.18</v>
      </c>
      <c r="K24" s="795"/>
    </row>
    <row r="25" spans="1:11" ht="21.95" customHeight="1">
      <c r="A25" s="748" t="s">
        <v>4616</v>
      </c>
      <c r="B25" s="748"/>
      <c r="C25" s="749" t="s">
        <v>3647</v>
      </c>
      <c r="D25" s="748" t="s">
        <v>1127</v>
      </c>
      <c r="E25" s="748" t="s">
        <v>1463</v>
      </c>
      <c r="F25" s="748" t="s">
        <v>1187</v>
      </c>
      <c r="G25" s="750" t="s">
        <v>57</v>
      </c>
      <c r="H25" s="749" t="s">
        <v>3610</v>
      </c>
      <c r="I25" s="749" t="s">
        <v>3648</v>
      </c>
      <c r="J25" s="794">
        <v>113.95</v>
      </c>
      <c r="K25" s="795"/>
    </row>
    <row r="26" spans="1:11" ht="21.95" customHeight="1">
      <c r="A26" s="748" t="s">
        <v>4616</v>
      </c>
      <c r="B26" s="748"/>
      <c r="C26" s="749" t="s">
        <v>3649</v>
      </c>
      <c r="D26" s="748" t="s">
        <v>1127</v>
      </c>
      <c r="E26" s="748" t="s">
        <v>1464</v>
      </c>
      <c r="F26" s="748" t="s">
        <v>1187</v>
      </c>
      <c r="G26" s="750" t="s">
        <v>101</v>
      </c>
      <c r="H26" s="749" t="s">
        <v>3629</v>
      </c>
      <c r="I26" s="749" t="s">
        <v>3650</v>
      </c>
      <c r="J26" s="794">
        <v>50.08</v>
      </c>
      <c r="K26" s="795"/>
    </row>
    <row r="27" spans="1:11" ht="21.95" customHeight="1">
      <c r="A27" s="748" t="s">
        <v>4616</v>
      </c>
      <c r="B27" s="748"/>
      <c r="C27" s="749" t="s">
        <v>3651</v>
      </c>
      <c r="D27" s="748" t="s">
        <v>1127</v>
      </c>
      <c r="E27" s="748" t="s">
        <v>1298</v>
      </c>
      <c r="F27" s="748" t="s">
        <v>1187</v>
      </c>
      <c r="G27" s="750" t="s">
        <v>101</v>
      </c>
      <c r="H27" s="749" t="s">
        <v>3652</v>
      </c>
      <c r="I27" s="749" t="s">
        <v>3653</v>
      </c>
      <c r="J27" s="794">
        <v>89.7</v>
      </c>
      <c r="K27" s="795"/>
    </row>
    <row r="28" spans="1:11" ht="21.95" customHeight="1">
      <c r="A28" s="748" t="s">
        <v>4616</v>
      </c>
      <c r="B28" s="748"/>
      <c r="C28" s="749" t="s">
        <v>3654</v>
      </c>
      <c r="D28" s="748" t="s">
        <v>1127</v>
      </c>
      <c r="E28" s="748" t="s">
        <v>1465</v>
      </c>
      <c r="F28" s="748" t="s">
        <v>1187</v>
      </c>
      <c r="G28" s="750" t="s">
        <v>101</v>
      </c>
      <c r="H28" s="749" t="s">
        <v>3655</v>
      </c>
      <c r="I28" s="749" t="s">
        <v>3656</v>
      </c>
      <c r="J28" s="794">
        <v>242.5</v>
      </c>
      <c r="K28" s="795"/>
    </row>
    <row r="29" spans="1:11" ht="21.95" customHeight="1">
      <c r="A29" s="748" t="s">
        <v>4616</v>
      </c>
      <c r="B29" s="748"/>
      <c r="C29" s="749" t="s">
        <v>3657</v>
      </c>
      <c r="D29" s="748" t="s">
        <v>1127</v>
      </c>
      <c r="E29" s="748" t="s">
        <v>1466</v>
      </c>
      <c r="F29" s="748" t="s">
        <v>1187</v>
      </c>
      <c r="G29" s="750" t="s">
        <v>57</v>
      </c>
      <c r="H29" s="749" t="s">
        <v>3652</v>
      </c>
      <c r="I29" s="749" t="s">
        <v>3658</v>
      </c>
      <c r="J29" s="794">
        <v>9</v>
      </c>
      <c r="K29" s="795"/>
    </row>
    <row r="30" spans="1:11" ht="21.95" customHeight="1" thickBot="1">
      <c r="A30" s="748" t="s">
        <v>4616</v>
      </c>
      <c r="B30" s="748"/>
      <c r="C30" s="749" t="s">
        <v>3659</v>
      </c>
      <c r="D30" s="748" t="s">
        <v>1127</v>
      </c>
      <c r="E30" s="748" t="s">
        <v>1467</v>
      </c>
      <c r="F30" s="748" t="s">
        <v>1187</v>
      </c>
      <c r="G30" s="750" t="s">
        <v>57</v>
      </c>
      <c r="H30" s="749" t="s">
        <v>3610</v>
      </c>
      <c r="I30" s="749" t="s">
        <v>3660</v>
      </c>
      <c r="J30" s="794">
        <v>267.89999999999998</v>
      </c>
      <c r="K30" s="795"/>
    </row>
    <row r="31" spans="1:11" ht="0.95" customHeight="1" thickTop="1">
      <c r="A31" s="747"/>
      <c r="B31" s="747"/>
      <c r="C31" s="747"/>
      <c r="D31" s="747"/>
      <c r="E31" s="747"/>
      <c r="F31" s="747"/>
      <c r="G31" s="747"/>
      <c r="H31" s="747"/>
      <c r="I31" s="747"/>
      <c r="J31" s="747"/>
      <c r="K31" s="747"/>
    </row>
    <row r="32" spans="1:11" ht="18" customHeight="1">
      <c r="A32" s="738"/>
      <c r="B32" s="738" t="s">
        <v>60</v>
      </c>
      <c r="C32" s="739" t="s">
        <v>3312</v>
      </c>
      <c r="D32" s="738" t="s">
        <v>3602</v>
      </c>
      <c r="E32" s="738" t="s">
        <v>3313</v>
      </c>
      <c r="F32" s="738" t="s">
        <v>3390</v>
      </c>
      <c r="G32" s="740" t="s">
        <v>70</v>
      </c>
      <c r="H32" s="739" t="s">
        <v>64</v>
      </c>
      <c r="I32" s="739" t="s">
        <v>3617</v>
      </c>
      <c r="J32" s="797" t="s">
        <v>474</v>
      </c>
      <c r="K32" s="795"/>
    </row>
    <row r="33" spans="1:11" ht="21.95" customHeight="1">
      <c r="A33" s="741" t="s">
        <v>4608</v>
      </c>
      <c r="B33" s="741" t="s">
        <v>4620</v>
      </c>
      <c r="C33" s="742" t="s">
        <v>3424</v>
      </c>
      <c r="D33" s="741" t="s">
        <v>3604</v>
      </c>
      <c r="E33" s="741" t="s">
        <v>653</v>
      </c>
      <c r="F33" s="741" t="s">
        <v>3426</v>
      </c>
      <c r="G33" s="743" t="s">
        <v>284</v>
      </c>
      <c r="H33" s="742">
        <v>1</v>
      </c>
      <c r="I33" s="742" t="s">
        <v>3618</v>
      </c>
      <c r="J33" s="798" t="s">
        <v>3618</v>
      </c>
      <c r="K33" s="795"/>
    </row>
    <row r="34" spans="1:11" ht="21.95" customHeight="1" thickBot="1">
      <c r="A34" s="748" t="s">
        <v>4616</v>
      </c>
      <c r="B34" s="748"/>
      <c r="C34" s="749" t="s">
        <v>3619</v>
      </c>
      <c r="D34" s="748" t="s">
        <v>1127</v>
      </c>
      <c r="E34" s="748" t="s">
        <v>3620</v>
      </c>
      <c r="F34" s="748" t="s">
        <v>1187</v>
      </c>
      <c r="G34" s="750" t="s">
        <v>284</v>
      </c>
      <c r="H34" s="749" t="s">
        <v>3610</v>
      </c>
      <c r="I34" s="749" t="s">
        <v>3618</v>
      </c>
      <c r="J34" s="794">
        <v>27.41</v>
      </c>
      <c r="K34" s="795"/>
    </row>
    <row r="35" spans="1:11" ht="0.95" customHeight="1" thickTop="1">
      <c r="A35" s="747"/>
      <c r="B35" s="747"/>
      <c r="C35" s="747"/>
      <c r="D35" s="747"/>
      <c r="E35" s="747"/>
      <c r="F35" s="747"/>
      <c r="G35" s="747"/>
      <c r="H35" s="747"/>
      <c r="I35" s="747"/>
      <c r="J35" s="747"/>
      <c r="K35" s="747"/>
    </row>
    <row r="36" spans="1:11" ht="18" customHeight="1">
      <c r="A36" s="738"/>
      <c r="B36" s="738" t="s">
        <v>60</v>
      </c>
      <c r="C36" s="739" t="s">
        <v>3312</v>
      </c>
      <c r="D36" s="738" t="s">
        <v>3602</v>
      </c>
      <c r="E36" s="738" t="s">
        <v>3313</v>
      </c>
      <c r="F36" s="738" t="s">
        <v>3390</v>
      </c>
      <c r="G36" s="740" t="s">
        <v>70</v>
      </c>
      <c r="H36" s="739" t="s">
        <v>64</v>
      </c>
      <c r="I36" s="739" t="s">
        <v>3617</v>
      </c>
      <c r="J36" s="797" t="s">
        <v>474</v>
      </c>
      <c r="K36" s="795"/>
    </row>
    <row r="37" spans="1:11" ht="33" customHeight="1">
      <c r="A37" s="741" t="s">
        <v>4608</v>
      </c>
      <c r="B37" s="741" t="s">
        <v>4621</v>
      </c>
      <c r="C37" s="742" t="s">
        <v>3408</v>
      </c>
      <c r="D37" s="741" t="s">
        <v>3604</v>
      </c>
      <c r="E37" s="741" t="s">
        <v>536</v>
      </c>
      <c r="F37" s="741" t="s">
        <v>3410</v>
      </c>
      <c r="G37" s="743" t="s">
        <v>284</v>
      </c>
      <c r="H37" s="742">
        <v>1</v>
      </c>
      <c r="I37" s="742" t="s">
        <v>3698</v>
      </c>
      <c r="J37" s="798" t="s">
        <v>3698</v>
      </c>
      <c r="K37" s="795"/>
    </row>
    <row r="38" spans="1:11" ht="33" customHeight="1" thickBot="1">
      <c r="A38" s="748" t="s">
        <v>4616</v>
      </c>
      <c r="B38" s="748"/>
      <c r="C38" s="749" t="s">
        <v>3699</v>
      </c>
      <c r="D38" s="748" t="s">
        <v>1127</v>
      </c>
      <c r="E38" s="748" t="s">
        <v>536</v>
      </c>
      <c r="F38" s="748" t="s">
        <v>1187</v>
      </c>
      <c r="G38" s="750" t="s">
        <v>284</v>
      </c>
      <c r="H38" s="749" t="s">
        <v>3610</v>
      </c>
      <c r="I38" s="749" t="s">
        <v>3698</v>
      </c>
      <c r="J38" s="794">
        <v>294.68</v>
      </c>
      <c r="K38" s="795"/>
    </row>
    <row r="39" spans="1:11" ht="0.95" customHeight="1" thickTop="1">
      <c r="A39" s="747"/>
      <c r="B39" s="747"/>
      <c r="C39" s="747"/>
      <c r="D39" s="747"/>
      <c r="E39" s="747"/>
      <c r="F39" s="747"/>
      <c r="G39" s="747"/>
      <c r="H39" s="747"/>
      <c r="I39" s="747"/>
      <c r="J39" s="747"/>
      <c r="K39" s="747"/>
    </row>
    <row r="40" spans="1:11" ht="18" customHeight="1">
      <c r="A40" s="738"/>
      <c r="B40" s="738" t="s">
        <v>60</v>
      </c>
      <c r="C40" s="739" t="s">
        <v>3312</v>
      </c>
      <c r="D40" s="738" t="s">
        <v>3602</v>
      </c>
      <c r="E40" s="738" t="s">
        <v>3313</v>
      </c>
      <c r="F40" s="738" t="s">
        <v>3390</v>
      </c>
      <c r="G40" s="740" t="s">
        <v>70</v>
      </c>
      <c r="H40" s="739" t="s">
        <v>64</v>
      </c>
      <c r="I40" s="739" t="s">
        <v>3617</v>
      </c>
      <c r="J40" s="797" t="s">
        <v>474</v>
      </c>
      <c r="K40" s="795"/>
    </row>
    <row r="41" spans="1:11" ht="44.1" customHeight="1">
      <c r="A41" s="741" t="s">
        <v>4608</v>
      </c>
      <c r="B41" s="741" t="s">
        <v>4622</v>
      </c>
      <c r="C41" s="742" t="s">
        <v>3411</v>
      </c>
      <c r="D41" s="741" t="s">
        <v>3604</v>
      </c>
      <c r="E41" s="741" t="s">
        <v>537</v>
      </c>
      <c r="F41" s="741" t="s">
        <v>3410</v>
      </c>
      <c r="G41" s="743" t="s">
        <v>94</v>
      </c>
      <c r="H41" s="742">
        <v>1</v>
      </c>
      <c r="I41" s="742" t="s">
        <v>3687</v>
      </c>
      <c r="J41" s="798" t="s">
        <v>3687</v>
      </c>
      <c r="K41" s="795"/>
    </row>
    <row r="42" spans="1:11" ht="21.95" customHeight="1">
      <c r="A42" s="744" t="s">
        <v>4611</v>
      </c>
      <c r="B42" s="744"/>
      <c r="C42" s="745" t="s">
        <v>3661</v>
      </c>
      <c r="D42" s="744" t="s">
        <v>1127</v>
      </c>
      <c r="E42" s="744" t="s">
        <v>1133</v>
      </c>
      <c r="F42" s="744" t="s">
        <v>3430</v>
      </c>
      <c r="G42" s="746" t="s">
        <v>1129</v>
      </c>
      <c r="H42" s="745" t="s">
        <v>3688</v>
      </c>
      <c r="I42" s="745" t="s">
        <v>3663</v>
      </c>
      <c r="J42" s="796">
        <v>0.16</v>
      </c>
      <c r="K42" s="795"/>
    </row>
    <row r="43" spans="1:11" ht="21.95" customHeight="1">
      <c r="A43" s="744" t="s">
        <v>4611</v>
      </c>
      <c r="B43" s="744"/>
      <c r="C43" s="745" t="s">
        <v>3664</v>
      </c>
      <c r="D43" s="744" t="s">
        <v>1127</v>
      </c>
      <c r="E43" s="744" t="s">
        <v>1134</v>
      </c>
      <c r="F43" s="744" t="s">
        <v>3430</v>
      </c>
      <c r="G43" s="746" t="s">
        <v>1129</v>
      </c>
      <c r="H43" s="745" t="s">
        <v>3689</v>
      </c>
      <c r="I43" s="745" t="s">
        <v>4619</v>
      </c>
      <c r="J43" s="796">
        <v>1.26</v>
      </c>
      <c r="K43" s="795"/>
    </row>
    <row r="44" spans="1:11" ht="33" customHeight="1">
      <c r="A44" s="744" t="s">
        <v>4611</v>
      </c>
      <c r="B44" s="744"/>
      <c r="C44" s="745" t="s">
        <v>3690</v>
      </c>
      <c r="D44" s="744" t="s">
        <v>1127</v>
      </c>
      <c r="E44" s="744" t="s">
        <v>4623</v>
      </c>
      <c r="F44" s="744" t="s">
        <v>3410</v>
      </c>
      <c r="G44" s="746" t="s">
        <v>94</v>
      </c>
      <c r="H44" s="745" t="s">
        <v>3610</v>
      </c>
      <c r="I44" s="745" t="s">
        <v>3691</v>
      </c>
      <c r="J44" s="796">
        <v>5.94</v>
      </c>
      <c r="K44" s="795"/>
    </row>
    <row r="45" spans="1:11" ht="21.95" customHeight="1" thickBot="1">
      <c r="A45" s="748" t="s">
        <v>4616</v>
      </c>
      <c r="B45" s="748"/>
      <c r="C45" s="749" t="s">
        <v>3668</v>
      </c>
      <c r="D45" s="748" t="s">
        <v>1127</v>
      </c>
      <c r="E45" s="748" t="s">
        <v>1137</v>
      </c>
      <c r="F45" s="748" t="s">
        <v>1187</v>
      </c>
      <c r="G45" s="750" t="s">
        <v>94</v>
      </c>
      <c r="H45" s="749" t="s">
        <v>3669</v>
      </c>
      <c r="I45" s="749" t="s">
        <v>3670</v>
      </c>
      <c r="J45" s="794">
        <v>0.19</v>
      </c>
      <c r="K45" s="795"/>
    </row>
    <row r="46" spans="1:11" ht="0.95" customHeight="1" thickTop="1">
      <c r="A46" s="747"/>
      <c r="B46" s="747"/>
      <c r="C46" s="747"/>
      <c r="D46" s="747"/>
      <c r="E46" s="747"/>
      <c r="F46" s="747"/>
      <c r="G46" s="747"/>
      <c r="H46" s="747"/>
      <c r="I46" s="747"/>
      <c r="J46" s="747"/>
      <c r="K46" s="747"/>
    </row>
    <row r="47" spans="1:11" ht="18" customHeight="1">
      <c r="A47" s="738"/>
      <c r="B47" s="738" t="s">
        <v>60</v>
      </c>
      <c r="C47" s="739" t="s">
        <v>3312</v>
      </c>
      <c r="D47" s="738" t="s">
        <v>3602</v>
      </c>
      <c r="E47" s="738" t="s">
        <v>3313</v>
      </c>
      <c r="F47" s="738" t="s">
        <v>3390</v>
      </c>
      <c r="G47" s="740" t="s">
        <v>70</v>
      </c>
      <c r="H47" s="739" t="s">
        <v>64</v>
      </c>
      <c r="I47" s="739" t="s">
        <v>3617</v>
      </c>
      <c r="J47" s="797" t="s">
        <v>474</v>
      </c>
      <c r="K47" s="795"/>
    </row>
    <row r="48" spans="1:11" ht="44.1" customHeight="1">
      <c r="A48" s="741" t="s">
        <v>4608</v>
      </c>
      <c r="B48" s="741" t="s">
        <v>4624</v>
      </c>
      <c r="C48" s="742" t="s">
        <v>3413</v>
      </c>
      <c r="D48" s="741" t="s">
        <v>3604</v>
      </c>
      <c r="E48" s="741" t="s">
        <v>541</v>
      </c>
      <c r="F48" s="741" t="s">
        <v>3410</v>
      </c>
      <c r="G48" s="743" t="s">
        <v>94</v>
      </c>
      <c r="H48" s="742">
        <v>1</v>
      </c>
      <c r="I48" s="742" t="s">
        <v>4625</v>
      </c>
      <c r="J48" s="798" t="s">
        <v>4625</v>
      </c>
      <c r="K48" s="795"/>
    </row>
    <row r="49" spans="1:11" ht="21.95" customHeight="1">
      <c r="A49" s="744" t="s">
        <v>4611</v>
      </c>
      <c r="B49" s="744"/>
      <c r="C49" s="745" t="s">
        <v>3661</v>
      </c>
      <c r="D49" s="744" t="s">
        <v>1127</v>
      </c>
      <c r="E49" s="744" t="s">
        <v>1133</v>
      </c>
      <c r="F49" s="744" t="s">
        <v>3430</v>
      </c>
      <c r="G49" s="746" t="s">
        <v>1129</v>
      </c>
      <c r="H49" s="745" t="s">
        <v>3662</v>
      </c>
      <c r="I49" s="745" t="s">
        <v>3663</v>
      </c>
      <c r="J49" s="796">
        <v>0.39</v>
      </c>
      <c r="K49" s="795"/>
    </row>
    <row r="50" spans="1:11" ht="21.95" customHeight="1">
      <c r="A50" s="744" t="s">
        <v>4611</v>
      </c>
      <c r="B50" s="744"/>
      <c r="C50" s="745" t="s">
        <v>3664</v>
      </c>
      <c r="D50" s="744" t="s">
        <v>1127</v>
      </c>
      <c r="E50" s="744" t="s">
        <v>1134</v>
      </c>
      <c r="F50" s="744" t="s">
        <v>3430</v>
      </c>
      <c r="G50" s="746" t="s">
        <v>1129</v>
      </c>
      <c r="H50" s="745" t="s">
        <v>3665</v>
      </c>
      <c r="I50" s="745" t="s">
        <v>4619</v>
      </c>
      <c r="J50" s="796">
        <v>2.96</v>
      </c>
      <c r="K50" s="795"/>
    </row>
    <row r="51" spans="1:11" ht="33" customHeight="1">
      <c r="A51" s="744" t="s">
        <v>4611</v>
      </c>
      <c r="B51" s="744"/>
      <c r="C51" s="745" t="s">
        <v>3666</v>
      </c>
      <c r="D51" s="744" t="s">
        <v>1127</v>
      </c>
      <c r="E51" s="744" t="s">
        <v>4626</v>
      </c>
      <c r="F51" s="744" t="s">
        <v>3410</v>
      </c>
      <c r="G51" s="746" t="s">
        <v>94</v>
      </c>
      <c r="H51" s="745" t="s">
        <v>3610</v>
      </c>
      <c r="I51" s="745" t="s">
        <v>3667</v>
      </c>
      <c r="J51" s="796">
        <v>7.29</v>
      </c>
      <c r="K51" s="795"/>
    </row>
    <row r="52" spans="1:11" ht="21.95" customHeight="1">
      <c r="A52" s="748" t="s">
        <v>4616</v>
      </c>
      <c r="B52" s="748"/>
      <c r="C52" s="749" t="s">
        <v>3668</v>
      </c>
      <c r="D52" s="748" t="s">
        <v>1127</v>
      </c>
      <c r="E52" s="748" t="s">
        <v>1137</v>
      </c>
      <c r="F52" s="748" t="s">
        <v>1187</v>
      </c>
      <c r="G52" s="750" t="s">
        <v>94</v>
      </c>
      <c r="H52" s="749" t="s">
        <v>3669</v>
      </c>
      <c r="I52" s="749" t="s">
        <v>3670</v>
      </c>
      <c r="J52" s="794">
        <v>0.19</v>
      </c>
      <c r="K52" s="795"/>
    </row>
    <row r="53" spans="1:11" ht="33" customHeight="1" thickBot="1">
      <c r="A53" s="748" t="s">
        <v>4616</v>
      </c>
      <c r="B53" s="748"/>
      <c r="C53" s="749" t="s">
        <v>3671</v>
      </c>
      <c r="D53" s="748" t="s">
        <v>1127</v>
      </c>
      <c r="E53" s="748" t="s">
        <v>3672</v>
      </c>
      <c r="F53" s="748" t="s">
        <v>1187</v>
      </c>
      <c r="G53" s="750" t="s">
        <v>57</v>
      </c>
      <c r="H53" s="749" t="s">
        <v>3673</v>
      </c>
      <c r="I53" s="749" t="s">
        <v>3674</v>
      </c>
      <c r="J53" s="794">
        <v>0.14000000000000001</v>
      </c>
      <c r="K53" s="795"/>
    </row>
    <row r="54" spans="1:11" ht="0.95" customHeight="1" thickTop="1">
      <c r="A54" s="747"/>
      <c r="B54" s="747"/>
      <c r="C54" s="747"/>
      <c r="D54" s="747"/>
      <c r="E54" s="747"/>
      <c r="F54" s="747"/>
      <c r="G54" s="747"/>
      <c r="H54" s="747"/>
      <c r="I54" s="747"/>
      <c r="J54" s="747"/>
      <c r="K54" s="747"/>
    </row>
    <row r="55" spans="1:11" ht="18" customHeight="1">
      <c r="A55" s="738"/>
      <c r="B55" s="738" t="s">
        <v>60</v>
      </c>
      <c r="C55" s="739" t="s">
        <v>3312</v>
      </c>
      <c r="D55" s="738" t="s">
        <v>3602</v>
      </c>
      <c r="E55" s="738" t="s">
        <v>3313</v>
      </c>
      <c r="F55" s="738" t="s">
        <v>3390</v>
      </c>
      <c r="G55" s="740" t="s">
        <v>70</v>
      </c>
      <c r="H55" s="739" t="s">
        <v>64</v>
      </c>
      <c r="I55" s="739" t="s">
        <v>3617</v>
      </c>
      <c r="J55" s="797" t="s">
        <v>474</v>
      </c>
      <c r="K55" s="795"/>
    </row>
    <row r="56" spans="1:11" ht="44.1" customHeight="1">
      <c r="A56" s="741" t="s">
        <v>4608</v>
      </c>
      <c r="B56" s="741" t="s">
        <v>4627</v>
      </c>
      <c r="C56" s="742" t="s">
        <v>3414</v>
      </c>
      <c r="D56" s="741" t="s">
        <v>3604</v>
      </c>
      <c r="E56" s="741" t="s">
        <v>543</v>
      </c>
      <c r="F56" s="741" t="s">
        <v>3410</v>
      </c>
      <c r="G56" s="743" t="s">
        <v>94</v>
      </c>
      <c r="H56" s="742">
        <v>1</v>
      </c>
      <c r="I56" s="742" t="s">
        <v>3675</v>
      </c>
      <c r="J56" s="798" t="s">
        <v>3675</v>
      </c>
      <c r="K56" s="795"/>
    </row>
    <row r="57" spans="1:11" ht="21.95" customHeight="1">
      <c r="A57" s="744" t="s">
        <v>4611</v>
      </c>
      <c r="B57" s="744"/>
      <c r="C57" s="745" t="s">
        <v>3661</v>
      </c>
      <c r="D57" s="744" t="s">
        <v>1127</v>
      </c>
      <c r="E57" s="744" t="s">
        <v>1133</v>
      </c>
      <c r="F57" s="744" t="s">
        <v>3430</v>
      </c>
      <c r="G57" s="746" t="s">
        <v>1129</v>
      </c>
      <c r="H57" s="745" t="s">
        <v>3676</v>
      </c>
      <c r="I57" s="745" t="s">
        <v>3663</v>
      </c>
      <c r="J57" s="796">
        <v>0.3</v>
      </c>
      <c r="K57" s="795"/>
    </row>
    <row r="58" spans="1:11" ht="21.95" customHeight="1">
      <c r="A58" s="744" t="s">
        <v>4611</v>
      </c>
      <c r="B58" s="744"/>
      <c r="C58" s="745" t="s">
        <v>3664</v>
      </c>
      <c r="D58" s="744" t="s">
        <v>1127</v>
      </c>
      <c r="E58" s="744" t="s">
        <v>1134</v>
      </c>
      <c r="F58" s="744" t="s">
        <v>3430</v>
      </c>
      <c r="G58" s="746" t="s">
        <v>1129</v>
      </c>
      <c r="H58" s="745" t="s">
        <v>3677</v>
      </c>
      <c r="I58" s="745" t="s">
        <v>4619</v>
      </c>
      <c r="J58" s="796">
        <v>2.25</v>
      </c>
      <c r="K58" s="795"/>
    </row>
    <row r="59" spans="1:11" ht="33" customHeight="1">
      <c r="A59" s="744" t="s">
        <v>4611</v>
      </c>
      <c r="B59" s="744"/>
      <c r="C59" s="745" t="s">
        <v>3678</v>
      </c>
      <c r="D59" s="744" t="s">
        <v>1127</v>
      </c>
      <c r="E59" s="744" t="s">
        <v>4628</v>
      </c>
      <c r="F59" s="744" t="s">
        <v>3410</v>
      </c>
      <c r="G59" s="746" t="s">
        <v>94</v>
      </c>
      <c r="H59" s="745" t="s">
        <v>3610</v>
      </c>
      <c r="I59" s="745" t="s">
        <v>3679</v>
      </c>
      <c r="J59" s="796">
        <v>7.11</v>
      </c>
      <c r="K59" s="795"/>
    </row>
    <row r="60" spans="1:11" ht="21.95" customHeight="1">
      <c r="A60" s="748" t="s">
        <v>4616</v>
      </c>
      <c r="B60" s="748"/>
      <c r="C60" s="749" t="s">
        <v>3668</v>
      </c>
      <c r="D60" s="748" t="s">
        <v>1127</v>
      </c>
      <c r="E60" s="748" t="s">
        <v>1137</v>
      </c>
      <c r="F60" s="748" t="s">
        <v>1187</v>
      </c>
      <c r="G60" s="750" t="s">
        <v>94</v>
      </c>
      <c r="H60" s="749" t="s">
        <v>3669</v>
      </c>
      <c r="I60" s="749" t="s">
        <v>3670</v>
      </c>
      <c r="J60" s="794">
        <v>0.19</v>
      </c>
      <c r="K60" s="795"/>
    </row>
    <row r="61" spans="1:11" ht="33" customHeight="1" thickBot="1">
      <c r="A61" s="748" t="s">
        <v>4616</v>
      </c>
      <c r="B61" s="748"/>
      <c r="C61" s="749" t="s">
        <v>3671</v>
      </c>
      <c r="D61" s="748" t="s">
        <v>1127</v>
      </c>
      <c r="E61" s="748" t="s">
        <v>3672</v>
      </c>
      <c r="F61" s="748" t="s">
        <v>1187</v>
      </c>
      <c r="G61" s="750" t="s">
        <v>57</v>
      </c>
      <c r="H61" s="749" t="s">
        <v>3680</v>
      </c>
      <c r="I61" s="749" t="s">
        <v>3674</v>
      </c>
      <c r="J61" s="794">
        <v>0.11</v>
      </c>
      <c r="K61" s="795"/>
    </row>
    <row r="62" spans="1:11" ht="0.95" customHeight="1" thickTop="1">
      <c r="A62" s="747"/>
      <c r="B62" s="747"/>
      <c r="C62" s="747"/>
      <c r="D62" s="747"/>
      <c r="E62" s="747"/>
      <c r="F62" s="747"/>
      <c r="G62" s="747"/>
      <c r="H62" s="747"/>
      <c r="I62" s="747"/>
      <c r="J62" s="747"/>
      <c r="K62" s="747"/>
    </row>
    <row r="63" spans="1:11" ht="18" customHeight="1">
      <c r="A63" s="738"/>
      <c r="B63" s="738" t="s">
        <v>60</v>
      </c>
      <c r="C63" s="739" t="s">
        <v>3312</v>
      </c>
      <c r="D63" s="738" t="s">
        <v>3602</v>
      </c>
      <c r="E63" s="738" t="s">
        <v>3313</v>
      </c>
      <c r="F63" s="738" t="s">
        <v>3390</v>
      </c>
      <c r="G63" s="740" t="s">
        <v>70</v>
      </c>
      <c r="H63" s="739" t="s">
        <v>64</v>
      </c>
      <c r="I63" s="739" t="s">
        <v>3617</v>
      </c>
      <c r="J63" s="797" t="s">
        <v>474</v>
      </c>
      <c r="K63" s="795"/>
    </row>
    <row r="64" spans="1:11" ht="44.1" customHeight="1">
      <c r="A64" s="741" t="s">
        <v>4608</v>
      </c>
      <c r="B64" s="741" t="s">
        <v>4629</v>
      </c>
      <c r="C64" s="742" t="s">
        <v>3415</v>
      </c>
      <c r="D64" s="741" t="s">
        <v>3604</v>
      </c>
      <c r="E64" s="741" t="s">
        <v>545</v>
      </c>
      <c r="F64" s="741" t="s">
        <v>3410</v>
      </c>
      <c r="G64" s="743" t="s">
        <v>94</v>
      </c>
      <c r="H64" s="742">
        <v>1</v>
      </c>
      <c r="I64" s="742" t="s">
        <v>3681</v>
      </c>
      <c r="J64" s="798" t="s">
        <v>3681</v>
      </c>
      <c r="K64" s="795"/>
    </row>
    <row r="65" spans="1:11" ht="21.95" customHeight="1">
      <c r="A65" s="744" t="s">
        <v>4611</v>
      </c>
      <c r="B65" s="744"/>
      <c r="C65" s="745" t="s">
        <v>3661</v>
      </c>
      <c r="D65" s="744" t="s">
        <v>1127</v>
      </c>
      <c r="E65" s="744" t="s">
        <v>1133</v>
      </c>
      <c r="F65" s="744" t="s">
        <v>3430</v>
      </c>
      <c r="G65" s="746" t="s">
        <v>1129</v>
      </c>
      <c r="H65" s="745" t="s">
        <v>3682</v>
      </c>
      <c r="I65" s="745" t="s">
        <v>3663</v>
      </c>
      <c r="J65" s="796">
        <v>0.22</v>
      </c>
      <c r="K65" s="795"/>
    </row>
    <row r="66" spans="1:11" ht="21.95" customHeight="1">
      <c r="A66" s="744" t="s">
        <v>4611</v>
      </c>
      <c r="B66" s="744"/>
      <c r="C66" s="745" t="s">
        <v>3664</v>
      </c>
      <c r="D66" s="744" t="s">
        <v>1127</v>
      </c>
      <c r="E66" s="744" t="s">
        <v>1134</v>
      </c>
      <c r="F66" s="744" t="s">
        <v>3430</v>
      </c>
      <c r="G66" s="746" t="s">
        <v>1129</v>
      </c>
      <c r="H66" s="745" t="s">
        <v>3683</v>
      </c>
      <c r="I66" s="745" t="s">
        <v>4619</v>
      </c>
      <c r="J66" s="796">
        <v>1.68</v>
      </c>
      <c r="K66" s="795"/>
    </row>
    <row r="67" spans="1:11" ht="33" customHeight="1">
      <c r="A67" s="744" t="s">
        <v>4611</v>
      </c>
      <c r="B67" s="744"/>
      <c r="C67" s="745" t="s">
        <v>3684</v>
      </c>
      <c r="D67" s="744" t="s">
        <v>1127</v>
      </c>
      <c r="E67" s="744" t="s">
        <v>4630</v>
      </c>
      <c r="F67" s="744" t="s">
        <v>3410</v>
      </c>
      <c r="G67" s="746" t="s">
        <v>94</v>
      </c>
      <c r="H67" s="745" t="s">
        <v>3610</v>
      </c>
      <c r="I67" s="745" t="s">
        <v>3685</v>
      </c>
      <c r="J67" s="796">
        <v>7.24</v>
      </c>
      <c r="K67" s="795"/>
    </row>
    <row r="68" spans="1:11" ht="21.95" customHeight="1">
      <c r="A68" s="748" t="s">
        <v>4616</v>
      </c>
      <c r="B68" s="748"/>
      <c r="C68" s="749" t="s">
        <v>3668</v>
      </c>
      <c r="D68" s="748" t="s">
        <v>1127</v>
      </c>
      <c r="E68" s="748" t="s">
        <v>1137</v>
      </c>
      <c r="F68" s="748" t="s">
        <v>1187</v>
      </c>
      <c r="G68" s="750" t="s">
        <v>94</v>
      </c>
      <c r="H68" s="749" t="s">
        <v>3669</v>
      </c>
      <c r="I68" s="749" t="s">
        <v>3670</v>
      </c>
      <c r="J68" s="794">
        <v>0.19</v>
      </c>
      <c r="K68" s="795"/>
    </row>
    <row r="69" spans="1:11" ht="33" customHeight="1" thickBot="1">
      <c r="A69" s="748" t="s">
        <v>4616</v>
      </c>
      <c r="B69" s="748"/>
      <c r="C69" s="749" t="s">
        <v>3671</v>
      </c>
      <c r="D69" s="748" t="s">
        <v>1127</v>
      </c>
      <c r="E69" s="748" t="s">
        <v>3672</v>
      </c>
      <c r="F69" s="748" t="s">
        <v>1187</v>
      </c>
      <c r="G69" s="750" t="s">
        <v>57</v>
      </c>
      <c r="H69" s="749" t="s">
        <v>3686</v>
      </c>
      <c r="I69" s="749" t="s">
        <v>3674</v>
      </c>
      <c r="J69" s="794">
        <v>0.08</v>
      </c>
      <c r="K69" s="795"/>
    </row>
    <row r="70" spans="1:11" ht="0.95" customHeight="1" thickTop="1">
      <c r="A70" s="747"/>
      <c r="B70" s="747"/>
      <c r="C70" s="747"/>
      <c r="D70" s="747"/>
      <c r="E70" s="747"/>
      <c r="F70" s="747"/>
      <c r="G70" s="747"/>
      <c r="H70" s="747"/>
      <c r="I70" s="747"/>
      <c r="J70" s="747"/>
      <c r="K70" s="747"/>
    </row>
    <row r="71" spans="1:11" ht="18" customHeight="1">
      <c r="A71" s="738"/>
      <c r="B71" s="738" t="s">
        <v>60</v>
      </c>
      <c r="C71" s="739" t="s">
        <v>3312</v>
      </c>
      <c r="D71" s="738" t="s">
        <v>3602</v>
      </c>
      <c r="E71" s="738" t="s">
        <v>3313</v>
      </c>
      <c r="F71" s="738" t="s">
        <v>3390</v>
      </c>
      <c r="G71" s="740" t="s">
        <v>70</v>
      </c>
      <c r="H71" s="739" t="s">
        <v>64</v>
      </c>
      <c r="I71" s="739" t="s">
        <v>3617</v>
      </c>
      <c r="J71" s="797" t="s">
        <v>474</v>
      </c>
      <c r="K71" s="795"/>
    </row>
    <row r="72" spans="1:11" ht="44.1" customHeight="1">
      <c r="A72" s="741" t="s">
        <v>4608</v>
      </c>
      <c r="B72" s="741" t="s">
        <v>4631</v>
      </c>
      <c r="C72" s="742" t="s">
        <v>3412</v>
      </c>
      <c r="D72" s="741" t="s">
        <v>3604</v>
      </c>
      <c r="E72" s="741" t="s">
        <v>539</v>
      </c>
      <c r="F72" s="741" t="s">
        <v>3410</v>
      </c>
      <c r="G72" s="743" t="s">
        <v>94</v>
      </c>
      <c r="H72" s="742">
        <v>1</v>
      </c>
      <c r="I72" s="742" t="s">
        <v>3692</v>
      </c>
      <c r="J72" s="798" t="s">
        <v>3692</v>
      </c>
      <c r="K72" s="795"/>
    </row>
    <row r="73" spans="1:11" ht="21.95" customHeight="1">
      <c r="A73" s="744" t="s">
        <v>4611</v>
      </c>
      <c r="B73" s="744"/>
      <c r="C73" s="745" t="s">
        <v>3661</v>
      </c>
      <c r="D73" s="744" t="s">
        <v>1127</v>
      </c>
      <c r="E73" s="744" t="s">
        <v>1133</v>
      </c>
      <c r="F73" s="744" t="s">
        <v>3430</v>
      </c>
      <c r="G73" s="746" t="s">
        <v>1129</v>
      </c>
      <c r="H73" s="745" t="s">
        <v>3693</v>
      </c>
      <c r="I73" s="745" t="s">
        <v>3663</v>
      </c>
      <c r="J73" s="796">
        <v>0.12</v>
      </c>
      <c r="K73" s="795"/>
    </row>
    <row r="74" spans="1:11" ht="21.95" customHeight="1">
      <c r="A74" s="744" t="s">
        <v>4611</v>
      </c>
      <c r="B74" s="744"/>
      <c r="C74" s="745" t="s">
        <v>3664</v>
      </c>
      <c r="D74" s="744" t="s">
        <v>1127</v>
      </c>
      <c r="E74" s="744" t="s">
        <v>1134</v>
      </c>
      <c r="F74" s="744" t="s">
        <v>3430</v>
      </c>
      <c r="G74" s="746" t="s">
        <v>1129</v>
      </c>
      <c r="H74" s="745" t="s">
        <v>3694</v>
      </c>
      <c r="I74" s="745" t="s">
        <v>4619</v>
      </c>
      <c r="J74" s="796">
        <v>0.92</v>
      </c>
      <c r="K74" s="795"/>
    </row>
    <row r="75" spans="1:11" ht="33" customHeight="1">
      <c r="A75" s="744" t="s">
        <v>4611</v>
      </c>
      <c r="B75" s="744"/>
      <c r="C75" s="745" t="s">
        <v>3695</v>
      </c>
      <c r="D75" s="744" t="s">
        <v>1127</v>
      </c>
      <c r="E75" s="744" t="s">
        <v>4632</v>
      </c>
      <c r="F75" s="744" t="s">
        <v>3410</v>
      </c>
      <c r="G75" s="746" t="s">
        <v>94</v>
      </c>
      <c r="H75" s="745" t="s">
        <v>3610</v>
      </c>
      <c r="I75" s="745" t="s">
        <v>3696</v>
      </c>
      <c r="J75" s="796">
        <v>5.01</v>
      </c>
      <c r="K75" s="795"/>
    </row>
    <row r="76" spans="1:11" ht="21.95" customHeight="1">
      <c r="A76" s="748" t="s">
        <v>4616</v>
      </c>
      <c r="B76" s="748"/>
      <c r="C76" s="749" t="s">
        <v>3668</v>
      </c>
      <c r="D76" s="748" t="s">
        <v>1127</v>
      </c>
      <c r="E76" s="748" t="s">
        <v>1137</v>
      </c>
      <c r="F76" s="748" t="s">
        <v>1187</v>
      </c>
      <c r="G76" s="750" t="s">
        <v>94</v>
      </c>
      <c r="H76" s="749" t="s">
        <v>3669</v>
      </c>
      <c r="I76" s="749" t="s">
        <v>3670</v>
      </c>
      <c r="J76" s="794">
        <v>0.19</v>
      </c>
      <c r="K76" s="795"/>
    </row>
    <row r="77" spans="1:11" ht="33" customHeight="1" thickBot="1">
      <c r="A77" s="748" t="s">
        <v>4616</v>
      </c>
      <c r="B77" s="748"/>
      <c r="C77" s="749" t="s">
        <v>3671</v>
      </c>
      <c r="D77" s="748" t="s">
        <v>1127</v>
      </c>
      <c r="E77" s="748" t="s">
        <v>3672</v>
      </c>
      <c r="F77" s="748" t="s">
        <v>1187</v>
      </c>
      <c r="G77" s="750" t="s">
        <v>57</v>
      </c>
      <c r="H77" s="749" t="s">
        <v>3697</v>
      </c>
      <c r="I77" s="749" t="s">
        <v>3674</v>
      </c>
      <c r="J77" s="794">
        <v>0.04</v>
      </c>
      <c r="K77" s="795"/>
    </row>
    <row r="78" spans="1:11" ht="0.95" customHeight="1" thickTop="1">
      <c r="A78" s="747"/>
      <c r="B78" s="747"/>
      <c r="C78" s="747"/>
      <c r="D78" s="747"/>
      <c r="E78" s="747"/>
      <c r="F78" s="747"/>
      <c r="G78" s="747"/>
      <c r="H78" s="747"/>
      <c r="I78" s="747"/>
      <c r="J78" s="747"/>
      <c r="K78" s="747"/>
    </row>
    <row r="79" spans="1:11" ht="18" customHeight="1">
      <c r="A79" s="738"/>
      <c r="B79" s="738" t="s">
        <v>60</v>
      </c>
      <c r="C79" s="739" t="s">
        <v>3312</v>
      </c>
      <c r="D79" s="738" t="s">
        <v>3602</v>
      </c>
      <c r="E79" s="738" t="s">
        <v>3313</v>
      </c>
      <c r="F79" s="738" t="s">
        <v>3390</v>
      </c>
      <c r="G79" s="740" t="s">
        <v>70</v>
      </c>
      <c r="H79" s="739" t="s">
        <v>64</v>
      </c>
      <c r="I79" s="739" t="s">
        <v>3617</v>
      </c>
      <c r="J79" s="797" t="s">
        <v>474</v>
      </c>
      <c r="K79" s="795"/>
    </row>
    <row r="80" spans="1:11" ht="33" customHeight="1">
      <c r="A80" s="741" t="s">
        <v>4608</v>
      </c>
      <c r="B80" s="741" t="s">
        <v>4633</v>
      </c>
      <c r="C80" s="742" t="s">
        <v>3408</v>
      </c>
      <c r="D80" s="741" t="s">
        <v>3604</v>
      </c>
      <c r="E80" s="741" t="s">
        <v>536</v>
      </c>
      <c r="F80" s="741" t="s">
        <v>3410</v>
      </c>
      <c r="G80" s="743" t="s">
        <v>284</v>
      </c>
      <c r="H80" s="742">
        <v>1</v>
      </c>
      <c r="I80" s="742" t="s">
        <v>3698</v>
      </c>
      <c r="J80" s="798" t="s">
        <v>3698</v>
      </c>
      <c r="K80" s="795"/>
    </row>
    <row r="81" spans="1:11" ht="33" customHeight="1" thickBot="1">
      <c r="A81" s="748" t="s">
        <v>4616</v>
      </c>
      <c r="B81" s="748"/>
      <c r="C81" s="749" t="s">
        <v>3699</v>
      </c>
      <c r="D81" s="748" t="s">
        <v>1127</v>
      </c>
      <c r="E81" s="748" t="s">
        <v>536</v>
      </c>
      <c r="F81" s="748" t="s">
        <v>1187</v>
      </c>
      <c r="G81" s="750" t="s">
        <v>284</v>
      </c>
      <c r="H81" s="749" t="s">
        <v>3610</v>
      </c>
      <c r="I81" s="749" t="s">
        <v>3698</v>
      </c>
      <c r="J81" s="794">
        <v>294.68</v>
      </c>
      <c r="K81" s="795"/>
    </row>
    <row r="82" spans="1:11" ht="0.95" customHeight="1" thickTop="1">
      <c r="A82" s="747"/>
      <c r="B82" s="747"/>
      <c r="C82" s="747"/>
      <c r="D82" s="747"/>
      <c r="E82" s="747"/>
      <c r="F82" s="747"/>
      <c r="G82" s="747"/>
      <c r="H82" s="747"/>
      <c r="I82" s="747"/>
      <c r="J82" s="747"/>
      <c r="K82" s="747"/>
    </row>
    <row r="83" spans="1:11" ht="18" customHeight="1">
      <c r="A83" s="738"/>
      <c r="B83" s="738" t="s">
        <v>60</v>
      </c>
      <c r="C83" s="739" t="s">
        <v>3312</v>
      </c>
      <c r="D83" s="738" t="s">
        <v>3602</v>
      </c>
      <c r="E83" s="738" t="s">
        <v>3313</v>
      </c>
      <c r="F83" s="738" t="s">
        <v>3390</v>
      </c>
      <c r="G83" s="740" t="s">
        <v>70</v>
      </c>
      <c r="H83" s="739" t="s">
        <v>64</v>
      </c>
      <c r="I83" s="739" t="s">
        <v>3617</v>
      </c>
      <c r="J83" s="797" t="s">
        <v>474</v>
      </c>
      <c r="K83" s="795"/>
    </row>
    <row r="84" spans="1:11" ht="33" customHeight="1">
      <c r="A84" s="741" t="s">
        <v>4608</v>
      </c>
      <c r="B84" s="741" t="s">
        <v>4634</v>
      </c>
      <c r="C84" s="742" t="s">
        <v>3418</v>
      </c>
      <c r="D84" s="741" t="s">
        <v>3604</v>
      </c>
      <c r="E84" s="741" t="s">
        <v>601</v>
      </c>
      <c r="F84" s="741" t="s">
        <v>3410</v>
      </c>
      <c r="G84" s="743" t="s">
        <v>108</v>
      </c>
      <c r="H84" s="742">
        <v>1</v>
      </c>
      <c r="I84" s="742" t="s">
        <v>4635</v>
      </c>
      <c r="J84" s="798" t="s">
        <v>4635</v>
      </c>
      <c r="K84" s="795"/>
    </row>
    <row r="85" spans="1:11" ht="21.95" customHeight="1">
      <c r="A85" s="744" t="s">
        <v>4611</v>
      </c>
      <c r="B85" s="744"/>
      <c r="C85" s="745" t="s">
        <v>3636</v>
      </c>
      <c r="D85" s="744" t="s">
        <v>1127</v>
      </c>
      <c r="E85" s="744" t="s">
        <v>1144</v>
      </c>
      <c r="F85" s="744" t="s">
        <v>3430</v>
      </c>
      <c r="G85" s="746" t="s">
        <v>1129</v>
      </c>
      <c r="H85" s="745" t="s">
        <v>3700</v>
      </c>
      <c r="I85" s="745" t="s">
        <v>4619</v>
      </c>
      <c r="J85" s="796">
        <v>3.22</v>
      </c>
      <c r="K85" s="795"/>
    </row>
    <row r="86" spans="1:11" ht="21.95" customHeight="1">
      <c r="A86" s="744" t="s">
        <v>4611</v>
      </c>
      <c r="B86" s="744"/>
      <c r="C86" s="745" t="s">
        <v>3631</v>
      </c>
      <c r="D86" s="744" t="s">
        <v>1127</v>
      </c>
      <c r="E86" s="744" t="s">
        <v>1145</v>
      </c>
      <c r="F86" s="744" t="s">
        <v>3430</v>
      </c>
      <c r="G86" s="746" t="s">
        <v>1129</v>
      </c>
      <c r="H86" s="745" t="s">
        <v>3701</v>
      </c>
      <c r="I86" s="745" t="s">
        <v>3632</v>
      </c>
      <c r="J86" s="796">
        <v>5.97</v>
      </c>
      <c r="K86" s="795"/>
    </row>
    <row r="87" spans="1:11" ht="21.95" customHeight="1">
      <c r="A87" s="744" t="s">
        <v>4611</v>
      </c>
      <c r="B87" s="744"/>
      <c r="C87" s="745" t="s">
        <v>3633</v>
      </c>
      <c r="D87" s="744" t="s">
        <v>1127</v>
      </c>
      <c r="E87" s="744" t="s">
        <v>1146</v>
      </c>
      <c r="F87" s="744" t="s">
        <v>3430</v>
      </c>
      <c r="G87" s="746" t="s">
        <v>1129</v>
      </c>
      <c r="H87" s="745" t="s">
        <v>3702</v>
      </c>
      <c r="I87" s="745" t="s">
        <v>3635</v>
      </c>
      <c r="J87" s="796">
        <v>11.79</v>
      </c>
      <c r="K87" s="795"/>
    </row>
    <row r="88" spans="1:11" ht="21.95" customHeight="1">
      <c r="A88" s="744" t="s">
        <v>4611</v>
      </c>
      <c r="B88" s="744"/>
      <c r="C88" s="745" t="s">
        <v>3703</v>
      </c>
      <c r="D88" s="744" t="s">
        <v>1127</v>
      </c>
      <c r="E88" s="744" t="s">
        <v>535</v>
      </c>
      <c r="F88" s="744" t="s">
        <v>3410</v>
      </c>
      <c r="G88" s="746" t="s">
        <v>284</v>
      </c>
      <c r="H88" s="745" t="s">
        <v>3748</v>
      </c>
      <c r="I88" s="745" t="s">
        <v>4636</v>
      </c>
      <c r="J88" s="796">
        <v>1.42</v>
      </c>
      <c r="K88" s="795"/>
    </row>
    <row r="89" spans="1:11" ht="33" customHeight="1">
      <c r="A89" s="744" t="s">
        <v>4611</v>
      </c>
      <c r="B89" s="744"/>
      <c r="C89" s="745" t="s">
        <v>3408</v>
      </c>
      <c r="D89" s="744" t="s">
        <v>3604</v>
      </c>
      <c r="E89" s="744" t="s">
        <v>536</v>
      </c>
      <c r="F89" s="744" t="s">
        <v>3410</v>
      </c>
      <c r="G89" s="746" t="s">
        <v>284</v>
      </c>
      <c r="H89" s="745" t="s">
        <v>3748</v>
      </c>
      <c r="I89" s="745" t="s">
        <v>3698</v>
      </c>
      <c r="J89" s="796">
        <v>17.68</v>
      </c>
      <c r="K89" s="795"/>
    </row>
    <row r="90" spans="1:11" ht="21.95" customHeight="1">
      <c r="A90" s="748" t="s">
        <v>4616</v>
      </c>
      <c r="B90" s="748"/>
      <c r="C90" s="749" t="s">
        <v>3705</v>
      </c>
      <c r="D90" s="748" t="s">
        <v>3604</v>
      </c>
      <c r="E90" s="748" t="s">
        <v>1148</v>
      </c>
      <c r="F90" s="748" t="s">
        <v>1187</v>
      </c>
      <c r="G90" s="750" t="s">
        <v>108</v>
      </c>
      <c r="H90" s="749" t="s">
        <v>3610</v>
      </c>
      <c r="I90" s="749" t="s">
        <v>4637</v>
      </c>
      <c r="J90" s="794">
        <v>41.95</v>
      </c>
      <c r="K90" s="795"/>
    </row>
    <row r="91" spans="1:11" ht="21.95" customHeight="1">
      <c r="A91" s="748" t="s">
        <v>4616</v>
      </c>
      <c r="B91" s="748"/>
      <c r="C91" s="749" t="s">
        <v>3706</v>
      </c>
      <c r="D91" s="748" t="s">
        <v>1127</v>
      </c>
      <c r="E91" s="748" t="s">
        <v>1147</v>
      </c>
      <c r="F91" s="748" t="s">
        <v>1187</v>
      </c>
      <c r="G91" s="750" t="s">
        <v>101</v>
      </c>
      <c r="H91" s="749" t="s">
        <v>3707</v>
      </c>
      <c r="I91" s="749" t="s">
        <v>3708</v>
      </c>
      <c r="J91" s="794">
        <v>4.75</v>
      </c>
      <c r="K91" s="795"/>
    </row>
    <row r="92" spans="1:11" ht="21.95" customHeight="1">
      <c r="A92" s="748" t="s">
        <v>4616</v>
      </c>
      <c r="B92" s="748"/>
      <c r="C92" s="749" t="s">
        <v>3709</v>
      </c>
      <c r="D92" s="748" t="s">
        <v>1127</v>
      </c>
      <c r="E92" s="748" t="s">
        <v>3710</v>
      </c>
      <c r="F92" s="748" t="s">
        <v>1187</v>
      </c>
      <c r="G92" s="750" t="s">
        <v>94</v>
      </c>
      <c r="H92" s="749" t="s">
        <v>3711</v>
      </c>
      <c r="I92" s="749" t="s">
        <v>3712</v>
      </c>
      <c r="J92" s="794">
        <v>0.16</v>
      </c>
      <c r="K92" s="795"/>
    </row>
    <row r="93" spans="1:11" ht="21.95" customHeight="1" thickBot="1">
      <c r="A93" s="748" t="s">
        <v>4616</v>
      </c>
      <c r="B93" s="748"/>
      <c r="C93" s="749" t="s">
        <v>3649</v>
      </c>
      <c r="D93" s="748" t="s">
        <v>1127</v>
      </c>
      <c r="E93" s="748" t="s">
        <v>1464</v>
      </c>
      <c r="F93" s="748" t="s">
        <v>1187</v>
      </c>
      <c r="G93" s="750" t="s">
        <v>101</v>
      </c>
      <c r="H93" s="749" t="s">
        <v>3713</v>
      </c>
      <c r="I93" s="749" t="s">
        <v>3650</v>
      </c>
      <c r="J93" s="794">
        <v>1.87</v>
      </c>
      <c r="K93" s="795"/>
    </row>
    <row r="94" spans="1:11" ht="0.95" customHeight="1" thickTop="1">
      <c r="A94" s="747"/>
      <c r="B94" s="747"/>
      <c r="C94" s="747"/>
      <c r="D94" s="747"/>
      <c r="E94" s="747"/>
      <c r="F94" s="747"/>
      <c r="G94" s="747"/>
      <c r="H94" s="747"/>
      <c r="I94" s="747"/>
      <c r="J94" s="747"/>
      <c r="K94" s="747"/>
    </row>
    <row r="95" spans="1:11" ht="18" customHeight="1">
      <c r="A95" s="738"/>
      <c r="B95" s="738" t="s">
        <v>60</v>
      </c>
      <c r="C95" s="739" t="s">
        <v>3312</v>
      </c>
      <c r="D95" s="738" t="s">
        <v>3602</v>
      </c>
      <c r="E95" s="738" t="s">
        <v>3313</v>
      </c>
      <c r="F95" s="738" t="s">
        <v>3390</v>
      </c>
      <c r="G95" s="740" t="s">
        <v>70</v>
      </c>
      <c r="H95" s="739" t="s">
        <v>64</v>
      </c>
      <c r="I95" s="739" t="s">
        <v>3617</v>
      </c>
      <c r="J95" s="797" t="s">
        <v>474</v>
      </c>
      <c r="K95" s="795"/>
    </row>
    <row r="96" spans="1:11" ht="21.95" customHeight="1">
      <c r="A96" s="741" t="s">
        <v>4608</v>
      </c>
      <c r="B96" s="741" t="s">
        <v>4638</v>
      </c>
      <c r="C96" s="742" t="s">
        <v>3429</v>
      </c>
      <c r="D96" s="741" t="s">
        <v>3604</v>
      </c>
      <c r="E96" s="741" t="s">
        <v>657</v>
      </c>
      <c r="F96" s="741" t="s">
        <v>3430</v>
      </c>
      <c r="G96" s="743" t="s">
        <v>284</v>
      </c>
      <c r="H96" s="742">
        <v>1</v>
      </c>
      <c r="I96" s="742" t="s">
        <v>4639</v>
      </c>
      <c r="J96" s="798" t="s">
        <v>4639</v>
      </c>
      <c r="K96" s="795"/>
    </row>
    <row r="97" spans="1:11" ht="21.95" customHeight="1">
      <c r="A97" s="744" t="s">
        <v>4611</v>
      </c>
      <c r="B97" s="744"/>
      <c r="C97" s="745" t="s">
        <v>3633</v>
      </c>
      <c r="D97" s="744" t="s">
        <v>1127</v>
      </c>
      <c r="E97" s="744" t="s">
        <v>1146</v>
      </c>
      <c r="F97" s="744" t="s">
        <v>3430</v>
      </c>
      <c r="G97" s="746" t="s">
        <v>1129</v>
      </c>
      <c r="H97" s="745" t="s">
        <v>3714</v>
      </c>
      <c r="I97" s="745" t="s">
        <v>3635</v>
      </c>
      <c r="J97" s="796">
        <v>27.76</v>
      </c>
      <c r="K97" s="795"/>
    </row>
    <row r="98" spans="1:11" ht="21.95" customHeight="1" thickBot="1">
      <c r="A98" s="748" t="s">
        <v>4616</v>
      </c>
      <c r="B98" s="748"/>
      <c r="C98" s="749" t="s">
        <v>3715</v>
      </c>
      <c r="D98" s="748" t="s">
        <v>1127</v>
      </c>
      <c r="E98" s="748" t="s">
        <v>1154</v>
      </c>
      <c r="F98" s="748" t="s">
        <v>1187</v>
      </c>
      <c r="G98" s="750" t="s">
        <v>284</v>
      </c>
      <c r="H98" s="749" t="s">
        <v>3716</v>
      </c>
      <c r="I98" s="749" t="s">
        <v>3717</v>
      </c>
      <c r="J98" s="794">
        <v>59.64</v>
      </c>
      <c r="K98" s="795"/>
    </row>
    <row r="99" spans="1:11" ht="0.95" customHeight="1" thickTop="1">
      <c r="A99" s="747"/>
      <c r="B99" s="747"/>
      <c r="C99" s="747"/>
      <c r="D99" s="747"/>
      <c r="E99" s="747"/>
      <c r="F99" s="747"/>
      <c r="G99" s="747"/>
      <c r="H99" s="747"/>
      <c r="I99" s="747"/>
      <c r="J99" s="747"/>
      <c r="K99" s="747"/>
    </row>
    <row r="100" spans="1:11" ht="18" customHeight="1">
      <c r="A100" s="738"/>
      <c r="B100" s="738" t="s">
        <v>60</v>
      </c>
      <c r="C100" s="739" t="s">
        <v>3312</v>
      </c>
      <c r="D100" s="738" t="s">
        <v>3602</v>
      </c>
      <c r="E100" s="738" t="s">
        <v>3313</v>
      </c>
      <c r="F100" s="738" t="s">
        <v>3390</v>
      </c>
      <c r="G100" s="740" t="s">
        <v>70</v>
      </c>
      <c r="H100" s="739" t="s">
        <v>64</v>
      </c>
      <c r="I100" s="739" t="s">
        <v>3617</v>
      </c>
      <c r="J100" s="797" t="s">
        <v>474</v>
      </c>
      <c r="K100" s="795"/>
    </row>
    <row r="101" spans="1:11" ht="33" customHeight="1">
      <c r="A101" s="741" t="s">
        <v>4608</v>
      </c>
      <c r="B101" s="741" t="s">
        <v>4640</v>
      </c>
      <c r="C101" s="742" t="s">
        <v>3408</v>
      </c>
      <c r="D101" s="741" t="s">
        <v>3604</v>
      </c>
      <c r="E101" s="741" t="s">
        <v>536</v>
      </c>
      <c r="F101" s="741" t="s">
        <v>3410</v>
      </c>
      <c r="G101" s="743" t="s">
        <v>284</v>
      </c>
      <c r="H101" s="742">
        <v>1</v>
      </c>
      <c r="I101" s="742" t="s">
        <v>3698</v>
      </c>
      <c r="J101" s="798" t="s">
        <v>3698</v>
      </c>
      <c r="K101" s="795"/>
    </row>
    <row r="102" spans="1:11" ht="33" customHeight="1" thickBot="1">
      <c r="A102" s="748" t="s">
        <v>4616</v>
      </c>
      <c r="B102" s="748"/>
      <c r="C102" s="749" t="s">
        <v>3699</v>
      </c>
      <c r="D102" s="748" t="s">
        <v>1127</v>
      </c>
      <c r="E102" s="748" t="s">
        <v>536</v>
      </c>
      <c r="F102" s="748" t="s">
        <v>1187</v>
      </c>
      <c r="G102" s="750" t="s">
        <v>284</v>
      </c>
      <c r="H102" s="749" t="s">
        <v>3610</v>
      </c>
      <c r="I102" s="749" t="s">
        <v>3698</v>
      </c>
      <c r="J102" s="794">
        <v>294.68</v>
      </c>
      <c r="K102" s="795"/>
    </row>
    <row r="103" spans="1:11" ht="0.95" customHeight="1" thickTop="1">
      <c r="A103" s="747"/>
      <c r="B103" s="747"/>
      <c r="C103" s="747"/>
      <c r="D103" s="747"/>
      <c r="E103" s="747"/>
      <c r="F103" s="747"/>
      <c r="G103" s="747"/>
      <c r="H103" s="747"/>
      <c r="I103" s="747"/>
      <c r="J103" s="747"/>
      <c r="K103" s="747"/>
    </row>
    <row r="104" spans="1:11" ht="18" customHeight="1">
      <c r="A104" s="738"/>
      <c r="B104" s="738" t="s">
        <v>60</v>
      </c>
      <c r="C104" s="739" t="s">
        <v>3312</v>
      </c>
      <c r="D104" s="738" t="s">
        <v>3602</v>
      </c>
      <c r="E104" s="738" t="s">
        <v>3313</v>
      </c>
      <c r="F104" s="738" t="s">
        <v>3390</v>
      </c>
      <c r="G104" s="740" t="s">
        <v>70</v>
      </c>
      <c r="H104" s="739" t="s">
        <v>64</v>
      </c>
      <c r="I104" s="739" t="s">
        <v>3617</v>
      </c>
      <c r="J104" s="797" t="s">
        <v>474</v>
      </c>
      <c r="K104" s="795"/>
    </row>
    <row r="105" spans="1:11" ht="21.95" customHeight="1">
      <c r="A105" s="741" t="s">
        <v>4608</v>
      </c>
      <c r="B105" s="741" t="s">
        <v>4641</v>
      </c>
      <c r="C105" s="742" t="s">
        <v>3419</v>
      </c>
      <c r="D105" s="741" t="s">
        <v>3604</v>
      </c>
      <c r="E105" s="741" t="s">
        <v>606</v>
      </c>
      <c r="F105" s="741" t="s">
        <v>3410</v>
      </c>
      <c r="G105" s="743" t="s">
        <v>94</v>
      </c>
      <c r="H105" s="742">
        <v>1</v>
      </c>
      <c r="I105" s="742" t="s">
        <v>3718</v>
      </c>
      <c r="J105" s="798" t="s">
        <v>3718</v>
      </c>
      <c r="K105" s="795"/>
    </row>
    <row r="106" spans="1:11" ht="21.95" customHeight="1">
      <c r="A106" s="744" t="s">
        <v>4611</v>
      </c>
      <c r="B106" s="744"/>
      <c r="C106" s="745" t="s">
        <v>3719</v>
      </c>
      <c r="D106" s="744" t="s">
        <v>1127</v>
      </c>
      <c r="E106" s="744" t="s">
        <v>1157</v>
      </c>
      <c r="F106" s="744" t="s">
        <v>3430</v>
      </c>
      <c r="G106" s="746" t="s">
        <v>1129</v>
      </c>
      <c r="H106" s="745" t="s">
        <v>3711</v>
      </c>
      <c r="I106" s="745" t="s">
        <v>3720</v>
      </c>
      <c r="J106" s="796">
        <v>0.32</v>
      </c>
      <c r="K106" s="795"/>
    </row>
    <row r="107" spans="1:11" ht="21.95" customHeight="1">
      <c r="A107" s="744" t="s">
        <v>4611</v>
      </c>
      <c r="B107" s="744"/>
      <c r="C107" s="745" t="s">
        <v>3721</v>
      </c>
      <c r="D107" s="744" t="s">
        <v>1127</v>
      </c>
      <c r="E107" s="744" t="s">
        <v>1158</v>
      </c>
      <c r="F107" s="744" t="s">
        <v>3430</v>
      </c>
      <c r="G107" s="746" t="s">
        <v>1129</v>
      </c>
      <c r="H107" s="745" t="s">
        <v>3711</v>
      </c>
      <c r="I107" s="745" t="s">
        <v>3722</v>
      </c>
      <c r="J107" s="796">
        <v>0.26</v>
      </c>
      <c r="K107" s="795"/>
    </row>
    <row r="108" spans="1:11" ht="21.95" customHeight="1">
      <c r="A108" s="744" t="s">
        <v>4611</v>
      </c>
      <c r="B108" s="744"/>
      <c r="C108" s="745" t="s">
        <v>3723</v>
      </c>
      <c r="D108" s="744" t="s">
        <v>1127</v>
      </c>
      <c r="E108" s="744" t="s">
        <v>1159</v>
      </c>
      <c r="F108" s="744" t="s">
        <v>3430</v>
      </c>
      <c r="G108" s="746" t="s">
        <v>1129</v>
      </c>
      <c r="H108" s="745" t="s">
        <v>3724</v>
      </c>
      <c r="I108" s="745" t="s">
        <v>3725</v>
      </c>
      <c r="J108" s="796">
        <v>0.05</v>
      </c>
      <c r="K108" s="795"/>
    </row>
    <row r="109" spans="1:11" ht="21.95" customHeight="1">
      <c r="A109" s="744" t="s">
        <v>4611</v>
      </c>
      <c r="B109" s="744"/>
      <c r="C109" s="745" t="s">
        <v>3633</v>
      </c>
      <c r="D109" s="744" t="s">
        <v>1127</v>
      </c>
      <c r="E109" s="744" t="s">
        <v>1146</v>
      </c>
      <c r="F109" s="744" t="s">
        <v>3430</v>
      </c>
      <c r="G109" s="746" t="s">
        <v>1129</v>
      </c>
      <c r="H109" s="745" t="s">
        <v>3724</v>
      </c>
      <c r="I109" s="745" t="s">
        <v>3635</v>
      </c>
      <c r="J109" s="796">
        <v>0.04</v>
      </c>
      <c r="K109" s="795"/>
    </row>
    <row r="110" spans="1:11" ht="21.95" customHeight="1">
      <c r="A110" s="744" t="s">
        <v>4611</v>
      </c>
      <c r="B110" s="744"/>
      <c r="C110" s="745" t="s">
        <v>3726</v>
      </c>
      <c r="D110" s="744" t="s">
        <v>1127</v>
      </c>
      <c r="E110" s="744" t="s">
        <v>1160</v>
      </c>
      <c r="F110" s="744" t="s">
        <v>3430</v>
      </c>
      <c r="G110" s="746" t="s">
        <v>1129</v>
      </c>
      <c r="H110" s="745" t="s">
        <v>3727</v>
      </c>
      <c r="I110" s="745" t="s">
        <v>3728</v>
      </c>
      <c r="J110" s="796">
        <v>0.35</v>
      </c>
      <c r="K110" s="795"/>
    </row>
    <row r="111" spans="1:11" ht="21.95" customHeight="1">
      <c r="A111" s="744" t="s">
        <v>4611</v>
      </c>
      <c r="B111" s="744"/>
      <c r="C111" s="745" t="s">
        <v>3729</v>
      </c>
      <c r="D111" s="744" t="s">
        <v>1127</v>
      </c>
      <c r="E111" s="744" t="s">
        <v>1161</v>
      </c>
      <c r="F111" s="744" t="s">
        <v>3430</v>
      </c>
      <c r="G111" s="746" t="s">
        <v>1129</v>
      </c>
      <c r="H111" s="745" t="s">
        <v>3727</v>
      </c>
      <c r="I111" s="745" t="s">
        <v>4619</v>
      </c>
      <c r="J111" s="796">
        <v>0.67</v>
      </c>
      <c r="K111" s="795"/>
    </row>
    <row r="112" spans="1:11" ht="21.95" customHeight="1">
      <c r="A112" s="748" t="s">
        <v>4616</v>
      </c>
      <c r="B112" s="748"/>
      <c r="C112" s="749" t="s">
        <v>3730</v>
      </c>
      <c r="D112" s="748" t="s">
        <v>3604</v>
      </c>
      <c r="E112" s="748" t="s">
        <v>1156</v>
      </c>
      <c r="F112" s="748" t="s">
        <v>1187</v>
      </c>
      <c r="G112" s="750" t="s">
        <v>94</v>
      </c>
      <c r="H112" s="749" t="s">
        <v>3731</v>
      </c>
      <c r="I112" s="749" t="s">
        <v>3732</v>
      </c>
      <c r="J112" s="794">
        <v>2.56</v>
      </c>
      <c r="K112" s="795"/>
    </row>
    <row r="113" spans="1:11" ht="21.95" customHeight="1">
      <c r="A113" s="748" t="s">
        <v>4616</v>
      </c>
      <c r="B113" s="748"/>
      <c r="C113" s="749" t="s">
        <v>3733</v>
      </c>
      <c r="D113" s="748" t="s">
        <v>1127</v>
      </c>
      <c r="E113" s="748" t="s">
        <v>3734</v>
      </c>
      <c r="F113" s="748" t="s">
        <v>1187</v>
      </c>
      <c r="G113" s="750" t="s">
        <v>101</v>
      </c>
      <c r="H113" s="749" t="s">
        <v>3735</v>
      </c>
      <c r="I113" s="749" t="s">
        <v>3736</v>
      </c>
      <c r="J113" s="794">
        <v>2.4500000000000002</v>
      </c>
      <c r="K113" s="795"/>
    </row>
    <row r="114" spans="1:11" ht="21.95" customHeight="1">
      <c r="A114" s="748" t="s">
        <v>4616</v>
      </c>
      <c r="B114" s="748"/>
      <c r="C114" s="749" t="s">
        <v>3737</v>
      </c>
      <c r="D114" s="748" t="s">
        <v>1127</v>
      </c>
      <c r="E114" s="748" t="s">
        <v>1162</v>
      </c>
      <c r="F114" s="748" t="s">
        <v>1187</v>
      </c>
      <c r="G114" s="750" t="s">
        <v>1163</v>
      </c>
      <c r="H114" s="749" t="s">
        <v>3738</v>
      </c>
      <c r="I114" s="749" t="s">
        <v>3739</v>
      </c>
      <c r="J114" s="794">
        <v>0.04</v>
      </c>
      <c r="K114" s="795"/>
    </row>
    <row r="115" spans="1:11" ht="21.95" customHeight="1">
      <c r="A115" s="748" t="s">
        <v>4616</v>
      </c>
      <c r="B115" s="748"/>
      <c r="C115" s="749" t="s">
        <v>3740</v>
      </c>
      <c r="D115" s="748" t="s">
        <v>1127</v>
      </c>
      <c r="E115" s="748" t="s">
        <v>1220</v>
      </c>
      <c r="F115" s="748" t="s">
        <v>1187</v>
      </c>
      <c r="G115" s="750" t="s">
        <v>94</v>
      </c>
      <c r="H115" s="749" t="s">
        <v>3741</v>
      </c>
      <c r="I115" s="749" t="s">
        <v>3742</v>
      </c>
      <c r="J115" s="794">
        <v>0.15</v>
      </c>
      <c r="K115" s="795"/>
    </row>
    <row r="116" spans="1:11" ht="21.95" customHeight="1" thickBot="1">
      <c r="A116" s="748" t="s">
        <v>4616</v>
      </c>
      <c r="B116" s="748"/>
      <c r="C116" s="749" t="s">
        <v>3743</v>
      </c>
      <c r="D116" s="748" t="s">
        <v>1127</v>
      </c>
      <c r="E116" s="748" t="s">
        <v>1164</v>
      </c>
      <c r="F116" s="748" t="s">
        <v>1187</v>
      </c>
      <c r="G116" s="750" t="s">
        <v>1163</v>
      </c>
      <c r="H116" s="749" t="s">
        <v>3744</v>
      </c>
      <c r="I116" s="749" t="s">
        <v>3745</v>
      </c>
      <c r="J116" s="794">
        <v>0</v>
      </c>
      <c r="K116" s="795"/>
    </row>
    <row r="117" spans="1:11" ht="0.95" customHeight="1" thickTop="1">
      <c r="A117" s="747"/>
      <c r="B117" s="747"/>
      <c r="C117" s="747"/>
      <c r="D117" s="747"/>
      <c r="E117" s="747"/>
      <c r="F117" s="747"/>
      <c r="G117" s="747"/>
      <c r="H117" s="747"/>
      <c r="I117" s="747"/>
      <c r="J117" s="747"/>
      <c r="K117" s="747"/>
    </row>
    <row r="118" spans="1:11" ht="18" customHeight="1">
      <c r="A118" s="738"/>
      <c r="B118" s="738" t="s">
        <v>60</v>
      </c>
      <c r="C118" s="739" t="s">
        <v>3312</v>
      </c>
      <c r="D118" s="738" t="s">
        <v>3602</v>
      </c>
      <c r="E118" s="738" t="s">
        <v>3313</v>
      </c>
      <c r="F118" s="738" t="s">
        <v>3390</v>
      </c>
      <c r="G118" s="740" t="s">
        <v>70</v>
      </c>
      <c r="H118" s="739" t="s">
        <v>64</v>
      </c>
      <c r="I118" s="739" t="s">
        <v>3617</v>
      </c>
      <c r="J118" s="797" t="s">
        <v>474</v>
      </c>
      <c r="K118" s="795"/>
    </row>
    <row r="119" spans="1:11" ht="21.95" customHeight="1">
      <c r="A119" s="741" t="s">
        <v>4608</v>
      </c>
      <c r="B119" s="741" t="s">
        <v>4642</v>
      </c>
      <c r="C119" s="742" t="s">
        <v>3420</v>
      </c>
      <c r="D119" s="741" t="s">
        <v>3604</v>
      </c>
      <c r="E119" s="741" t="s">
        <v>608</v>
      </c>
      <c r="F119" s="741" t="s">
        <v>3410</v>
      </c>
      <c r="G119" s="743" t="s">
        <v>94</v>
      </c>
      <c r="H119" s="742">
        <v>1</v>
      </c>
      <c r="I119" s="742" t="s">
        <v>4643</v>
      </c>
      <c r="J119" s="798" t="s">
        <v>4643</v>
      </c>
      <c r="K119" s="795"/>
    </row>
    <row r="120" spans="1:11" ht="21.95" customHeight="1">
      <c r="A120" s="744" t="s">
        <v>4611</v>
      </c>
      <c r="B120" s="744"/>
      <c r="C120" s="745" t="s">
        <v>3746</v>
      </c>
      <c r="D120" s="744" t="s">
        <v>1127</v>
      </c>
      <c r="E120" s="744" t="s">
        <v>1165</v>
      </c>
      <c r="F120" s="744" t="s">
        <v>3430</v>
      </c>
      <c r="G120" s="746" t="s">
        <v>1129</v>
      </c>
      <c r="H120" s="745" t="s">
        <v>3711</v>
      </c>
      <c r="I120" s="745" t="s">
        <v>3747</v>
      </c>
      <c r="J120" s="796">
        <v>0.22</v>
      </c>
      <c r="K120" s="795"/>
    </row>
    <row r="121" spans="1:11" ht="21.95" customHeight="1">
      <c r="A121" s="744" t="s">
        <v>4611</v>
      </c>
      <c r="B121" s="744"/>
      <c r="C121" s="745" t="s">
        <v>3726</v>
      </c>
      <c r="D121" s="744" t="s">
        <v>1127</v>
      </c>
      <c r="E121" s="744" t="s">
        <v>1160</v>
      </c>
      <c r="F121" s="744" t="s">
        <v>3430</v>
      </c>
      <c r="G121" s="746" t="s">
        <v>1129</v>
      </c>
      <c r="H121" s="745" t="s">
        <v>3748</v>
      </c>
      <c r="I121" s="745" t="s">
        <v>3728</v>
      </c>
      <c r="J121" s="796">
        <v>0.52</v>
      </c>
      <c r="K121" s="795"/>
    </row>
    <row r="122" spans="1:11" ht="33" customHeight="1" thickBot="1">
      <c r="A122" s="744" t="s">
        <v>4611</v>
      </c>
      <c r="B122" s="744"/>
      <c r="C122" s="745" t="s">
        <v>4644</v>
      </c>
      <c r="D122" s="744" t="s">
        <v>1127</v>
      </c>
      <c r="E122" s="744" t="s">
        <v>4645</v>
      </c>
      <c r="F122" s="744" t="s">
        <v>3757</v>
      </c>
      <c r="G122" s="746" t="s">
        <v>1169</v>
      </c>
      <c r="H122" s="745" t="s">
        <v>3749</v>
      </c>
      <c r="I122" s="745" t="s">
        <v>4646</v>
      </c>
      <c r="J122" s="796">
        <v>1.48</v>
      </c>
      <c r="K122" s="795"/>
    </row>
    <row r="123" spans="1:11" ht="0.95" customHeight="1" thickTop="1">
      <c r="A123" s="747"/>
      <c r="B123" s="747"/>
      <c r="C123" s="747"/>
      <c r="D123" s="747"/>
      <c r="E123" s="747"/>
      <c r="F123" s="747"/>
      <c r="G123" s="747"/>
      <c r="H123" s="747"/>
      <c r="I123" s="747"/>
      <c r="J123" s="747"/>
      <c r="K123" s="747"/>
    </row>
    <row r="124" spans="1:11" ht="18" customHeight="1">
      <c r="A124" s="738"/>
      <c r="B124" s="738" t="s">
        <v>60</v>
      </c>
      <c r="C124" s="739" t="s">
        <v>3312</v>
      </c>
      <c r="D124" s="738" t="s">
        <v>3602</v>
      </c>
      <c r="E124" s="738" t="s">
        <v>3313</v>
      </c>
      <c r="F124" s="738" t="s">
        <v>3390</v>
      </c>
      <c r="G124" s="740" t="s">
        <v>70</v>
      </c>
      <c r="H124" s="739" t="s">
        <v>64</v>
      </c>
      <c r="I124" s="739" t="s">
        <v>3617</v>
      </c>
      <c r="J124" s="797" t="s">
        <v>474</v>
      </c>
      <c r="K124" s="795"/>
    </row>
    <row r="125" spans="1:11" ht="44.1" customHeight="1">
      <c r="A125" s="741" t="s">
        <v>4608</v>
      </c>
      <c r="B125" s="741" t="s">
        <v>4647</v>
      </c>
      <c r="C125" s="742" t="s">
        <v>3462</v>
      </c>
      <c r="D125" s="741" t="s">
        <v>3604</v>
      </c>
      <c r="E125" s="741" t="s">
        <v>2688</v>
      </c>
      <c r="F125" s="741" t="s">
        <v>3410</v>
      </c>
      <c r="G125" s="743" t="s">
        <v>94</v>
      </c>
      <c r="H125" s="742">
        <v>1</v>
      </c>
      <c r="I125" s="742" t="s">
        <v>4116</v>
      </c>
      <c r="J125" s="798" t="s">
        <v>4116</v>
      </c>
      <c r="K125" s="795"/>
    </row>
    <row r="126" spans="1:11" ht="21.95" customHeight="1">
      <c r="A126" s="744" t="s">
        <v>4611</v>
      </c>
      <c r="B126" s="744"/>
      <c r="C126" s="745" t="s">
        <v>3661</v>
      </c>
      <c r="D126" s="744" t="s">
        <v>1127</v>
      </c>
      <c r="E126" s="744" t="s">
        <v>1133</v>
      </c>
      <c r="F126" s="744" t="s">
        <v>3430</v>
      </c>
      <c r="G126" s="746" t="s">
        <v>1129</v>
      </c>
      <c r="H126" s="745" t="s">
        <v>4495</v>
      </c>
      <c r="I126" s="745" t="s">
        <v>3663</v>
      </c>
      <c r="J126" s="796">
        <v>0.08</v>
      </c>
      <c r="K126" s="795"/>
    </row>
    <row r="127" spans="1:11" ht="21.95" customHeight="1">
      <c r="A127" s="744" t="s">
        <v>4611</v>
      </c>
      <c r="B127" s="744"/>
      <c r="C127" s="745" t="s">
        <v>3664</v>
      </c>
      <c r="D127" s="744" t="s">
        <v>1127</v>
      </c>
      <c r="E127" s="744" t="s">
        <v>1134</v>
      </c>
      <c r="F127" s="744" t="s">
        <v>3430</v>
      </c>
      <c r="G127" s="746" t="s">
        <v>1129</v>
      </c>
      <c r="H127" s="745" t="s">
        <v>4496</v>
      </c>
      <c r="I127" s="745" t="s">
        <v>4619</v>
      </c>
      <c r="J127" s="796">
        <v>0.62</v>
      </c>
      <c r="K127" s="795"/>
    </row>
    <row r="128" spans="1:11" ht="33" customHeight="1">
      <c r="A128" s="744" t="s">
        <v>4611</v>
      </c>
      <c r="B128" s="744"/>
      <c r="C128" s="745" t="s">
        <v>4497</v>
      </c>
      <c r="D128" s="744" t="s">
        <v>1127</v>
      </c>
      <c r="E128" s="744" t="s">
        <v>4648</v>
      </c>
      <c r="F128" s="744" t="s">
        <v>3410</v>
      </c>
      <c r="G128" s="746" t="s">
        <v>94</v>
      </c>
      <c r="H128" s="745" t="s">
        <v>3610</v>
      </c>
      <c r="I128" s="745" t="s">
        <v>4498</v>
      </c>
      <c r="J128" s="796">
        <v>3.95</v>
      </c>
      <c r="K128" s="795"/>
    </row>
    <row r="129" spans="1:11" ht="21.95" customHeight="1">
      <c r="A129" s="748" t="s">
        <v>4616</v>
      </c>
      <c r="B129" s="748"/>
      <c r="C129" s="749" t="s">
        <v>3668</v>
      </c>
      <c r="D129" s="748" t="s">
        <v>1127</v>
      </c>
      <c r="E129" s="748" t="s">
        <v>1137</v>
      </c>
      <c r="F129" s="748" t="s">
        <v>1187</v>
      </c>
      <c r="G129" s="750" t="s">
        <v>94</v>
      </c>
      <c r="H129" s="749" t="s">
        <v>3669</v>
      </c>
      <c r="I129" s="749" t="s">
        <v>3670</v>
      </c>
      <c r="J129" s="794">
        <v>0.19</v>
      </c>
      <c r="K129" s="795"/>
    </row>
    <row r="130" spans="1:11" ht="33" customHeight="1" thickBot="1">
      <c r="A130" s="748" t="s">
        <v>4616</v>
      </c>
      <c r="B130" s="748"/>
      <c r="C130" s="749" t="s">
        <v>3671</v>
      </c>
      <c r="D130" s="748" t="s">
        <v>1127</v>
      </c>
      <c r="E130" s="748" t="s">
        <v>3672</v>
      </c>
      <c r="F130" s="748" t="s">
        <v>1187</v>
      </c>
      <c r="G130" s="750" t="s">
        <v>57</v>
      </c>
      <c r="H130" s="749" t="s">
        <v>4499</v>
      </c>
      <c r="I130" s="749" t="s">
        <v>3674</v>
      </c>
      <c r="J130" s="794">
        <v>0</v>
      </c>
      <c r="K130" s="795"/>
    </row>
    <row r="131" spans="1:11" ht="0.95" customHeight="1" thickTop="1">
      <c r="A131" s="747"/>
      <c r="B131" s="747"/>
      <c r="C131" s="747"/>
      <c r="D131" s="747"/>
      <c r="E131" s="747"/>
      <c r="F131" s="747"/>
      <c r="G131" s="747"/>
      <c r="H131" s="747"/>
      <c r="I131" s="747"/>
      <c r="J131" s="747"/>
      <c r="K131" s="747"/>
    </row>
    <row r="132" spans="1:11" ht="18" customHeight="1">
      <c r="A132" s="738"/>
      <c r="B132" s="738" t="s">
        <v>60</v>
      </c>
      <c r="C132" s="739" t="s">
        <v>3312</v>
      </c>
      <c r="D132" s="738" t="s">
        <v>3602</v>
      </c>
      <c r="E132" s="738" t="s">
        <v>3313</v>
      </c>
      <c r="F132" s="738" t="s">
        <v>3390</v>
      </c>
      <c r="G132" s="740" t="s">
        <v>70</v>
      </c>
      <c r="H132" s="739" t="s">
        <v>64</v>
      </c>
      <c r="I132" s="739" t="s">
        <v>3617</v>
      </c>
      <c r="J132" s="797" t="s">
        <v>474</v>
      </c>
      <c r="K132" s="795"/>
    </row>
    <row r="133" spans="1:11" ht="21.95" customHeight="1">
      <c r="A133" s="741" t="s">
        <v>4608</v>
      </c>
      <c r="B133" s="741" t="s">
        <v>4649</v>
      </c>
      <c r="C133" s="742" t="s">
        <v>3434</v>
      </c>
      <c r="D133" s="741" t="s">
        <v>3604</v>
      </c>
      <c r="E133" s="741" t="s">
        <v>830</v>
      </c>
      <c r="F133" s="741" t="s">
        <v>3750</v>
      </c>
      <c r="G133" s="743" t="s">
        <v>108</v>
      </c>
      <c r="H133" s="742">
        <v>1</v>
      </c>
      <c r="I133" s="742" t="s">
        <v>3751</v>
      </c>
      <c r="J133" s="798" t="s">
        <v>3751</v>
      </c>
      <c r="K133" s="795"/>
    </row>
    <row r="134" spans="1:11" ht="21.95" customHeight="1">
      <c r="A134" s="744" t="s">
        <v>4611</v>
      </c>
      <c r="B134" s="744"/>
      <c r="C134" s="745" t="s">
        <v>3633</v>
      </c>
      <c r="D134" s="744" t="s">
        <v>1127</v>
      </c>
      <c r="E134" s="744" t="s">
        <v>1146</v>
      </c>
      <c r="F134" s="744" t="s">
        <v>3430</v>
      </c>
      <c r="G134" s="746" t="s">
        <v>1129</v>
      </c>
      <c r="H134" s="745" t="s">
        <v>3752</v>
      </c>
      <c r="I134" s="745" t="s">
        <v>3635</v>
      </c>
      <c r="J134" s="796">
        <v>1.33</v>
      </c>
      <c r="K134" s="795"/>
    </row>
    <row r="135" spans="1:11" ht="21.95" customHeight="1">
      <c r="A135" s="744" t="s">
        <v>4611</v>
      </c>
      <c r="B135" s="744"/>
      <c r="C135" s="745" t="s">
        <v>3753</v>
      </c>
      <c r="D135" s="744" t="s">
        <v>1127</v>
      </c>
      <c r="E135" s="744" t="s">
        <v>1167</v>
      </c>
      <c r="F135" s="744" t="s">
        <v>3430</v>
      </c>
      <c r="G135" s="746" t="s">
        <v>1129</v>
      </c>
      <c r="H135" s="745" t="s">
        <v>3754</v>
      </c>
      <c r="I135" s="745" t="s">
        <v>3755</v>
      </c>
      <c r="J135" s="796">
        <v>1.39</v>
      </c>
      <c r="K135" s="795"/>
    </row>
    <row r="136" spans="1:11" ht="33" customHeight="1">
      <c r="A136" s="744" t="s">
        <v>4611</v>
      </c>
      <c r="B136" s="744"/>
      <c r="C136" s="745" t="s">
        <v>3756</v>
      </c>
      <c r="D136" s="744" t="s">
        <v>1127</v>
      </c>
      <c r="E136" s="744" t="s">
        <v>1168</v>
      </c>
      <c r="F136" s="744" t="s">
        <v>3757</v>
      </c>
      <c r="G136" s="746" t="s">
        <v>1169</v>
      </c>
      <c r="H136" s="745" t="s">
        <v>3758</v>
      </c>
      <c r="I136" s="745" t="s">
        <v>3759</v>
      </c>
      <c r="J136" s="796">
        <v>0.18</v>
      </c>
      <c r="K136" s="795"/>
    </row>
    <row r="137" spans="1:11" ht="33" customHeight="1">
      <c r="A137" s="744" t="s">
        <v>4611</v>
      </c>
      <c r="B137" s="744"/>
      <c r="C137" s="745" t="s">
        <v>3760</v>
      </c>
      <c r="D137" s="744" t="s">
        <v>1127</v>
      </c>
      <c r="E137" s="744" t="s">
        <v>1170</v>
      </c>
      <c r="F137" s="744" t="s">
        <v>3757</v>
      </c>
      <c r="G137" s="746" t="s">
        <v>1171</v>
      </c>
      <c r="H137" s="745" t="s">
        <v>3761</v>
      </c>
      <c r="I137" s="745" t="s">
        <v>3762</v>
      </c>
      <c r="J137" s="796">
        <v>0.09</v>
      </c>
      <c r="K137" s="795"/>
    </row>
    <row r="138" spans="1:11" ht="21.95" customHeight="1">
      <c r="A138" s="748" t="s">
        <v>4616</v>
      </c>
      <c r="B138" s="748"/>
      <c r="C138" s="749" t="s">
        <v>3763</v>
      </c>
      <c r="D138" s="748" t="s">
        <v>1127</v>
      </c>
      <c r="E138" s="748" t="s">
        <v>1172</v>
      </c>
      <c r="F138" s="748" t="s">
        <v>1187</v>
      </c>
      <c r="G138" s="750" t="s">
        <v>108</v>
      </c>
      <c r="H138" s="749" t="s">
        <v>3764</v>
      </c>
      <c r="I138" s="749" t="s">
        <v>3765</v>
      </c>
      <c r="J138" s="794">
        <v>30.77</v>
      </c>
      <c r="K138" s="795"/>
    </row>
    <row r="139" spans="1:11" ht="33" customHeight="1" thickBot="1">
      <c r="A139" s="748" t="s">
        <v>4616</v>
      </c>
      <c r="B139" s="748"/>
      <c r="C139" s="749" t="s">
        <v>3766</v>
      </c>
      <c r="D139" s="748" t="s">
        <v>1127</v>
      </c>
      <c r="E139" s="748" t="s">
        <v>1173</v>
      </c>
      <c r="F139" s="748" t="s">
        <v>1187</v>
      </c>
      <c r="G139" s="750" t="s">
        <v>283</v>
      </c>
      <c r="H139" s="749" t="s">
        <v>3767</v>
      </c>
      <c r="I139" s="749" t="s">
        <v>3768</v>
      </c>
      <c r="J139" s="794">
        <v>4.5999999999999996</v>
      </c>
      <c r="K139" s="795"/>
    </row>
    <row r="140" spans="1:11" ht="0.95" customHeight="1" thickTop="1">
      <c r="A140" s="747"/>
      <c r="B140" s="747"/>
      <c r="C140" s="747"/>
      <c r="D140" s="747"/>
      <c r="E140" s="747"/>
      <c r="F140" s="747"/>
      <c r="G140" s="747"/>
      <c r="H140" s="747"/>
      <c r="I140" s="747"/>
      <c r="J140" s="747"/>
      <c r="K140" s="747"/>
    </row>
    <row r="141" spans="1:11" ht="18" customHeight="1">
      <c r="A141" s="738"/>
      <c r="B141" s="738" t="s">
        <v>60</v>
      </c>
      <c r="C141" s="739" t="s">
        <v>3312</v>
      </c>
      <c r="D141" s="738" t="s">
        <v>3602</v>
      </c>
      <c r="E141" s="738" t="s">
        <v>3313</v>
      </c>
      <c r="F141" s="738" t="s">
        <v>3390</v>
      </c>
      <c r="G141" s="740" t="s">
        <v>70</v>
      </c>
      <c r="H141" s="739" t="s">
        <v>64</v>
      </c>
      <c r="I141" s="739" t="s">
        <v>3617</v>
      </c>
      <c r="J141" s="797" t="s">
        <v>474</v>
      </c>
      <c r="K141" s="795"/>
    </row>
    <row r="142" spans="1:11" ht="21.95" customHeight="1">
      <c r="A142" s="741" t="s">
        <v>4608</v>
      </c>
      <c r="B142" s="741" t="s">
        <v>4650</v>
      </c>
      <c r="C142" s="742" t="s">
        <v>4651</v>
      </c>
      <c r="D142" s="741" t="s">
        <v>3604</v>
      </c>
      <c r="E142" s="741" t="s">
        <v>2113</v>
      </c>
      <c r="F142" s="741" t="s">
        <v>3750</v>
      </c>
      <c r="G142" s="743" t="s">
        <v>108</v>
      </c>
      <c r="H142" s="742">
        <v>1</v>
      </c>
      <c r="I142" s="742" t="s">
        <v>4652</v>
      </c>
      <c r="J142" s="798" t="s">
        <v>4652</v>
      </c>
      <c r="K142" s="795"/>
    </row>
    <row r="143" spans="1:11" ht="21.95" customHeight="1" thickBot="1">
      <c r="A143" s="748" t="s">
        <v>4616</v>
      </c>
      <c r="B143" s="748"/>
      <c r="C143" s="749" t="s">
        <v>4653</v>
      </c>
      <c r="D143" s="748" t="s">
        <v>3604</v>
      </c>
      <c r="E143" s="748" t="s">
        <v>2113</v>
      </c>
      <c r="F143" s="748" t="s">
        <v>61</v>
      </c>
      <c r="G143" s="750" t="s">
        <v>108</v>
      </c>
      <c r="H143" s="749" t="s">
        <v>3610</v>
      </c>
      <c r="I143" s="749" t="s">
        <v>4652</v>
      </c>
      <c r="J143" s="794">
        <v>322.5</v>
      </c>
      <c r="K143" s="795"/>
    </row>
    <row r="144" spans="1:11" ht="0.95" customHeight="1" thickTop="1">
      <c r="A144" s="747"/>
      <c r="B144" s="747"/>
      <c r="C144" s="747"/>
      <c r="D144" s="747"/>
      <c r="E144" s="747"/>
      <c r="F144" s="747"/>
      <c r="G144" s="747"/>
      <c r="H144" s="747"/>
      <c r="I144" s="747"/>
      <c r="J144" s="747"/>
      <c r="K144" s="747"/>
    </row>
    <row r="145" spans="1:11" ht="18" customHeight="1">
      <c r="A145" s="738"/>
      <c r="B145" s="738" t="s">
        <v>60</v>
      </c>
      <c r="C145" s="739" t="s">
        <v>3312</v>
      </c>
      <c r="D145" s="738" t="s">
        <v>3602</v>
      </c>
      <c r="E145" s="738" t="s">
        <v>3313</v>
      </c>
      <c r="F145" s="738" t="s">
        <v>3390</v>
      </c>
      <c r="G145" s="740" t="s">
        <v>70</v>
      </c>
      <c r="H145" s="739" t="s">
        <v>64</v>
      </c>
      <c r="I145" s="739" t="s">
        <v>3617</v>
      </c>
      <c r="J145" s="797" t="s">
        <v>474</v>
      </c>
      <c r="K145" s="795"/>
    </row>
    <row r="146" spans="1:11" ht="44.1" customHeight="1">
      <c r="A146" s="741" t="s">
        <v>4608</v>
      </c>
      <c r="B146" s="741" t="s">
        <v>4654</v>
      </c>
      <c r="C146" s="742" t="s">
        <v>3542</v>
      </c>
      <c r="D146" s="741" t="s">
        <v>3604</v>
      </c>
      <c r="E146" s="741" t="s">
        <v>819</v>
      </c>
      <c r="F146" s="741" t="s">
        <v>3428</v>
      </c>
      <c r="G146" s="743" t="s">
        <v>57</v>
      </c>
      <c r="H146" s="742">
        <v>1</v>
      </c>
      <c r="I146" s="742" t="s">
        <v>4655</v>
      </c>
      <c r="J146" s="798" t="s">
        <v>4655</v>
      </c>
      <c r="K146" s="795"/>
    </row>
    <row r="147" spans="1:11" ht="21.95" customHeight="1">
      <c r="A147" s="744" t="s">
        <v>4611</v>
      </c>
      <c r="B147" s="744"/>
      <c r="C147" s="745" t="s">
        <v>3631</v>
      </c>
      <c r="D147" s="744" t="s">
        <v>1127</v>
      </c>
      <c r="E147" s="744" t="s">
        <v>1145</v>
      </c>
      <c r="F147" s="744" t="s">
        <v>3430</v>
      </c>
      <c r="G147" s="746" t="s">
        <v>1129</v>
      </c>
      <c r="H147" s="745" t="s">
        <v>3769</v>
      </c>
      <c r="I147" s="745" t="s">
        <v>3632</v>
      </c>
      <c r="J147" s="796">
        <v>59.09</v>
      </c>
      <c r="K147" s="795"/>
    </row>
    <row r="148" spans="1:11" ht="21.95" customHeight="1">
      <c r="A148" s="744" t="s">
        <v>4611</v>
      </c>
      <c r="B148" s="744"/>
      <c r="C148" s="745" t="s">
        <v>3633</v>
      </c>
      <c r="D148" s="744" t="s">
        <v>1127</v>
      </c>
      <c r="E148" s="744" t="s">
        <v>1146</v>
      </c>
      <c r="F148" s="744" t="s">
        <v>3430</v>
      </c>
      <c r="G148" s="746" t="s">
        <v>1129</v>
      </c>
      <c r="H148" s="745" t="s">
        <v>3770</v>
      </c>
      <c r="I148" s="745" t="s">
        <v>3635</v>
      </c>
      <c r="J148" s="796">
        <v>24.01</v>
      </c>
      <c r="K148" s="795"/>
    </row>
    <row r="149" spans="1:11" ht="21.95" customHeight="1">
      <c r="A149" s="744" t="s">
        <v>4611</v>
      </c>
      <c r="B149" s="744"/>
      <c r="C149" s="745" t="s">
        <v>3771</v>
      </c>
      <c r="D149" s="744" t="s">
        <v>1127</v>
      </c>
      <c r="E149" s="744" t="s">
        <v>1174</v>
      </c>
      <c r="F149" s="744" t="s">
        <v>3430</v>
      </c>
      <c r="G149" s="746" t="s">
        <v>284</v>
      </c>
      <c r="H149" s="745" t="s">
        <v>3727</v>
      </c>
      <c r="I149" s="745" t="s">
        <v>3772</v>
      </c>
      <c r="J149" s="796">
        <v>15.89</v>
      </c>
      <c r="K149" s="795"/>
    </row>
    <row r="150" spans="1:11" ht="21.95" customHeight="1" thickBot="1">
      <c r="A150" s="748" t="s">
        <v>4616</v>
      </c>
      <c r="B150" s="748"/>
      <c r="C150" s="749" t="s">
        <v>3773</v>
      </c>
      <c r="D150" s="748" t="s">
        <v>3604</v>
      </c>
      <c r="E150" s="748" t="s">
        <v>1175</v>
      </c>
      <c r="F150" s="748" t="s">
        <v>1187</v>
      </c>
      <c r="G150" s="750" t="s">
        <v>57</v>
      </c>
      <c r="H150" s="749" t="s">
        <v>3610</v>
      </c>
      <c r="I150" s="749" t="s">
        <v>4656</v>
      </c>
      <c r="J150" s="794">
        <v>1100</v>
      </c>
      <c r="K150" s="795"/>
    </row>
    <row r="151" spans="1:11" ht="0.95" customHeight="1" thickTop="1">
      <c r="A151" s="747"/>
      <c r="B151" s="747"/>
      <c r="C151" s="747"/>
      <c r="D151" s="747"/>
      <c r="E151" s="747"/>
      <c r="F151" s="747"/>
      <c r="G151" s="747"/>
      <c r="H151" s="747"/>
      <c r="I151" s="747"/>
      <c r="J151" s="747"/>
      <c r="K151" s="747"/>
    </row>
    <row r="152" spans="1:11" ht="18" customHeight="1">
      <c r="A152" s="738"/>
      <c r="B152" s="738" t="s">
        <v>60</v>
      </c>
      <c r="C152" s="739" t="s">
        <v>3312</v>
      </c>
      <c r="D152" s="738" t="s">
        <v>3602</v>
      </c>
      <c r="E152" s="738" t="s">
        <v>3313</v>
      </c>
      <c r="F152" s="738" t="s">
        <v>3390</v>
      </c>
      <c r="G152" s="740" t="s">
        <v>70</v>
      </c>
      <c r="H152" s="739" t="s">
        <v>64</v>
      </c>
      <c r="I152" s="739" t="s">
        <v>3617</v>
      </c>
      <c r="J152" s="797" t="s">
        <v>474</v>
      </c>
      <c r="K152" s="795"/>
    </row>
    <row r="153" spans="1:11" ht="44.1" customHeight="1">
      <c r="A153" s="741" t="s">
        <v>4608</v>
      </c>
      <c r="B153" s="741" t="s">
        <v>4657</v>
      </c>
      <c r="C153" s="742" t="s">
        <v>3545</v>
      </c>
      <c r="D153" s="741" t="s">
        <v>3604</v>
      </c>
      <c r="E153" s="741" t="s">
        <v>817</v>
      </c>
      <c r="F153" s="741" t="s">
        <v>3428</v>
      </c>
      <c r="G153" s="743" t="s">
        <v>57</v>
      </c>
      <c r="H153" s="742">
        <v>1</v>
      </c>
      <c r="I153" s="742" t="s">
        <v>4658</v>
      </c>
      <c r="J153" s="798" t="s">
        <v>4658</v>
      </c>
      <c r="K153" s="795"/>
    </row>
    <row r="154" spans="1:11" ht="21.95" customHeight="1">
      <c r="A154" s="744" t="s">
        <v>4611</v>
      </c>
      <c r="B154" s="744"/>
      <c r="C154" s="745" t="s">
        <v>3631</v>
      </c>
      <c r="D154" s="744" t="s">
        <v>1127</v>
      </c>
      <c r="E154" s="744" t="s">
        <v>1145</v>
      </c>
      <c r="F154" s="744" t="s">
        <v>3430</v>
      </c>
      <c r="G154" s="746" t="s">
        <v>1129</v>
      </c>
      <c r="H154" s="745" t="s">
        <v>3774</v>
      </c>
      <c r="I154" s="745" t="s">
        <v>3632</v>
      </c>
      <c r="J154" s="796">
        <v>64.56</v>
      </c>
      <c r="K154" s="795"/>
    </row>
    <row r="155" spans="1:11" ht="21.95" customHeight="1">
      <c r="A155" s="744" t="s">
        <v>4611</v>
      </c>
      <c r="B155" s="744"/>
      <c r="C155" s="745" t="s">
        <v>3633</v>
      </c>
      <c r="D155" s="744" t="s">
        <v>1127</v>
      </c>
      <c r="E155" s="744" t="s">
        <v>1146</v>
      </c>
      <c r="F155" s="744" t="s">
        <v>3430</v>
      </c>
      <c r="G155" s="746" t="s">
        <v>1129</v>
      </c>
      <c r="H155" s="745" t="s">
        <v>3774</v>
      </c>
      <c r="I155" s="745" t="s">
        <v>3635</v>
      </c>
      <c r="J155" s="796">
        <v>52.46</v>
      </c>
      <c r="K155" s="795"/>
    </row>
    <row r="156" spans="1:11" ht="21.95" customHeight="1">
      <c r="A156" s="744" t="s">
        <v>4611</v>
      </c>
      <c r="B156" s="744"/>
      <c r="C156" s="745" t="s">
        <v>3771</v>
      </c>
      <c r="D156" s="744" t="s">
        <v>1127</v>
      </c>
      <c r="E156" s="744" t="s">
        <v>1174</v>
      </c>
      <c r="F156" s="744" t="s">
        <v>3430</v>
      </c>
      <c r="G156" s="746" t="s">
        <v>284</v>
      </c>
      <c r="H156" s="745" t="s">
        <v>3775</v>
      </c>
      <c r="I156" s="745" t="s">
        <v>3772</v>
      </c>
      <c r="J156" s="796">
        <v>35.76</v>
      </c>
      <c r="K156" s="795"/>
    </row>
    <row r="157" spans="1:11" ht="21.95" customHeight="1">
      <c r="A157" s="744" t="s">
        <v>4611</v>
      </c>
      <c r="B157" s="744"/>
      <c r="C157" s="745" t="s">
        <v>3776</v>
      </c>
      <c r="D157" s="744" t="s">
        <v>1127</v>
      </c>
      <c r="E157" s="744" t="s">
        <v>3777</v>
      </c>
      <c r="F157" s="744" t="s">
        <v>3428</v>
      </c>
      <c r="G157" s="746" t="s">
        <v>108</v>
      </c>
      <c r="H157" s="745" t="s">
        <v>3778</v>
      </c>
      <c r="I157" s="745" t="s">
        <v>4659</v>
      </c>
      <c r="J157" s="796">
        <v>81.25</v>
      </c>
      <c r="K157" s="795"/>
    </row>
    <row r="158" spans="1:11" ht="21.95" customHeight="1" thickBot="1">
      <c r="A158" s="748" t="s">
        <v>4616</v>
      </c>
      <c r="B158" s="748"/>
      <c r="C158" s="749" t="s">
        <v>3779</v>
      </c>
      <c r="D158" s="748" t="s">
        <v>3604</v>
      </c>
      <c r="E158" s="748" t="s">
        <v>1185</v>
      </c>
      <c r="F158" s="748" t="s">
        <v>1187</v>
      </c>
      <c r="G158" s="750" t="s">
        <v>57</v>
      </c>
      <c r="H158" s="749" t="s">
        <v>3610</v>
      </c>
      <c r="I158" s="749" t="s">
        <v>3780</v>
      </c>
      <c r="J158" s="794">
        <v>1350</v>
      </c>
      <c r="K158" s="795"/>
    </row>
    <row r="159" spans="1:11" ht="0.95" customHeight="1" thickTop="1">
      <c r="A159" s="747"/>
      <c r="B159" s="747"/>
      <c r="C159" s="747"/>
      <c r="D159" s="747"/>
      <c r="E159" s="747"/>
      <c r="F159" s="747"/>
      <c r="G159" s="747"/>
      <c r="H159" s="747"/>
      <c r="I159" s="747"/>
      <c r="J159" s="747"/>
      <c r="K159" s="747"/>
    </row>
    <row r="160" spans="1:11" ht="18" customHeight="1">
      <c r="A160" s="738"/>
      <c r="B160" s="738" t="s">
        <v>60</v>
      </c>
      <c r="C160" s="739" t="s">
        <v>3312</v>
      </c>
      <c r="D160" s="738" t="s">
        <v>3602</v>
      </c>
      <c r="E160" s="738" t="s">
        <v>3313</v>
      </c>
      <c r="F160" s="738" t="s">
        <v>3390</v>
      </c>
      <c r="G160" s="740" t="s">
        <v>70</v>
      </c>
      <c r="H160" s="739" t="s">
        <v>64</v>
      </c>
      <c r="I160" s="739" t="s">
        <v>3617</v>
      </c>
      <c r="J160" s="797" t="s">
        <v>474</v>
      </c>
      <c r="K160" s="795"/>
    </row>
    <row r="161" spans="1:11" ht="21.95" customHeight="1">
      <c r="A161" s="741" t="s">
        <v>4608</v>
      </c>
      <c r="B161" s="741" t="s">
        <v>4660</v>
      </c>
      <c r="C161" s="742" t="s">
        <v>3517</v>
      </c>
      <c r="D161" s="741" t="s">
        <v>3604</v>
      </c>
      <c r="E161" s="741" t="s">
        <v>1798</v>
      </c>
      <c r="F161" s="741" t="s">
        <v>3430</v>
      </c>
      <c r="G161" s="743" t="s">
        <v>57</v>
      </c>
      <c r="H161" s="742">
        <v>1</v>
      </c>
      <c r="I161" s="742" t="s">
        <v>4661</v>
      </c>
      <c r="J161" s="798" t="s">
        <v>4661</v>
      </c>
      <c r="K161" s="795"/>
    </row>
    <row r="162" spans="1:11" ht="21.95" customHeight="1">
      <c r="A162" s="744" t="s">
        <v>4611</v>
      </c>
      <c r="B162" s="744"/>
      <c r="C162" s="745" t="s">
        <v>3631</v>
      </c>
      <c r="D162" s="744" t="s">
        <v>1127</v>
      </c>
      <c r="E162" s="744" t="s">
        <v>1145</v>
      </c>
      <c r="F162" s="744" t="s">
        <v>3430</v>
      </c>
      <c r="G162" s="746" t="s">
        <v>1129</v>
      </c>
      <c r="H162" s="745" t="s">
        <v>3781</v>
      </c>
      <c r="I162" s="745" t="s">
        <v>3632</v>
      </c>
      <c r="J162" s="796">
        <v>8.5399999999999991</v>
      </c>
      <c r="K162" s="795"/>
    </row>
    <row r="163" spans="1:11" ht="21.95" customHeight="1">
      <c r="A163" s="744" t="s">
        <v>4611</v>
      </c>
      <c r="B163" s="744"/>
      <c r="C163" s="745" t="s">
        <v>3633</v>
      </c>
      <c r="D163" s="744" t="s">
        <v>1127</v>
      </c>
      <c r="E163" s="744" t="s">
        <v>1146</v>
      </c>
      <c r="F163" s="744" t="s">
        <v>3430</v>
      </c>
      <c r="G163" s="746" t="s">
        <v>1129</v>
      </c>
      <c r="H163" s="745" t="s">
        <v>3781</v>
      </c>
      <c r="I163" s="745" t="s">
        <v>3635</v>
      </c>
      <c r="J163" s="796">
        <v>6.94</v>
      </c>
      <c r="K163" s="795"/>
    </row>
    <row r="164" spans="1:11" ht="21.95" customHeight="1" thickBot="1">
      <c r="A164" s="748" t="s">
        <v>4616</v>
      </c>
      <c r="B164" s="748"/>
      <c r="C164" s="749" t="s">
        <v>3782</v>
      </c>
      <c r="D164" s="748" t="s">
        <v>3604</v>
      </c>
      <c r="E164" s="748" t="s">
        <v>1799</v>
      </c>
      <c r="F164" s="748" t="s">
        <v>1187</v>
      </c>
      <c r="G164" s="750" t="s">
        <v>57</v>
      </c>
      <c r="H164" s="749" t="s">
        <v>3610</v>
      </c>
      <c r="I164" s="749" t="s">
        <v>4662</v>
      </c>
      <c r="J164" s="794">
        <v>129.94999999999999</v>
      </c>
      <c r="K164" s="795"/>
    </row>
    <row r="165" spans="1:11" ht="0.95" customHeight="1" thickTop="1">
      <c r="A165" s="747"/>
      <c r="B165" s="747"/>
      <c r="C165" s="747"/>
      <c r="D165" s="747"/>
      <c r="E165" s="747"/>
      <c r="F165" s="747"/>
      <c r="G165" s="747"/>
      <c r="H165" s="747"/>
      <c r="I165" s="747"/>
      <c r="J165" s="747"/>
      <c r="K165" s="747"/>
    </row>
    <row r="166" spans="1:11" ht="18" customHeight="1">
      <c r="A166" s="738"/>
      <c r="B166" s="738" t="s">
        <v>60</v>
      </c>
      <c r="C166" s="739" t="s">
        <v>3312</v>
      </c>
      <c r="D166" s="738" t="s">
        <v>3602</v>
      </c>
      <c r="E166" s="738" t="s">
        <v>3313</v>
      </c>
      <c r="F166" s="738" t="s">
        <v>3390</v>
      </c>
      <c r="G166" s="740" t="s">
        <v>70</v>
      </c>
      <c r="H166" s="739" t="s">
        <v>64</v>
      </c>
      <c r="I166" s="739" t="s">
        <v>3617</v>
      </c>
      <c r="J166" s="797" t="s">
        <v>474</v>
      </c>
      <c r="K166" s="795"/>
    </row>
    <row r="167" spans="1:11" ht="21.95" customHeight="1">
      <c r="A167" s="741" t="s">
        <v>4608</v>
      </c>
      <c r="B167" s="741" t="s">
        <v>4663</v>
      </c>
      <c r="C167" s="742" t="s">
        <v>3433</v>
      </c>
      <c r="D167" s="741" t="s">
        <v>3604</v>
      </c>
      <c r="E167" s="741" t="s">
        <v>804</v>
      </c>
      <c r="F167" s="741" t="s">
        <v>3428</v>
      </c>
      <c r="G167" s="743" t="s">
        <v>57</v>
      </c>
      <c r="H167" s="742">
        <v>1</v>
      </c>
      <c r="I167" s="742" t="s">
        <v>4664</v>
      </c>
      <c r="J167" s="798" t="s">
        <v>4664</v>
      </c>
      <c r="K167" s="795"/>
    </row>
    <row r="168" spans="1:11" ht="21.95" customHeight="1">
      <c r="A168" s="744" t="s">
        <v>4611</v>
      </c>
      <c r="B168" s="744"/>
      <c r="C168" s="745" t="s">
        <v>3783</v>
      </c>
      <c r="D168" s="744" t="s">
        <v>1127</v>
      </c>
      <c r="E168" s="744" t="s">
        <v>1181</v>
      </c>
      <c r="F168" s="744" t="s">
        <v>3430</v>
      </c>
      <c r="G168" s="746" t="s">
        <v>1129</v>
      </c>
      <c r="H168" s="745" t="s">
        <v>3784</v>
      </c>
      <c r="I168" s="745" t="s">
        <v>3785</v>
      </c>
      <c r="J168" s="796">
        <v>9.18</v>
      </c>
      <c r="K168" s="795"/>
    </row>
    <row r="169" spans="1:11" ht="44.1" customHeight="1">
      <c r="A169" s="748" t="s">
        <v>4616</v>
      </c>
      <c r="B169" s="748"/>
      <c r="C169" s="749" t="s">
        <v>3786</v>
      </c>
      <c r="D169" s="748" t="s">
        <v>1127</v>
      </c>
      <c r="E169" s="748" t="s">
        <v>1182</v>
      </c>
      <c r="F169" s="748" t="s">
        <v>1187</v>
      </c>
      <c r="G169" s="750" t="s">
        <v>283</v>
      </c>
      <c r="H169" s="749" t="s">
        <v>3714</v>
      </c>
      <c r="I169" s="749" t="s">
        <v>3787</v>
      </c>
      <c r="J169" s="794">
        <v>676.22</v>
      </c>
      <c r="K169" s="795"/>
    </row>
    <row r="170" spans="1:11" ht="21.95" customHeight="1">
      <c r="A170" s="748" t="s">
        <v>4616</v>
      </c>
      <c r="B170" s="748"/>
      <c r="C170" s="749" t="s">
        <v>3788</v>
      </c>
      <c r="D170" s="748" t="s">
        <v>1127</v>
      </c>
      <c r="E170" s="748" t="s">
        <v>1183</v>
      </c>
      <c r="F170" s="748" t="s">
        <v>1187</v>
      </c>
      <c r="G170" s="750" t="s">
        <v>108</v>
      </c>
      <c r="H170" s="749" t="s">
        <v>3789</v>
      </c>
      <c r="I170" s="749" t="s">
        <v>3790</v>
      </c>
      <c r="J170" s="794">
        <v>854.28</v>
      </c>
      <c r="K170" s="795"/>
    </row>
    <row r="171" spans="1:11" ht="44.1" customHeight="1">
      <c r="A171" s="748" t="s">
        <v>4616</v>
      </c>
      <c r="B171" s="748"/>
      <c r="C171" s="749" t="s">
        <v>3791</v>
      </c>
      <c r="D171" s="748" t="s">
        <v>1127</v>
      </c>
      <c r="E171" s="748" t="s">
        <v>4665</v>
      </c>
      <c r="F171" s="748" t="s">
        <v>1187</v>
      </c>
      <c r="G171" s="750" t="s">
        <v>57</v>
      </c>
      <c r="H171" s="749" t="s">
        <v>3714</v>
      </c>
      <c r="I171" s="749" t="s">
        <v>3792</v>
      </c>
      <c r="J171" s="794">
        <v>23.7</v>
      </c>
      <c r="K171" s="795"/>
    </row>
    <row r="172" spans="1:11" ht="21.95" customHeight="1" thickBot="1">
      <c r="A172" s="748" t="s">
        <v>4616</v>
      </c>
      <c r="B172" s="748"/>
      <c r="C172" s="749" t="s">
        <v>3793</v>
      </c>
      <c r="D172" s="748" t="s">
        <v>1127</v>
      </c>
      <c r="E172" s="748" t="s">
        <v>1184</v>
      </c>
      <c r="F172" s="748" t="s">
        <v>1187</v>
      </c>
      <c r="G172" s="750" t="s">
        <v>57</v>
      </c>
      <c r="H172" s="749" t="s">
        <v>3714</v>
      </c>
      <c r="I172" s="749" t="s">
        <v>3794</v>
      </c>
      <c r="J172" s="794">
        <v>2017.92</v>
      </c>
      <c r="K172" s="795"/>
    </row>
    <row r="173" spans="1:11" ht="0.95" customHeight="1" thickTop="1">
      <c r="A173" s="747"/>
      <c r="B173" s="747"/>
      <c r="C173" s="747"/>
      <c r="D173" s="747"/>
      <c r="E173" s="747"/>
      <c r="F173" s="747"/>
      <c r="G173" s="747"/>
      <c r="H173" s="747"/>
      <c r="I173" s="747"/>
      <c r="J173" s="747"/>
      <c r="K173" s="747"/>
    </row>
    <row r="174" spans="1:11" ht="18" customHeight="1">
      <c r="A174" s="738"/>
      <c r="B174" s="738" t="s">
        <v>60</v>
      </c>
      <c r="C174" s="739" t="s">
        <v>3312</v>
      </c>
      <c r="D174" s="738" t="s">
        <v>3602</v>
      </c>
      <c r="E174" s="738" t="s">
        <v>3313</v>
      </c>
      <c r="F174" s="738" t="s">
        <v>3390</v>
      </c>
      <c r="G174" s="740" t="s">
        <v>70</v>
      </c>
      <c r="H174" s="739" t="s">
        <v>64</v>
      </c>
      <c r="I174" s="739" t="s">
        <v>3617</v>
      </c>
      <c r="J174" s="797" t="s">
        <v>474</v>
      </c>
      <c r="K174" s="795"/>
    </row>
    <row r="175" spans="1:11" ht="21.95" customHeight="1">
      <c r="A175" s="741" t="s">
        <v>4608</v>
      </c>
      <c r="B175" s="741" t="s">
        <v>4666</v>
      </c>
      <c r="C175" s="742" t="s">
        <v>3432</v>
      </c>
      <c r="D175" s="741" t="s">
        <v>3604</v>
      </c>
      <c r="E175" s="741" t="s">
        <v>802</v>
      </c>
      <c r="F175" s="741" t="s">
        <v>3428</v>
      </c>
      <c r="G175" s="743" t="s">
        <v>57</v>
      </c>
      <c r="H175" s="742">
        <v>1</v>
      </c>
      <c r="I175" s="742" t="s">
        <v>3795</v>
      </c>
      <c r="J175" s="798" t="s">
        <v>3795</v>
      </c>
      <c r="K175" s="795"/>
    </row>
    <row r="176" spans="1:11" ht="21.95" customHeight="1">
      <c r="A176" s="744" t="s">
        <v>4611</v>
      </c>
      <c r="B176" s="744"/>
      <c r="C176" s="745" t="s">
        <v>3783</v>
      </c>
      <c r="D176" s="744" t="s">
        <v>1127</v>
      </c>
      <c r="E176" s="744" t="s">
        <v>1181</v>
      </c>
      <c r="F176" s="744" t="s">
        <v>3430</v>
      </c>
      <c r="G176" s="746" t="s">
        <v>1129</v>
      </c>
      <c r="H176" s="745" t="s">
        <v>3713</v>
      </c>
      <c r="I176" s="745" t="s">
        <v>3785</v>
      </c>
      <c r="J176" s="796">
        <v>4.59</v>
      </c>
      <c r="K176" s="795"/>
    </row>
    <row r="177" spans="1:11" ht="44.1" customHeight="1">
      <c r="A177" s="748" t="s">
        <v>4616</v>
      </c>
      <c r="B177" s="748"/>
      <c r="C177" s="749" t="s">
        <v>3786</v>
      </c>
      <c r="D177" s="748" t="s">
        <v>1127</v>
      </c>
      <c r="E177" s="748" t="s">
        <v>1182</v>
      </c>
      <c r="F177" s="748" t="s">
        <v>1187</v>
      </c>
      <c r="G177" s="750" t="s">
        <v>283</v>
      </c>
      <c r="H177" s="749" t="s">
        <v>3610</v>
      </c>
      <c r="I177" s="749" t="s">
        <v>3787</v>
      </c>
      <c r="J177" s="794">
        <v>338.11</v>
      </c>
      <c r="K177" s="795"/>
    </row>
    <row r="178" spans="1:11" ht="21.95" customHeight="1">
      <c r="A178" s="748" t="s">
        <v>4616</v>
      </c>
      <c r="B178" s="748"/>
      <c r="C178" s="749" t="s">
        <v>3788</v>
      </c>
      <c r="D178" s="748" t="s">
        <v>1127</v>
      </c>
      <c r="E178" s="748" t="s">
        <v>1183</v>
      </c>
      <c r="F178" s="748" t="s">
        <v>1187</v>
      </c>
      <c r="G178" s="750" t="s">
        <v>108</v>
      </c>
      <c r="H178" s="749" t="s">
        <v>3796</v>
      </c>
      <c r="I178" s="749" t="s">
        <v>3790</v>
      </c>
      <c r="J178" s="794">
        <v>427.14</v>
      </c>
      <c r="K178" s="795"/>
    </row>
    <row r="179" spans="1:11" ht="21.95" customHeight="1">
      <c r="A179" s="748" t="s">
        <v>4616</v>
      </c>
      <c r="B179" s="748"/>
      <c r="C179" s="749" t="s">
        <v>3793</v>
      </c>
      <c r="D179" s="748" t="s">
        <v>1127</v>
      </c>
      <c r="E179" s="748" t="s">
        <v>1184</v>
      </c>
      <c r="F179" s="748" t="s">
        <v>1187</v>
      </c>
      <c r="G179" s="750" t="s">
        <v>57</v>
      </c>
      <c r="H179" s="749" t="s">
        <v>3610</v>
      </c>
      <c r="I179" s="749" t="s">
        <v>3794</v>
      </c>
      <c r="J179" s="794">
        <v>1008.96</v>
      </c>
      <c r="K179" s="795"/>
    </row>
    <row r="180" spans="1:11" ht="44.1" customHeight="1" thickBot="1">
      <c r="A180" s="748" t="s">
        <v>4616</v>
      </c>
      <c r="B180" s="748"/>
      <c r="C180" s="749" t="s">
        <v>3791</v>
      </c>
      <c r="D180" s="748" t="s">
        <v>1127</v>
      </c>
      <c r="E180" s="748" t="s">
        <v>4665</v>
      </c>
      <c r="F180" s="748" t="s">
        <v>1187</v>
      </c>
      <c r="G180" s="750" t="s">
        <v>57</v>
      </c>
      <c r="H180" s="749" t="s">
        <v>3610</v>
      </c>
      <c r="I180" s="749" t="s">
        <v>3792</v>
      </c>
      <c r="J180" s="794">
        <v>11.85</v>
      </c>
      <c r="K180" s="795"/>
    </row>
    <row r="181" spans="1:11" ht="0.95" customHeight="1" thickTop="1">
      <c r="A181" s="747"/>
      <c r="B181" s="747"/>
      <c r="C181" s="747"/>
      <c r="D181" s="747"/>
      <c r="E181" s="747"/>
      <c r="F181" s="747"/>
      <c r="G181" s="747"/>
      <c r="H181" s="747"/>
      <c r="I181" s="747"/>
      <c r="J181" s="747"/>
      <c r="K181" s="747"/>
    </row>
    <row r="182" spans="1:11" ht="18" customHeight="1">
      <c r="A182" s="738"/>
      <c r="B182" s="738" t="s">
        <v>60</v>
      </c>
      <c r="C182" s="739" t="s">
        <v>3312</v>
      </c>
      <c r="D182" s="738" t="s">
        <v>3602</v>
      </c>
      <c r="E182" s="738" t="s">
        <v>3313</v>
      </c>
      <c r="F182" s="738" t="s">
        <v>3390</v>
      </c>
      <c r="G182" s="740" t="s">
        <v>70</v>
      </c>
      <c r="H182" s="739" t="s">
        <v>64</v>
      </c>
      <c r="I182" s="739" t="s">
        <v>3617</v>
      </c>
      <c r="J182" s="797" t="s">
        <v>474</v>
      </c>
      <c r="K182" s="795"/>
    </row>
    <row r="183" spans="1:11" ht="44.1" customHeight="1">
      <c r="A183" s="741" t="s">
        <v>4608</v>
      </c>
      <c r="B183" s="741" t="s">
        <v>4667</v>
      </c>
      <c r="C183" s="742" t="s">
        <v>3544</v>
      </c>
      <c r="D183" s="741" t="s">
        <v>3604</v>
      </c>
      <c r="E183" s="741" t="s">
        <v>2610</v>
      </c>
      <c r="F183" s="741" t="s">
        <v>3428</v>
      </c>
      <c r="G183" s="743" t="s">
        <v>57</v>
      </c>
      <c r="H183" s="742">
        <v>1</v>
      </c>
      <c r="I183" s="742" t="s">
        <v>4668</v>
      </c>
      <c r="J183" s="798" t="s">
        <v>4668</v>
      </c>
      <c r="K183" s="795"/>
    </row>
    <row r="184" spans="1:11" ht="21.95" customHeight="1">
      <c r="A184" s="744" t="s">
        <v>4611</v>
      </c>
      <c r="B184" s="744"/>
      <c r="C184" s="745" t="s">
        <v>3631</v>
      </c>
      <c r="D184" s="744" t="s">
        <v>1127</v>
      </c>
      <c r="E184" s="744" t="s">
        <v>1145</v>
      </c>
      <c r="F184" s="744" t="s">
        <v>3430</v>
      </c>
      <c r="G184" s="746" t="s">
        <v>1129</v>
      </c>
      <c r="H184" s="745" t="s">
        <v>3797</v>
      </c>
      <c r="I184" s="745" t="s">
        <v>3632</v>
      </c>
      <c r="J184" s="796">
        <v>57.38</v>
      </c>
      <c r="K184" s="795"/>
    </row>
    <row r="185" spans="1:11" ht="21.95" customHeight="1">
      <c r="A185" s="744" t="s">
        <v>4611</v>
      </c>
      <c r="B185" s="744"/>
      <c r="C185" s="745" t="s">
        <v>3633</v>
      </c>
      <c r="D185" s="744" t="s">
        <v>1127</v>
      </c>
      <c r="E185" s="744" t="s">
        <v>1146</v>
      </c>
      <c r="F185" s="744" t="s">
        <v>3430</v>
      </c>
      <c r="G185" s="746" t="s">
        <v>1129</v>
      </c>
      <c r="H185" s="745" t="s">
        <v>3797</v>
      </c>
      <c r="I185" s="745" t="s">
        <v>3635</v>
      </c>
      <c r="J185" s="796">
        <v>46.63</v>
      </c>
      <c r="K185" s="795"/>
    </row>
    <row r="186" spans="1:11" ht="21.95" customHeight="1">
      <c r="A186" s="744" t="s">
        <v>4611</v>
      </c>
      <c r="B186" s="744"/>
      <c r="C186" s="745" t="s">
        <v>3771</v>
      </c>
      <c r="D186" s="744" t="s">
        <v>1127</v>
      </c>
      <c r="E186" s="744" t="s">
        <v>1174</v>
      </c>
      <c r="F186" s="744" t="s">
        <v>3430</v>
      </c>
      <c r="G186" s="746" t="s">
        <v>284</v>
      </c>
      <c r="H186" s="745" t="s">
        <v>3798</v>
      </c>
      <c r="I186" s="745" t="s">
        <v>3772</v>
      </c>
      <c r="J186" s="796">
        <v>31.78</v>
      </c>
      <c r="K186" s="795"/>
    </row>
    <row r="187" spans="1:11" ht="21.95" customHeight="1" thickBot="1">
      <c r="A187" s="748" t="s">
        <v>4616</v>
      </c>
      <c r="B187" s="748"/>
      <c r="C187" s="749" t="s">
        <v>3799</v>
      </c>
      <c r="D187" s="748" t="s">
        <v>3604</v>
      </c>
      <c r="E187" s="748" t="s">
        <v>1872</v>
      </c>
      <c r="F187" s="748" t="s">
        <v>1187</v>
      </c>
      <c r="G187" s="750" t="s">
        <v>57</v>
      </c>
      <c r="H187" s="749" t="s">
        <v>3610</v>
      </c>
      <c r="I187" s="749" t="s">
        <v>3800</v>
      </c>
      <c r="J187" s="794">
        <v>990</v>
      </c>
      <c r="K187" s="795"/>
    </row>
    <row r="188" spans="1:11" ht="0.95" customHeight="1" thickTop="1">
      <c r="A188" s="747"/>
      <c r="B188" s="747"/>
      <c r="C188" s="747"/>
      <c r="D188" s="747"/>
      <c r="E188" s="747"/>
      <c r="F188" s="747"/>
      <c r="G188" s="747"/>
      <c r="H188" s="747"/>
      <c r="I188" s="747"/>
      <c r="J188" s="747"/>
      <c r="K188" s="747"/>
    </row>
    <row r="189" spans="1:11" ht="18" customHeight="1">
      <c r="A189" s="738"/>
      <c r="B189" s="738" t="s">
        <v>60</v>
      </c>
      <c r="C189" s="739" t="s">
        <v>3312</v>
      </c>
      <c r="D189" s="738" t="s">
        <v>3602</v>
      </c>
      <c r="E189" s="738" t="s">
        <v>3313</v>
      </c>
      <c r="F189" s="738" t="s">
        <v>3390</v>
      </c>
      <c r="G189" s="740" t="s">
        <v>70</v>
      </c>
      <c r="H189" s="739" t="s">
        <v>64</v>
      </c>
      <c r="I189" s="739" t="s">
        <v>3617</v>
      </c>
      <c r="J189" s="797" t="s">
        <v>474</v>
      </c>
      <c r="K189" s="795"/>
    </row>
    <row r="190" spans="1:11" ht="21.95" customHeight="1">
      <c r="A190" s="741" t="s">
        <v>4608</v>
      </c>
      <c r="B190" s="741" t="s">
        <v>4669</v>
      </c>
      <c r="C190" s="742" t="s">
        <v>3511</v>
      </c>
      <c r="D190" s="741" t="s">
        <v>3604</v>
      </c>
      <c r="E190" s="741" t="s">
        <v>952</v>
      </c>
      <c r="F190" s="741" t="s">
        <v>3428</v>
      </c>
      <c r="G190" s="743" t="s">
        <v>108</v>
      </c>
      <c r="H190" s="742">
        <v>1</v>
      </c>
      <c r="I190" s="742" t="s">
        <v>4670</v>
      </c>
      <c r="J190" s="798" t="s">
        <v>4670</v>
      </c>
      <c r="K190" s="795"/>
    </row>
    <row r="191" spans="1:11" ht="21.95" customHeight="1">
      <c r="A191" s="744" t="s">
        <v>4611</v>
      </c>
      <c r="B191" s="744"/>
      <c r="C191" s="745" t="s">
        <v>3631</v>
      </c>
      <c r="D191" s="744" t="s">
        <v>1127</v>
      </c>
      <c r="E191" s="744" t="s">
        <v>1145</v>
      </c>
      <c r="F191" s="744" t="s">
        <v>3430</v>
      </c>
      <c r="G191" s="746" t="s">
        <v>1129</v>
      </c>
      <c r="H191" s="745" t="s">
        <v>3801</v>
      </c>
      <c r="I191" s="745" t="s">
        <v>3632</v>
      </c>
      <c r="J191" s="796">
        <v>37.57</v>
      </c>
      <c r="K191" s="795"/>
    </row>
    <row r="192" spans="1:11" ht="21.95" customHeight="1">
      <c r="A192" s="744" t="s">
        <v>4611</v>
      </c>
      <c r="B192" s="744"/>
      <c r="C192" s="745" t="s">
        <v>3633</v>
      </c>
      <c r="D192" s="744" t="s">
        <v>1127</v>
      </c>
      <c r="E192" s="744" t="s">
        <v>1146</v>
      </c>
      <c r="F192" s="744" t="s">
        <v>3430</v>
      </c>
      <c r="G192" s="746" t="s">
        <v>1129</v>
      </c>
      <c r="H192" s="745" t="s">
        <v>3801</v>
      </c>
      <c r="I192" s="745" t="s">
        <v>3635</v>
      </c>
      <c r="J192" s="796">
        <v>30.53</v>
      </c>
      <c r="K192" s="795"/>
    </row>
    <row r="193" spans="1:11" ht="21.95" customHeight="1">
      <c r="A193" s="744" t="s">
        <v>4611</v>
      </c>
      <c r="B193" s="744"/>
      <c r="C193" s="745" t="s">
        <v>3719</v>
      </c>
      <c r="D193" s="744" t="s">
        <v>1127</v>
      </c>
      <c r="E193" s="744" t="s">
        <v>1157</v>
      </c>
      <c r="F193" s="744" t="s">
        <v>3430</v>
      </c>
      <c r="G193" s="746" t="s">
        <v>1129</v>
      </c>
      <c r="H193" s="745" t="s">
        <v>3802</v>
      </c>
      <c r="I193" s="745" t="s">
        <v>3720</v>
      </c>
      <c r="J193" s="796">
        <v>73.349999999999994</v>
      </c>
      <c r="K193" s="795"/>
    </row>
    <row r="194" spans="1:11" ht="21.95" customHeight="1">
      <c r="A194" s="744" t="s">
        <v>4611</v>
      </c>
      <c r="B194" s="744"/>
      <c r="C194" s="745" t="s">
        <v>3721</v>
      </c>
      <c r="D194" s="744" t="s">
        <v>1127</v>
      </c>
      <c r="E194" s="744" t="s">
        <v>1158</v>
      </c>
      <c r="F194" s="744" t="s">
        <v>3430</v>
      </c>
      <c r="G194" s="746" t="s">
        <v>1129</v>
      </c>
      <c r="H194" s="745" t="s">
        <v>3802</v>
      </c>
      <c r="I194" s="745" t="s">
        <v>3722</v>
      </c>
      <c r="J194" s="796">
        <v>60.34</v>
      </c>
      <c r="K194" s="795"/>
    </row>
    <row r="195" spans="1:11" ht="21.95" customHeight="1">
      <c r="A195" s="748" t="s">
        <v>4616</v>
      </c>
      <c r="B195" s="748"/>
      <c r="C195" s="749" t="s">
        <v>3803</v>
      </c>
      <c r="D195" s="748" t="s">
        <v>1127</v>
      </c>
      <c r="E195" s="748" t="s">
        <v>1494</v>
      </c>
      <c r="F195" s="748" t="s">
        <v>1187</v>
      </c>
      <c r="G195" s="750" t="s">
        <v>94</v>
      </c>
      <c r="H195" s="749" t="s">
        <v>3610</v>
      </c>
      <c r="I195" s="749" t="s">
        <v>3804</v>
      </c>
      <c r="J195" s="794">
        <v>42.55</v>
      </c>
      <c r="K195" s="795"/>
    </row>
    <row r="196" spans="1:11" ht="21.95" customHeight="1" thickBot="1">
      <c r="A196" s="748" t="s">
        <v>4616</v>
      </c>
      <c r="B196" s="748"/>
      <c r="C196" s="749" t="s">
        <v>3805</v>
      </c>
      <c r="D196" s="748" t="s">
        <v>1127</v>
      </c>
      <c r="E196" s="748" t="s">
        <v>1495</v>
      </c>
      <c r="F196" s="748" t="s">
        <v>1187</v>
      </c>
      <c r="G196" s="750" t="s">
        <v>108</v>
      </c>
      <c r="H196" s="749" t="s">
        <v>3610</v>
      </c>
      <c r="I196" s="749" t="s">
        <v>3806</v>
      </c>
      <c r="J196" s="794">
        <v>526.52</v>
      </c>
      <c r="K196" s="795"/>
    </row>
    <row r="197" spans="1:11" ht="0.95" customHeight="1" thickTop="1">
      <c r="A197" s="747"/>
      <c r="B197" s="747"/>
      <c r="C197" s="747"/>
      <c r="D197" s="747"/>
      <c r="E197" s="747"/>
      <c r="F197" s="747"/>
      <c r="G197" s="747"/>
      <c r="H197" s="747"/>
      <c r="I197" s="747"/>
      <c r="J197" s="747"/>
      <c r="K197" s="747"/>
    </row>
    <row r="198" spans="1:11" ht="18" customHeight="1">
      <c r="A198" s="738"/>
      <c r="B198" s="738" t="s">
        <v>60</v>
      </c>
      <c r="C198" s="739" t="s">
        <v>3312</v>
      </c>
      <c r="D198" s="738" t="s">
        <v>3602</v>
      </c>
      <c r="E198" s="738" t="s">
        <v>3313</v>
      </c>
      <c r="F198" s="738" t="s">
        <v>3390</v>
      </c>
      <c r="G198" s="740" t="s">
        <v>70</v>
      </c>
      <c r="H198" s="739" t="s">
        <v>64</v>
      </c>
      <c r="I198" s="739" t="s">
        <v>3617</v>
      </c>
      <c r="J198" s="797" t="s">
        <v>474</v>
      </c>
      <c r="K198" s="795"/>
    </row>
    <row r="199" spans="1:11" ht="33" customHeight="1">
      <c r="A199" s="741" t="s">
        <v>4608</v>
      </c>
      <c r="B199" s="741" t="s">
        <v>4671</v>
      </c>
      <c r="C199" s="742" t="s">
        <v>3431</v>
      </c>
      <c r="D199" s="741" t="s">
        <v>3604</v>
      </c>
      <c r="E199" s="741" t="s">
        <v>2667</v>
      </c>
      <c r="F199" s="741" t="s">
        <v>3417</v>
      </c>
      <c r="G199" s="743" t="s">
        <v>108</v>
      </c>
      <c r="H199" s="742">
        <v>1</v>
      </c>
      <c r="I199" s="742" t="s">
        <v>4672</v>
      </c>
      <c r="J199" s="798" t="s">
        <v>4672</v>
      </c>
      <c r="K199" s="795"/>
    </row>
    <row r="200" spans="1:11" ht="21.95" customHeight="1">
      <c r="A200" s="744" t="s">
        <v>4611</v>
      </c>
      <c r="B200" s="744"/>
      <c r="C200" s="745" t="s">
        <v>3807</v>
      </c>
      <c r="D200" s="744" t="s">
        <v>1127</v>
      </c>
      <c r="E200" s="744" t="s">
        <v>1188</v>
      </c>
      <c r="F200" s="744" t="s">
        <v>3430</v>
      </c>
      <c r="G200" s="746" t="s">
        <v>1129</v>
      </c>
      <c r="H200" s="745" t="s">
        <v>3808</v>
      </c>
      <c r="I200" s="745" t="s">
        <v>3809</v>
      </c>
      <c r="J200" s="796">
        <v>20.49</v>
      </c>
      <c r="K200" s="795"/>
    </row>
    <row r="201" spans="1:11" ht="21.95" customHeight="1">
      <c r="A201" s="744" t="s">
        <v>4611</v>
      </c>
      <c r="B201" s="744"/>
      <c r="C201" s="745" t="s">
        <v>3633</v>
      </c>
      <c r="D201" s="744" t="s">
        <v>1127</v>
      </c>
      <c r="E201" s="744" t="s">
        <v>1146</v>
      </c>
      <c r="F201" s="744" t="s">
        <v>3430</v>
      </c>
      <c r="G201" s="746" t="s">
        <v>1129</v>
      </c>
      <c r="H201" s="745" t="s">
        <v>3810</v>
      </c>
      <c r="I201" s="745" t="s">
        <v>3635</v>
      </c>
      <c r="J201" s="796">
        <v>9.02</v>
      </c>
      <c r="K201" s="795"/>
    </row>
    <row r="202" spans="1:11" ht="21.95" customHeight="1">
      <c r="A202" s="748" t="s">
        <v>4616</v>
      </c>
      <c r="B202" s="748"/>
      <c r="C202" s="749" t="s">
        <v>3811</v>
      </c>
      <c r="D202" s="748" t="s">
        <v>1127</v>
      </c>
      <c r="E202" s="748" t="s">
        <v>3812</v>
      </c>
      <c r="F202" s="748" t="s">
        <v>1187</v>
      </c>
      <c r="G202" s="750" t="s">
        <v>108</v>
      </c>
      <c r="H202" s="749" t="s">
        <v>3764</v>
      </c>
      <c r="I202" s="749" t="s">
        <v>3813</v>
      </c>
      <c r="J202" s="794">
        <v>116.44</v>
      </c>
      <c r="K202" s="795"/>
    </row>
    <row r="203" spans="1:11" ht="21.95" customHeight="1" thickBot="1">
      <c r="A203" s="748" t="s">
        <v>4616</v>
      </c>
      <c r="B203" s="748"/>
      <c r="C203" s="749" t="s">
        <v>3814</v>
      </c>
      <c r="D203" s="748" t="s">
        <v>1127</v>
      </c>
      <c r="E203" s="748" t="s">
        <v>1245</v>
      </c>
      <c r="F203" s="748" t="s">
        <v>1187</v>
      </c>
      <c r="G203" s="750" t="s">
        <v>94</v>
      </c>
      <c r="H203" s="749" t="s">
        <v>3815</v>
      </c>
      <c r="I203" s="749" t="s">
        <v>3816</v>
      </c>
      <c r="J203" s="794">
        <v>19.14</v>
      </c>
      <c r="K203" s="795"/>
    </row>
    <row r="204" spans="1:11" ht="0.95" customHeight="1" thickTop="1">
      <c r="A204" s="747"/>
      <c r="B204" s="747"/>
      <c r="C204" s="747"/>
      <c r="D204" s="747"/>
      <c r="E204" s="747"/>
      <c r="F204" s="747"/>
      <c r="G204" s="747"/>
      <c r="H204" s="747"/>
      <c r="I204" s="747"/>
      <c r="J204" s="747"/>
      <c r="K204" s="747"/>
    </row>
    <row r="205" spans="1:11" ht="18" customHeight="1">
      <c r="A205" s="738"/>
      <c r="B205" s="738" t="s">
        <v>60</v>
      </c>
      <c r="C205" s="739" t="s">
        <v>3312</v>
      </c>
      <c r="D205" s="738" t="s">
        <v>3602</v>
      </c>
      <c r="E205" s="738" t="s">
        <v>3313</v>
      </c>
      <c r="F205" s="738" t="s">
        <v>3390</v>
      </c>
      <c r="G205" s="740" t="s">
        <v>70</v>
      </c>
      <c r="H205" s="739" t="s">
        <v>64</v>
      </c>
      <c r="I205" s="739" t="s">
        <v>3617</v>
      </c>
      <c r="J205" s="797" t="s">
        <v>474</v>
      </c>
      <c r="K205" s="795"/>
    </row>
    <row r="206" spans="1:11" ht="33" customHeight="1">
      <c r="A206" s="741" t="s">
        <v>4608</v>
      </c>
      <c r="B206" s="741" t="s">
        <v>4673</v>
      </c>
      <c r="C206" s="742" t="s">
        <v>3491</v>
      </c>
      <c r="D206" s="741" t="s">
        <v>3604</v>
      </c>
      <c r="E206" s="741" t="s">
        <v>2599</v>
      </c>
      <c r="F206" s="741" t="s">
        <v>3493</v>
      </c>
      <c r="G206" s="743" t="s">
        <v>101</v>
      </c>
      <c r="H206" s="742">
        <v>1</v>
      </c>
      <c r="I206" s="742" t="s">
        <v>4674</v>
      </c>
      <c r="J206" s="798" t="s">
        <v>4674</v>
      </c>
      <c r="K206" s="795"/>
    </row>
    <row r="207" spans="1:11" ht="21.95" customHeight="1">
      <c r="A207" s="744" t="s">
        <v>4611</v>
      </c>
      <c r="B207" s="744"/>
      <c r="C207" s="745" t="s">
        <v>3817</v>
      </c>
      <c r="D207" s="744" t="s">
        <v>1127</v>
      </c>
      <c r="E207" s="744" t="s">
        <v>1471</v>
      </c>
      <c r="F207" s="744" t="s">
        <v>3430</v>
      </c>
      <c r="G207" s="746" t="s">
        <v>1129</v>
      </c>
      <c r="H207" s="745" t="s">
        <v>3818</v>
      </c>
      <c r="I207" s="745" t="s">
        <v>3819</v>
      </c>
      <c r="J207" s="796">
        <v>6.51</v>
      </c>
      <c r="K207" s="795"/>
    </row>
    <row r="208" spans="1:11" ht="21.95" customHeight="1">
      <c r="A208" s="744" t="s">
        <v>4611</v>
      </c>
      <c r="B208" s="744"/>
      <c r="C208" s="745" t="s">
        <v>3633</v>
      </c>
      <c r="D208" s="744" t="s">
        <v>1127</v>
      </c>
      <c r="E208" s="744" t="s">
        <v>1146</v>
      </c>
      <c r="F208" s="744" t="s">
        <v>3430</v>
      </c>
      <c r="G208" s="746" t="s">
        <v>1129</v>
      </c>
      <c r="H208" s="745" t="s">
        <v>3820</v>
      </c>
      <c r="I208" s="745" t="s">
        <v>3635</v>
      </c>
      <c r="J208" s="796">
        <v>2.77</v>
      </c>
      <c r="K208" s="795"/>
    </row>
    <row r="209" spans="1:11" ht="21.95" customHeight="1">
      <c r="A209" s="744" t="s">
        <v>4611</v>
      </c>
      <c r="B209" s="744"/>
      <c r="C209" s="745" t="s">
        <v>3821</v>
      </c>
      <c r="D209" s="744" t="s">
        <v>1127</v>
      </c>
      <c r="E209" s="744" t="s">
        <v>2600</v>
      </c>
      <c r="F209" s="744" t="s">
        <v>3430</v>
      </c>
      <c r="G209" s="746" t="s">
        <v>284</v>
      </c>
      <c r="H209" s="745" t="s">
        <v>3724</v>
      </c>
      <c r="I209" s="745" t="s">
        <v>4675</v>
      </c>
      <c r="J209" s="796">
        <v>1.37</v>
      </c>
      <c r="K209" s="795"/>
    </row>
    <row r="210" spans="1:11" ht="21.95" customHeight="1" thickBot="1">
      <c r="A210" s="748" t="s">
        <v>4616</v>
      </c>
      <c r="B210" s="748"/>
      <c r="C210" s="749" t="s">
        <v>4676</v>
      </c>
      <c r="D210" s="748" t="s">
        <v>3604</v>
      </c>
      <c r="E210" s="748" t="s">
        <v>4677</v>
      </c>
      <c r="F210" s="748" t="s">
        <v>1187</v>
      </c>
      <c r="G210" s="750" t="s">
        <v>108</v>
      </c>
      <c r="H210" s="749" t="s">
        <v>4367</v>
      </c>
      <c r="I210" s="749" t="s">
        <v>3866</v>
      </c>
      <c r="J210" s="794">
        <v>68.25</v>
      </c>
      <c r="K210" s="795"/>
    </row>
    <row r="211" spans="1:11" ht="0.95" customHeight="1" thickTop="1">
      <c r="A211" s="747"/>
      <c r="B211" s="747"/>
      <c r="C211" s="747"/>
      <c r="D211" s="747"/>
      <c r="E211" s="747"/>
      <c r="F211" s="747"/>
      <c r="G211" s="747"/>
      <c r="H211" s="747"/>
      <c r="I211" s="747"/>
      <c r="J211" s="747"/>
      <c r="K211" s="747"/>
    </row>
    <row r="212" spans="1:11" ht="18" customHeight="1">
      <c r="A212" s="738"/>
      <c r="B212" s="738" t="s">
        <v>60</v>
      </c>
      <c r="C212" s="739" t="s">
        <v>3312</v>
      </c>
      <c r="D212" s="738" t="s">
        <v>3602</v>
      </c>
      <c r="E212" s="738" t="s">
        <v>3313</v>
      </c>
      <c r="F212" s="738" t="s">
        <v>3390</v>
      </c>
      <c r="G212" s="740" t="s">
        <v>70</v>
      </c>
      <c r="H212" s="739" t="s">
        <v>64</v>
      </c>
      <c r="I212" s="739" t="s">
        <v>3617</v>
      </c>
      <c r="J212" s="797" t="s">
        <v>474</v>
      </c>
      <c r="K212" s="795"/>
    </row>
    <row r="213" spans="1:11" ht="21.95" customHeight="1">
      <c r="A213" s="741" t="s">
        <v>4608</v>
      </c>
      <c r="B213" s="741" t="s">
        <v>4678</v>
      </c>
      <c r="C213" s="742" t="s">
        <v>3460</v>
      </c>
      <c r="D213" s="741" t="s">
        <v>3604</v>
      </c>
      <c r="E213" s="741" t="s">
        <v>2677</v>
      </c>
      <c r="F213" s="741" t="s">
        <v>3423</v>
      </c>
      <c r="G213" s="743" t="s">
        <v>108</v>
      </c>
      <c r="H213" s="742">
        <v>1</v>
      </c>
      <c r="I213" s="742" t="s">
        <v>4679</v>
      </c>
      <c r="J213" s="798" t="s">
        <v>4679</v>
      </c>
      <c r="K213" s="795"/>
    </row>
    <row r="214" spans="1:11" ht="21.95" customHeight="1">
      <c r="A214" s="744" t="s">
        <v>4611</v>
      </c>
      <c r="B214" s="744"/>
      <c r="C214" s="745" t="s">
        <v>3723</v>
      </c>
      <c r="D214" s="744" t="s">
        <v>1127</v>
      </c>
      <c r="E214" s="744" t="s">
        <v>1159</v>
      </c>
      <c r="F214" s="744" t="s">
        <v>3430</v>
      </c>
      <c r="G214" s="746" t="s">
        <v>1129</v>
      </c>
      <c r="H214" s="745" t="s">
        <v>3701</v>
      </c>
      <c r="I214" s="745" t="s">
        <v>3725</v>
      </c>
      <c r="J214" s="796">
        <v>5.95</v>
      </c>
      <c r="K214" s="795"/>
    </row>
    <row r="215" spans="1:11" ht="21.95" customHeight="1">
      <c r="A215" s="744" t="s">
        <v>4611</v>
      </c>
      <c r="B215" s="744"/>
      <c r="C215" s="745" t="s">
        <v>3633</v>
      </c>
      <c r="D215" s="744" t="s">
        <v>1127</v>
      </c>
      <c r="E215" s="744" t="s">
        <v>1146</v>
      </c>
      <c r="F215" s="744" t="s">
        <v>3430</v>
      </c>
      <c r="G215" s="746" t="s">
        <v>1129</v>
      </c>
      <c r="H215" s="745" t="s">
        <v>3822</v>
      </c>
      <c r="I215" s="745" t="s">
        <v>3635</v>
      </c>
      <c r="J215" s="796">
        <v>3.47</v>
      </c>
      <c r="K215" s="795"/>
    </row>
    <row r="216" spans="1:11" ht="21.95" customHeight="1">
      <c r="A216" s="748" t="s">
        <v>4616</v>
      </c>
      <c r="B216" s="748"/>
      <c r="C216" s="749" t="s">
        <v>3823</v>
      </c>
      <c r="D216" s="748" t="s">
        <v>1127</v>
      </c>
      <c r="E216" s="748" t="s">
        <v>1987</v>
      </c>
      <c r="F216" s="748" t="s">
        <v>1187</v>
      </c>
      <c r="G216" s="750" t="s">
        <v>57</v>
      </c>
      <c r="H216" s="749" t="s">
        <v>3713</v>
      </c>
      <c r="I216" s="749" t="s">
        <v>3824</v>
      </c>
      <c r="J216" s="794">
        <v>0.2</v>
      </c>
      <c r="K216" s="795"/>
    </row>
    <row r="217" spans="1:11" ht="21.95" customHeight="1" thickBot="1">
      <c r="A217" s="748" t="s">
        <v>4616</v>
      </c>
      <c r="B217" s="748"/>
      <c r="C217" s="749" t="s">
        <v>3825</v>
      </c>
      <c r="D217" s="748" t="s">
        <v>1127</v>
      </c>
      <c r="E217" s="748" t="s">
        <v>3826</v>
      </c>
      <c r="F217" s="748" t="s">
        <v>1187</v>
      </c>
      <c r="G217" s="750" t="s">
        <v>3827</v>
      </c>
      <c r="H217" s="749" t="s">
        <v>3828</v>
      </c>
      <c r="I217" s="749" t="s">
        <v>3829</v>
      </c>
      <c r="J217" s="794">
        <v>3.44</v>
      </c>
      <c r="K217" s="795"/>
    </row>
    <row r="218" spans="1:11" ht="0.95" customHeight="1" thickTop="1">
      <c r="A218" s="747"/>
      <c r="B218" s="747"/>
      <c r="C218" s="747"/>
      <c r="D218" s="747"/>
      <c r="E218" s="747"/>
      <c r="F218" s="747"/>
      <c r="G218" s="747"/>
      <c r="H218" s="747"/>
      <c r="I218" s="747"/>
      <c r="J218" s="747"/>
      <c r="K218" s="747"/>
    </row>
    <row r="219" spans="1:11" ht="18" customHeight="1">
      <c r="A219" s="738"/>
      <c r="B219" s="738" t="s">
        <v>60</v>
      </c>
      <c r="C219" s="739" t="s">
        <v>3312</v>
      </c>
      <c r="D219" s="738" t="s">
        <v>3602</v>
      </c>
      <c r="E219" s="738" t="s">
        <v>3313</v>
      </c>
      <c r="F219" s="738" t="s">
        <v>3390</v>
      </c>
      <c r="G219" s="740" t="s">
        <v>70</v>
      </c>
      <c r="H219" s="739" t="s">
        <v>64</v>
      </c>
      <c r="I219" s="739" t="s">
        <v>3617</v>
      </c>
      <c r="J219" s="797" t="s">
        <v>474</v>
      </c>
      <c r="K219" s="795"/>
    </row>
    <row r="220" spans="1:11" ht="21.95" customHeight="1">
      <c r="A220" s="741" t="s">
        <v>4608</v>
      </c>
      <c r="B220" s="741" t="s">
        <v>4680</v>
      </c>
      <c r="C220" s="742" t="s">
        <v>3422</v>
      </c>
      <c r="D220" s="741" t="s">
        <v>3604</v>
      </c>
      <c r="E220" s="741" t="s">
        <v>2005</v>
      </c>
      <c r="F220" s="741" t="s">
        <v>3423</v>
      </c>
      <c r="G220" s="743" t="s">
        <v>108</v>
      </c>
      <c r="H220" s="742">
        <v>1</v>
      </c>
      <c r="I220" s="742" t="s">
        <v>3830</v>
      </c>
      <c r="J220" s="798" t="s">
        <v>3830</v>
      </c>
      <c r="K220" s="795"/>
    </row>
    <row r="221" spans="1:11" ht="21.95" customHeight="1">
      <c r="A221" s="744" t="s">
        <v>4611</v>
      </c>
      <c r="B221" s="744"/>
      <c r="C221" s="745" t="s">
        <v>3723</v>
      </c>
      <c r="D221" s="744" t="s">
        <v>1127</v>
      </c>
      <c r="E221" s="744" t="s">
        <v>1159</v>
      </c>
      <c r="F221" s="744" t="s">
        <v>3430</v>
      </c>
      <c r="G221" s="746" t="s">
        <v>1129</v>
      </c>
      <c r="H221" s="745" t="s">
        <v>3820</v>
      </c>
      <c r="I221" s="745" t="s">
        <v>3725</v>
      </c>
      <c r="J221" s="796">
        <v>3.4</v>
      </c>
      <c r="K221" s="795"/>
    </row>
    <row r="222" spans="1:11" ht="21.95" customHeight="1">
      <c r="A222" s="744" t="s">
        <v>4611</v>
      </c>
      <c r="B222" s="744"/>
      <c r="C222" s="745" t="s">
        <v>3831</v>
      </c>
      <c r="D222" s="744" t="s">
        <v>1127</v>
      </c>
      <c r="E222" s="744" t="s">
        <v>1229</v>
      </c>
      <c r="F222" s="744" t="s">
        <v>3430</v>
      </c>
      <c r="G222" s="746" t="s">
        <v>1129</v>
      </c>
      <c r="H222" s="745" t="s">
        <v>3832</v>
      </c>
      <c r="I222" s="745" t="s">
        <v>3833</v>
      </c>
      <c r="J222" s="796">
        <v>2.62</v>
      </c>
      <c r="K222" s="795"/>
    </row>
    <row r="223" spans="1:11" ht="21.95" customHeight="1">
      <c r="A223" s="748" t="s">
        <v>4616</v>
      </c>
      <c r="B223" s="748"/>
      <c r="C223" s="749" t="s">
        <v>3823</v>
      </c>
      <c r="D223" s="748" t="s">
        <v>1127</v>
      </c>
      <c r="E223" s="748" t="s">
        <v>1987</v>
      </c>
      <c r="F223" s="748" t="s">
        <v>1187</v>
      </c>
      <c r="G223" s="750" t="s">
        <v>57</v>
      </c>
      <c r="H223" s="749" t="s">
        <v>3610</v>
      </c>
      <c r="I223" s="749" t="s">
        <v>3824</v>
      </c>
      <c r="J223" s="794">
        <v>0.69</v>
      </c>
      <c r="K223" s="795"/>
    </row>
    <row r="224" spans="1:11" ht="21.95" customHeight="1" thickBot="1">
      <c r="A224" s="748" t="s">
        <v>4616</v>
      </c>
      <c r="B224" s="748"/>
      <c r="C224" s="749" t="s">
        <v>3834</v>
      </c>
      <c r="D224" s="748" t="s">
        <v>1127</v>
      </c>
      <c r="E224" s="748" t="s">
        <v>2007</v>
      </c>
      <c r="F224" s="748" t="s">
        <v>1187</v>
      </c>
      <c r="G224" s="750" t="s">
        <v>1163</v>
      </c>
      <c r="H224" s="749" t="s">
        <v>3835</v>
      </c>
      <c r="I224" s="749" t="s">
        <v>3836</v>
      </c>
      <c r="J224" s="794">
        <v>5.74</v>
      </c>
      <c r="K224" s="795"/>
    </row>
    <row r="225" spans="1:11" ht="0.95" customHeight="1" thickTop="1">
      <c r="A225" s="747"/>
      <c r="B225" s="747"/>
      <c r="C225" s="747"/>
      <c r="D225" s="747"/>
      <c r="E225" s="747"/>
      <c r="F225" s="747"/>
      <c r="G225" s="747"/>
      <c r="H225" s="747"/>
      <c r="I225" s="747"/>
      <c r="J225" s="747"/>
      <c r="K225" s="747"/>
    </row>
    <row r="226" spans="1:11" ht="18" customHeight="1">
      <c r="A226" s="738"/>
      <c r="B226" s="738" t="s">
        <v>60</v>
      </c>
      <c r="C226" s="739" t="s">
        <v>3312</v>
      </c>
      <c r="D226" s="738" t="s">
        <v>3602</v>
      </c>
      <c r="E226" s="738" t="s">
        <v>3313</v>
      </c>
      <c r="F226" s="738" t="s">
        <v>3390</v>
      </c>
      <c r="G226" s="740" t="s">
        <v>70</v>
      </c>
      <c r="H226" s="739" t="s">
        <v>64</v>
      </c>
      <c r="I226" s="739" t="s">
        <v>3617</v>
      </c>
      <c r="J226" s="797" t="s">
        <v>474</v>
      </c>
      <c r="K226" s="795"/>
    </row>
    <row r="227" spans="1:11" ht="21.95" customHeight="1">
      <c r="A227" s="741" t="s">
        <v>4608</v>
      </c>
      <c r="B227" s="741" t="s">
        <v>4681</v>
      </c>
      <c r="C227" s="742" t="s">
        <v>3416</v>
      </c>
      <c r="D227" s="741" t="s">
        <v>3604</v>
      </c>
      <c r="E227" s="741" t="s">
        <v>2679</v>
      </c>
      <c r="F227" s="741" t="s">
        <v>3417</v>
      </c>
      <c r="G227" s="743" t="s">
        <v>108</v>
      </c>
      <c r="H227" s="742">
        <v>1</v>
      </c>
      <c r="I227" s="742" t="s">
        <v>4311</v>
      </c>
      <c r="J227" s="798" t="s">
        <v>4311</v>
      </c>
      <c r="K227" s="795"/>
    </row>
    <row r="228" spans="1:11" ht="21.95" customHeight="1">
      <c r="A228" s="744" t="s">
        <v>4611</v>
      </c>
      <c r="B228" s="744"/>
      <c r="C228" s="745" t="s">
        <v>3633</v>
      </c>
      <c r="D228" s="744" t="s">
        <v>1127</v>
      </c>
      <c r="E228" s="744" t="s">
        <v>1146</v>
      </c>
      <c r="F228" s="744" t="s">
        <v>3430</v>
      </c>
      <c r="G228" s="746" t="s">
        <v>1129</v>
      </c>
      <c r="H228" s="745" t="s">
        <v>3837</v>
      </c>
      <c r="I228" s="745" t="s">
        <v>3635</v>
      </c>
      <c r="J228" s="796">
        <v>10.41</v>
      </c>
      <c r="K228" s="795"/>
    </row>
    <row r="229" spans="1:11" ht="21.95" customHeight="1">
      <c r="A229" s="744" t="s">
        <v>4611</v>
      </c>
      <c r="B229" s="744"/>
      <c r="C229" s="745" t="s">
        <v>3636</v>
      </c>
      <c r="D229" s="744" t="s">
        <v>1127</v>
      </c>
      <c r="E229" s="744" t="s">
        <v>1144</v>
      </c>
      <c r="F229" s="744" t="s">
        <v>3430</v>
      </c>
      <c r="G229" s="746" t="s">
        <v>1129</v>
      </c>
      <c r="H229" s="745" t="s">
        <v>3837</v>
      </c>
      <c r="I229" s="745" t="s">
        <v>4619</v>
      </c>
      <c r="J229" s="796">
        <v>12.74</v>
      </c>
      <c r="K229" s="795"/>
    </row>
    <row r="230" spans="1:11" ht="21.95" customHeight="1">
      <c r="A230" s="748" t="s">
        <v>4616</v>
      </c>
      <c r="B230" s="748"/>
      <c r="C230" s="749" t="s">
        <v>3838</v>
      </c>
      <c r="D230" s="748" t="s">
        <v>1127</v>
      </c>
      <c r="E230" s="748" t="s">
        <v>1200</v>
      </c>
      <c r="F230" s="748" t="s">
        <v>1187</v>
      </c>
      <c r="G230" s="750" t="s">
        <v>3839</v>
      </c>
      <c r="H230" s="749" t="s">
        <v>3840</v>
      </c>
      <c r="I230" s="749" t="s">
        <v>3841</v>
      </c>
      <c r="J230" s="794">
        <v>0.23</v>
      </c>
      <c r="K230" s="795"/>
    </row>
    <row r="231" spans="1:11" ht="21.95" customHeight="1">
      <c r="A231" s="748" t="s">
        <v>4616</v>
      </c>
      <c r="B231" s="748"/>
      <c r="C231" s="749" t="s">
        <v>3842</v>
      </c>
      <c r="D231" s="748" t="s">
        <v>1127</v>
      </c>
      <c r="E231" s="748" t="s">
        <v>1201</v>
      </c>
      <c r="F231" s="748" t="s">
        <v>1187</v>
      </c>
      <c r="G231" s="750" t="s">
        <v>94</v>
      </c>
      <c r="H231" s="749" t="s">
        <v>3818</v>
      </c>
      <c r="I231" s="749" t="s">
        <v>3843</v>
      </c>
      <c r="J231" s="794">
        <v>5.76</v>
      </c>
      <c r="K231" s="795"/>
    </row>
    <row r="232" spans="1:11" ht="21.95" customHeight="1">
      <c r="A232" s="748" t="s">
        <v>4616</v>
      </c>
      <c r="B232" s="748"/>
      <c r="C232" s="749" t="s">
        <v>3844</v>
      </c>
      <c r="D232" s="748" t="s">
        <v>1127</v>
      </c>
      <c r="E232" s="748" t="s">
        <v>1202</v>
      </c>
      <c r="F232" s="748" t="s">
        <v>1187</v>
      </c>
      <c r="G232" s="750" t="s">
        <v>94</v>
      </c>
      <c r="H232" s="749" t="s">
        <v>3741</v>
      </c>
      <c r="I232" s="749" t="s">
        <v>3845</v>
      </c>
      <c r="J232" s="794">
        <v>0.19</v>
      </c>
      <c r="K232" s="795"/>
    </row>
    <row r="233" spans="1:11" ht="21.95" customHeight="1">
      <c r="A233" s="748" t="s">
        <v>4616</v>
      </c>
      <c r="B233" s="748"/>
      <c r="C233" s="749" t="s">
        <v>3846</v>
      </c>
      <c r="D233" s="748" t="s">
        <v>1127</v>
      </c>
      <c r="E233" s="748" t="s">
        <v>1203</v>
      </c>
      <c r="F233" s="748" t="s">
        <v>1187</v>
      </c>
      <c r="G233" s="750" t="s">
        <v>94</v>
      </c>
      <c r="H233" s="749" t="s">
        <v>3828</v>
      </c>
      <c r="I233" s="749" t="s">
        <v>3847</v>
      </c>
      <c r="J233" s="794">
        <v>0.22</v>
      </c>
      <c r="K233" s="795"/>
    </row>
    <row r="234" spans="1:11" ht="21.95" customHeight="1">
      <c r="A234" s="748" t="s">
        <v>4616</v>
      </c>
      <c r="B234" s="748"/>
      <c r="C234" s="749" t="s">
        <v>3848</v>
      </c>
      <c r="D234" s="748" t="s">
        <v>1127</v>
      </c>
      <c r="E234" s="748" t="s">
        <v>1204</v>
      </c>
      <c r="F234" s="748" t="s">
        <v>1187</v>
      </c>
      <c r="G234" s="750" t="s">
        <v>101</v>
      </c>
      <c r="H234" s="749" t="s">
        <v>3849</v>
      </c>
      <c r="I234" s="749" t="s">
        <v>3850</v>
      </c>
      <c r="J234" s="794">
        <v>3.97</v>
      </c>
      <c r="K234" s="795"/>
    </row>
    <row r="235" spans="1:11" ht="21.95" customHeight="1">
      <c r="A235" s="748" t="s">
        <v>4616</v>
      </c>
      <c r="B235" s="748"/>
      <c r="C235" s="749" t="s">
        <v>3851</v>
      </c>
      <c r="D235" s="748" t="s">
        <v>1127</v>
      </c>
      <c r="E235" s="748" t="s">
        <v>1205</v>
      </c>
      <c r="F235" s="748" t="s">
        <v>1187</v>
      </c>
      <c r="G235" s="750" t="s">
        <v>101</v>
      </c>
      <c r="H235" s="749" t="s">
        <v>3852</v>
      </c>
      <c r="I235" s="749" t="s">
        <v>3853</v>
      </c>
      <c r="J235" s="794">
        <v>2.25</v>
      </c>
      <c r="K235" s="795"/>
    </row>
    <row r="236" spans="1:11" ht="33" customHeight="1">
      <c r="A236" s="748" t="s">
        <v>4616</v>
      </c>
      <c r="B236" s="748"/>
      <c r="C236" s="749" t="s">
        <v>3854</v>
      </c>
      <c r="D236" s="748" t="s">
        <v>1127</v>
      </c>
      <c r="E236" s="748" t="s">
        <v>3855</v>
      </c>
      <c r="F236" s="748" t="s">
        <v>1187</v>
      </c>
      <c r="G236" s="750" t="s">
        <v>101</v>
      </c>
      <c r="H236" s="749" t="s">
        <v>3818</v>
      </c>
      <c r="I236" s="749" t="s">
        <v>3856</v>
      </c>
      <c r="J236" s="794">
        <v>0.9</v>
      </c>
      <c r="K236" s="795"/>
    </row>
    <row r="237" spans="1:11" ht="33" customHeight="1" thickBot="1">
      <c r="A237" s="748" t="s">
        <v>4616</v>
      </c>
      <c r="B237" s="748"/>
      <c r="C237" s="749" t="s">
        <v>3857</v>
      </c>
      <c r="D237" s="748" t="s">
        <v>1127</v>
      </c>
      <c r="E237" s="748" t="s">
        <v>1206</v>
      </c>
      <c r="F237" s="748" t="s">
        <v>1187</v>
      </c>
      <c r="G237" s="750" t="s">
        <v>108</v>
      </c>
      <c r="H237" s="749" t="s">
        <v>3610</v>
      </c>
      <c r="I237" s="749" t="s">
        <v>3663</v>
      </c>
      <c r="J237" s="794">
        <v>13.9</v>
      </c>
      <c r="K237" s="795"/>
    </row>
    <row r="238" spans="1:11" ht="0.95" customHeight="1" thickTop="1">
      <c r="A238" s="747"/>
      <c r="B238" s="747"/>
      <c r="C238" s="747"/>
      <c r="D238" s="747"/>
      <c r="E238" s="747"/>
      <c r="F238" s="747"/>
      <c r="G238" s="747"/>
      <c r="H238" s="747"/>
      <c r="I238" s="747"/>
      <c r="J238" s="747"/>
      <c r="K238" s="747"/>
    </row>
    <row r="239" spans="1:11" ht="18" customHeight="1">
      <c r="A239" s="738"/>
      <c r="B239" s="738" t="s">
        <v>60</v>
      </c>
      <c r="C239" s="739" t="s">
        <v>3312</v>
      </c>
      <c r="D239" s="738" t="s">
        <v>3602</v>
      </c>
      <c r="E239" s="738" t="s">
        <v>3313</v>
      </c>
      <c r="F239" s="738" t="s">
        <v>3390</v>
      </c>
      <c r="G239" s="740" t="s">
        <v>70</v>
      </c>
      <c r="H239" s="739" t="s">
        <v>64</v>
      </c>
      <c r="I239" s="739" t="s">
        <v>3617</v>
      </c>
      <c r="J239" s="797" t="s">
        <v>474</v>
      </c>
      <c r="K239" s="795"/>
    </row>
    <row r="240" spans="1:11" ht="33" customHeight="1">
      <c r="A240" s="741" t="s">
        <v>4608</v>
      </c>
      <c r="B240" s="741" t="s">
        <v>4682</v>
      </c>
      <c r="C240" s="742" t="s">
        <v>3489</v>
      </c>
      <c r="D240" s="741" t="s">
        <v>3604</v>
      </c>
      <c r="E240" s="741" t="s">
        <v>1469</v>
      </c>
      <c r="F240" s="741" t="s">
        <v>3490</v>
      </c>
      <c r="G240" s="743" t="s">
        <v>108</v>
      </c>
      <c r="H240" s="742">
        <v>1</v>
      </c>
      <c r="I240" s="742" t="s">
        <v>4683</v>
      </c>
      <c r="J240" s="798" t="s">
        <v>4683</v>
      </c>
      <c r="K240" s="795"/>
    </row>
    <row r="241" spans="1:11" ht="21.95" customHeight="1">
      <c r="A241" s="744" t="s">
        <v>4611</v>
      </c>
      <c r="B241" s="744"/>
      <c r="C241" s="745" t="s">
        <v>3817</v>
      </c>
      <c r="D241" s="744" t="s">
        <v>1127</v>
      </c>
      <c r="E241" s="744" t="s">
        <v>1471</v>
      </c>
      <c r="F241" s="744" t="s">
        <v>3430</v>
      </c>
      <c r="G241" s="746" t="s">
        <v>1129</v>
      </c>
      <c r="H241" s="745" t="s">
        <v>3858</v>
      </c>
      <c r="I241" s="745" t="s">
        <v>3819</v>
      </c>
      <c r="J241" s="796">
        <v>78.19</v>
      </c>
      <c r="K241" s="795"/>
    </row>
    <row r="242" spans="1:11" ht="21.95" customHeight="1">
      <c r="A242" s="744" t="s">
        <v>4611</v>
      </c>
      <c r="B242" s="744"/>
      <c r="C242" s="745" t="s">
        <v>3633</v>
      </c>
      <c r="D242" s="744" t="s">
        <v>1127</v>
      </c>
      <c r="E242" s="744" t="s">
        <v>1146</v>
      </c>
      <c r="F242" s="744" t="s">
        <v>3430</v>
      </c>
      <c r="G242" s="746" t="s">
        <v>1129</v>
      </c>
      <c r="H242" s="745" t="s">
        <v>3859</v>
      </c>
      <c r="I242" s="745" t="s">
        <v>3635</v>
      </c>
      <c r="J242" s="796">
        <v>31.92</v>
      </c>
      <c r="K242" s="795"/>
    </row>
    <row r="243" spans="1:11" ht="21.95" customHeight="1">
      <c r="A243" s="744" t="s">
        <v>4611</v>
      </c>
      <c r="B243" s="744"/>
      <c r="C243" s="745" t="s">
        <v>3860</v>
      </c>
      <c r="D243" s="744" t="s">
        <v>1127</v>
      </c>
      <c r="E243" s="744" t="s">
        <v>1472</v>
      </c>
      <c r="F243" s="744" t="s">
        <v>3430</v>
      </c>
      <c r="G243" s="746" t="s">
        <v>284</v>
      </c>
      <c r="H243" s="745" t="s">
        <v>3861</v>
      </c>
      <c r="I243" s="745" t="s">
        <v>4684</v>
      </c>
      <c r="J243" s="796">
        <v>1.19</v>
      </c>
      <c r="K243" s="795"/>
    </row>
    <row r="244" spans="1:11" ht="21.95" customHeight="1">
      <c r="A244" s="748" t="s">
        <v>4616</v>
      </c>
      <c r="B244" s="748"/>
      <c r="C244" s="749" t="s">
        <v>3862</v>
      </c>
      <c r="D244" s="748" t="s">
        <v>1127</v>
      </c>
      <c r="E244" s="748" t="s">
        <v>1473</v>
      </c>
      <c r="F244" s="748" t="s">
        <v>1187</v>
      </c>
      <c r="G244" s="750" t="s">
        <v>94</v>
      </c>
      <c r="H244" s="749" t="s">
        <v>3863</v>
      </c>
      <c r="I244" s="749" t="s">
        <v>3864</v>
      </c>
      <c r="J244" s="794">
        <v>1.96</v>
      </c>
      <c r="K244" s="795"/>
    </row>
    <row r="245" spans="1:11" ht="21.95" customHeight="1" thickBot="1">
      <c r="A245" s="748" t="s">
        <v>4616</v>
      </c>
      <c r="B245" s="748"/>
      <c r="C245" s="749" t="s">
        <v>3865</v>
      </c>
      <c r="D245" s="748" t="s">
        <v>3604</v>
      </c>
      <c r="E245" s="748" t="s">
        <v>1474</v>
      </c>
      <c r="F245" s="748" t="s">
        <v>1187</v>
      </c>
      <c r="G245" s="750" t="s">
        <v>108</v>
      </c>
      <c r="H245" s="749" t="s">
        <v>3610</v>
      </c>
      <c r="I245" s="749" t="s">
        <v>3866</v>
      </c>
      <c r="J245" s="794">
        <v>455</v>
      </c>
      <c r="K245" s="795"/>
    </row>
    <row r="246" spans="1:11" ht="0.95" customHeight="1" thickTop="1">
      <c r="A246" s="747"/>
      <c r="B246" s="747"/>
      <c r="C246" s="747"/>
      <c r="D246" s="747"/>
      <c r="E246" s="747"/>
      <c r="F246" s="747"/>
      <c r="G246" s="747"/>
      <c r="H246" s="747"/>
      <c r="I246" s="747"/>
      <c r="J246" s="747"/>
      <c r="K246" s="747"/>
    </row>
    <row r="247" spans="1:11" ht="18" customHeight="1">
      <c r="A247" s="738"/>
      <c r="B247" s="738" t="s">
        <v>60</v>
      </c>
      <c r="C247" s="739" t="s">
        <v>3312</v>
      </c>
      <c r="D247" s="738" t="s">
        <v>3602</v>
      </c>
      <c r="E247" s="738" t="s">
        <v>3313</v>
      </c>
      <c r="F247" s="738" t="s">
        <v>3390</v>
      </c>
      <c r="G247" s="740" t="s">
        <v>70</v>
      </c>
      <c r="H247" s="739" t="s">
        <v>64</v>
      </c>
      <c r="I247" s="739" t="s">
        <v>3617</v>
      </c>
      <c r="J247" s="797" t="s">
        <v>474</v>
      </c>
      <c r="K247" s="795"/>
    </row>
    <row r="248" spans="1:11" ht="21.95" customHeight="1">
      <c r="A248" s="741" t="s">
        <v>4608</v>
      </c>
      <c r="B248" s="741" t="s">
        <v>4685</v>
      </c>
      <c r="C248" s="742" t="s">
        <v>3497</v>
      </c>
      <c r="D248" s="741" t="s">
        <v>3604</v>
      </c>
      <c r="E248" s="741" t="s">
        <v>806</v>
      </c>
      <c r="F248" s="741" t="s">
        <v>3430</v>
      </c>
      <c r="G248" s="743" t="s">
        <v>57</v>
      </c>
      <c r="H248" s="742">
        <v>1</v>
      </c>
      <c r="I248" s="742" t="s">
        <v>3867</v>
      </c>
      <c r="J248" s="798" t="s">
        <v>3867</v>
      </c>
      <c r="K248" s="795"/>
    </row>
    <row r="249" spans="1:11" ht="44.1" customHeight="1" thickBot="1">
      <c r="A249" s="748" t="s">
        <v>4616</v>
      </c>
      <c r="B249" s="748"/>
      <c r="C249" s="749" t="s">
        <v>3868</v>
      </c>
      <c r="D249" s="748" t="s">
        <v>3604</v>
      </c>
      <c r="E249" s="748" t="s">
        <v>1207</v>
      </c>
      <c r="F249" s="748" t="s">
        <v>1187</v>
      </c>
      <c r="G249" s="750" t="s">
        <v>57</v>
      </c>
      <c r="H249" s="749" t="s">
        <v>3610</v>
      </c>
      <c r="I249" s="749" t="s">
        <v>3867</v>
      </c>
      <c r="J249" s="794">
        <v>140</v>
      </c>
      <c r="K249" s="795"/>
    </row>
    <row r="250" spans="1:11" ht="0.95" customHeight="1" thickTop="1">
      <c r="A250" s="747"/>
      <c r="B250" s="747"/>
      <c r="C250" s="747"/>
      <c r="D250" s="747"/>
      <c r="E250" s="747"/>
      <c r="F250" s="747"/>
      <c r="G250" s="747"/>
      <c r="H250" s="747"/>
      <c r="I250" s="747"/>
      <c r="J250" s="747"/>
      <c r="K250" s="747"/>
    </row>
    <row r="251" spans="1:11" ht="18" customHeight="1">
      <c r="A251" s="738"/>
      <c r="B251" s="738" t="s">
        <v>60</v>
      </c>
      <c r="C251" s="739" t="s">
        <v>3312</v>
      </c>
      <c r="D251" s="738" t="s">
        <v>3602</v>
      </c>
      <c r="E251" s="738" t="s">
        <v>3313</v>
      </c>
      <c r="F251" s="738" t="s">
        <v>3390</v>
      </c>
      <c r="G251" s="740" t="s">
        <v>70</v>
      </c>
      <c r="H251" s="739" t="s">
        <v>64</v>
      </c>
      <c r="I251" s="739" t="s">
        <v>3617</v>
      </c>
      <c r="J251" s="797" t="s">
        <v>474</v>
      </c>
      <c r="K251" s="795"/>
    </row>
    <row r="252" spans="1:11" ht="21.95" customHeight="1">
      <c r="A252" s="741" t="s">
        <v>4608</v>
      </c>
      <c r="B252" s="741" t="s">
        <v>4686</v>
      </c>
      <c r="C252" s="742" t="s">
        <v>3519</v>
      </c>
      <c r="D252" s="741" t="s">
        <v>3604</v>
      </c>
      <c r="E252" s="741" t="s">
        <v>2520</v>
      </c>
      <c r="F252" s="741" t="s">
        <v>3430</v>
      </c>
      <c r="G252" s="743" t="s">
        <v>57</v>
      </c>
      <c r="H252" s="742">
        <v>1</v>
      </c>
      <c r="I252" s="742" t="s">
        <v>3869</v>
      </c>
      <c r="J252" s="798" t="s">
        <v>3869</v>
      </c>
      <c r="K252" s="795"/>
    </row>
    <row r="253" spans="1:11" ht="21.95" customHeight="1" thickBot="1">
      <c r="A253" s="748" t="s">
        <v>4616</v>
      </c>
      <c r="B253" s="748"/>
      <c r="C253" s="749" t="s">
        <v>3870</v>
      </c>
      <c r="D253" s="748" t="s">
        <v>3604</v>
      </c>
      <c r="E253" s="748" t="s">
        <v>2520</v>
      </c>
      <c r="F253" s="748" t="s">
        <v>1187</v>
      </c>
      <c r="G253" s="750" t="s">
        <v>57</v>
      </c>
      <c r="H253" s="749" t="s">
        <v>3610</v>
      </c>
      <c r="I253" s="749" t="s">
        <v>3869</v>
      </c>
      <c r="J253" s="794">
        <v>3545</v>
      </c>
      <c r="K253" s="795"/>
    </row>
    <row r="254" spans="1:11" ht="0.95" customHeight="1" thickTop="1">
      <c r="A254" s="747"/>
      <c r="B254" s="747"/>
      <c r="C254" s="747"/>
      <c r="D254" s="747"/>
      <c r="E254" s="747"/>
      <c r="F254" s="747"/>
      <c r="G254" s="747"/>
      <c r="H254" s="747"/>
      <c r="I254" s="747"/>
      <c r="J254" s="747"/>
      <c r="K254" s="747"/>
    </row>
    <row r="255" spans="1:11" ht="18" customHeight="1">
      <c r="A255" s="738"/>
      <c r="B255" s="738" t="s">
        <v>60</v>
      </c>
      <c r="C255" s="739" t="s">
        <v>3312</v>
      </c>
      <c r="D255" s="738" t="s">
        <v>3602</v>
      </c>
      <c r="E255" s="738" t="s">
        <v>3313</v>
      </c>
      <c r="F255" s="738" t="s">
        <v>3390</v>
      </c>
      <c r="G255" s="740" t="s">
        <v>70</v>
      </c>
      <c r="H255" s="739" t="s">
        <v>64</v>
      </c>
      <c r="I255" s="739" t="s">
        <v>3617</v>
      </c>
      <c r="J255" s="797" t="s">
        <v>474</v>
      </c>
      <c r="K255" s="795"/>
    </row>
    <row r="256" spans="1:11" ht="21.95" customHeight="1">
      <c r="A256" s="741" t="s">
        <v>4608</v>
      </c>
      <c r="B256" s="741" t="s">
        <v>4687</v>
      </c>
      <c r="C256" s="742" t="s">
        <v>3502</v>
      </c>
      <c r="D256" s="741" t="s">
        <v>3604</v>
      </c>
      <c r="E256" s="741" t="s">
        <v>2680</v>
      </c>
      <c r="F256" s="741" t="s">
        <v>3430</v>
      </c>
      <c r="G256" s="743" t="s">
        <v>108</v>
      </c>
      <c r="H256" s="742">
        <v>1</v>
      </c>
      <c r="I256" s="742" t="s">
        <v>4688</v>
      </c>
      <c r="J256" s="798" t="s">
        <v>4688</v>
      </c>
      <c r="K256" s="795"/>
    </row>
    <row r="257" spans="1:11" ht="21.95" customHeight="1">
      <c r="A257" s="744" t="s">
        <v>4611</v>
      </c>
      <c r="B257" s="744"/>
      <c r="C257" s="745" t="s">
        <v>3807</v>
      </c>
      <c r="D257" s="744" t="s">
        <v>1127</v>
      </c>
      <c r="E257" s="744" t="s">
        <v>1188</v>
      </c>
      <c r="F257" s="744" t="s">
        <v>3430</v>
      </c>
      <c r="G257" s="746" t="s">
        <v>1129</v>
      </c>
      <c r="H257" s="745" t="s">
        <v>3871</v>
      </c>
      <c r="I257" s="745" t="s">
        <v>3809</v>
      </c>
      <c r="J257" s="796">
        <v>25.42</v>
      </c>
      <c r="K257" s="795"/>
    </row>
    <row r="258" spans="1:11" ht="21.95" customHeight="1">
      <c r="A258" s="744" t="s">
        <v>4611</v>
      </c>
      <c r="B258" s="744"/>
      <c r="C258" s="745" t="s">
        <v>3633</v>
      </c>
      <c r="D258" s="744" t="s">
        <v>1127</v>
      </c>
      <c r="E258" s="744" t="s">
        <v>1146</v>
      </c>
      <c r="F258" s="744" t="s">
        <v>3430</v>
      </c>
      <c r="G258" s="746" t="s">
        <v>1129</v>
      </c>
      <c r="H258" s="745" t="s">
        <v>3872</v>
      </c>
      <c r="I258" s="745" t="s">
        <v>3635</v>
      </c>
      <c r="J258" s="796">
        <v>17.350000000000001</v>
      </c>
      <c r="K258" s="795"/>
    </row>
    <row r="259" spans="1:11" ht="21.95" customHeight="1">
      <c r="A259" s="748" t="s">
        <v>4616</v>
      </c>
      <c r="B259" s="748"/>
      <c r="C259" s="749" t="s">
        <v>3873</v>
      </c>
      <c r="D259" s="748" t="s">
        <v>1127</v>
      </c>
      <c r="E259" s="748" t="s">
        <v>1214</v>
      </c>
      <c r="F259" s="748" t="s">
        <v>1187</v>
      </c>
      <c r="G259" s="750" t="s">
        <v>94</v>
      </c>
      <c r="H259" s="749" t="s">
        <v>3874</v>
      </c>
      <c r="I259" s="749" t="s">
        <v>3875</v>
      </c>
      <c r="J259" s="794">
        <v>1.36</v>
      </c>
      <c r="K259" s="795"/>
    </row>
    <row r="260" spans="1:11" ht="21.95" customHeight="1">
      <c r="A260" s="748" t="s">
        <v>4616</v>
      </c>
      <c r="B260" s="748"/>
      <c r="C260" s="749" t="s">
        <v>3644</v>
      </c>
      <c r="D260" s="748" t="s">
        <v>1127</v>
      </c>
      <c r="E260" s="748" t="s">
        <v>1215</v>
      </c>
      <c r="F260" s="748" t="s">
        <v>1187</v>
      </c>
      <c r="G260" s="750" t="s">
        <v>284</v>
      </c>
      <c r="H260" s="749" t="s">
        <v>3876</v>
      </c>
      <c r="I260" s="749" t="s">
        <v>3646</v>
      </c>
      <c r="J260" s="794">
        <v>1.1399999999999999</v>
      </c>
      <c r="K260" s="795"/>
    </row>
    <row r="261" spans="1:11" ht="21.95" customHeight="1">
      <c r="A261" s="748" t="s">
        <v>4616</v>
      </c>
      <c r="B261" s="748"/>
      <c r="C261" s="749" t="s">
        <v>3877</v>
      </c>
      <c r="D261" s="748" t="s">
        <v>1127</v>
      </c>
      <c r="E261" s="748" t="s">
        <v>1216</v>
      </c>
      <c r="F261" s="748" t="s">
        <v>1187</v>
      </c>
      <c r="G261" s="750" t="s">
        <v>94</v>
      </c>
      <c r="H261" s="749" t="s">
        <v>3878</v>
      </c>
      <c r="I261" s="749" t="s">
        <v>3879</v>
      </c>
      <c r="J261" s="794">
        <v>1.31</v>
      </c>
      <c r="K261" s="795"/>
    </row>
    <row r="262" spans="1:11" ht="21.95" customHeight="1" thickBot="1">
      <c r="A262" s="748" t="s">
        <v>4616</v>
      </c>
      <c r="B262" s="748"/>
      <c r="C262" s="749" t="s">
        <v>3880</v>
      </c>
      <c r="D262" s="748" t="s">
        <v>3604</v>
      </c>
      <c r="E262" s="748" t="s">
        <v>3357</v>
      </c>
      <c r="F262" s="748" t="s">
        <v>1187</v>
      </c>
      <c r="G262" s="750" t="s">
        <v>57</v>
      </c>
      <c r="H262" s="749" t="s">
        <v>3881</v>
      </c>
      <c r="I262" s="749" t="s">
        <v>3882</v>
      </c>
      <c r="J262" s="794">
        <v>124.96</v>
      </c>
      <c r="K262" s="795"/>
    </row>
    <row r="263" spans="1:11" ht="0.95" customHeight="1" thickTop="1">
      <c r="A263" s="747"/>
      <c r="B263" s="747"/>
      <c r="C263" s="747"/>
      <c r="D263" s="747"/>
      <c r="E263" s="747"/>
      <c r="F263" s="747"/>
      <c r="G263" s="747"/>
      <c r="H263" s="747"/>
      <c r="I263" s="747"/>
      <c r="J263" s="747"/>
      <c r="K263" s="747"/>
    </row>
    <row r="264" spans="1:11" ht="18" customHeight="1">
      <c r="A264" s="738"/>
      <c r="B264" s="738" t="s">
        <v>60</v>
      </c>
      <c r="C264" s="739" t="s">
        <v>3312</v>
      </c>
      <c r="D264" s="738" t="s">
        <v>3602</v>
      </c>
      <c r="E264" s="738" t="s">
        <v>3313</v>
      </c>
      <c r="F264" s="738" t="s">
        <v>3390</v>
      </c>
      <c r="G264" s="740" t="s">
        <v>70</v>
      </c>
      <c r="H264" s="739" t="s">
        <v>64</v>
      </c>
      <c r="I264" s="739" t="s">
        <v>3617</v>
      </c>
      <c r="J264" s="797" t="s">
        <v>474</v>
      </c>
      <c r="K264" s="795"/>
    </row>
    <row r="265" spans="1:11" ht="21.95" customHeight="1">
      <c r="A265" s="741" t="s">
        <v>4608</v>
      </c>
      <c r="B265" s="741" t="s">
        <v>4689</v>
      </c>
      <c r="C265" s="742" t="s">
        <v>3498</v>
      </c>
      <c r="D265" s="741" t="s">
        <v>3604</v>
      </c>
      <c r="E265" s="741" t="s">
        <v>808</v>
      </c>
      <c r="F265" s="741" t="s">
        <v>3430</v>
      </c>
      <c r="G265" s="743" t="s">
        <v>108</v>
      </c>
      <c r="H265" s="742">
        <v>1</v>
      </c>
      <c r="I265" s="742" t="s">
        <v>4690</v>
      </c>
      <c r="J265" s="798" t="s">
        <v>4690</v>
      </c>
      <c r="K265" s="795"/>
    </row>
    <row r="266" spans="1:11" ht="21.95" customHeight="1">
      <c r="A266" s="744" t="s">
        <v>4611</v>
      </c>
      <c r="B266" s="744"/>
      <c r="C266" s="745" t="s">
        <v>3633</v>
      </c>
      <c r="D266" s="744" t="s">
        <v>1127</v>
      </c>
      <c r="E266" s="744" t="s">
        <v>1146</v>
      </c>
      <c r="F266" s="744" t="s">
        <v>3430</v>
      </c>
      <c r="G266" s="746" t="s">
        <v>1129</v>
      </c>
      <c r="H266" s="745" t="s">
        <v>4299</v>
      </c>
      <c r="I266" s="745" t="s">
        <v>3635</v>
      </c>
      <c r="J266" s="796">
        <v>2.35</v>
      </c>
      <c r="K266" s="795"/>
    </row>
    <row r="267" spans="1:11" ht="21.95" customHeight="1">
      <c r="A267" s="744" t="s">
        <v>4611</v>
      </c>
      <c r="B267" s="744"/>
      <c r="C267" s="745" t="s">
        <v>3631</v>
      </c>
      <c r="D267" s="744" t="s">
        <v>1127</v>
      </c>
      <c r="E267" s="744" t="s">
        <v>1145</v>
      </c>
      <c r="F267" s="744" t="s">
        <v>3430</v>
      </c>
      <c r="G267" s="746" t="s">
        <v>1129</v>
      </c>
      <c r="H267" s="745" t="s">
        <v>4299</v>
      </c>
      <c r="I267" s="745" t="s">
        <v>3632</v>
      </c>
      <c r="J267" s="796">
        <v>2.9</v>
      </c>
      <c r="K267" s="795"/>
    </row>
    <row r="268" spans="1:11" ht="21.95" customHeight="1">
      <c r="A268" s="748" t="s">
        <v>4616</v>
      </c>
      <c r="B268" s="748"/>
      <c r="C268" s="749" t="s">
        <v>4691</v>
      </c>
      <c r="D268" s="748" t="s">
        <v>1127</v>
      </c>
      <c r="E268" s="748" t="s">
        <v>4692</v>
      </c>
      <c r="F268" s="748" t="s">
        <v>1187</v>
      </c>
      <c r="G268" s="750" t="s">
        <v>108</v>
      </c>
      <c r="H268" s="749" t="s">
        <v>3610</v>
      </c>
      <c r="I268" s="749" t="s">
        <v>4693</v>
      </c>
      <c r="J268" s="794">
        <v>153.74</v>
      </c>
      <c r="K268" s="795"/>
    </row>
    <row r="269" spans="1:11" ht="21.95" customHeight="1" thickBot="1">
      <c r="A269" s="748" t="s">
        <v>4616</v>
      </c>
      <c r="B269" s="748"/>
      <c r="C269" s="749" t="s">
        <v>4694</v>
      </c>
      <c r="D269" s="748" t="s">
        <v>1127</v>
      </c>
      <c r="E269" s="748" t="s">
        <v>4695</v>
      </c>
      <c r="F269" s="748" t="s">
        <v>1187</v>
      </c>
      <c r="G269" s="750" t="s">
        <v>94</v>
      </c>
      <c r="H269" s="749" t="s">
        <v>4216</v>
      </c>
      <c r="I269" s="749" t="s">
        <v>4696</v>
      </c>
      <c r="J269" s="794">
        <v>5.28</v>
      </c>
      <c r="K269" s="795"/>
    </row>
    <row r="270" spans="1:11" ht="0.95" customHeight="1" thickTop="1">
      <c r="A270" s="747"/>
      <c r="B270" s="747"/>
      <c r="C270" s="747"/>
      <c r="D270" s="747"/>
      <c r="E270" s="747"/>
      <c r="F270" s="747"/>
      <c r="G270" s="747"/>
      <c r="H270" s="747"/>
      <c r="I270" s="747"/>
      <c r="J270" s="747"/>
      <c r="K270" s="747"/>
    </row>
    <row r="271" spans="1:11" ht="18" customHeight="1">
      <c r="A271" s="738"/>
      <c r="B271" s="738" t="s">
        <v>60</v>
      </c>
      <c r="C271" s="739" t="s">
        <v>3312</v>
      </c>
      <c r="D271" s="738" t="s">
        <v>3602</v>
      </c>
      <c r="E271" s="738" t="s">
        <v>3313</v>
      </c>
      <c r="F271" s="738" t="s">
        <v>3390</v>
      </c>
      <c r="G271" s="740" t="s">
        <v>70</v>
      </c>
      <c r="H271" s="739" t="s">
        <v>64</v>
      </c>
      <c r="I271" s="739" t="s">
        <v>3617</v>
      </c>
      <c r="J271" s="797" t="s">
        <v>474</v>
      </c>
      <c r="K271" s="795"/>
    </row>
    <row r="272" spans="1:11" ht="33" customHeight="1">
      <c r="A272" s="741" t="s">
        <v>4608</v>
      </c>
      <c r="B272" s="741" t="s">
        <v>4697</v>
      </c>
      <c r="C272" s="742" t="s">
        <v>3503</v>
      </c>
      <c r="D272" s="741" t="s">
        <v>3604</v>
      </c>
      <c r="E272" s="741" t="s">
        <v>822</v>
      </c>
      <c r="F272" s="741" t="s">
        <v>3430</v>
      </c>
      <c r="G272" s="743" t="s">
        <v>57</v>
      </c>
      <c r="H272" s="742">
        <v>1</v>
      </c>
      <c r="I272" s="742" t="s">
        <v>4698</v>
      </c>
      <c r="J272" s="798" t="s">
        <v>4698</v>
      </c>
      <c r="K272" s="795"/>
    </row>
    <row r="273" spans="1:11" ht="21.95" customHeight="1">
      <c r="A273" s="744" t="s">
        <v>4611</v>
      </c>
      <c r="B273" s="744"/>
      <c r="C273" s="745" t="s">
        <v>3886</v>
      </c>
      <c r="D273" s="744" t="s">
        <v>1127</v>
      </c>
      <c r="E273" s="744" t="s">
        <v>1228</v>
      </c>
      <c r="F273" s="744" t="s">
        <v>3430</v>
      </c>
      <c r="G273" s="746" t="s">
        <v>1129</v>
      </c>
      <c r="H273" s="745" t="s">
        <v>3887</v>
      </c>
      <c r="I273" s="745" t="s">
        <v>3888</v>
      </c>
      <c r="J273" s="796">
        <v>48.72</v>
      </c>
      <c r="K273" s="795"/>
    </row>
    <row r="274" spans="1:11" ht="21.95" customHeight="1">
      <c r="A274" s="744" t="s">
        <v>4611</v>
      </c>
      <c r="B274" s="744"/>
      <c r="C274" s="745" t="s">
        <v>3831</v>
      </c>
      <c r="D274" s="744" t="s">
        <v>1127</v>
      </c>
      <c r="E274" s="744" t="s">
        <v>1229</v>
      </c>
      <c r="F274" s="744" t="s">
        <v>3430</v>
      </c>
      <c r="G274" s="746" t="s">
        <v>1129</v>
      </c>
      <c r="H274" s="745" t="s">
        <v>3887</v>
      </c>
      <c r="I274" s="745" t="s">
        <v>3833</v>
      </c>
      <c r="J274" s="796">
        <v>51.13</v>
      </c>
      <c r="K274" s="795"/>
    </row>
    <row r="275" spans="1:11" ht="21.95" customHeight="1">
      <c r="A275" s="744" t="s">
        <v>4611</v>
      </c>
      <c r="B275" s="744"/>
      <c r="C275" s="745" t="s">
        <v>3664</v>
      </c>
      <c r="D275" s="744" t="s">
        <v>1127</v>
      </c>
      <c r="E275" s="744" t="s">
        <v>1134</v>
      </c>
      <c r="F275" s="744" t="s">
        <v>3430</v>
      </c>
      <c r="G275" s="746" t="s">
        <v>1129</v>
      </c>
      <c r="H275" s="745" t="s">
        <v>3889</v>
      </c>
      <c r="I275" s="745" t="s">
        <v>4619</v>
      </c>
      <c r="J275" s="796">
        <v>39.75</v>
      </c>
      <c r="K275" s="795"/>
    </row>
    <row r="276" spans="1:11" ht="21.95" customHeight="1">
      <c r="A276" s="744" t="s">
        <v>4611</v>
      </c>
      <c r="B276" s="744"/>
      <c r="C276" s="745" t="s">
        <v>3661</v>
      </c>
      <c r="D276" s="744" t="s">
        <v>1127</v>
      </c>
      <c r="E276" s="744" t="s">
        <v>1133</v>
      </c>
      <c r="F276" s="744" t="s">
        <v>3430</v>
      </c>
      <c r="G276" s="746" t="s">
        <v>1129</v>
      </c>
      <c r="H276" s="745" t="s">
        <v>3889</v>
      </c>
      <c r="I276" s="745" t="s">
        <v>3663</v>
      </c>
      <c r="J276" s="796">
        <v>32.520000000000003</v>
      </c>
      <c r="K276" s="795"/>
    </row>
    <row r="277" spans="1:11" ht="21.95" customHeight="1">
      <c r="A277" s="744" t="s">
        <v>4611</v>
      </c>
      <c r="B277" s="744"/>
      <c r="C277" s="745" t="s">
        <v>3631</v>
      </c>
      <c r="D277" s="744" t="s">
        <v>1127</v>
      </c>
      <c r="E277" s="744" t="s">
        <v>1145</v>
      </c>
      <c r="F277" s="744" t="s">
        <v>3430</v>
      </c>
      <c r="G277" s="746" t="s">
        <v>1129</v>
      </c>
      <c r="H277" s="745" t="s">
        <v>3890</v>
      </c>
      <c r="I277" s="745" t="s">
        <v>3632</v>
      </c>
      <c r="J277" s="796">
        <v>32.619999999999997</v>
      </c>
      <c r="K277" s="795"/>
    </row>
    <row r="278" spans="1:11" ht="21.95" customHeight="1">
      <c r="A278" s="744" t="s">
        <v>4611</v>
      </c>
      <c r="B278" s="744"/>
      <c r="C278" s="745" t="s">
        <v>3633</v>
      </c>
      <c r="D278" s="744" t="s">
        <v>1127</v>
      </c>
      <c r="E278" s="744" t="s">
        <v>1146</v>
      </c>
      <c r="F278" s="744" t="s">
        <v>3430</v>
      </c>
      <c r="G278" s="746" t="s">
        <v>1129</v>
      </c>
      <c r="H278" s="745" t="s">
        <v>3891</v>
      </c>
      <c r="I278" s="745" t="s">
        <v>3635</v>
      </c>
      <c r="J278" s="796">
        <v>173.5</v>
      </c>
      <c r="K278" s="795"/>
    </row>
    <row r="279" spans="1:11" ht="21.95" customHeight="1">
      <c r="A279" s="744" t="s">
        <v>4611</v>
      </c>
      <c r="B279" s="744"/>
      <c r="C279" s="745" t="s">
        <v>3636</v>
      </c>
      <c r="D279" s="744" t="s">
        <v>1127</v>
      </c>
      <c r="E279" s="744" t="s">
        <v>1144</v>
      </c>
      <c r="F279" s="744" t="s">
        <v>3430</v>
      </c>
      <c r="G279" s="746" t="s">
        <v>1129</v>
      </c>
      <c r="H279" s="745" t="s">
        <v>3887</v>
      </c>
      <c r="I279" s="745" t="s">
        <v>4619</v>
      </c>
      <c r="J279" s="796">
        <v>59.46</v>
      </c>
      <c r="K279" s="795"/>
    </row>
    <row r="280" spans="1:11" ht="21.95" customHeight="1">
      <c r="A280" s="748" t="s">
        <v>4616</v>
      </c>
      <c r="B280" s="748"/>
      <c r="C280" s="749" t="s">
        <v>3873</v>
      </c>
      <c r="D280" s="748" t="s">
        <v>1127</v>
      </c>
      <c r="E280" s="748" t="s">
        <v>1214</v>
      </c>
      <c r="F280" s="748" t="s">
        <v>1187</v>
      </c>
      <c r="G280" s="750" t="s">
        <v>94</v>
      </c>
      <c r="H280" s="749" t="s">
        <v>3892</v>
      </c>
      <c r="I280" s="749" t="s">
        <v>3875</v>
      </c>
      <c r="J280" s="794">
        <v>3.64</v>
      </c>
      <c r="K280" s="795"/>
    </row>
    <row r="281" spans="1:11" ht="21.95" customHeight="1">
      <c r="A281" s="748" t="s">
        <v>4616</v>
      </c>
      <c r="B281" s="748"/>
      <c r="C281" s="749" t="s">
        <v>3893</v>
      </c>
      <c r="D281" s="748" t="s">
        <v>1127</v>
      </c>
      <c r="E281" s="748" t="s">
        <v>1218</v>
      </c>
      <c r="F281" s="748" t="s">
        <v>1187</v>
      </c>
      <c r="G281" s="750" t="s">
        <v>108</v>
      </c>
      <c r="H281" s="749" t="s">
        <v>3894</v>
      </c>
      <c r="I281" s="749" t="s">
        <v>3895</v>
      </c>
      <c r="J281" s="794">
        <v>86.26</v>
      </c>
      <c r="K281" s="795"/>
    </row>
    <row r="282" spans="1:11" ht="21.95" customHeight="1">
      <c r="A282" s="748" t="s">
        <v>4616</v>
      </c>
      <c r="B282" s="748"/>
      <c r="C282" s="749" t="s">
        <v>3896</v>
      </c>
      <c r="D282" s="748" t="s">
        <v>1127</v>
      </c>
      <c r="E282" s="748" t="s">
        <v>1135</v>
      </c>
      <c r="F282" s="748" t="s">
        <v>1187</v>
      </c>
      <c r="G282" s="750" t="s">
        <v>94</v>
      </c>
      <c r="H282" s="749" t="s">
        <v>3897</v>
      </c>
      <c r="I282" s="749" t="s">
        <v>3898</v>
      </c>
      <c r="J282" s="794">
        <v>118.59</v>
      </c>
      <c r="K282" s="795"/>
    </row>
    <row r="283" spans="1:11" ht="21.95" customHeight="1">
      <c r="A283" s="748" t="s">
        <v>4616</v>
      </c>
      <c r="B283" s="748"/>
      <c r="C283" s="749" t="s">
        <v>3899</v>
      </c>
      <c r="D283" s="748" t="s">
        <v>1127</v>
      </c>
      <c r="E283" s="748" t="s">
        <v>1219</v>
      </c>
      <c r="F283" s="748" t="s">
        <v>1187</v>
      </c>
      <c r="G283" s="750" t="s">
        <v>101</v>
      </c>
      <c r="H283" s="749" t="s">
        <v>3900</v>
      </c>
      <c r="I283" s="749" t="s">
        <v>3901</v>
      </c>
      <c r="J283" s="794">
        <v>10.3</v>
      </c>
      <c r="K283" s="795"/>
    </row>
    <row r="284" spans="1:11" ht="33" customHeight="1">
      <c r="A284" s="748" t="s">
        <v>4616</v>
      </c>
      <c r="B284" s="748"/>
      <c r="C284" s="749" t="s">
        <v>3902</v>
      </c>
      <c r="D284" s="748" t="s">
        <v>1127</v>
      </c>
      <c r="E284" s="748" t="s">
        <v>3903</v>
      </c>
      <c r="F284" s="748" t="s">
        <v>1187</v>
      </c>
      <c r="G284" s="750" t="s">
        <v>101</v>
      </c>
      <c r="H284" s="749" t="s">
        <v>3904</v>
      </c>
      <c r="I284" s="749" t="s">
        <v>3905</v>
      </c>
      <c r="J284" s="794">
        <v>420.73</v>
      </c>
      <c r="K284" s="795"/>
    </row>
    <row r="285" spans="1:11" ht="21.95" customHeight="1">
      <c r="A285" s="748" t="s">
        <v>4616</v>
      </c>
      <c r="B285" s="748"/>
      <c r="C285" s="749" t="s">
        <v>3740</v>
      </c>
      <c r="D285" s="748" t="s">
        <v>1127</v>
      </c>
      <c r="E285" s="748" t="s">
        <v>1220</v>
      </c>
      <c r="F285" s="748" t="s">
        <v>1187</v>
      </c>
      <c r="G285" s="750" t="s">
        <v>94</v>
      </c>
      <c r="H285" s="749" t="s">
        <v>3702</v>
      </c>
      <c r="I285" s="749" t="s">
        <v>3742</v>
      </c>
      <c r="J285" s="794">
        <v>10.23</v>
      </c>
      <c r="K285" s="795"/>
    </row>
    <row r="286" spans="1:11" ht="21.95" customHeight="1">
      <c r="A286" s="748" t="s">
        <v>4616</v>
      </c>
      <c r="B286" s="748"/>
      <c r="C286" s="749" t="s">
        <v>3846</v>
      </c>
      <c r="D286" s="748" t="s">
        <v>1127</v>
      </c>
      <c r="E286" s="748" t="s">
        <v>1203</v>
      </c>
      <c r="F286" s="748" t="s">
        <v>1187</v>
      </c>
      <c r="G286" s="750" t="s">
        <v>94</v>
      </c>
      <c r="H286" s="749" t="s">
        <v>3906</v>
      </c>
      <c r="I286" s="749" t="s">
        <v>3847</v>
      </c>
      <c r="J286" s="794">
        <v>3.55</v>
      </c>
      <c r="K286" s="795"/>
    </row>
    <row r="287" spans="1:11" ht="21.95" customHeight="1">
      <c r="A287" s="748" t="s">
        <v>4616</v>
      </c>
      <c r="B287" s="748"/>
      <c r="C287" s="749" t="s">
        <v>3907</v>
      </c>
      <c r="D287" s="748" t="s">
        <v>1127</v>
      </c>
      <c r="E287" s="748" t="s">
        <v>1221</v>
      </c>
      <c r="F287" s="748" t="s">
        <v>1187</v>
      </c>
      <c r="G287" s="750" t="s">
        <v>1163</v>
      </c>
      <c r="H287" s="749" t="s">
        <v>3849</v>
      </c>
      <c r="I287" s="749" t="s">
        <v>3908</v>
      </c>
      <c r="J287" s="794">
        <v>10.62</v>
      </c>
      <c r="K287" s="795"/>
    </row>
    <row r="288" spans="1:11" ht="21.95" customHeight="1">
      <c r="A288" s="748" t="s">
        <v>4616</v>
      </c>
      <c r="B288" s="748"/>
      <c r="C288" s="749" t="s">
        <v>3909</v>
      </c>
      <c r="D288" s="748" t="s">
        <v>1127</v>
      </c>
      <c r="E288" s="748" t="s">
        <v>1222</v>
      </c>
      <c r="F288" s="748" t="s">
        <v>1187</v>
      </c>
      <c r="G288" s="750" t="s">
        <v>94</v>
      </c>
      <c r="H288" s="749" t="s">
        <v>3910</v>
      </c>
      <c r="I288" s="749" t="s">
        <v>3911</v>
      </c>
      <c r="J288" s="794">
        <v>44.8</v>
      </c>
      <c r="K288" s="795"/>
    </row>
    <row r="289" spans="1:11" ht="21.95" customHeight="1">
      <c r="A289" s="748" t="s">
        <v>4616</v>
      </c>
      <c r="B289" s="748"/>
      <c r="C289" s="749" t="s">
        <v>3912</v>
      </c>
      <c r="D289" s="748" t="s">
        <v>1127</v>
      </c>
      <c r="E289" s="748" t="s">
        <v>1276</v>
      </c>
      <c r="F289" s="748" t="s">
        <v>1187</v>
      </c>
      <c r="G289" s="750" t="s">
        <v>284</v>
      </c>
      <c r="H289" s="749" t="s">
        <v>3913</v>
      </c>
      <c r="I289" s="749" t="s">
        <v>3717</v>
      </c>
      <c r="J289" s="794">
        <v>7.95</v>
      </c>
      <c r="K289" s="795"/>
    </row>
    <row r="290" spans="1:11" ht="21.95" customHeight="1">
      <c r="A290" s="748" t="s">
        <v>4616</v>
      </c>
      <c r="B290" s="748"/>
      <c r="C290" s="749" t="s">
        <v>3914</v>
      </c>
      <c r="D290" s="748" t="s">
        <v>1127</v>
      </c>
      <c r="E290" s="748" t="s">
        <v>1223</v>
      </c>
      <c r="F290" s="748" t="s">
        <v>1187</v>
      </c>
      <c r="G290" s="750" t="s">
        <v>284</v>
      </c>
      <c r="H290" s="749" t="s">
        <v>3781</v>
      </c>
      <c r="I290" s="749" t="s">
        <v>3915</v>
      </c>
      <c r="J290" s="794">
        <v>25</v>
      </c>
      <c r="K290" s="795"/>
    </row>
    <row r="291" spans="1:11" ht="21.95" customHeight="1">
      <c r="A291" s="748" t="s">
        <v>4616</v>
      </c>
      <c r="B291" s="748"/>
      <c r="C291" s="749" t="s">
        <v>3916</v>
      </c>
      <c r="D291" s="748" t="s">
        <v>1127</v>
      </c>
      <c r="E291" s="748" t="s">
        <v>1224</v>
      </c>
      <c r="F291" s="748" t="s">
        <v>1187</v>
      </c>
      <c r="G291" s="750" t="s">
        <v>57</v>
      </c>
      <c r="H291" s="749" t="s">
        <v>3796</v>
      </c>
      <c r="I291" s="749" t="s">
        <v>3917</v>
      </c>
      <c r="J291" s="794">
        <v>6.11</v>
      </c>
      <c r="K291" s="795"/>
    </row>
    <row r="292" spans="1:11" ht="21.95" customHeight="1">
      <c r="A292" s="748" t="s">
        <v>4616</v>
      </c>
      <c r="B292" s="748"/>
      <c r="C292" s="749" t="s">
        <v>3918</v>
      </c>
      <c r="D292" s="748" t="s">
        <v>1127</v>
      </c>
      <c r="E292" s="748" t="s">
        <v>1225</v>
      </c>
      <c r="F292" s="748" t="s">
        <v>1187</v>
      </c>
      <c r="G292" s="750" t="s">
        <v>1163</v>
      </c>
      <c r="H292" s="749" t="s">
        <v>3707</v>
      </c>
      <c r="I292" s="749" t="s">
        <v>3919</v>
      </c>
      <c r="J292" s="794">
        <v>22.77</v>
      </c>
      <c r="K292" s="795"/>
    </row>
    <row r="293" spans="1:11" ht="21.95" customHeight="1">
      <c r="A293" s="748" t="s">
        <v>4616</v>
      </c>
      <c r="B293" s="748"/>
      <c r="C293" s="749" t="s">
        <v>3920</v>
      </c>
      <c r="D293" s="748" t="s">
        <v>1127</v>
      </c>
      <c r="E293" s="748" t="s">
        <v>1226</v>
      </c>
      <c r="F293" s="748" t="s">
        <v>1187</v>
      </c>
      <c r="G293" s="750" t="s">
        <v>284</v>
      </c>
      <c r="H293" s="749" t="s">
        <v>3921</v>
      </c>
      <c r="I293" s="749" t="s">
        <v>3922</v>
      </c>
      <c r="J293" s="794">
        <v>24.11</v>
      </c>
      <c r="K293" s="795"/>
    </row>
    <row r="294" spans="1:11" ht="33" customHeight="1">
      <c r="A294" s="748" t="s">
        <v>4616</v>
      </c>
      <c r="B294" s="748"/>
      <c r="C294" s="749" t="s">
        <v>3923</v>
      </c>
      <c r="D294" s="748" t="s">
        <v>1127</v>
      </c>
      <c r="E294" s="748" t="s">
        <v>1227</v>
      </c>
      <c r="F294" s="748" t="s">
        <v>1187</v>
      </c>
      <c r="G294" s="750" t="s">
        <v>101</v>
      </c>
      <c r="H294" s="749" t="s">
        <v>3924</v>
      </c>
      <c r="I294" s="749" t="s">
        <v>3925</v>
      </c>
      <c r="J294" s="794">
        <v>449.57</v>
      </c>
      <c r="K294" s="795"/>
    </row>
    <row r="295" spans="1:11" ht="21.95" customHeight="1">
      <c r="A295" s="748" t="s">
        <v>4616</v>
      </c>
      <c r="B295" s="748"/>
      <c r="C295" s="749" t="s">
        <v>3737</v>
      </c>
      <c r="D295" s="748" t="s">
        <v>1127</v>
      </c>
      <c r="E295" s="748" t="s">
        <v>1162</v>
      </c>
      <c r="F295" s="748" t="s">
        <v>1187</v>
      </c>
      <c r="G295" s="750" t="s">
        <v>1163</v>
      </c>
      <c r="H295" s="749" t="s">
        <v>3702</v>
      </c>
      <c r="I295" s="749" t="s">
        <v>3739</v>
      </c>
      <c r="J295" s="794">
        <v>16.13</v>
      </c>
      <c r="K295" s="795"/>
    </row>
    <row r="296" spans="1:11" ht="21.95" customHeight="1" thickBot="1">
      <c r="A296" s="748" t="s">
        <v>4616</v>
      </c>
      <c r="B296" s="748"/>
      <c r="C296" s="749" t="s">
        <v>3842</v>
      </c>
      <c r="D296" s="748" t="s">
        <v>1127</v>
      </c>
      <c r="E296" s="748" t="s">
        <v>1201</v>
      </c>
      <c r="F296" s="748" t="s">
        <v>1187</v>
      </c>
      <c r="G296" s="750" t="s">
        <v>94</v>
      </c>
      <c r="H296" s="749" t="s">
        <v>3926</v>
      </c>
      <c r="I296" s="749" t="s">
        <v>3843</v>
      </c>
      <c r="J296" s="794">
        <v>8.5</v>
      </c>
      <c r="K296" s="795"/>
    </row>
    <row r="297" spans="1:11" ht="0.95" customHeight="1" thickTop="1">
      <c r="A297" s="747"/>
      <c r="B297" s="747"/>
      <c r="C297" s="747"/>
      <c r="D297" s="747"/>
      <c r="E297" s="747"/>
      <c r="F297" s="747"/>
      <c r="G297" s="747"/>
      <c r="H297" s="747"/>
      <c r="I297" s="747"/>
      <c r="J297" s="747"/>
      <c r="K297" s="747"/>
    </row>
    <row r="298" spans="1:11" ht="18" customHeight="1">
      <c r="A298" s="738"/>
      <c r="B298" s="738" t="s">
        <v>60</v>
      </c>
      <c r="C298" s="739" t="s">
        <v>3312</v>
      </c>
      <c r="D298" s="738" t="s">
        <v>3602</v>
      </c>
      <c r="E298" s="738" t="s">
        <v>3313</v>
      </c>
      <c r="F298" s="738" t="s">
        <v>3390</v>
      </c>
      <c r="G298" s="740" t="s">
        <v>70</v>
      </c>
      <c r="H298" s="739" t="s">
        <v>64</v>
      </c>
      <c r="I298" s="739" t="s">
        <v>3617</v>
      </c>
      <c r="J298" s="797" t="s">
        <v>474</v>
      </c>
      <c r="K298" s="795"/>
    </row>
    <row r="299" spans="1:11" ht="33" customHeight="1">
      <c r="A299" s="741" t="s">
        <v>4608</v>
      </c>
      <c r="B299" s="741" t="s">
        <v>4699</v>
      </c>
      <c r="C299" s="742" t="s">
        <v>3495</v>
      </c>
      <c r="D299" s="741" t="s">
        <v>3604</v>
      </c>
      <c r="E299" s="741" t="s">
        <v>4700</v>
      </c>
      <c r="F299" s="741" t="s">
        <v>3430</v>
      </c>
      <c r="G299" s="743" t="s">
        <v>57</v>
      </c>
      <c r="H299" s="742">
        <v>1</v>
      </c>
      <c r="I299" s="742" t="s">
        <v>4701</v>
      </c>
      <c r="J299" s="798" t="s">
        <v>4701</v>
      </c>
      <c r="K299" s="795"/>
    </row>
    <row r="300" spans="1:11" ht="54.95" customHeight="1">
      <c r="A300" s="744" t="s">
        <v>4611</v>
      </c>
      <c r="B300" s="744"/>
      <c r="C300" s="745" t="s">
        <v>3957</v>
      </c>
      <c r="D300" s="744" t="s">
        <v>1127</v>
      </c>
      <c r="E300" s="744" t="s">
        <v>1256</v>
      </c>
      <c r="F300" s="744" t="s">
        <v>3490</v>
      </c>
      <c r="G300" s="746" t="s">
        <v>108</v>
      </c>
      <c r="H300" s="745" t="s">
        <v>4702</v>
      </c>
      <c r="I300" s="745" t="s">
        <v>4703</v>
      </c>
      <c r="J300" s="796">
        <v>183.09</v>
      </c>
      <c r="K300" s="795"/>
    </row>
    <row r="301" spans="1:11" ht="44.1" customHeight="1">
      <c r="A301" s="744" t="s">
        <v>4611</v>
      </c>
      <c r="B301" s="744"/>
      <c r="C301" s="745" t="s">
        <v>3958</v>
      </c>
      <c r="D301" s="744" t="s">
        <v>1127</v>
      </c>
      <c r="E301" s="744" t="s">
        <v>795</v>
      </c>
      <c r="F301" s="744" t="s">
        <v>3417</v>
      </c>
      <c r="G301" s="746" t="s">
        <v>108</v>
      </c>
      <c r="H301" s="745" t="s">
        <v>4342</v>
      </c>
      <c r="I301" s="745" t="s">
        <v>4672</v>
      </c>
      <c r="J301" s="796">
        <v>1082.99</v>
      </c>
      <c r="K301" s="795"/>
    </row>
    <row r="302" spans="1:11" ht="44.1" customHeight="1">
      <c r="A302" s="744" t="s">
        <v>4611</v>
      </c>
      <c r="B302" s="744"/>
      <c r="C302" s="745" t="s">
        <v>3959</v>
      </c>
      <c r="D302" s="744" t="s">
        <v>1127</v>
      </c>
      <c r="E302" s="744" t="s">
        <v>2662</v>
      </c>
      <c r="F302" s="744" t="s">
        <v>3417</v>
      </c>
      <c r="G302" s="746" t="s">
        <v>108</v>
      </c>
      <c r="H302" s="745" t="s">
        <v>4704</v>
      </c>
      <c r="I302" s="745" t="s">
        <v>3960</v>
      </c>
      <c r="J302" s="796">
        <v>23.75</v>
      </c>
      <c r="K302" s="795"/>
    </row>
    <row r="303" spans="1:11" ht="44.1" customHeight="1">
      <c r="A303" s="744" t="s">
        <v>4611</v>
      </c>
      <c r="B303" s="744"/>
      <c r="C303" s="745" t="s">
        <v>3961</v>
      </c>
      <c r="D303" s="744" t="s">
        <v>1127</v>
      </c>
      <c r="E303" s="744" t="s">
        <v>4705</v>
      </c>
      <c r="F303" s="744" t="s">
        <v>3410</v>
      </c>
      <c r="G303" s="746" t="s">
        <v>94</v>
      </c>
      <c r="H303" s="745" t="s">
        <v>3962</v>
      </c>
      <c r="I303" s="745" t="s">
        <v>3963</v>
      </c>
      <c r="J303" s="796">
        <v>12.05</v>
      </c>
      <c r="K303" s="795"/>
    </row>
    <row r="304" spans="1:11" ht="54.95" customHeight="1">
      <c r="A304" s="744" t="s">
        <v>4611</v>
      </c>
      <c r="B304" s="744"/>
      <c r="C304" s="745" t="s">
        <v>3964</v>
      </c>
      <c r="D304" s="744" t="s">
        <v>1127</v>
      </c>
      <c r="E304" s="744" t="s">
        <v>3965</v>
      </c>
      <c r="F304" s="744" t="s">
        <v>3417</v>
      </c>
      <c r="G304" s="746" t="s">
        <v>108</v>
      </c>
      <c r="H304" s="745" t="s">
        <v>4704</v>
      </c>
      <c r="I304" s="745" t="s">
        <v>3966</v>
      </c>
      <c r="J304" s="796">
        <v>211.02</v>
      </c>
      <c r="K304" s="795"/>
    </row>
    <row r="305" spans="1:11" ht="21.95" customHeight="1">
      <c r="A305" s="748" t="s">
        <v>4616</v>
      </c>
      <c r="B305" s="748"/>
      <c r="C305" s="749" t="s">
        <v>3967</v>
      </c>
      <c r="D305" s="748" t="s">
        <v>3604</v>
      </c>
      <c r="E305" s="748" t="s">
        <v>4571</v>
      </c>
      <c r="F305" s="748" t="s">
        <v>1187</v>
      </c>
      <c r="G305" s="750" t="s">
        <v>57</v>
      </c>
      <c r="H305" s="749" t="s">
        <v>3610</v>
      </c>
      <c r="I305" s="749" t="s">
        <v>4706</v>
      </c>
      <c r="J305" s="794">
        <v>3200</v>
      </c>
      <c r="K305" s="795"/>
    </row>
    <row r="306" spans="1:11" ht="21.95" customHeight="1">
      <c r="A306" s="748" t="s">
        <v>4616</v>
      </c>
      <c r="B306" s="748"/>
      <c r="C306" s="749" t="s">
        <v>4707</v>
      </c>
      <c r="D306" s="748" t="s">
        <v>1127</v>
      </c>
      <c r="E306" s="748" t="s">
        <v>4708</v>
      </c>
      <c r="F306" s="748" t="s">
        <v>1187</v>
      </c>
      <c r="G306" s="750" t="s">
        <v>94</v>
      </c>
      <c r="H306" s="749" t="s">
        <v>4709</v>
      </c>
      <c r="I306" s="749" t="s">
        <v>4710</v>
      </c>
      <c r="J306" s="794">
        <v>35.72</v>
      </c>
      <c r="K306" s="795"/>
    </row>
    <row r="307" spans="1:11" ht="21.95" customHeight="1" thickBot="1">
      <c r="A307" s="748" t="s">
        <v>4616</v>
      </c>
      <c r="B307" s="748"/>
      <c r="C307" s="749" t="s">
        <v>4711</v>
      </c>
      <c r="D307" s="748" t="s">
        <v>1127</v>
      </c>
      <c r="E307" s="748" t="s">
        <v>4712</v>
      </c>
      <c r="F307" s="748" t="s">
        <v>1187</v>
      </c>
      <c r="G307" s="750" t="s">
        <v>57</v>
      </c>
      <c r="H307" s="749" t="s">
        <v>4344</v>
      </c>
      <c r="I307" s="749" t="s">
        <v>4713</v>
      </c>
      <c r="J307" s="794">
        <v>12.48</v>
      </c>
      <c r="K307" s="795"/>
    </row>
    <row r="308" spans="1:11" ht="0.95" customHeight="1" thickTop="1">
      <c r="A308" s="747"/>
      <c r="B308" s="747"/>
      <c r="C308" s="747"/>
      <c r="D308" s="747"/>
      <c r="E308" s="747"/>
      <c r="F308" s="747"/>
      <c r="G308" s="747"/>
      <c r="H308" s="747"/>
      <c r="I308" s="747"/>
      <c r="J308" s="747"/>
      <c r="K308" s="747"/>
    </row>
    <row r="309" spans="1:11" ht="18" customHeight="1">
      <c r="A309" s="738"/>
      <c r="B309" s="738" t="s">
        <v>60</v>
      </c>
      <c r="C309" s="739" t="s">
        <v>3312</v>
      </c>
      <c r="D309" s="738" t="s">
        <v>3602</v>
      </c>
      <c r="E309" s="738" t="s">
        <v>3313</v>
      </c>
      <c r="F309" s="738" t="s">
        <v>3390</v>
      </c>
      <c r="G309" s="740" t="s">
        <v>70</v>
      </c>
      <c r="H309" s="739" t="s">
        <v>64</v>
      </c>
      <c r="I309" s="739" t="s">
        <v>3617</v>
      </c>
      <c r="J309" s="797" t="s">
        <v>474</v>
      </c>
      <c r="K309" s="795"/>
    </row>
    <row r="310" spans="1:11" ht="21.95" customHeight="1">
      <c r="A310" s="741" t="s">
        <v>4608</v>
      </c>
      <c r="B310" s="741" t="s">
        <v>4714</v>
      </c>
      <c r="C310" s="742" t="s">
        <v>3504</v>
      </c>
      <c r="D310" s="741" t="s">
        <v>3604</v>
      </c>
      <c r="E310" s="741" t="s">
        <v>825</v>
      </c>
      <c r="F310" s="741" t="s">
        <v>3430</v>
      </c>
      <c r="G310" s="743" t="s">
        <v>57</v>
      </c>
      <c r="H310" s="742">
        <v>1</v>
      </c>
      <c r="I310" s="742" t="s">
        <v>3927</v>
      </c>
      <c r="J310" s="798" t="s">
        <v>3927</v>
      </c>
      <c r="K310" s="795"/>
    </row>
    <row r="311" spans="1:11" ht="21.95" customHeight="1" thickBot="1">
      <c r="A311" s="748" t="s">
        <v>4616</v>
      </c>
      <c r="B311" s="748"/>
      <c r="C311" s="749" t="s">
        <v>3928</v>
      </c>
      <c r="D311" s="748" t="s">
        <v>3604</v>
      </c>
      <c r="E311" s="748" t="s">
        <v>3929</v>
      </c>
      <c r="F311" s="748" t="s">
        <v>1187</v>
      </c>
      <c r="G311" s="750" t="s">
        <v>57</v>
      </c>
      <c r="H311" s="749" t="s">
        <v>3610</v>
      </c>
      <c r="I311" s="749" t="s">
        <v>3927</v>
      </c>
      <c r="J311" s="794">
        <v>1500</v>
      </c>
      <c r="K311" s="795"/>
    </row>
    <row r="312" spans="1:11" ht="0.95" customHeight="1" thickTop="1">
      <c r="A312" s="747"/>
      <c r="B312" s="747"/>
      <c r="C312" s="747"/>
      <c r="D312" s="747"/>
      <c r="E312" s="747"/>
      <c r="F312" s="747"/>
      <c r="G312" s="747"/>
      <c r="H312" s="747"/>
      <c r="I312" s="747"/>
      <c r="J312" s="747"/>
      <c r="K312" s="747"/>
    </row>
    <row r="313" spans="1:11" ht="18" customHeight="1">
      <c r="A313" s="738"/>
      <c r="B313" s="738" t="s">
        <v>60</v>
      </c>
      <c r="C313" s="739" t="s">
        <v>3312</v>
      </c>
      <c r="D313" s="738" t="s">
        <v>3602</v>
      </c>
      <c r="E313" s="738" t="s">
        <v>3313</v>
      </c>
      <c r="F313" s="738" t="s">
        <v>3390</v>
      </c>
      <c r="G313" s="740" t="s">
        <v>70</v>
      </c>
      <c r="H313" s="739" t="s">
        <v>64</v>
      </c>
      <c r="I313" s="739" t="s">
        <v>3617</v>
      </c>
      <c r="J313" s="797" t="s">
        <v>474</v>
      </c>
      <c r="K313" s="795"/>
    </row>
    <row r="314" spans="1:11" ht="44.1" customHeight="1">
      <c r="A314" s="741" t="s">
        <v>4608</v>
      </c>
      <c r="B314" s="741" t="s">
        <v>4715</v>
      </c>
      <c r="C314" s="742" t="s">
        <v>3499</v>
      </c>
      <c r="D314" s="741" t="s">
        <v>3604</v>
      </c>
      <c r="E314" s="741" t="s">
        <v>810</v>
      </c>
      <c r="F314" s="741" t="s">
        <v>3430</v>
      </c>
      <c r="G314" s="743" t="s">
        <v>108</v>
      </c>
      <c r="H314" s="742">
        <v>1</v>
      </c>
      <c r="I314" s="742" t="s">
        <v>3934</v>
      </c>
      <c r="J314" s="798" t="s">
        <v>3934</v>
      </c>
      <c r="K314" s="795"/>
    </row>
    <row r="315" spans="1:11" ht="44.1" customHeight="1">
      <c r="A315" s="744" t="s">
        <v>4611</v>
      </c>
      <c r="B315" s="744"/>
      <c r="C315" s="745" t="s">
        <v>3935</v>
      </c>
      <c r="D315" s="744" t="s">
        <v>1127</v>
      </c>
      <c r="E315" s="744" t="s">
        <v>1231</v>
      </c>
      <c r="F315" s="744" t="s">
        <v>3430</v>
      </c>
      <c r="G315" s="746" t="s">
        <v>284</v>
      </c>
      <c r="H315" s="745" t="s">
        <v>3669</v>
      </c>
      <c r="I315" s="745" t="s">
        <v>4716</v>
      </c>
      <c r="J315" s="796">
        <v>8.83</v>
      </c>
      <c r="K315" s="795"/>
    </row>
    <row r="316" spans="1:11" ht="33" customHeight="1" thickBot="1">
      <c r="A316" s="748" t="s">
        <v>4616</v>
      </c>
      <c r="B316" s="748"/>
      <c r="C316" s="749" t="s">
        <v>3931</v>
      </c>
      <c r="D316" s="748" t="s">
        <v>1127</v>
      </c>
      <c r="E316" s="748" t="s">
        <v>3932</v>
      </c>
      <c r="F316" s="748" t="s">
        <v>1187</v>
      </c>
      <c r="G316" s="750" t="s">
        <v>108</v>
      </c>
      <c r="H316" s="749" t="s">
        <v>3610</v>
      </c>
      <c r="I316" s="749" t="s">
        <v>3933</v>
      </c>
      <c r="J316" s="794">
        <v>240</v>
      </c>
      <c r="K316" s="795"/>
    </row>
    <row r="317" spans="1:11" ht="0.95" customHeight="1" thickTop="1">
      <c r="A317" s="747"/>
      <c r="B317" s="747"/>
      <c r="C317" s="747"/>
      <c r="D317" s="747"/>
      <c r="E317" s="747"/>
      <c r="F317" s="747"/>
      <c r="G317" s="747"/>
      <c r="H317" s="747"/>
      <c r="I317" s="747"/>
      <c r="J317" s="747"/>
      <c r="K317" s="747"/>
    </row>
    <row r="318" spans="1:11" ht="18" customHeight="1">
      <c r="A318" s="738"/>
      <c r="B318" s="738" t="s">
        <v>60</v>
      </c>
      <c r="C318" s="739" t="s">
        <v>3312</v>
      </c>
      <c r="D318" s="738" t="s">
        <v>3602</v>
      </c>
      <c r="E318" s="738" t="s">
        <v>3313</v>
      </c>
      <c r="F318" s="738" t="s">
        <v>3390</v>
      </c>
      <c r="G318" s="740" t="s">
        <v>70</v>
      </c>
      <c r="H318" s="739" t="s">
        <v>64</v>
      </c>
      <c r="I318" s="739" t="s">
        <v>3617</v>
      </c>
      <c r="J318" s="797" t="s">
        <v>474</v>
      </c>
      <c r="K318" s="795"/>
    </row>
    <row r="319" spans="1:11" ht="33" customHeight="1">
      <c r="A319" s="741" t="s">
        <v>4608</v>
      </c>
      <c r="B319" s="741" t="s">
        <v>4717</v>
      </c>
      <c r="C319" s="742" t="s">
        <v>3506</v>
      </c>
      <c r="D319" s="741" t="s">
        <v>3604</v>
      </c>
      <c r="E319" s="741" t="s">
        <v>2594</v>
      </c>
      <c r="F319" s="741" t="s">
        <v>3430</v>
      </c>
      <c r="G319" s="743" t="s">
        <v>57</v>
      </c>
      <c r="H319" s="742">
        <v>1</v>
      </c>
      <c r="I319" s="742" t="s">
        <v>3936</v>
      </c>
      <c r="J319" s="798" t="s">
        <v>3936</v>
      </c>
      <c r="K319" s="795"/>
    </row>
    <row r="320" spans="1:11" ht="33" customHeight="1" thickBot="1">
      <c r="A320" s="748" t="s">
        <v>4616</v>
      </c>
      <c r="B320" s="748"/>
      <c r="C320" s="749" t="s">
        <v>3937</v>
      </c>
      <c r="D320" s="748" t="s">
        <v>3604</v>
      </c>
      <c r="E320" s="748" t="s">
        <v>3938</v>
      </c>
      <c r="F320" s="748" t="s">
        <v>1187</v>
      </c>
      <c r="G320" s="750" t="s">
        <v>57</v>
      </c>
      <c r="H320" s="749" t="s">
        <v>3610</v>
      </c>
      <c r="I320" s="749" t="s">
        <v>3936</v>
      </c>
      <c r="J320" s="794">
        <v>3800</v>
      </c>
      <c r="K320" s="795"/>
    </row>
    <row r="321" spans="1:11" ht="0.95" customHeight="1" thickTop="1">
      <c r="A321" s="747"/>
      <c r="B321" s="747"/>
      <c r="C321" s="747"/>
      <c r="D321" s="747"/>
      <c r="E321" s="747"/>
      <c r="F321" s="747"/>
      <c r="G321" s="747"/>
      <c r="H321" s="747"/>
      <c r="I321" s="747"/>
      <c r="J321" s="747"/>
      <c r="K321" s="747"/>
    </row>
    <row r="322" spans="1:11" ht="18" customHeight="1">
      <c r="A322" s="738"/>
      <c r="B322" s="738" t="s">
        <v>60</v>
      </c>
      <c r="C322" s="739" t="s">
        <v>3312</v>
      </c>
      <c r="D322" s="738" t="s">
        <v>3602</v>
      </c>
      <c r="E322" s="738" t="s">
        <v>3313</v>
      </c>
      <c r="F322" s="738" t="s">
        <v>3390</v>
      </c>
      <c r="G322" s="740" t="s">
        <v>70</v>
      </c>
      <c r="H322" s="739" t="s">
        <v>64</v>
      </c>
      <c r="I322" s="739" t="s">
        <v>3617</v>
      </c>
      <c r="J322" s="797" t="s">
        <v>474</v>
      </c>
      <c r="K322" s="795"/>
    </row>
    <row r="323" spans="1:11" ht="21.95" customHeight="1">
      <c r="A323" s="741" t="s">
        <v>4608</v>
      </c>
      <c r="B323" s="741" t="s">
        <v>4718</v>
      </c>
      <c r="C323" s="742" t="s">
        <v>3541</v>
      </c>
      <c r="D323" s="741" t="s">
        <v>3604</v>
      </c>
      <c r="E323" s="741" t="s">
        <v>4719</v>
      </c>
      <c r="F323" s="741" t="s">
        <v>3430</v>
      </c>
      <c r="G323" s="743" t="s">
        <v>57</v>
      </c>
      <c r="H323" s="742">
        <v>1</v>
      </c>
      <c r="I323" s="742" t="s">
        <v>3939</v>
      </c>
      <c r="J323" s="798" t="s">
        <v>3939</v>
      </c>
      <c r="K323" s="795"/>
    </row>
    <row r="324" spans="1:11" ht="21.95" customHeight="1" thickBot="1">
      <c r="A324" s="748" t="s">
        <v>4616</v>
      </c>
      <c r="B324" s="748"/>
      <c r="C324" s="749" t="s">
        <v>3940</v>
      </c>
      <c r="D324" s="748" t="s">
        <v>3604</v>
      </c>
      <c r="E324" s="748" t="s">
        <v>2503</v>
      </c>
      <c r="F324" s="748" t="s">
        <v>1187</v>
      </c>
      <c r="G324" s="750" t="s">
        <v>57</v>
      </c>
      <c r="H324" s="749" t="s">
        <v>3610</v>
      </c>
      <c r="I324" s="749" t="s">
        <v>3939</v>
      </c>
      <c r="J324" s="794">
        <v>1400</v>
      </c>
      <c r="K324" s="795"/>
    </row>
    <row r="325" spans="1:11" ht="0.95" customHeight="1" thickTop="1">
      <c r="A325" s="747"/>
      <c r="B325" s="747"/>
      <c r="C325" s="747"/>
      <c r="D325" s="747"/>
      <c r="E325" s="747"/>
      <c r="F325" s="747"/>
      <c r="G325" s="747"/>
      <c r="H325" s="747"/>
      <c r="I325" s="747"/>
      <c r="J325" s="747"/>
      <c r="K325" s="747"/>
    </row>
    <row r="326" spans="1:11" ht="18" customHeight="1">
      <c r="A326" s="738"/>
      <c r="B326" s="738" t="s">
        <v>60</v>
      </c>
      <c r="C326" s="739" t="s">
        <v>3312</v>
      </c>
      <c r="D326" s="738" t="s">
        <v>3602</v>
      </c>
      <c r="E326" s="738" t="s">
        <v>3313</v>
      </c>
      <c r="F326" s="738" t="s">
        <v>3390</v>
      </c>
      <c r="G326" s="740" t="s">
        <v>70</v>
      </c>
      <c r="H326" s="739" t="s">
        <v>64</v>
      </c>
      <c r="I326" s="739" t="s">
        <v>3617</v>
      </c>
      <c r="J326" s="797" t="s">
        <v>474</v>
      </c>
      <c r="K326" s="795"/>
    </row>
    <row r="327" spans="1:11" ht="21.95" customHeight="1">
      <c r="A327" s="741" t="s">
        <v>4608</v>
      </c>
      <c r="B327" s="741" t="s">
        <v>4720</v>
      </c>
      <c r="C327" s="742" t="s">
        <v>3517</v>
      </c>
      <c r="D327" s="741" t="s">
        <v>3604</v>
      </c>
      <c r="E327" s="741" t="s">
        <v>1798</v>
      </c>
      <c r="F327" s="741" t="s">
        <v>3430</v>
      </c>
      <c r="G327" s="743" t="s">
        <v>57</v>
      </c>
      <c r="H327" s="742">
        <v>1</v>
      </c>
      <c r="I327" s="742" t="s">
        <v>4661</v>
      </c>
      <c r="J327" s="798" t="s">
        <v>4661</v>
      </c>
      <c r="K327" s="795"/>
    </row>
    <row r="328" spans="1:11" ht="21.95" customHeight="1">
      <c r="A328" s="744" t="s">
        <v>4611</v>
      </c>
      <c r="B328" s="744"/>
      <c r="C328" s="745" t="s">
        <v>3631</v>
      </c>
      <c r="D328" s="744" t="s">
        <v>1127</v>
      </c>
      <c r="E328" s="744" t="s">
        <v>1145</v>
      </c>
      <c r="F328" s="744" t="s">
        <v>3430</v>
      </c>
      <c r="G328" s="746" t="s">
        <v>1129</v>
      </c>
      <c r="H328" s="745" t="s">
        <v>3781</v>
      </c>
      <c r="I328" s="745" t="s">
        <v>3632</v>
      </c>
      <c r="J328" s="796">
        <v>8.5399999999999991</v>
      </c>
      <c r="K328" s="795"/>
    </row>
    <row r="329" spans="1:11" ht="21.95" customHeight="1">
      <c r="A329" s="744" t="s">
        <v>4611</v>
      </c>
      <c r="B329" s="744"/>
      <c r="C329" s="745" t="s">
        <v>3633</v>
      </c>
      <c r="D329" s="744" t="s">
        <v>1127</v>
      </c>
      <c r="E329" s="744" t="s">
        <v>1146</v>
      </c>
      <c r="F329" s="744" t="s">
        <v>3430</v>
      </c>
      <c r="G329" s="746" t="s">
        <v>1129</v>
      </c>
      <c r="H329" s="745" t="s">
        <v>3781</v>
      </c>
      <c r="I329" s="745" t="s">
        <v>3635</v>
      </c>
      <c r="J329" s="796">
        <v>6.94</v>
      </c>
      <c r="K329" s="795"/>
    </row>
    <row r="330" spans="1:11" ht="21.95" customHeight="1" thickBot="1">
      <c r="A330" s="748" t="s">
        <v>4616</v>
      </c>
      <c r="B330" s="748"/>
      <c r="C330" s="749" t="s">
        <v>3782</v>
      </c>
      <c r="D330" s="748" t="s">
        <v>3604</v>
      </c>
      <c r="E330" s="748" t="s">
        <v>1799</v>
      </c>
      <c r="F330" s="748" t="s">
        <v>1187</v>
      </c>
      <c r="G330" s="750" t="s">
        <v>57</v>
      </c>
      <c r="H330" s="749" t="s">
        <v>3610</v>
      </c>
      <c r="I330" s="749" t="s">
        <v>4662</v>
      </c>
      <c r="J330" s="794">
        <v>129.94999999999999</v>
      </c>
      <c r="K330" s="795"/>
    </row>
    <row r="331" spans="1:11" ht="0.95" customHeight="1" thickTop="1">
      <c r="A331" s="747"/>
      <c r="B331" s="747"/>
      <c r="C331" s="747"/>
      <c r="D331" s="747"/>
      <c r="E331" s="747"/>
      <c r="F331" s="747"/>
      <c r="G331" s="747"/>
      <c r="H331" s="747"/>
      <c r="I331" s="747"/>
      <c r="J331" s="747"/>
      <c r="K331" s="747"/>
    </row>
    <row r="332" spans="1:11" ht="18" customHeight="1">
      <c r="A332" s="738"/>
      <c r="B332" s="738" t="s">
        <v>60</v>
      </c>
      <c r="C332" s="739" t="s">
        <v>3312</v>
      </c>
      <c r="D332" s="738" t="s">
        <v>3602</v>
      </c>
      <c r="E332" s="738" t="s">
        <v>3313</v>
      </c>
      <c r="F332" s="738" t="s">
        <v>3390</v>
      </c>
      <c r="G332" s="740" t="s">
        <v>70</v>
      </c>
      <c r="H332" s="739" t="s">
        <v>64</v>
      </c>
      <c r="I332" s="739" t="s">
        <v>3617</v>
      </c>
      <c r="J332" s="797" t="s">
        <v>474</v>
      </c>
      <c r="K332" s="795"/>
    </row>
    <row r="333" spans="1:11" ht="21.95" customHeight="1">
      <c r="A333" s="741" t="s">
        <v>4608</v>
      </c>
      <c r="B333" s="741" t="s">
        <v>4721</v>
      </c>
      <c r="C333" s="742" t="s">
        <v>3500</v>
      </c>
      <c r="D333" s="741" t="s">
        <v>3604</v>
      </c>
      <c r="E333" s="741" t="s">
        <v>814</v>
      </c>
      <c r="F333" s="741" t="s">
        <v>3430</v>
      </c>
      <c r="G333" s="743" t="s">
        <v>57</v>
      </c>
      <c r="H333" s="742">
        <v>1</v>
      </c>
      <c r="I333" s="742" t="s">
        <v>4722</v>
      </c>
      <c r="J333" s="798" t="s">
        <v>4722</v>
      </c>
      <c r="K333" s="795"/>
    </row>
    <row r="334" spans="1:11" ht="21.95" customHeight="1">
      <c r="A334" s="744" t="s">
        <v>4611</v>
      </c>
      <c r="B334" s="744"/>
      <c r="C334" s="745" t="s">
        <v>3631</v>
      </c>
      <c r="D334" s="744" t="s">
        <v>1127</v>
      </c>
      <c r="E334" s="744" t="s">
        <v>1145</v>
      </c>
      <c r="F334" s="744" t="s">
        <v>3430</v>
      </c>
      <c r="G334" s="746" t="s">
        <v>1129</v>
      </c>
      <c r="H334" s="745" t="s">
        <v>3610</v>
      </c>
      <c r="I334" s="745" t="s">
        <v>3632</v>
      </c>
      <c r="J334" s="796">
        <v>17.079999999999998</v>
      </c>
      <c r="K334" s="795"/>
    </row>
    <row r="335" spans="1:11" ht="21.95" customHeight="1">
      <c r="A335" s="744" t="s">
        <v>4611</v>
      </c>
      <c r="B335" s="744"/>
      <c r="C335" s="745" t="s">
        <v>3633</v>
      </c>
      <c r="D335" s="744" t="s">
        <v>1127</v>
      </c>
      <c r="E335" s="744" t="s">
        <v>1146</v>
      </c>
      <c r="F335" s="744" t="s">
        <v>3430</v>
      </c>
      <c r="G335" s="746" t="s">
        <v>1129</v>
      </c>
      <c r="H335" s="745" t="s">
        <v>3610</v>
      </c>
      <c r="I335" s="745" t="s">
        <v>3635</v>
      </c>
      <c r="J335" s="796">
        <v>13.88</v>
      </c>
      <c r="K335" s="795"/>
    </row>
    <row r="336" spans="1:11" ht="21.95" customHeight="1" thickBot="1">
      <c r="A336" s="748" t="s">
        <v>4616</v>
      </c>
      <c r="B336" s="748"/>
      <c r="C336" s="749" t="s">
        <v>3941</v>
      </c>
      <c r="D336" s="748" t="s">
        <v>1127</v>
      </c>
      <c r="E336" s="748" t="s">
        <v>1233</v>
      </c>
      <c r="F336" s="748" t="s">
        <v>1187</v>
      </c>
      <c r="G336" s="750" t="s">
        <v>57</v>
      </c>
      <c r="H336" s="749" t="s">
        <v>3610</v>
      </c>
      <c r="I336" s="749" t="s">
        <v>3942</v>
      </c>
      <c r="J336" s="794">
        <v>181.83</v>
      </c>
      <c r="K336" s="795"/>
    </row>
    <row r="337" spans="1:11" ht="0.95" customHeight="1" thickTop="1">
      <c r="A337" s="747"/>
      <c r="B337" s="747"/>
      <c r="C337" s="747"/>
      <c r="D337" s="747"/>
      <c r="E337" s="747"/>
      <c r="F337" s="747"/>
      <c r="G337" s="747"/>
      <c r="H337" s="747"/>
      <c r="I337" s="747"/>
      <c r="J337" s="747"/>
      <c r="K337" s="747"/>
    </row>
    <row r="338" spans="1:11" ht="18" customHeight="1">
      <c r="A338" s="738"/>
      <c r="B338" s="738" t="s">
        <v>60</v>
      </c>
      <c r="C338" s="739" t="s">
        <v>3312</v>
      </c>
      <c r="D338" s="738" t="s">
        <v>3602</v>
      </c>
      <c r="E338" s="738" t="s">
        <v>3313</v>
      </c>
      <c r="F338" s="738" t="s">
        <v>3390</v>
      </c>
      <c r="G338" s="740" t="s">
        <v>70</v>
      </c>
      <c r="H338" s="739" t="s">
        <v>64</v>
      </c>
      <c r="I338" s="739" t="s">
        <v>3617</v>
      </c>
      <c r="J338" s="797" t="s">
        <v>474</v>
      </c>
      <c r="K338" s="795"/>
    </row>
    <row r="339" spans="1:11" ht="21.95" customHeight="1">
      <c r="A339" s="741" t="s">
        <v>4608</v>
      </c>
      <c r="B339" s="741" t="s">
        <v>4723</v>
      </c>
      <c r="C339" s="742" t="s">
        <v>4018</v>
      </c>
      <c r="D339" s="741" t="s">
        <v>3604</v>
      </c>
      <c r="E339" s="741" t="s">
        <v>3139</v>
      </c>
      <c r="F339" s="741" t="s">
        <v>3480</v>
      </c>
      <c r="G339" s="743" t="s">
        <v>57</v>
      </c>
      <c r="H339" s="742">
        <v>1</v>
      </c>
      <c r="I339" s="742" t="s">
        <v>4019</v>
      </c>
      <c r="J339" s="798" t="s">
        <v>4019</v>
      </c>
      <c r="K339" s="795"/>
    </row>
    <row r="340" spans="1:11" ht="21.95" customHeight="1">
      <c r="A340" s="744" t="s">
        <v>4611</v>
      </c>
      <c r="B340" s="744"/>
      <c r="C340" s="745" t="s">
        <v>3631</v>
      </c>
      <c r="D340" s="744" t="s">
        <v>1127</v>
      </c>
      <c r="E340" s="744" t="s">
        <v>1145</v>
      </c>
      <c r="F340" s="744" t="s">
        <v>3430</v>
      </c>
      <c r="G340" s="746" t="s">
        <v>1129</v>
      </c>
      <c r="H340" s="745" t="s">
        <v>4020</v>
      </c>
      <c r="I340" s="745" t="s">
        <v>3632</v>
      </c>
      <c r="J340" s="796">
        <v>32.69</v>
      </c>
      <c r="K340" s="795"/>
    </row>
    <row r="341" spans="1:11" ht="21.95" customHeight="1">
      <c r="A341" s="744" t="s">
        <v>4611</v>
      </c>
      <c r="B341" s="744"/>
      <c r="C341" s="745" t="s">
        <v>3633</v>
      </c>
      <c r="D341" s="744" t="s">
        <v>1127</v>
      </c>
      <c r="E341" s="744" t="s">
        <v>1146</v>
      </c>
      <c r="F341" s="744" t="s">
        <v>3430</v>
      </c>
      <c r="G341" s="746" t="s">
        <v>1129</v>
      </c>
      <c r="H341" s="745" t="s">
        <v>4021</v>
      </c>
      <c r="I341" s="745" t="s">
        <v>3635</v>
      </c>
      <c r="J341" s="796">
        <v>30.98</v>
      </c>
      <c r="K341" s="795"/>
    </row>
    <row r="342" spans="1:11" ht="21.95" customHeight="1">
      <c r="A342" s="748" t="s">
        <v>4616</v>
      </c>
      <c r="B342" s="748"/>
      <c r="C342" s="749" t="s">
        <v>3877</v>
      </c>
      <c r="D342" s="748" t="s">
        <v>1127</v>
      </c>
      <c r="E342" s="748" t="s">
        <v>1216</v>
      </c>
      <c r="F342" s="748" t="s">
        <v>1187</v>
      </c>
      <c r="G342" s="750" t="s">
        <v>94</v>
      </c>
      <c r="H342" s="749" t="s">
        <v>4022</v>
      </c>
      <c r="I342" s="749" t="s">
        <v>3879</v>
      </c>
      <c r="J342" s="794">
        <v>1.03</v>
      </c>
      <c r="K342" s="795"/>
    </row>
    <row r="343" spans="1:11" ht="21.95" customHeight="1">
      <c r="A343" s="748" t="s">
        <v>4616</v>
      </c>
      <c r="B343" s="748"/>
      <c r="C343" s="749" t="s">
        <v>3644</v>
      </c>
      <c r="D343" s="748" t="s">
        <v>1127</v>
      </c>
      <c r="E343" s="748" t="s">
        <v>1215</v>
      </c>
      <c r="F343" s="748" t="s">
        <v>1187</v>
      </c>
      <c r="G343" s="750" t="s">
        <v>284</v>
      </c>
      <c r="H343" s="749" t="s">
        <v>3761</v>
      </c>
      <c r="I343" s="749" t="s">
        <v>3646</v>
      </c>
      <c r="J343" s="794">
        <v>0.06</v>
      </c>
      <c r="K343" s="795"/>
    </row>
    <row r="344" spans="1:11" ht="21.95" customHeight="1">
      <c r="A344" s="748" t="s">
        <v>4616</v>
      </c>
      <c r="B344" s="748"/>
      <c r="C344" s="749" t="s">
        <v>4023</v>
      </c>
      <c r="D344" s="748" t="s">
        <v>1127</v>
      </c>
      <c r="E344" s="748" t="s">
        <v>4024</v>
      </c>
      <c r="F344" s="748" t="s">
        <v>1187</v>
      </c>
      <c r="G344" s="750" t="s">
        <v>284</v>
      </c>
      <c r="H344" s="749" t="s">
        <v>3669</v>
      </c>
      <c r="I344" s="749" t="s">
        <v>4025</v>
      </c>
      <c r="J344" s="794">
        <v>28.73</v>
      </c>
      <c r="K344" s="795"/>
    </row>
    <row r="345" spans="1:11" ht="21.95" customHeight="1" thickBot="1">
      <c r="A345" s="748" t="s">
        <v>4616</v>
      </c>
      <c r="B345" s="748"/>
      <c r="C345" s="749" t="s">
        <v>4026</v>
      </c>
      <c r="D345" s="748" t="s">
        <v>3604</v>
      </c>
      <c r="E345" s="748" t="s">
        <v>3139</v>
      </c>
      <c r="F345" s="748" t="s">
        <v>1187</v>
      </c>
      <c r="G345" s="750" t="s">
        <v>57</v>
      </c>
      <c r="H345" s="749" t="s">
        <v>3610</v>
      </c>
      <c r="I345" s="749" t="s">
        <v>3950</v>
      </c>
      <c r="J345" s="794">
        <v>280</v>
      </c>
      <c r="K345" s="795"/>
    </row>
    <row r="346" spans="1:11" ht="0.95" customHeight="1" thickTop="1">
      <c r="A346" s="747"/>
      <c r="B346" s="747"/>
      <c r="C346" s="747"/>
      <c r="D346" s="747"/>
      <c r="E346" s="747"/>
      <c r="F346" s="747"/>
      <c r="G346" s="747"/>
      <c r="H346" s="747"/>
      <c r="I346" s="747"/>
      <c r="J346" s="747"/>
      <c r="K346" s="747"/>
    </row>
    <row r="347" spans="1:11" ht="18" customHeight="1">
      <c r="A347" s="738"/>
      <c r="B347" s="738" t="s">
        <v>60</v>
      </c>
      <c r="C347" s="739" t="s">
        <v>3312</v>
      </c>
      <c r="D347" s="738" t="s">
        <v>3602</v>
      </c>
      <c r="E347" s="738" t="s">
        <v>3313</v>
      </c>
      <c r="F347" s="738" t="s">
        <v>3390</v>
      </c>
      <c r="G347" s="740" t="s">
        <v>70</v>
      </c>
      <c r="H347" s="739" t="s">
        <v>64</v>
      </c>
      <c r="I347" s="739" t="s">
        <v>3617</v>
      </c>
      <c r="J347" s="797" t="s">
        <v>474</v>
      </c>
      <c r="K347" s="795"/>
    </row>
    <row r="348" spans="1:11" ht="21.95" customHeight="1">
      <c r="A348" s="741" t="s">
        <v>4608</v>
      </c>
      <c r="B348" s="741" t="s">
        <v>4724</v>
      </c>
      <c r="C348" s="742" t="s">
        <v>3953</v>
      </c>
      <c r="D348" s="741" t="s">
        <v>3604</v>
      </c>
      <c r="E348" s="741" t="s">
        <v>3137</v>
      </c>
      <c r="F348" s="741" t="s">
        <v>3428</v>
      </c>
      <c r="G348" s="743" t="s">
        <v>108</v>
      </c>
      <c r="H348" s="742">
        <v>1</v>
      </c>
      <c r="I348" s="742" t="s">
        <v>4725</v>
      </c>
      <c r="J348" s="798" t="s">
        <v>4725</v>
      </c>
      <c r="K348" s="795"/>
    </row>
    <row r="349" spans="1:11" ht="21.95" customHeight="1">
      <c r="A349" s="744" t="s">
        <v>4611</v>
      </c>
      <c r="B349" s="744"/>
      <c r="C349" s="745" t="s">
        <v>3631</v>
      </c>
      <c r="D349" s="744" t="s">
        <v>1127</v>
      </c>
      <c r="E349" s="744" t="s">
        <v>1145</v>
      </c>
      <c r="F349" s="744" t="s">
        <v>3430</v>
      </c>
      <c r="G349" s="746" t="s">
        <v>1129</v>
      </c>
      <c r="H349" s="745" t="s">
        <v>3954</v>
      </c>
      <c r="I349" s="745" t="s">
        <v>3632</v>
      </c>
      <c r="J349" s="796">
        <v>28.98</v>
      </c>
      <c r="K349" s="795"/>
    </row>
    <row r="350" spans="1:11" ht="21.95" customHeight="1">
      <c r="A350" s="744" t="s">
        <v>4611</v>
      </c>
      <c r="B350" s="744"/>
      <c r="C350" s="745" t="s">
        <v>3633</v>
      </c>
      <c r="D350" s="744" t="s">
        <v>1127</v>
      </c>
      <c r="E350" s="744" t="s">
        <v>1146</v>
      </c>
      <c r="F350" s="744" t="s">
        <v>3430</v>
      </c>
      <c r="G350" s="746" t="s">
        <v>1129</v>
      </c>
      <c r="H350" s="745" t="s">
        <v>3955</v>
      </c>
      <c r="I350" s="745" t="s">
        <v>3635</v>
      </c>
      <c r="J350" s="796">
        <v>11.77</v>
      </c>
      <c r="K350" s="795"/>
    </row>
    <row r="351" spans="1:11" ht="21.95" customHeight="1">
      <c r="A351" s="744" t="s">
        <v>4611</v>
      </c>
      <c r="B351" s="744"/>
      <c r="C351" s="745" t="s">
        <v>3771</v>
      </c>
      <c r="D351" s="744" t="s">
        <v>1127</v>
      </c>
      <c r="E351" s="744" t="s">
        <v>1174</v>
      </c>
      <c r="F351" s="744" t="s">
        <v>3430</v>
      </c>
      <c r="G351" s="746" t="s">
        <v>284</v>
      </c>
      <c r="H351" s="745" t="s">
        <v>3749</v>
      </c>
      <c r="I351" s="745" t="s">
        <v>3772</v>
      </c>
      <c r="J351" s="796">
        <v>3.97</v>
      </c>
      <c r="K351" s="795"/>
    </row>
    <row r="352" spans="1:11" ht="21.95" customHeight="1" thickBot="1">
      <c r="A352" s="748" t="s">
        <v>4616</v>
      </c>
      <c r="B352" s="748"/>
      <c r="C352" s="749" t="s">
        <v>3956</v>
      </c>
      <c r="D352" s="748" t="s">
        <v>3604</v>
      </c>
      <c r="E352" s="748" t="s">
        <v>3137</v>
      </c>
      <c r="F352" s="748" t="s">
        <v>1187</v>
      </c>
      <c r="G352" s="750" t="s">
        <v>108</v>
      </c>
      <c r="H352" s="749" t="s">
        <v>3610</v>
      </c>
      <c r="I352" s="749" t="s">
        <v>3950</v>
      </c>
      <c r="J352" s="794">
        <v>280</v>
      </c>
      <c r="K352" s="795"/>
    </row>
    <row r="353" spans="1:11" ht="0.95" customHeight="1" thickTop="1">
      <c r="A353" s="747"/>
      <c r="B353" s="747"/>
      <c r="C353" s="747"/>
      <c r="D353" s="747"/>
      <c r="E353" s="747"/>
      <c r="F353" s="747"/>
      <c r="G353" s="747"/>
      <c r="H353" s="747"/>
      <c r="I353" s="747"/>
      <c r="J353" s="747"/>
      <c r="K353" s="747"/>
    </row>
    <row r="354" spans="1:11" ht="18" customHeight="1">
      <c r="A354" s="738"/>
      <c r="B354" s="738" t="s">
        <v>60</v>
      </c>
      <c r="C354" s="739" t="s">
        <v>3312</v>
      </c>
      <c r="D354" s="738" t="s">
        <v>3602</v>
      </c>
      <c r="E354" s="738" t="s">
        <v>3313</v>
      </c>
      <c r="F354" s="738" t="s">
        <v>3390</v>
      </c>
      <c r="G354" s="740" t="s">
        <v>70</v>
      </c>
      <c r="H354" s="739" t="s">
        <v>64</v>
      </c>
      <c r="I354" s="739" t="s">
        <v>3617</v>
      </c>
      <c r="J354" s="797" t="s">
        <v>474</v>
      </c>
      <c r="K354" s="795"/>
    </row>
    <row r="355" spans="1:11" ht="33" customHeight="1">
      <c r="A355" s="741" t="s">
        <v>4608</v>
      </c>
      <c r="B355" s="741" t="s">
        <v>4726</v>
      </c>
      <c r="C355" s="742" t="s">
        <v>3588</v>
      </c>
      <c r="D355" s="741" t="s">
        <v>3604</v>
      </c>
      <c r="E355" s="741" t="s">
        <v>2979</v>
      </c>
      <c r="F355" s="741" t="s">
        <v>3430</v>
      </c>
      <c r="G355" s="743" t="s">
        <v>57</v>
      </c>
      <c r="H355" s="742">
        <v>1</v>
      </c>
      <c r="I355" s="742" t="s">
        <v>3945</v>
      </c>
      <c r="J355" s="798" t="s">
        <v>3945</v>
      </c>
      <c r="K355" s="795"/>
    </row>
    <row r="356" spans="1:11" ht="21.95" customHeight="1" thickBot="1">
      <c r="A356" s="748" t="s">
        <v>4616</v>
      </c>
      <c r="B356" s="748"/>
      <c r="C356" s="749" t="s">
        <v>3946</v>
      </c>
      <c r="D356" s="748" t="s">
        <v>3604</v>
      </c>
      <c r="E356" s="748" t="s">
        <v>3947</v>
      </c>
      <c r="F356" s="748" t="s">
        <v>1187</v>
      </c>
      <c r="G356" s="750" t="s">
        <v>57</v>
      </c>
      <c r="H356" s="749" t="s">
        <v>3610</v>
      </c>
      <c r="I356" s="749" t="s">
        <v>3945</v>
      </c>
      <c r="J356" s="794">
        <v>180</v>
      </c>
      <c r="K356" s="795"/>
    </row>
    <row r="357" spans="1:11" ht="0.95" customHeight="1" thickTop="1">
      <c r="A357" s="747"/>
      <c r="B357" s="747"/>
      <c r="C357" s="747"/>
      <c r="D357" s="747"/>
      <c r="E357" s="747"/>
      <c r="F357" s="747"/>
      <c r="G357" s="747"/>
      <c r="H357" s="747"/>
      <c r="I357" s="747"/>
      <c r="J357" s="747"/>
      <c r="K357" s="747"/>
    </row>
    <row r="358" spans="1:11" ht="18" customHeight="1">
      <c r="A358" s="738"/>
      <c r="B358" s="738" t="s">
        <v>60</v>
      </c>
      <c r="C358" s="739" t="s">
        <v>3312</v>
      </c>
      <c r="D358" s="738" t="s">
        <v>3602</v>
      </c>
      <c r="E358" s="738" t="s">
        <v>3313</v>
      </c>
      <c r="F358" s="738" t="s">
        <v>3390</v>
      </c>
      <c r="G358" s="740" t="s">
        <v>70</v>
      </c>
      <c r="H358" s="739" t="s">
        <v>64</v>
      </c>
      <c r="I358" s="739" t="s">
        <v>3617</v>
      </c>
      <c r="J358" s="797" t="s">
        <v>474</v>
      </c>
      <c r="K358" s="795"/>
    </row>
    <row r="359" spans="1:11" ht="33" customHeight="1">
      <c r="A359" s="741" t="s">
        <v>4608</v>
      </c>
      <c r="B359" s="741" t="s">
        <v>4727</v>
      </c>
      <c r="C359" s="742" t="s">
        <v>4728</v>
      </c>
      <c r="D359" s="741" t="s">
        <v>3604</v>
      </c>
      <c r="E359" s="741" t="s">
        <v>2684</v>
      </c>
      <c r="F359" s="741" t="s">
        <v>3430</v>
      </c>
      <c r="G359" s="743" t="s">
        <v>57</v>
      </c>
      <c r="H359" s="742">
        <v>1</v>
      </c>
      <c r="I359" s="742" t="s">
        <v>4729</v>
      </c>
      <c r="J359" s="798" t="s">
        <v>4729</v>
      </c>
      <c r="K359" s="795"/>
    </row>
    <row r="360" spans="1:11" ht="21.95" customHeight="1" thickBot="1">
      <c r="A360" s="748" t="s">
        <v>4616</v>
      </c>
      <c r="B360" s="748"/>
      <c r="C360" s="749" t="s">
        <v>4730</v>
      </c>
      <c r="D360" s="748" t="s">
        <v>3604</v>
      </c>
      <c r="E360" s="748" t="s">
        <v>4731</v>
      </c>
      <c r="F360" s="748" t="s">
        <v>1187</v>
      </c>
      <c r="G360" s="750" t="s">
        <v>57</v>
      </c>
      <c r="H360" s="749" t="s">
        <v>3610</v>
      </c>
      <c r="I360" s="749" t="s">
        <v>4729</v>
      </c>
      <c r="J360" s="794">
        <v>290</v>
      </c>
      <c r="K360" s="795"/>
    </row>
    <row r="361" spans="1:11" ht="0.95" customHeight="1" thickTop="1">
      <c r="A361" s="747"/>
      <c r="B361" s="747"/>
      <c r="C361" s="747"/>
      <c r="D361" s="747"/>
      <c r="E361" s="747"/>
      <c r="F361" s="747"/>
      <c r="G361" s="747"/>
      <c r="H361" s="747"/>
      <c r="I361" s="747"/>
      <c r="J361" s="747"/>
      <c r="K361" s="747"/>
    </row>
    <row r="362" spans="1:11" ht="18" customHeight="1">
      <c r="A362" s="738"/>
      <c r="B362" s="738" t="s">
        <v>60</v>
      </c>
      <c r="C362" s="739" t="s">
        <v>3312</v>
      </c>
      <c r="D362" s="738" t="s">
        <v>3602</v>
      </c>
      <c r="E362" s="738" t="s">
        <v>3313</v>
      </c>
      <c r="F362" s="738" t="s">
        <v>3390</v>
      </c>
      <c r="G362" s="740" t="s">
        <v>70</v>
      </c>
      <c r="H362" s="739" t="s">
        <v>64</v>
      </c>
      <c r="I362" s="739" t="s">
        <v>3617</v>
      </c>
      <c r="J362" s="797" t="s">
        <v>474</v>
      </c>
      <c r="K362" s="795"/>
    </row>
    <row r="363" spans="1:11" ht="33" customHeight="1">
      <c r="A363" s="741" t="s">
        <v>4608</v>
      </c>
      <c r="B363" s="741" t="s">
        <v>4732</v>
      </c>
      <c r="C363" s="742" t="s">
        <v>3512</v>
      </c>
      <c r="D363" s="741" t="s">
        <v>3604</v>
      </c>
      <c r="E363" s="741" t="s">
        <v>966</v>
      </c>
      <c r="F363" s="741" t="s">
        <v>3430</v>
      </c>
      <c r="G363" s="743" t="s">
        <v>57</v>
      </c>
      <c r="H363" s="742">
        <v>1</v>
      </c>
      <c r="I363" s="742" t="s">
        <v>3948</v>
      </c>
      <c r="J363" s="798" t="s">
        <v>3948</v>
      </c>
      <c r="K363" s="795"/>
    </row>
    <row r="364" spans="1:11" ht="21.95" customHeight="1">
      <c r="A364" s="744" t="s">
        <v>4611</v>
      </c>
      <c r="B364" s="744"/>
      <c r="C364" s="745" t="s">
        <v>3631</v>
      </c>
      <c r="D364" s="744" t="s">
        <v>1127</v>
      </c>
      <c r="E364" s="744" t="s">
        <v>1145</v>
      </c>
      <c r="F364" s="744" t="s">
        <v>3430</v>
      </c>
      <c r="G364" s="746" t="s">
        <v>1129</v>
      </c>
      <c r="H364" s="745" t="s">
        <v>3784</v>
      </c>
      <c r="I364" s="745" t="s">
        <v>3632</v>
      </c>
      <c r="J364" s="796">
        <v>10.24</v>
      </c>
      <c r="K364" s="795"/>
    </row>
    <row r="365" spans="1:11" ht="21.95" customHeight="1">
      <c r="A365" s="744" t="s">
        <v>4611</v>
      </c>
      <c r="B365" s="744"/>
      <c r="C365" s="745" t="s">
        <v>3633</v>
      </c>
      <c r="D365" s="744" t="s">
        <v>1127</v>
      </c>
      <c r="E365" s="744" t="s">
        <v>1146</v>
      </c>
      <c r="F365" s="744" t="s">
        <v>3430</v>
      </c>
      <c r="G365" s="746" t="s">
        <v>1129</v>
      </c>
      <c r="H365" s="745" t="s">
        <v>3784</v>
      </c>
      <c r="I365" s="745" t="s">
        <v>3635</v>
      </c>
      <c r="J365" s="796">
        <v>8.32</v>
      </c>
      <c r="K365" s="795"/>
    </row>
    <row r="366" spans="1:11" ht="21.95" customHeight="1" thickBot="1">
      <c r="A366" s="748" t="s">
        <v>4616</v>
      </c>
      <c r="B366" s="748"/>
      <c r="C366" s="749" t="s">
        <v>3949</v>
      </c>
      <c r="D366" s="748" t="s">
        <v>3604</v>
      </c>
      <c r="E366" s="748" t="s">
        <v>1235</v>
      </c>
      <c r="F366" s="748" t="s">
        <v>1187</v>
      </c>
      <c r="G366" s="750" t="s">
        <v>57</v>
      </c>
      <c r="H366" s="749" t="s">
        <v>3610</v>
      </c>
      <c r="I366" s="749" t="s">
        <v>3950</v>
      </c>
      <c r="J366" s="794">
        <v>280</v>
      </c>
      <c r="K366" s="795"/>
    </row>
    <row r="367" spans="1:11" ht="0.95" customHeight="1" thickTop="1">
      <c r="A367" s="747"/>
      <c r="B367" s="747"/>
      <c r="C367" s="747"/>
      <c r="D367" s="747"/>
      <c r="E367" s="747"/>
      <c r="F367" s="747"/>
      <c r="G367" s="747"/>
      <c r="H367" s="747"/>
      <c r="I367" s="747"/>
      <c r="J367" s="747"/>
      <c r="K367" s="747"/>
    </row>
    <row r="368" spans="1:11" ht="18" customHeight="1">
      <c r="A368" s="738"/>
      <c r="B368" s="738" t="s">
        <v>60</v>
      </c>
      <c r="C368" s="739" t="s">
        <v>3312</v>
      </c>
      <c r="D368" s="738" t="s">
        <v>3602</v>
      </c>
      <c r="E368" s="738" t="s">
        <v>3313</v>
      </c>
      <c r="F368" s="738" t="s">
        <v>3390</v>
      </c>
      <c r="G368" s="740" t="s">
        <v>70</v>
      </c>
      <c r="H368" s="739" t="s">
        <v>64</v>
      </c>
      <c r="I368" s="739" t="s">
        <v>3617</v>
      </c>
      <c r="J368" s="797" t="s">
        <v>474</v>
      </c>
      <c r="K368" s="795"/>
    </row>
    <row r="369" spans="1:11" ht="21.95" customHeight="1">
      <c r="A369" s="741" t="s">
        <v>4608</v>
      </c>
      <c r="B369" s="741" t="s">
        <v>4733</v>
      </c>
      <c r="C369" s="742" t="s">
        <v>3424</v>
      </c>
      <c r="D369" s="741" t="s">
        <v>3604</v>
      </c>
      <c r="E369" s="741" t="s">
        <v>653</v>
      </c>
      <c r="F369" s="741" t="s">
        <v>3426</v>
      </c>
      <c r="G369" s="743" t="s">
        <v>284</v>
      </c>
      <c r="H369" s="742">
        <v>1</v>
      </c>
      <c r="I369" s="742" t="s">
        <v>3618</v>
      </c>
      <c r="J369" s="798" t="s">
        <v>3618</v>
      </c>
      <c r="K369" s="795"/>
    </row>
    <row r="370" spans="1:11" ht="21.95" customHeight="1" thickBot="1">
      <c r="A370" s="748" t="s">
        <v>4616</v>
      </c>
      <c r="B370" s="748"/>
      <c r="C370" s="749" t="s">
        <v>3619</v>
      </c>
      <c r="D370" s="748" t="s">
        <v>1127</v>
      </c>
      <c r="E370" s="748" t="s">
        <v>3620</v>
      </c>
      <c r="F370" s="748" t="s">
        <v>1187</v>
      </c>
      <c r="G370" s="750" t="s">
        <v>284</v>
      </c>
      <c r="H370" s="749" t="s">
        <v>3610</v>
      </c>
      <c r="I370" s="749" t="s">
        <v>3618</v>
      </c>
      <c r="J370" s="794">
        <v>27.41</v>
      </c>
      <c r="K370" s="795"/>
    </row>
    <row r="371" spans="1:11" ht="0.95" customHeight="1" thickTop="1">
      <c r="A371" s="747"/>
      <c r="B371" s="747"/>
      <c r="C371" s="747"/>
      <c r="D371" s="747"/>
      <c r="E371" s="747"/>
      <c r="F371" s="747"/>
      <c r="G371" s="747"/>
      <c r="H371" s="747"/>
      <c r="I371" s="747"/>
      <c r="J371" s="747"/>
      <c r="K371" s="747"/>
    </row>
    <row r="372" spans="1:11" ht="18" customHeight="1">
      <c r="A372" s="738"/>
      <c r="B372" s="738" t="s">
        <v>60</v>
      </c>
      <c r="C372" s="739" t="s">
        <v>3312</v>
      </c>
      <c r="D372" s="738" t="s">
        <v>3602</v>
      </c>
      <c r="E372" s="738" t="s">
        <v>3313</v>
      </c>
      <c r="F372" s="738" t="s">
        <v>3390</v>
      </c>
      <c r="G372" s="740" t="s">
        <v>70</v>
      </c>
      <c r="H372" s="739" t="s">
        <v>64</v>
      </c>
      <c r="I372" s="739" t="s">
        <v>3617</v>
      </c>
      <c r="J372" s="797" t="s">
        <v>474</v>
      </c>
      <c r="K372" s="795"/>
    </row>
    <row r="373" spans="1:11" ht="33" customHeight="1">
      <c r="A373" s="741" t="s">
        <v>4608</v>
      </c>
      <c r="B373" s="741" t="s">
        <v>4734</v>
      </c>
      <c r="C373" s="742" t="s">
        <v>3408</v>
      </c>
      <c r="D373" s="741" t="s">
        <v>3604</v>
      </c>
      <c r="E373" s="741" t="s">
        <v>536</v>
      </c>
      <c r="F373" s="741" t="s">
        <v>3410</v>
      </c>
      <c r="G373" s="743" t="s">
        <v>284</v>
      </c>
      <c r="H373" s="742">
        <v>1</v>
      </c>
      <c r="I373" s="742" t="s">
        <v>3698</v>
      </c>
      <c r="J373" s="798" t="s">
        <v>3698</v>
      </c>
      <c r="K373" s="795"/>
    </row>
    <row r="374" spans="1:11" ht="33" customHeight="1" thickBot="1">
      <c r="A374" s="748" t="s">
        <v>4616</v>
      </c>
      <c r="B374" s="748"/>
      <c r="C374" s="749" t="s">
        <v>3699</v>
      </c>
      <c r="D374" s="748" t="s">
        <v>1127</v>
      </c>
      <c r="E374" s="748" t="s">
        <v>536</v>
      </c>
      <c r="F374" s="748" t="s">
        <v>1187</v>
      </c>
      <c r="G374" s="750" t="s">
        <v>284</v>
      </c>
      <c r="H374" s="749" t="s">
        <v>3610</v>
      </c>
      <c r="I374" s="749" t="s">
        <v>3698</v>
      </c>
      <c r="J374" s="794">
        <v>294.68</v>
      </c>
      <c r="K374" s="795"/>
    </row>
    <row r="375" spans="1:11" ht="0.95" customHeight="1" thickTop="1">
      <c r="A375" s="747"/>
      <c r="B375" s="747"/>
      <c r="C375" s="747"/>
      <c r="D375" s="747"/>
      <c r="E375" s="747"/>
      <c r="F375" s="747"/>
      <c r="G375" s="747"/>
      <c r="H375" s="747"/>
      <c r="I375" s="747"/>
      <c r="J375" s="747"/>
      <c r="K375" s="747"/>
    </row>
    <row r="376" spans="1:11" ht="18" customHeight="1">
      <c r="A376" s="738"/>
      <c r="B376" s="738" t="s">
        <v>60</v>
      </c>
      <c r="C376" s="739" t="s">
        <v>3312</v>
      </c>
      <c r="D376" s="738" t="s">
        <v>3602</v>
      </c>
      <c r="E376" s="738" t="s">
        <v>3313</v>
      </c>
      <c r="F376" s="738" t="s">
        <v>3390</v>
      </c>
      <c r="G376" s="740" t="s">
        <v>70</v>
      </c>
      <c r="H376" s="739" t="s">
        <v>64</v>
      </c>
      <c r="I376" s="739" t="s">
        <v>3617</v>
      </c>
      <c r="J376" s="797" t="s">
        <v>474</v>
      </c>
      <c r="K376" s="795"/>
    </row>
    <row r="377" spans="1:11" ht="44.1" customHeight="1">
      <c r="A377" s="741" t="s">
        <v>4608</v>
      </c>
      <c r="B377" s="741" t="s">
        <v>4735</v>
      </c>
      <c r="C377" s="742" t="s">
        <v>3411</v>
      </c>
      <c r="D377" s="741" t="s">
        <v>3604</v>
      </c>
      <c r="E377" s="741" t="s">
        <v>537</v>
      </c>
      <c r="F377" s="741" t="s">
        <v>3410</v>
      </c>
      <c r="G377" s="743" t="s">
        <v>94</v>
      </c>
      <c r="H377" s="742">
        <v>1</v>
      </c>
      <c r="I377" s="742" t="s">
        <v>3687</v>
      </c>
      <c r="J377" s="798" t="s">
        <v>3687</v>
      </c>
      <c r="K377" s="795"/>
    </row>
    <row r="378" spans="1:11" ht="21.95" customHeight="1">
      <c r="A378" s="744" t="s">
        <v>4611</v>
      </c>
      <c r="B378" s="744"/>
      <c r="C378" s="745" t="s">
        <v>3661</v>
      </c>
      <c r="D378" s="744" t="s">
        <v>1127</v>
      </c>
      <c r="E378" s="744" t="s">
        <v>1133</v>
      </c>
      <c r="F378" s="744" t="s">
        <v>3430</v>
      </c>
      <c r="G378" s="746" t="s">
        <v>1129</v>
      </c>
      <c r="H378" s="745" t="s">
        <v>3688</v>
      </c>
      <c r="I378" s="745" t="s">
        <v>3663</v>
      </c>
      <c r="J378" s="796">
        <v>0.16</v>
      </c>
      <c r="K378" s="795"/>
    </row>
    <row r="379" spans="1:11" ht="21.95" customHeight="1">
      <c r="A379" s="744" t="s">
        <v>4611</v>
      </c>
      <c r="B379" s="744"/>
      <c r="C379" s="745" t="s">
        <v>3664</v>
      </c>
      <c r="D379" s="744" t="s">
        <v>1127</v>
      </c>
      <c r="E379" s="744" t="s">
        <v>1134</v>
      </c>
      <c r="F379" s="744" t="s">
        <v>3430</v>
      </c>
      <c r="G379" s="746" t="s">
        <v>1129</v>
      </c>
      <c r="H379" s="745" t="s">
        <v>3689</v>
      </c>
      <c r="I379" s="745" t="s">
        <v>4619</v>
      </c>
      <c r="J379" s="796">
        <v>1.26</v>
      </c>
      <c r="K379" s="795"/>
    </row>
    <row r="380" spans="1:11" ht="33" customHeight="1">
      <c r="A380" s="744" t="s">
        <v>4611</v>
      </c>
      <c r="B380" s="744"/>
      <c r="C380" s="745" t="s">
        <v>3690</v>
      </c>
      <c r="D380" s="744" t="s">
        <v>1127</v>
      </c>
      <c r="E380" s="744" t="s">
        <v>4623</v>
      </c>
      <c r="F380" s="744" t="s">
        <v>3410</v>
      </c>
      <c r="G380" s="746" t="s">
        <v>94</v>
      </c>
      <c r="H380" s="745" t="s">
        <v>3610</v>
      </c>
      <c r="I380" s="745" t="s">
        <v>3691</v>
      </c>
      <c r="J380" s="796">
        <v>5.94</v>
      </c>
      <c r="K380" s="795"/>
    </row>
    <row r="381" spans="1:11" ht="21.95" customHeight="1" thickBot="1">
      <c r="A381" s="748" t="s">
        <v>4616</v>
      </c>
      <c r="B381" s="748"/>
      <c r="C381" s="749" t="s">
        <v>3668</v>
      </c>
      <c r="D381" s="748" t="s">
        <v>1127</v>
      </c>
      <c r="E381" s="748" t="s">
        <v>1137</v>
      </c>
      <c r="F381" s="748" t="s">
        <v>1187</v>
      </c>
      <c r="G381" s="750" t="s">
        <v>94</v>
      </c>
      <c r="H381" s="749" t="s">
        <v>3669</v>
      </c>
      <c r="I381" s="749" t="s">
        <v>3670</v>
      </c>
      <c r="J381" s="794">
        <v>0.19</v>
      </c>
      <c r="K381" s="795"/>
    </row>
    <row r="382" spans="1:11" ht="0.95" customHeight="1" thickTop="1">
      <c r="A382" s="747"/>
      <c r="B382" s="747"/>
      <c r="C382" s="747"/>
      <c r="D382" s="747"/>
      <c r="E382" s="747"/>
      <c r="F382" s="747"/>
      <c r="G382" s="747"/>
      <c r="H382" s="747"/>
      <c r="I382" s="747"/>
      <c r="J382" s="747"/>
      <c r="K382" s="747"/>
    </row>
    <row r="383" spans="1:11" ht="18" customHeight="1">
      <c r="A383" s="738"/>
      <c r="B383" s="738" t="s">
        <v>60</v>
      </c>
      <c r="C383" s="739" t="s">
        <v>3312</v>
      </c>
      <c r="D383" s="738" t="s">
        <v>3602</v>
      </c>
      <c r="E383" s="738" t="s">
        <v>3313</v>
      </c>
      <c r="F383" s="738" t="s">
        <v>3390</v>
      </c>
      <c r="G383" s="740" t="s">
        <v>70</v>
      </c>
      <c r="H383" s="739" t="s">
        <v>64</v>
      </c>
      <c r="I383" s="739" t="s">
        <v>3617</v>
      </c>
      <c r="J383" s="797" t="s">
        <v>474</v>
      </c>
      <c r="K383" s="795"/>
    </row>
    <row r="384" spans="1:11" ht="44.1" customHeight="1">
      <c r="A384" s="741" t="s">
        <v>4608</v>
      </c>
      <c r="B384" s="741" t="s">
        <v>4736</v>
      </c>
      <c r="C384" s="742" t="s">
        <v>3412</v>
      </c>
      <c r="D384" s="741" t="s">
        <v>3604</v>
      </c>
      <c r="E384" s="741" t="s">
        <v>539</v>
      </c>
      <c r="F384" s="741" t="s">
        <v>3410</v>
      </c>
      <c r="G384" s="743" t="s">
        <v>94</v>
      </c>
      <c r="H384" s="742">
        <v>1</v>
      </c>
      <c r="I384" s="742" t="s">
        <v>3692</v>
      </c>
      <c r="J384" s="798" t="s">
        <v>3692</v>
      </c>
      <c r="K384" s="795"/>
    </row>
    <row r="385" spans="1:11" ht="21.95" customHeight="1">
      <c r="A385" s="744" t="s">
        <v>4611</v>
      </c>
      <c r="B385" s="744"/>
      <c r="C385" s="745" t="s">
        <v>3661</v>
      </c>
      <c r="D385" s="744" t="s">
        <v>1127</v>
      </c>
      <c r="E385" s="744" t="s">
        <v>1133</v>
      </c>
      <c r="F385" s="744" t="s">
        <v>3430</v>
      </c>
      <c r="G385" s="746" t="s">
        <v>1129</v>
      </c>
      <c r="H385" s="745" t="s">
        <v>3693</v>
      </c>
      <c r="I385" s="745" t="s">
        <v>3663</v>
      </c>
      <c r="J385" s="796">
        <v>0.12</v>
      </c>
      <c r="K385" s="795"/>
    </row>
    <row r="386" spans="1:11" ht="21.95" customHeight="1">
      <c r="A386" s="744" t="s">
        <v>4611</v>
      </c>
      <c r="B386" s="744"/>
      <c r="C386" s="745" t="s">
        <v>3664</v>
      </c>
      <c r="D386" s="744" t="s">
        <v>1127</v>
      </c>
      <c r="E386" s="744" t="s">
        <v>1134</v>
      </c>
      <c r="F386" s="744" t="s">
        <v>3430</v>
      </c>
      <c r="G386" s="746" t="s">
        <v>1129</v>
      </c>
      <c r="H386" s="745" t="s">
        <v>3694</v>
      </c>
      <c r="I386" s="745" t="s">
        <v>4619</v>
      </c>
      <c r="J386" s="796">
        <v>0.92</v>
      </c>
      <c r="K386" s="795"/>
    </row>
    <row r="387" spans="1:11" ht="33" customHeight="1">
      <c r="A387" s="744" t="s">
        <v>4611</v>
      </c>
      <c r="B387" s="744"/>
      <c r="C387" s="745" t="s">
        <v>3695</v>
      </c>
      <c r="D387" s="744" t="s">
        <v>1127</v>
      </c>
      <c r="E387" s="744" t="s">
        <v>4632</v>
      </c>
      <c r="F387" s="744" t="s">
        <v>3410</v>
      </c>
      <c r="G387" s="746" t="s">
        <v>94</v>
      </c>
      <c r="H387" s="745" t="s">
        <v>3610</v>
      </c>
      <c r="I387" s="745" t="s">
        <v>3696</v>
      </c>
      <c r="J387" s="796">
        <v>5.01</v>
      </c>
      <c r="K387" s="795"/>
    </row>
    <row r="388" spans="1:11" ht="21.95" customHeight="1">
      <c r="A388" s="748" t="s">
        <v>4616</v>
      </c>
      <c r="B388" s="748"/>
      <c r="C388" s="749" t="s">
        <v>3668</v>
      </c>
      <c r="D388" s="748" t="s">
        <v>1127</v>
      </c>
      <c r="E388" s="748" t="s">
        <v>1137</v>
      </c>
      <c r="F388" s="748" t="s">
        <v>1187</v>
      </c>
      <c r="G388" s="750" t="s">
        <v>94</v>
      </c>
      <c r="H388" s="749" t="s">
        <v>3669</v>
      </c>
      <c r="I388" s="749" t="s">
        <v>3670</v>
      </c>
      <c r="J388" s="794">
        <v>0.19</v>
      </c>
      <c r="K388" s="795"/>
    </row>
    <row r="389" spans="1:11" ht="33" customHeight="1" thickBot="1">
      <c r="A389" s="748" t="s">
        <v>4616</v>
      </c>
      <c r="B389" s="748"/>
      <c r="C389" s="749" t="s">
        <v>3671</v>
      </c>
      <c r="D389" s="748" t="s">
        <v>1127</v>
      </c>
      <c r="E389" s="748" t="s">
        <v>3672</v>
      </c>
      <c r="F389" s="748" t="s">
        <v>1187</v>
      </c>
      <c r="G389" s="750" t="s">
        <v>57</v>
      </c>
      <c r="H389" s="749" t="s">
        <v>3697</v>
      </c>
      <c r="I389" s="749" t="s">
        <v>3674</v>
      </c>
      <c r="J389" s="794">
        <v>0.04</v>
      </c>
      <c r="K389" s="795"/>
    </row>
    <row r="390" spans="1:11" ht="0.95" customHeight="1" thickTop="1">
      <c r="A390" s="747"/>
      <c r="B390" s="747"/>
      <c r="C390" s="747"/>
      <c r="D390" s="747"/>
      <c r="E390" s="747"/>
      <c r="F390" s="747"/>
      <c r="G390" s="747"/>
      <c r="H390" s="747"/>
      <c r="I390" s="747"/>
      <c r="J390" s="747"/>
      <c r="K390" s="747"/>
    </row>
    <row r="391" spans="1:11" ht="18" customHeight="1">
      <c r="A391" s="738"/>
      <c r="B391" s="738" t="s">
        <v>60</v>
      </c>
      <c r="C391" s="739" t="s">
        <v>3312</v>
      </c>
      <c r="D391" s="738" t="s">
        <v>3602</v>
      </c>
      <c r="E391" s="738" t="s">
        <v>3313</v>
      </c>
      <c r="F391" s="738" t="s">
        <v>3390</v>
      </c>
      <c r="G391" s="740" t="s">
        <v>70</v>
      </c>
      <c r="H391" s="739" t="s">
        <v>64</v>
      </c>
      <c r="I391" s="739" t="s">
        <v>3617</v>
      </c>
      <c r="J391" s="797" t="s">
        <v>474</v>
      </c>
      <c r="K391" s="795"/>
    </row>
    <row r="392" spans="1:11" ht="44.1" customHeight="1">
      <c r="A392" s="741" t="s">
        <v>4608</v>
      </c>
      <c r="B392" s="741" t="s">
        <v>4737</v>
      </c>
      <c r="C392" s="742" t="s">
        <v>3413</v>
      </c>
      <c r="D392" s="741" t="s">
        <v>3604</v>
      </c>
      <c r="E392" s="741" t="s">
        <v>541</v>
      </c>
      <c r="F392" s="741" t="s">
        <v>3410</v>
      </c>
      <c r="G392" s="743" t="s">
        <v>94</v>
      </c>
      <c r="H392" s="742">
        <v>1</v>
      </c>
      <c r="I392" s="742" t="s">
        <v>4625</v>
      </c>
      <c r="J392" s="798" t="s">
        <v>4625</v>
      </c>
      <c r="K392" s="795"/>
    </row>
    <row r="393" spans="1:11" ht="21.95" customHeight="1">
      <c r="A393" s="744" t="s">
        <v>4611</v>
      </c>
      <c r="B393" s="744"/>
      <c r="C393" s="745" t="s">
        <v>3661</v>
      </c>
      <c r="D393" s="744" t="s">
        <v>1127</v>
      </c>
      <c r="E393" s="744" t="s">
        <v>1133</v>
      </c>
      <c r="F393" s="744" t="s">
        <v>3430</v>
      </c>
      <c r="G393" s="746" t="s">
        <v>1129</v>
      </c>
      <c r="H393" s="745" t="s">
        <v>3662</v>
      </c>
      <c r="I393" s="745" t="s">
        <v>3663</v>
      </c>
      <c r="J393" s="796">
        <v>0.39</v>
      </c>
      <c r="K393" s="795"/>
    </row>
    <row r="394" spans="1:11" ht="21.95" customHeight="1">
      <c r="A394" s="744" t="s">
        <v>4611</v>
      </c>
      <c r="B394" s="744"/>
      <c r="C394" s="745" t="s">
        <v>3664</v>
      </c>
      <c r="D394" s="744" t="s">
        <v>1127</v>
      </c>
      <c r="E394" s="744" t="s">
        <v>1134</v>
      </c>
      <c r="F394" s="744" t="s">
        <v>3430</v>
      </c>
      <c r="G394" s="746" t="s">
        <v>1129</v>
      </c>
      <c r="H394" s="745" t="s">
        <v>3665</v>
      </c>
      <c r="I394" s="745" t="s">
        <v>4619</v>
      </c>
      <c r="J394" s="796">
        <v>2.96</v>
      </c>
      <c r="K394" s="795"/>
    </row>
    <row r="395" spans="1:11" ht="33" customHeight="1">
      <c r="A395" s="744" t="s">
        <v>4611</v>
      </c>
      <c r="B395" s="744"/>
      <c r="C395" s="745" t="s">
        <v>3666</v>
      </c>
      <c r="D395" s="744" t="s">
        <v>1127</v>
      </c>
      <c r="E395" s="744" t="s">
        <v>4626</v>
      </c>
      <c r="F395" s="744" t="s">
        <v>3410</v>
      </c>
      <c r="G395" s="746" t="s">
        <v>94</v>
      </c>
      <c r="H395" s="745" t="s">
        <v>3610</v>
      </c>
      <c r="I395" s="745" t="s">
        <v>3667</v>
      </c>
      <c r="J395" s="796">
        <v>7.29</v>
      </c>
      <c r="K395" s="795"/>
    </row>
    <row r="396" spans="1:11" ht="21.95" customHeight="1">
      <c r="A396" s="748" t="s">
        <v>4616</v>
      </c>
      <c r="B396" s="748"/>
      <c r="C396" s="749" t="s">
        <v>3668</v>
      </c>
      <c r="D396" s="748" t="s">
        <v>1127</v>
      </c>
      <c r="E396" s="748" t="s">
        <v>1137</v>
      </c>
      <c r="F396" s="748" t="s">
        <v>1187</v>
      </c>
      <c r="G396" s="750" t="s">
        <v>94</v>
      </c>
      <c r="H396" s="749" t="s">
        <v>3669</v>
      </c>
      <c r="I396" s="749" t="s">
        <v>3670</v>
      </c>
      <c r="J396" s="794">
        <v>0.19</v>
      </c>
      <c r="K396" s="795"/>
    </row>
    <row r="397" spans="1:11" ht="33" customHeight="1" thickBot="1">
      <c r="A397" s="748" t="s">
        <v>4616</v>
      </c>
      <c r="B397" s="748"/>
      <c r="C397" s="749" t="s">
        <v>3671</v>
      </c>
      <c r="D397" s="748" t="s">
        <v>1127</v>
      </c>
      <c r="E397" s="748" t="s">
        <v>3672</v>
      </c>
      <c r="F397" s="748" t="s">
        <v>1187</v>
      </c>
      <c r="G397" s="750" t="s">
        <v>57</v>
      </c>
      <c r="H397" s="749" t="s">
        <v>3673</v>
      </c>
      <c r="I397" s="749" t="s">
        <v>3674</v>
      </c>
      <c r="J397" s="794">
        <v>0.14000000000000001</v>
      </c>
      <c r="K397" s="795"/>
    </row>
    <row r="398" spans="1:11" ht="0.95" customHeight="1" thickTop="1">
      <c r="A398" s="747"/>
      <c r="B398" s="747"/>
      <c r="C398" s="747"/>
      <c r="D398" s="747"/>
      <c r="E398" s="747"/>
      <c r="F398" s="747"/>
      <c r="G398" s="747"/>
      <c r="H398" s="747"/>
      <c r="I398" s="747"/>
      <c r="J398" s="747"/>
      <c r="K398" s="747"/>
    </row>
    <row r="399" spans="1:11" ht="18" customHeight="1">
      <c r="A399" s="738"/>
      <c r="B399" s="738" t="s">
        <v>60</v>
      </c>
      <c r="C399" s="739" t="s">
        <v>3312</v>
      </c>
      <c r="D399" s="738" t="s">
        <v>3602</v>
      </c>
      <c r="E399" s="738" t="s">
        <v>3313</v>
      </c>
      <c r="F399" s="738" t="s">
        <v>3390</v>
      </c>
      <c r="G399" s="740" t="s">
        <v>70</v>
      </c>
      <c r="H399" s="739" t="s">
        <v>64</v>
      </c>
      <c r="I399" s="739" t="s">
        <v>3617</v>
      </c>
      <c r="J399" s="797" t="s">
        <v>474</v>
      </c>
      <c r="K399" s="795"/>
    </row>
    <row r="400" spans="1:11" ht="44.1" customHeight="1">
      <c r="A400" s="741" t="s">
        <v>4608</v>
      </c>
      <c r="B400" s="741" t="s">
        <v>4738</v>
      </c>
      <c r="C400" s="742" t="s">
        <v>3415</v>
      </c>
      <c r="D400" s="741" t="s">
        <v>3604</v>
      </c>
      <c r="E400" s="741" t="s">
        <v>545</v>
      </c>
      <c r="F400" s="741" t="s">
        <v>3410</v>
      </c>
      <c r="G400" s="743" t="s">
        <v>94</v>
      </c>
      <c r="H400" s="742">
        <v>1</v>
      </c>
      <c r="I400" s="742" t="s">
        <v>3681</v>
      </c>
      <c r="J400" s="798" t="s">
        <v>3681</v>
      </c>
      <c r="K400" s="795"/>
    </row>
    <row r="401" spans="1:11" ht="21.95" customHeight="1">
      <c r="A401" s="744" t="s">
        <v>4611</v>
      </c>
      <c r="B401" s="744"/>
      <c r="C401" s="745" t="s">
        <v>3661</v>
      </c>
      <c r="D401" s="744" t="s">
        <v>1127</v>
      </c>
      <c r="E401" s="744" t="s">
        <v>1133</v>
      </c>
      <c r="F401" s="744" t="s">
        <v>3430</v>
      </c>
      <c r="G401" s="746" t="s">
        <v>1129</v>
      </c>
      <c r="H401" s="745" t="s">
        <v>3682</v>
      </c>
      <c r="I401" s="745" t="s">
        <v>3663</v>
      </c>
      <c r="J401" s="796">
        <v>0.22</v>
      </c>
      <c r="K401" s="795"/>
    </row>
    <row r="402" spans="1:11" ht="21.95" customHeight="1">
      <c r="A402" s="744" t="s">
        <v>4611</v>
      </c>
      <c r="B402" s="744"/>
      <c r="C402" s="745" t="s">
        <v>3664</v>
      </c>
      <c r="D402" s="744" t="s">
        <v>1127</v>
      </c>
      <c r="E402" s="744" t="s">
        <v>1134</v>
      </c>
      <c r="F402" s="744" t="s">
        <v>3430</v>
      </c>
      <c r="G402" s="746" t="s">
        <v>1129</v>
      </c>
      <c r="H402" s="745" t="s">
        <v>3683</v>
      </c>
      <c r="I402" s="745" t="s">
        <v>4619</v>
      </c>
      <c r="J402" s="796">
        <v>1.68</v>
      </c>
      <c r="K402" s="795"/>
    </row>
    <row r="403" spans="1:11" ht="33" customHeight="1">
      <c r="A403" s="744" t="s">
        <v>4611</v>
      </c>
      <c r="B403" s="744"/>
      <c r="C403" s="745" t="s">
        <v>3684</v>
      </c>
      <c r="D403" s="744" t="s">
        <v>1127</v>
      </c>
      <c r="E403" s="744" t="s">
        <v>4630</v>
      </c>
      <c r="F403" s="744" t="s">
        <v>3410</v>
      </c>
      <c r="G403" s="746" t="s">
        <v>94</v>
      </c>
      <c r="H403" s="745" t="s">
        <v>3610</v>
      </c>
      <c r="I403" s="745" t="s">
        <v>3685</v>
      </c>
      <c r="J403" s="796">
        <v>7.24</v>
      </c>
      <c r="K403" s="795"/>
    </row>
    <row r="404" spans="1:11" ht="21.95" customHeight="1">
      <c r="A404" s="748" t="s">
        <v>4616</v>
      </c>
      <c r="B404" s="748"/>
      <c r="C404" s="749" t="s">
        <v>3668</v>
      </c>
      <c r="D404" s="748" t="s">
        <v>1127</v>
      </c>
      <c r="E404" s="748" t="s">
        <v>1137</v>
      </c>
      <c r="F404" s="748" t="s">
        <v>1187</v>
      </c>
      <c r="G404" s="750" t="s">
        <v>94</v>
      </c>
      <c r="H404" s="749" t="s">
        <v>3669</v>
      </c>
      <c r="I404" s="749" t="s">
        <v>3670</v>
      </c>
      <c r="J404" s="794">
        <v>0.19</v>
      </c>
      <c r="K404" s="795"/>
    </row>
    <row r="405" spans="1:11" ht="33" customHeight="1" thickBot="1">
      <c r="A405" s="748" t="s">
        <v>4616</v>
      </c>
      <c r="B405" s="748"/>
      <c r="C405" s="749" t="s">
        <v>3671</v>
      </c>
      <c r="D405" s="748" t="s">
        <v>1127</v>
      </c>
      <c r="E405" s="748" t="s">
        <v>3672</v>
      </c>
      <c r="F405" s="748" t="s">
        <v>1187</v>
      </c>
      <c r="G405" s="750" t="s">
        <v>57</v>
      </c>
      <c r="H405" s="749" t="s">
        <v>3686</v>
      </c>
      <c r="I405" s="749" t="s">
        <v>3674</v>
      </c>
      <c r="J405" s="794">
        <v>0.08</v>
      </c>
      <c r="K405" s="795"/>
    </row>
    <row r="406" spans="1:11" ht="0.95" customHeight="1" thickTop="1">
      <c r="A406" s="747"/>
      <c r="B406" s="747"/>
      <c r="C406" s="747"/>
      <c r="D406" s="747"/>
      <c r="E406" s="747"/>
      <c r="F406" s="747"/>
      <c r="G406" s="747"/>
      <c r="H406" s="747"/>
      <c r="I406" s="747"/>
      <c r="J406" s="747"/>
      <c r="K406" s="747"/>
    </row>
    <row r="407" spans="1:11" ht="18" customHeight="1">
      <c r="A407" s="738"/>
      <c r="B407" s="738" t="s">
        <v>60</v>
      </c>
      <c r="C407" s="739" t="s">
        <v>3312</v>
      </c>
      <c r="D407" s="738" t="s">
        <v>3602</v>
      </c>
      <c r="E407" s="738" t="s">
        <v>3313</v>
      </c>
      <c r="F407" s="738" t="s">
        <v>3390</v>
      </c>
      <c r="G407" s="740" t="s">
        <v>70</v>
      </c>
      <c r="H407" s="739" t="s">
        <v>64</v>
      </c>
      <c r="I407" s="739" t="s">
        <v>3617</v>
      </c>
      <c r="J407" s="797" t="s">
        <v>474</v>
      </c>
      <c r="K407" s="795"/>
    </row>
    <row r="408" spans="1:11" ht="33" customHeight="1">
      <c r="A408" s="741" t="s">
        <v>4608</v>
      </c>
      <c r="B408" s="741" t="s">
        <v>4739</v>
      </c>
      <c r="C408" s="742" t="s">
        <v>3408</v>
      </c>
      <c r="D408" s="741" t="s">
        <v>3604</v>
      </c>
      <c r="E408" s="741" t="s">
        <v>536</v>
      </c>
      <c r="F408" s="741" t="s">
        <v>3410</v>
      </c>
      <c r="G408" s="743" t="s">
        <v>284</v>
      </c>
      <c r="H408" s="742">
        <v>1</v>
      </c>
      <c r="I408" s="742" t="s">
        <v>3698</v>
      </c>
      <c r="J408" s="798" t="s">
        <v>3698</v>
      </c>
      <c r="K408" s="795"/>
    </row>
    <row r="409" spans="1:11" ht="33" customHeight="1" thickBot="1">
      <c r="A409" s="748" t="s">
        <v>4616</v>
      </c>
      <c r="B409" s="748"/>
      <c r="C409" s="749" t="s">
        <v>3699</v>
      </c>
      <c r="D409" s="748" t="s">
        <v>1127</v>
      </c>
      <c r="E409" s="748" t="s">
        <v>536</v>
      </c>
      <c r="F409" s="748" t="s">
        <v>1187</v>
      </c>
      <c r="G409" s="750" t="s">
        <v>284</v>
      </c>
      <c r="H409" s="749" t="s">
        <v>3610</v>
      </c>
      <c r="I409" s="749" t="s">
        <v>3698</v>
      </c>
      <c r="J409" s="794">
        <v>294.68</v>
      </c>
      <c r="K409" s="795"/>
    </row>
    <row r="410" spans="1:11" ht="0.95" customHeight="1" thickTop="1">
      <c r="A410" s="747"/>
      <c r="B410" s="747"/>
      <c r="C410" s="747"/>
      <c r="D410" s="747"/>
      <c r="E410" s="747"/>
      <c r="F410" s="747"/>
      <c r="G410" s="747"/>
      <c r="H410" s="747"/>
      <c r="I410" s="747"/>
      <c r="J410" s="747"/>
      <c r="K410" s="747"/>
    </row>
    <row r="411" spans="1:11" ht="18" customHeight="1">
      <c r="A411" s="738"/>
      <c r="B411" s="738" t="s">
        <v>60</v>
      </c>
      <c r="C411" s="739" t="s">
        <v>3312</v>
      </c>
      <c r="D411" s="738" t="s">
        <v>3602</v>
      </c>
      <c r="E411" s="738" t="s">
        <v>3313</v>
      </c>
      <c r="F411" s="738" t="s">
        <v>3390</v>
      </c>
      <c r="G411" s="740" t="s">
        <v>70</v>
      </c>
      <c r="H411" s="739" t="s">
        <v>64</v>
      </c>
      <c r="I411" s="739" t="s">
        <v>3617</v>
      </c>
      <c r="J411" s="797" t="s">
        <v>474</v>
      </c>
      <c r="K411" s="795"/>
    </row>
    <row r="412" spans="1:11" ht="33" customHeight="1">
      <c r="A412" s="741" t="s">
        <v>4608</v>
      </c>
      <c r="B412" s="741" t="s">
        <v>4740</v>
      </c>
      <c r="C412" s="742" t="s">
        <v>3418</v>
      </c>
      <c r="D412" s="741" t="s">
        <v>3604</v>
      </c>
      <c r="E412" s="741" t="s">
        <v>601</v>
      </c>
      <c r="F412" s="741" t="s">
        <v>3410</v>
      </c>
      <c r="G412" s="743" t="s">
        <v>108</v>
      </c>
      <c r="H412" s="742">
        <v>1</v>
      </c>
      <c r="I412" s="742" t="s">
        <v>4635</v>
      </c>
      <c r="J412" s="798" t="s">
        <v>4635</v>
      </c>
      <c r="K412" s="795"/>
    </row>
    <row r="413" spans="1:11" ht="21.95" customHeight="1">
      <c r="A413" s="744" t="s">
        <v>4611</v>
      </c>
      <c r="B413" s="744"/>
      <c r="C413" s="745" t="s">
        <v>3636</v>
      </c>
      <c r="D413" s="744" t="s">
        <v>1127</v>
      </c>
      <c r="E413" s="744" t="s">
        <v>1144</v>
      </c>
      <c r="F413" s="744" t="s">
        <v>3430</v>
      </c>
      <c r="G413" s="746" t="s">
        <v>1129</v>
      </c>
      <c r="H413" s="745" t="s">
        <v>3700</v>
      </c>
      <c r="I413" s="745" t="s">
        <v>4619</v>
      </c>
      <c r="J413" s="796">
        <v>3.22</v>
      </c>
      <c r="K413" s="795"/>
    </row>
    <row r="414" spans="1:11" ht="21.95" customHeight="1">
      <c r="A414" s="744" t="s">
        <v>4611</v>
      </c>
      <c r="B414" s="744"/>
      <c r="C414" s="745" t="s">
        <v>3631</v>
      </c>
      <c r="D414" s="744" t="s">
        <v>1127</v>
      </c>
      <c r="E414" s="744" t="s">
        <v>1145</v>
      </c>
      <c r="F414" s="744" t="s">
        <v>3430</v>
      </c>
      <c r="G414" s="746" t="s">
        <v>1129</v>
      </c>
      <c r="H414" s="745" t="s">
        <v>3701</v>
      </c>
      <c r="I414" s="745" t="s">
        <v>3632</v>
      </c>
      <c r="J414" s="796">
        <v>5.97</v>
      </c>
      <c r="K414" s="795"/>
    </row>
    <row r="415" spans="1:11" ht="21.95" customHeight="1">
      <c r="A415" s="744" t="s">
        <v>4611</v>
      </c>
      <c r="B415" s="744"/>
      <c r="C415" s="745" t="s">
        <v>3633</v>
      </c>
      <c r="D415" s="744" t="s">
        <v>1127</v>
      </c>
      <c r="E415" s="744" t="s">
        <v>1146</v>
      </c>
      <c r="F415" s="744" t="s">
        <v>3430</v>
      </c>
      <c r="G415" s="746" t="s">
        <v>1129</v>
      </c>
      <c r="H415" s="745" t="s">
        <v>3702</v>
      </c>
      <c r="I415" s="745" t="s">
        <v>3635</v>
      </c>
      <c r="J415" s="796">
        <v>11.79</v>
      </c>
      <c r="K415" s="795"/>
    </row>
    <row r="416" spans="1:11" ht="21.95" customHeight="1">
      <c r="A416" s="744" t="s">
        <v>4611</v>
      </c>
      <c r="B416" s="744"/>
      <c r="C416" s="745" t="s">
        <v>3703</v>
      </c>
      <c r="D416" s="744" t="s">
        <v>1127</v>
      </c>
      <c r="E416" s="744" t="s">
        <v>535</v>
      </c>
      <c r="F416" s="744" t="s">
        <v>3410</v>
      </c>
      <c r="G416" s="746" t="s">
        <v>284</v>
      </c>
      <c r="H416" s="745" t="s">
        <v>3748</v>
      </c>
      <c r="I416" s="745" t="s">
        <v>4636</v>
      </c>
      <c r="J416" s="796">
        <v>1.42</v>
      </c>
      <c r="K416" s="795"/>
    </row>
    <row r="417" spans="1:11" ht="33" customHeight="1">
      <c r="A417" s="744" t="s">
        <v>4611</v>
      </c>
      <c r="B417" s="744"/>
      <c r="C417" s="745" t="s">
        <v>3408</v>
      </c>
      <c r="D417" s="744" t="s">
        <v>3604</v>
      </c>
      <c r="E417" s="744" t="s">
        <v>536</v>
      </c>
      <c r="F417" s="744" t="s">
        <v>3410</v>
      </c>
      <c r="G417" s="746" t="s">
        <v>284</v>
      </c>
      <c r="H417" s="745" t="s">
        <v>3748</v>
      </c>
      <c r="I417" s="745" t="s">
        <v>3698</v>
      </c>
      <c r="J417" s="796">
        <v>17.68</v>
      </c>
      <c r="K417" s="795"/>
    </row>
    <row r="418" spans="1:11" ht="21.95" customHeight="1">
      <c r="A418" s="748" t="s">
        <v>4616</v>
      </c>
      <c r="B418" s="748"/>
      <c r="C418" s="749" t="s">
        <v>3705</v>
      </c>
      <c r="D418" s="748" t="s">
        <v>3604</v>
      </c>
      <c r="E418" s="748" t="s">
        <v>1148</v>
      </c>
      <c r="F418" s="748" t="s">
        <v>1187</v>
      </c>
      <c r="G418" s="750" t="s">
        <v>108</v>
      </c>
      <c r="H418" s="749" t="s">
        <v>3610</v>
      </c>
      <c r="I418" s="749" t="s">
        <v>4637</v>
      </c>
      <c r="J418" s="794">
        <v>41.95</v>
      </c>
      <c r="K418" s="795"/>
    </row>
    <row r="419" spans="1:11" ht="21.95" customHeight="1">
      <c r="A419" s="748" t="s">
        <v>4616</v>
      </c>
      <c r="B419" s="748"/>
      <c r="C419" s="749" t="s">
        <v>3706</v>
      </c>
      <c r="D419" s="748" t="s">
        <v>1127</v>
      </c>
      <c r="E419" s="748" t="s">
        <v>1147</v>
      </c>
      <c r="F419" s="748" t="s">
        <v>1187</v>
      </c>
      <c r="G419" s="750" t="s">
        <v>101</v>
      </c>
      <c r="H419" s="749" t="s">
        <v>3707</v>
      </c>
      <c r="I419" s="749" t="s">
        <v>3708</v>
      </c>
      <c r="J419" s="794">
        <v>4.75</v>
      </c>
      <c r="K419" s="795"/>
    </row>
    <row r="420" spans="1:11" ht="21.95" customHeight="1">
      <c r="A420" s="748" t="s">
        <v>4616</v>
      </c>
      <c r="B420" s="748"/>
      <c r="C420" s="749" t="s">
        <v>3709</v>
      </c>
      <c r="D420" s="748" t="s">
        <v>1127</v>
      </c>
      <c r="E420" s="748" t="s">
        <v>3710</v>
      </c>
      <c r="F420" s="748" t="s">
        <v>1187</v>
      </c>
      <c r="G420" s="750" t="s">
        <v>94</v>
      </c>
      <c r="H420" s="749" t="s">
        <v>3711</v>
      </c>
      <c r="I420" s="749" t="s">
        <v>3712</v>
      </c>
      <c r="J420" s="794">
        <v>0.16</v>
      </c>
      <c r="K420" s="795"/>
    </row>
    <row r="421" spans="1:11" ht="21.95" customHeight="1" thickBot="1">
      <c r="A421" s="748" t="s">
        <v>4616</v>
      </c>
      <c r="B421" s="748"/>
      <c r="C421" s="749" t="s">
        <v>3649</v>
      </c>
      <c r="D421" s="748" t="s">
        <v>1127</v>
      </c>
      <c r="E421" s="748" t="s">
        <v>1464</v>
      </c>
      <c r="F421" s="748" t="s">
        <v>1187</v>
      </c>
      <c r="G421" s="750" t="s">
        <v>101</v>
      </c>
      <c r="H421" s="749" t="s">
        <v>3713</v>
      </c>
      <c r="I421" s="749" t="s">
        <v>3650</v>
      </c>
      <c r="J421" s="794">
        <v>1.87</v>
      </c>
      <c r="K421" s="795"/>
    </row>
    <row r="422" spans="1:11" ht="0.95" customHeight="1" thickTop="1">
      <c r="A422" s="747"/>
      <c r="B422" s="747"/>
      <c r="C422" s="747"/>
      <c r="D422" s="747"/>
      <c r="E422" s="747"/>
      <c r="F422" s="747"/>
      <c r="G422" s="747"/>
      <c r="H422" s="747"/>
      <c r="I422" s="747"/>
      <c r="J422" s="747"/>
      <c r="K422" s="747"/>
    </row>
    <row r="423" spans="1:11" ht="18" customHeight="1">
      <c r="A423" s="738"/>
      <c r="B423" s="738" t="s">
        <v>60</v>
      </c>
      <c r="C423" s="739" t="s">
        <v>3312</v>
      </c>
      <c r="D423" s="738" t="s">
        <v>3602</v>
      </c>
      <c r="E423" s="738" t="s">
        <v>3313</v>
      </c>
      <c r="F423" s="738" t="s">
        <v>3390</v>
      </c>
      <c r="G423" s="740" t="s">
        <v>70</v>
      </c>
      <c r="H423" s="739" t="s">
        <v>64</v>
      </c>
      <c r="I423" s="739" t="s">
        <v>3617</v>
      </c>
      <c r="J423" s="797" t="s">
        <v>474</v>
      </c>
      <c r="K423" s="795"/>
    </row>
    <row r="424" spans="1:11" ht="21.95" customHeight="1">
      <c r="A424" s="741" t="s">
        <v>4608</v>
      </c>
      <c r="B424" s="741" t="s">
        <v>4741</v>
      </c>
      <c r="C424" s="742" t="s">
        <v>3429</v>
      </c>
      <c r="D424" s="741" t="s">
        <v>3604</v>
      </c>
      <c r="E424" s="741" t="s">
        <v>657</v>
      </c>
      <c r="F424" s="741" t="s">
        <v>3430</v>
      </c>
      <c r="G424" s="743" t="s">
        <v>284</v>
      </c>
      <c r="H424" s="742">
        <v>1</v>
      </c>
      <c r="I424" s="742" t="s">
        <v>4639</v>
      </c>
      <c r="J424" s="798" t="s">
        <v>4639</v>
      </c>
      <c r="K424" s="795"/>
    </row>
    <row r="425" spans="1:11" ht="21.95" customHeight="1">
      <c r="A425" s="744" t="s">
        <v>4611</v>
      </c>
      <c r="B425" s="744"/>
      <c r="C425" s="745" t="s">
        <v>3633</v>
      </c>
      <c r="D425" s="744" t="s">
        <v>1127</v>
      </c>
      <c r="E425" s="744" t="s">
        <v>1146</v>
      </c>
      <c r="F425" s="744" t="s">
        <v>3430</v>
      </c>
      <c r="G425" s="746" t="s">
        <v>1129</v>
      </c>
      <c r="H425" s="745" t="s">
        <v>3714</v>
      </c>
      <c r="I425" s="745" t="s">
        <v>3635</v>
      </c>
      <c r="J425" s="796">
        <v>27.76</v>
      </c>
      <c r="K425" s="795"/>
    </row>
    <row r="426" spans="1:11" ht="21.95" customHeight="1" thickBot="1">
      <c r="A426" s="748" t="s">
        <v>4616</v>
      </c>
      <c r="B426" s="748"/>
      <c r="C426" s="749" t="s">
        <v>3715</v>
      </c>
      <c r="D426" s="748" t="s">
        <v>1127</v>
      </c>
      <c r="E426" s="748" t="s">
        <v>1154</v>
      </c>
      <c r="F426" s="748" t="s">
        <v>1187</v>
      </c>
      <c r="G426" s="750" t="s">
        <v>284</v>
      </c>
      <c r="H426" s="749" t="s">
        <v>3716</v>
      </c>
      <c r="I426" s="749" t="s">
        <v>3717</v>
      </c>
      <c r="J426" s="794">
        <v>59.64</v>
      </c>
      <c r="K426" s="795"/>
    </row>
    <row r="427" spans="1:11" ht="0.95" customHeight="1" thickTop="1">
      <c r="A427" s="747"/>
      <c r="B427" s="747"/>
      <c r="C427" s="747"/>
      <c r="D427" s="747"/>
      <c r="E427" s="747"/>
      <c r="F427" s="747"/>
      <c r="G427" s="747"/>
      <c r="H427" s="747"/>
      <c r="I427" s="747"/>
      <c r="J427" s="747"/>
      <c r="K427" s="747"/>
    </row>
    <row r="428" spans="1:11" ht="18" customHeight="1">
      <c r="A428" s="738"/>
      <c r="B428" s="738" t="s">
        <v>60</v>
      </c>
      <c r="C428" s="739" t="s">
        <v>3312</v>
      </c>
      <c r="D428" s="738" t="s">
        <v>3602</v>
      </c>
      <c r="E428" s="738" t="s">
        <v>3313</v>
      </c>
      <c r="F428" s="738" t="s">
        <v>3390</v>
      </c>
      <c r="G428" s="740" t="s">
        <v>70</v>
      </c>
      <c r="H428" s="739" t="s">
        <v>64</v>
      </c>
      <c r="I428" s="739" t="s">
        <v>3617</v>
      </c>
      <c r="J428" s="797" t="s">
        <v>474</v>
      </c>
      <c r="K428" s="795"/>
    </row>
    <row r="429" spans="1:11" ht="33" customHeight="1">
      <c r="A429" s="741" t="s">
        <v>4608</v>
      </c>
      <c r="B429" s="741" t="s">
        <v>4742</v>
      </c>
      <c r="C429" s="742" t="s">
        <v>3408</v>
      </c>
      <c r="D429" s="741" t="s">
        <v>3604</v>
      </c>
      <c r="E429" s="741" t="s">
        <v>536</v>
      </c>
      <c r="F429" s="741" t="s">
        <v>3410</v>
      </c>
      <c r="G429" s="743" t="s">
        <v>284</v>
      </c>
      <c r="H429" s="742">
        <v>1</v>
      </c>
      <c r="I429" s="742" t="s">
        <v>3698</v>
      </c>
      <c r="J429" s="798" t="s">
        <v>3698</v>
      </c>
      <c r="K429" s="795"/>
    </row>
    <row r="430" spans="1:11" ht="33" customHeight="1" thickBot="1">
      <c r="A430" s="748" t="s">
        <v>4616</v>
      </c>
      <c r="B430" s="748"/>
      <c r="C430" s="749" t="s">
        <v>3699</v>
      </c>
      <c r="D430" s="748" t="s">
        <v>1127</v>
      </c>
      <c r="E430" s="748" t="s">
        <v>536</v>
      </c>
      <c r="F430" s="748" t="s">
        <v>1187</v>
      </c>
      <c r="G430" s="750" t="s">
        <v>284</v>
      </c>
      <c r="H430" s="749" t="s">
        <v>3610</v>
      </c>
      <c r="I430" s="749" t="s">
        <v>3698</v>
      </c>
      <c r="J430" s="794">
        <v>294.68</v>
      </c>
      <c r="K430" s="795"/>
    </row>
    <row r="431" spans="1:11" ht="0.95" customHeight="1" thickTop="1">
      <c r="A431" s="747"/>
      <c r="B431" s="747"/>
      <c r="C431" s="747"/>
      <c r="D431" s="747"/>
      <c r="E431" s="747"/>
      <c r="F431" s="747"/>
      <c r="G431" s="747"/>
      <c r="H431" s="747"/>
      <c r="I431" s="747"/>
      <c r="J431" s="747"/>
      <c r="K431" s="747"/>
    </row>
    <row r="432" spans="1:11" ht="18" customHeight="1">
      <c r="A432" s="738"/>
      <c r="B432" s="738" t="s">
        <v>60</v>
      </c>
      <c r="C432" s="739" t="s">
        <v>3312</v>
      </c>
      <c r="D432" s="738" t="s">
        <v>3602</v>
      </c>
      <c r="E432" s="738" t="s">
        <v>3313</v>
      </c>
      <c r="F432" s="738" t="s">
        <v>3390</v>
      </c>
      <c r="G432" s="740" t="s">
        <v>70</v>
      </c>
      <c r="H432" s="739" t="s">
        <v>64</v>
      </c>
      <c r="I432" s="739" t="s">
        <v>3617</v>
      </c>
      <c r="J432" s="797" t="s">
        <v>474</v>
      </c>
      <c r="K432" s="795"/>
    </row>
    <row r="433" spans="1:11" ht="21.95" customHeight="1">
      <c r="A433" s="741" t="s">
        <v>4608</v>
      </c>
      <c r="B433" s="741" t="s">
        <v>4743</v>
      </c>
      <c r="C433" s="742" t="s">
        <v>3419</v>
      </c>
      <c r="D433" s="741" t="s">
        <v>3604</v>
      </c>
      <c r="E433" s="741" t="s">
        <v>606</v>
      </c>
      <c r="F433" s="741" t="s">
        <v>3410</v>
      </c>
      <c r="G433" s="743" t="s">
        <v>94</v>
      </c>
      <c r="H433" s="742">
        <v>1</v>
      </c>
      <c r="I433" s="742" t="s">
        <v>3718</v>
      </c>
      <c r="J433" s="798" t="s">
        <v>3718</v>
      </c>
      <c r="K433" s="795"/>
    </row>
    <row r="434" spans="1:11" ht="21.95" customHeight="1">
      <c r="A434" s="744" t="s">
        <v>4611</v>
      </c>
      <c r="B434" s="744"/>
      <c r="C434" s="745" t="s">
        <v>3719</v>
      </c>
      <c r="D434" s="744" t="s">
        <v>1127</v>
      </c>
      <c r="E434" s="744" t="s">
        <v>1157</v>
      </c>
      <c r="F434" s="744" t="s">
        <v>3430</v>
      </c>
      <c r="G434" s="746" t="s">
        <v>1129</v>
      </c>
      <c r="H434" s="745" t="s">
        <v>3711</v>
      </c>
      <c r="I434" s="745" t="s">
        <v>3720</v>
      </c>
      <c r="J434" s="796">
        <v>0.32</v>
      </c>
      <c r="K434" s="795"/>
    </row>
    <row r="435" spans="1:11" ht="21.95" customHeight="1">
      <c r="A435" s="744" t="s">
        <v>4611</v>
      </c>
      <c r="B435" s="744"/>
      <c r="C435" s="745" t="s">
        <v>3721</v>
      </c>
      <c r="D435" s="744" t="s">
        <v>1127</v>
      </c>
      <c r="E435" s="744" t="s">
        <v>1158</v>
      </c>
      <c r="F435" s="744" t="s">
        <v>3430</v>
      </c>
      <c r="G435" s="746" t="s">
        <v>1129</v>
      </c>
      <c r="H435" s="745" t="s">
        <v>3711</v>
      </c>
      <c r="I435" s="745" t="s">
        <v>3722</v>
      </c>
      <c r="J435" s="796">
        <v>0.26</v>
      </c>
      <c r="K435" s="795"/>
    </row>
    <row r="436" spans="1:11" ht="21.95" customHeight="1">
      <c r="A436" s="744" t="s">
        <v>4611</v>
      </c>
      <c r="B436" s="744"/>
      <c r="C436" s="745" t="s">
        <v>3723</v>
      </c>
      <c r="D436" s="744" t="s">
        <v>1127</v>
      </c>
      <c r="E436" s="744" t="s">
        <v>1159</v>
      </c>
      <c r="F436" s="744" t="s">
        <v>3430</v>
      </c>
      <c r="G436" s="746" t="s">
        <v>1129</v>
      </c>
      <c r="H436" s="745" t="s">
        <v>3724</v>
      </c>
      <c r="I436" s="745" t="s">
        <v>3725</v>
      </c>
      <c r="J436" s="796">
        <v>0.05</v>
      </c>
      <c r="K436" s="795"/>
    </row>
    <row r="437" spans="1:11" ht="21.95" customHeight="1">
      <c r="A437" s="744" t="s">
        <v>4611</v>
      </c>
      <c r="B437" s="744"/>
      <c r="C437" s="745" t="s">
        <v>3633</v>
      </c>
      <c r="D437" s="744" t="s">
        <v>1127</v>
      </c>
      <c r="E437" s="744" t="s">
        <v>1146</v>
      </c>
      <c r="F437" s="744" t="s">
        <v>3430</v>
      </c>
      <c r="G437" s="746" t="s">
        <v>1129</v>
      </c>
      <c r="H437" s="745" t="s">
        <v>3724</v>
      </c>
      <c r="I437" s="745" t="s">
        <v>3635</v>
      </c>
      <c r="J437" s="796">
        <v>0.04</v>
      </c>
      <c r="K437" s="795"/>
    </row>
    <row r="438" spans="1:11" ht="21.95" customHeight="1">
      <c r="A438" s="744" t="s">
        <v>4611</v>
      </c>
      <c r="B438" s="744"/>
      <c r="C438" s="745" t="s">
        <v>3726</v>
      </c>
      <c r="D438" s="744" t="s">
        <v>1127</v>
      </c>
      <c r="E438" s="744" t="s">
        <v>1160</v>
      </c>
      <c r="F438" s="744" t="s">
        <v>3430</v>
      </c>
      <c r="G438" s="746" t="s">
        <v>1129</v>
      </c>
      <c r="H438" s="745" t="s">
        <v>3727</v>
      </c>
      <c r="I438" s="745" t="s">
        <v>3728</v>
      </c>
      <c r="J438" s="796">
        <v>0.35</v>
      </c>
      <c r="K438" s="795"/>
    </row>
    <row r="439" spans="1:11" ht="21.95" customHeight="1">
      <c r="A439" s="744" t="s">
        <v>4611</v>
      </c>
      <c r="B439" s="744"/>
      <c r="C439" s="745" t="s">
        <v>3729</v>
      </c>
      <c r="D439" s="744" t="s">
        <v>1127</v>
      </c>
      <c r="E439" s="744" t="s">
        <v>1161</v>
      </c>
      <c r="F439" s="744" t="s">
        <v>3430</v>
      </c>
      <c r="G439" s="746" t="s">
        <v>1129</v>
      </c>
      <c r="H439" s="745" t="s">
        <v>3727</v>
      </c>
      <c r="I439" s="745" t="s">
        <v>4619</v>
      </c>
      <c r="J439" s="796">
        <v>0.67</v>
      </c>
      <c r="K439" s="795"/>
    </row>
    <row r="440" spans="1:11" ht="21.95" customHeight="1">
      <c r="A440" s="748" t="s">
        <v>4616</v>
      </c>
      <c r="B440" s="748"/>
      <c r="C440" s="749" t="s">
        <v>3730</v>
      </c>
      <c r="D440" s="748" t="s">
        <v>3604</v>
      </c>
      <c r="E440" s="748" t="s">
        <v>1156</v>
      </c>
      <c r="F440" s="748" t="s">
        <v>1187</v>
      </c>
      <c r="G440" s="750" t="s">
        <v>94</v>
      </c>
      <c r="H440" s="749" t="s">
        <v>3731</v>
      </c>
      <c r="I440" s="749" t="s">
        <v>3732</v>
      </c>
      <c r="J440" s="794">
        <v>2.56</v>
      </c>
      <c r="K440" s="795"/>
    </row>
    <row r="441" spans="1:11" ht="21.95" customHeight="1">
      <c r="A441" s="748" t="s">
        <v>4616</v>
      </c>
      <c r="B441" s="748"/>
      <c r="C441" s="749" t="s">
        <v>3733</v>
      </c>
      <c r="D441" s="748" t="s">
        <v>1127</v>
      </c>
      <c r="E441" s="748" t="s">
        <v>3734</v>
      </c>
      <c r="F441" s="748" t="s">
        <v>1187</v>
      </c>
      <c r="G441" s="750" t="s">
        <v>101</v>
      </c>
      <c r="H441" s="749" t="s">
        <v>3735</v>
      </c>
      <c r="I441" s="749" t="s">
        <v>3736</v>
      </c>
      <c r="J441" s="794">
        <v>2.4500000000000002</v>
      </c>
      <c r="K441" s="795"/>
    </row>
    <row r="442" spans="1:11" ht="21.95" customHeight="1">
      <c r="A442" s="748" t="s">
        <v>4616</v>
      </c>
      <c r="B442" s="748"/>
      <c r="C442" s="749" t="s">
        <v>3737</v>
      </c>
      <c r="D442" s="748" t="s">
        <v>1127</v>
      </c>
      <c r="E442" s="748" t="s">
        <v>1162</v>
      </c>
      <c r="F442" s="748" t="s">
        <v>1187</v>
      </c>
      <c r="G442" s="750" t="s">
        <v>1163</v>
      </c>
      <c r="H442" s="749" t="s">
        <v>3738</v>
      </c>
      <c r="I442" s="749" t="s">
        <v>3739</v>
      </c>
      <c r="J442" s="794">
        <v>0.04</v>
      </c>
      <c r="K442" s="795"/>
    </row>
    <row r="443" spans="1:11" ht="21.95" customHeight="1">
      <c r="A443" s="748" t="s">
        <v>4616</v>
      </c>
      <c r="B443" s="748"/>
      <c r="C443" s="749" t="s">
        <v>3740</v>
      </c>
      <c r="D443" s="748" t="s">
        <v>1127</v>
      </c>
      <c r="E443" s="748" t="s">
        <v>1220</v>
      </c>
      <c r="F443" s="748" t="s">
        <v>1187</v>
      </c>
      <c r="G443" s="750" t="s">
        <v>94</v>
      </c>
      <c r="H443" s="749" t="s">
        <v>3741</v>
      </c>
      <c r="I443" s="749" t="s">
        <v>3742</v>
      </c>
      <c r="J443" s="794">
        <v>0.15</v>
      </c>
      <c r="K443" s="795"/>
    </row>
    <row r="444" spans="1:11" ht="21.95" customHeight="1" thickBot="1">
      <c r="A444" s="748" t="s">
        <v>4616</v>
      </c>
      <c r="B444" s="748"/>
      <c r="C444" s="749" t="s">
        <v>3743</v>
      </c>
      <c r="D444" s="748" t="s">
        <v>1127</v>
      </c>
      <c r="E444" s="748" t="s">
        <v>1164</v>
      </c>
      <c r="F444" s="748" t="s">
        <v>1187</v>
      </c>
      <c r="G444" s="750" t="s">
        <v>1163</v>
      </c>
      <c r="H444" s="749" t="s">
        <v>3744</v>
      </c>
      <c r="I444" s="749" t="s">
        <v>3745</v>
      </c>
      <c r="J444" s="794">
        <v>0</v>
      </c>
      <c r="K444" s="795"/>
    </row>
    <row r="445" spans="1:11" ht="0.95" customHeight="1" thickTop="1">
      <c r="A445" s="747"/>
      <c r="B445" s="747"/>
      <c r="C445" s="747"/>
      <c r="D445" s="747"/>
      <c r="E445" s="747"/>
      <c r="F445" s="747"/>
      <c r="G445" s="747"/>
      <c r="H445" s="747"/>
      <c r="I445" s="747"/>
      <c r="J445" s="747"/>
      <c r="K445" s="747"/>
    </row>
    <row r="446" spans="1:11" ht="18" customHeight="1">
      <c r="A446" s="738"/>
      <c r="B446" s="738" t="s">
        <v>60</v>
      </c>
      <c r="C446" s="739" t="s">
        <v>3312</v>
      </c>
      <c r="D446" s="738" t="s">
        <v>3602</v>
      </c>
      <c r="E446" s="738" t="s">
        <v>3313</v>
      </c>
      <c r="F446" s="738" t="s">
        <v>3390</v>
      </c>
      <c r="G446" s="740" t="s">
        <v>70</v>
      </c>
      <c r="H446" s="739" t="s">
        <v>64</v>
      </c>
      <c r="I446" s="739" t="s">
        <v>3617</v>
      </c>
      <c r="J446" s="797" t="s">
        <v>474</v>
      </c>
      <c r="K446" s="795"/>
    </row>
    <row r="447" spans="1:11" ht="21.95" customHeight="1">
      <c r="A447" s="741" t="s">
        <v>4608</v>
      </c>
      <c r="B447" s="741" t="s">
        <v>4744</v>
      </c>
      <c r="C447" s="742" t="s">
        <v>3420</v>
      </c>
      <c r="D447" s="741" t="s">
        <v>3604</v>
      </c>
      <c r="E447" s="741" t="s">
        <v>608</v>
      </c>
      <c r="F447" s="741" t="s">
        <v>3410</v>
      </c>
      <c r="G447" s="743" t="s">
        <v>94</v>
      </c>
      <c r="H447" s="742">
        <v>1</v>
      </c>
      <c r="I447" s="742" t="s">
        <v>4643</v>
      </c>
      <c r="J447" s="798" t="s">
        <v>4643</v>
      </c>
      <c r="K447" s="795"/>
    </row>
    <row r="448" spans="1:11" ht="21.95" customHeight="1">
      <c r="A448" s="744" t="s">
        <v>4611</v>
      </c>
      <c r="B448" s="744"/>
      <c r="C448" s="745" t="s">
        <v>3746</v>
      </c>
      <c r="D448" s="744" t="s">
        <v>1127</v>
      </c>
      <c r="E448" s="744" t="s">
        <v>1165</v>
      </c>
      <c r="F448" s="744" t="s">
        <v>3430</v>
      </c>
      <c r="G448" s="746" t="s">
        <v>1129</v>
      </c>
      <c r="H448" s="745" t="s">
        <v>3711</v>
      </c>
      <c r="I448" s="745" t="s">
        <v>3747</v>
      </c>
      <c r="J448" s="796">
        <v>0.22</v>
      </c>
      <c r="K448" s="795"/>
    </row>
    <row r="449" spans="1:11" ht="21.95" customHeight="1">
      <c r="A449" s="744" t="s">
        <v>4611</v>
      </c>
      <c r="B449" s="744"/>
      <c r="C449" s="745" t="s">
        <v>3726</v>
      </c>
      <c r="D449" s="744" t="s">
        <v>1127</v>
      </c>
      <c r="E449" s="744" t="s">
        <v>1160</v>
      </c>
      <c r="F449" s="744" t="s">
        <v>3430</v>
      </c>
      <c r="G449" s="746" t="s">
        <v>1129</v>
      </c>
      <c r="H449" s="745" t="s">
        <v>3748</v>
      </c>
      <c r="I449" s="745" t="s">
        <v>3728</v>
      </c>
      <c r="J449" s="796">
        <v>0.52</v>
      </c>
      <c r="K449" s="795"/>
    </row>
    <row r="450" spans="1:11" ht="33" customHeight="1" thickBot="1">
      <c r="A450" s="744" t="s">
        <v>4611</v>
      </c>
      <c r="B450" s="744"/>
      <c r="C450" s="745" t="s">
        <v>4644</v>
      </c>
      <c r="D450" s="744" t="s">
        <v>1127</v>
      </c>
      <c r="E450" s="744" t="s">
        <v>4645</v>
      </c>
      <c r="F450" s="744" t="s">
        <v>3757</v>
      </c>
      <c r="G450" s="746" t="s">
        <v>1169</v>
      </c>
      <c r="H450" s="745" t="s">
        <v>3749</v>
      </c>
      <c r="I450" s="745" t="s">
        <v>4646</v>
      </c>
      <c r="J450" s="796">
        <v>1.48</v>
      </c>
      <c r="K450" s="795"/>
    </row>
    <row r="451" spans="1:11" ht="0.95" customHeight="1" thickTop="1">
      <c r="A451" s="747"/>
      <c r="B451" s="747"/>
      <c r="C451" s="747"/>
      <c r="D451" s="747"/>
      <c r="E451" s="747"/>
      <c r="F451" s="747"/>
      <c r="G451" s="747"/>
      <c r="H451" s="747"/>
      <c r="I451" s="747"/>
      <c r="J451" s="747"/>
      <c r="K451" s="747"/>
    </row>
    <row r="452" spans="1:11" ht="18" customHeight="1">
      <c r="A452" s="738"/>
      <c r="B452" s="738" t="s">
        <v>60</v>
      </c>
      <c r="C452" s="739" t="s">
        <v>3312</v>
      </c>
      <c r="D452" s="738" t="s">
        <v>3602</v>
      </c>
      <c r="E452" s="738" t="s">
        <v>3313</v>
      </c>
      <c r="F452" s="738" t="s">
        <v>3390</v>
      </c>
      <c r="G452" s="740" t="s">
        <v>70</v>
      </c>
      <c r="H452" s="739" t="s">
        <v>64</v>
      </c>
      <c r="I452" s="739" t="s">
        <v>3617</v>
      </c>
      <c r="J452" s="797" t="s">
        <v>474</v>
      </c>
      <c r="K452" s="795"/>
    </row>
    <row r="453" spans="1:11" ht="44.1" customHeight="1">
      <c r="A453" s="741" t="s">
        <v>4608</v>
      </c>
      <c r="B453" s="741" t="s">
        <v>4745</v>
      </c>
      <c r="C453" s="742" t="s">
        <v>3462</v>
      </c>
      <c r="D453" s="741" t="s">
        <v>3604</v>
      </c>
      <c r="E453" s="741" t="s">
        <v>2688</v>
      </c>
      <c r="F453" s="741" t="s">
        <v>3410</v>
      </c>
      <c r="G453" s="743" t="s">
        <v>94</v>
      </c>
      <c r="H453" s="742">
        <v>1</v>
      </c>
      <c r="I453" s="742" t="s">
        <v>4116</v>
      </c>
      <c r="J453" s="798" t="s">
        <v>4116</v>
      </c>
      <c r="K453" s="795"/>
    </row>
    <row r="454" spans="1:11" ht="21.95" customHeight="1">
      <c r="A454" s="744" t="s">
        <v>4611</v>
      </c>
      <c r="B454" s="744"/>
      <c r="C454" s="745" t="s">
        <v>3661</v>
      </c>
      <c r="D454" s="744" t="s">
        <v>1127</v>
      </c>
      <c r="E454" s="744" t="s">
        <v>1133</v>
      </c>
      <c r="F454" s="744" t="s">
        <v>3430</v>
      </c>
      <c r="G454" s="746" t="s">
        <v>1129</v>
      </c>
      <c r="H454" s="745" t="s">
        <v>4495</v>
      </c>
      <c r="I454" s="745" t="s">
        <v>3663</v>
      </c>
      <c r="J454" s="796">
        <v>0.08</v>
      </c>
      <c r="K454" s="795"/>
    </row>
    <row r="455" spans="1:11" ht="21.95" customHeight="1">
      <c r="A455" s="744" t="s">
        <v>4611</v>
      </c>
      <c r="B455" s="744"/>
      <c r="C455" s="745" t="s">
        <v>3664</v>
      </c>
      <c r="D455" s="744" t="s">
        <v>1127</v>
      </c>
      <c r="E455" s="744" t="s">
        <v>1134</v>
      </c>
      <c r="F455" s="744" t="s">
        <v>3430</v>
      </c>
      <c r="G455" s="746" t="s">
        <v>1129</v>
      </c>
      <c r="H455" s="745" t="s">
        <v>4496</v>
      </c>
      <c r="I455" s="745" t="s">
        <v>4619</v>
      </c>
      <c r="J455" s="796">
        <v>0.62</v>
      </c>
      <c r="K455" s="795"/>
    </row>
    <row r="456" spans="1:11" ht="33" customHeight="1">
      <c r="A456" s="744" t="s">
        <v>4611</v>
      </c>
      <c r="B456" s="744"/>
      <c r="C456" s="745" t="s">
        <v>4497</v>
      </c>
      <c r="D456" s="744" t="s">
        <v>1127</v>
      </c>
      <c r="E456" s="744" t="s">
        <v>4648</v>
      </c>
      <c r="F456" s="744" t="s">
        <v>3410</v>
      </c>
      <c r="G456" s="746" t="s">
        <v>94</v>
      </c>
      <c r="H456" s="745" t="s">
        <v>3610</v>
      </c>
      <c r="I456" s="745" t="s">
        <v>4498</v>
      </c>
      <c r="J456" s="796">
        <v>3.95</v>
      </c>
      <c r="K456" s="795"/>
    </row>
    <row r="457" spans="1:11" ht="21.95" customHeight="1">
      <c r="A457" s="748" t="s">
        <v>4616</v>
      </c>
      <c r="B457" s="748"/>
      <c r="C457" s="749" t="s">
        <v>3668</v>
      </c>
      <c r="D457" s="748" t="s">
        <v>1127</v>
      </c>
      <c r="E457" s="748" t="s">
        <v>1137</v>
      </c>
      <c r="F457" s="748" t="s">
        <v>1187</v>
      </c>
      <c r="G457" s="750" t="s">
        <v>94</v>
      </c>
      <c r="H457" s="749" t="s">
        <v>3669</v>
      </c>
      <c r="I457" s="749" t="s">
        <v>3670</v>
      </c>
      <c r="J457" s="794">
        <v>0.19</v>
      </c>
      <c r="K457" s="795"/>
    </row>
    <row r="458" spans="1:11" ht="33" customHeight="1" thickBot="1">
      <c r="A458" s="748" t="s">
        <v>4616</v>
      </c>
      <c r="B458" s="748"/>
      <c r="C458" s="749" t="s">
        <v>3671</v>
      </c>
      <c r="D458" s="748" t="s">
        <v>1127</v>
      </c>
      <c r="E458" s="748" t="s">
        <v>3672</v>
      </c>
      <c r="F458" s="748" t="s">
        <v>1187</v>
      </c>
      <c r="G458" s="750" t="s">
        <v>57</v>
      </c>
      <c r="H458" s="749" t="s">
        <v>4499</v>
      </c>
      <c r="I458" s="749" t="s">
        <v>3674</v>
      </c>
      <c r="J458" s="794">
        <v>0</v>
      </c>
      <c r="K458" s="795"/>
    </row>
    <row r="459" spans="1:11" ht="0.95" customHeight="1" thickTop="1">
      <c r="A459" s="747"/>
      <c r="B459" s="747"/>
      <c r="C459" s="747"/>
      <c r="D459" s="747"/>
      <c r="E459" s="747"/>
      <c r="F459" s="747"/>
      <c r="G459" s="747"/>
      <c r="H459" s="747"/>
      <c r="I459" s="747"/>
      <c r="J459" s="747"/>
      <c r="K459" s="747"/>
    </row>
    <row r="460" spans="1:11" ht="18" customHeight="1">
      <c r="A460" s="738"/>
      <c r="B460" s="738" t="s">
        <v>60</v>
      </c>
      <c r="C460" s="739" t="s">
        <v>3312</v>
      </c>
      <c r="D460" s="738" t="s">
        <v>3602</v>
      </c>
      <c r="E460" s="738" t="s">
        <v>3313</v>
      </c>
      <c r="F460" s="738" t="s">
        <v>3390</v>
      </c>
      <c r="G460" s="740" t="s">
        <v>70</v>
      </c>
      <c r="H460" s="739" t="s">
        <v>64</v>
      </c>
      <c r="I460" s="739" t="s">
        <v>3617</v>
      </c>
      <c r="J460" s="797" t="s">
        <v>474</v>
      </c>
      <c r="K460" s="795"/>
    </row>
    <row r="461" spans="1:11" ht="21.95" customHeight="1">
      <c r="A461" s="741" t="s">
        <v>4608</v>
      </c>
      <c r="B461" s="741" t="s">
        <v>4746</v>
      </c>
      <c r="C461" s="742" t="s">
        <v>3434</v>
      </c>
      <c r="D461" s="741" t="s">
        <v>3604</v>
      </c>
      <c r="E461" s="741" t="s">
        <v>830</v>
      </c>
      <c r="F461" s="741" t="s">
        <v>3750</v>
      </c>
      <c r="G461" s="743" t="s">
        <v>108</v>
      </c>
      <c r="H461" s="742">
        <v>1</v>
      </c>
      <c r="I461" s="742" t="s">
        <v>3751</v>
      </c>
      <c r="J461" s="798" t="s">
        <v>3751</v>
      </c>
      <c r="K461" s="795"/>
    </row>
    <row r="462" spans="1:11" ht="21.95" customHeight="1">
      <c r="A462" s="744" t="s">
        <v>4611</v>
      </c>
      <c r="B462" s="744"/>
      <c r="C462" s="745" t="s">
        <v>3633</v>
      </c>
      <c r="D462" s="744" t="s">
        <v>1127</v>
      </c>
      <c r="E462" s="744" t="s">
        <v>1146</v>
      </c>
      <c r="F462" s="744" t="s">
        <v>3430</v>
      </c>
      <c r="G462" s="746" t="s">
        <v>1129</v>
      </c>
      <c r="H462" s="745" t="s">
        <v>3752</v>
      </c>
      <c r="I462" s="745" t="s">
        <v>3635</v>
      </c>
      <c r="J462" s="796">
        <v>1.33</v>
      </c>
      <c r="K462" s="795"/>
    </row>
    <row r="463" spans="1:11" ht="21.95" customHeight="1">
      <c r="A463" s="744" t="s">
        <v>4611</v>
      </c>
      <c r="B463" s="744"/>
      <c r="C463" s="745" t="s">
        <v>3753</v>
      </c>
      <c r="D463" s="744" t="s">
        <v>1127</v>
      </c>
      <c r="E463" s="744" t="s">
        <v>1167</v>
      </c>
      <c r="F463" s="744" t="s">
        <v>3430</v>
      </c>
      <c r="G463" s="746" t="s">
        <v>1129</v>
      </c>
      <c r="H463" s="745" t="s">
        <v>3754</v>
      </c>
      <c r="I463" s="745" t="s">
        <v>3755</v>
      </c>
      <c r="J463" s="796">
        <v>1.39</v>
      </c>
      <c r="K463" s="795"/>
    </row>
    <row r="464" spans="1:11" ht="33" customHeight="1">
      <c r="A464" s="744" t="s">
        <v>4611</v>
      </c>
      <c r="B464" s="744"/>
      <c r="C464" s="745" t="s">
        <v>3756</v>
      </c>
      <c r="D464" s="744" t="s">
        <v>1127</v>
      </c>
      <c r="E464" s="744" t="s">
        <v>1168</v>
      </c>
      <c r="F464" s="744" t="s">
        <v>3757</v>
      </c>
      <c r="G464" s="746" t="s">
        <v>1169</v>
      </c>
      <c r="H464" s="745" t="s">
        <v>3758</v>
      </c>
      <c r="I464" s="745" t="s">
        <v>3759</v>
      </c>
      <c r="J464" s="796">
        <v>0.18</v>
      </c>
      <c r="K464" s="795"/>
    </row>
    <row r="465" spans="1:11" ht="33" customHeight="1">
      <c r="A465" s="744" t="s">
        <v>4611</v>
      </c>
      <c r="B465" s="744"/>
      <c r="C465" s="745" t="s">
        <v>3760</v>
      </c>
      <c r="D465" s="744" t="s">
        <v>1127</v>
      </c>
      <c r="E465" s="744" t="s">
        <v>1170</v>
      </c>
      <c r="F465" s="744" t="s">
        <v>3757</v>
      </c>
      <c r="G465" s="746" t="s">
        <v>1171</v>
      </c>
      <c r="H465" s="745" t="s">
        <v>3761</v>
      </c>
      <c r="I465" s="745" t="s">
        <v>3762</v>
      </c>
      <c r="J465" s="796">
        <v>0.09</v>
      </c>
      <c r="K465" s="795"/>
    </row>
    <row r="466" spans="1:11" ht="21.95" customHeight="1">
      <c r="A466" s="748" t="s">
        <v>4616</v>
      </c>
      <c r="B466" s="748"/>
      <c r="C466" s="749" t="s">
        <v>3763</v>
      </c>
      <c r="D466" s="748" t="s">
        <v>1127</v>
      </c>
      <c r="E466" s="748" t="s">
        <v>1172</v>
      </c>
      <c r="F466" s="748" t="s">
        <v>1187</v>
      </c>
      <c r="G466" s="750" t="s">
        <v>108</v>
      </c>
      <c r="H466" s="749" t="s">
        <v>3764</v>
      </c>
      <c r="I466" s="749" t="s">
        <v>3765</v>
      </c>
      <c r="J466" s="794">
        <v>30.77</v>
      </c>
      <c r="K466" s="795"/>
    </row>
    <row r="467" spans="1:11" ht="33" customHeight="1" thickBot="1">
      <c r="A467" s="748" t="s">
        <v>4616</v>
      </c>
      <c r="B467" s="748"/>
      <c r="C467" s="749" t="s">
        <v>3766</v>
      </c>
      <c r="D467" s="748" t="s">
        <v>1127</v>
      </c>
      <c r="E467" s="748" t="s">
        <v>1173</v>
      </c>
      <c r="F467" s="748" t="s">
        <v>1187</v>
      </c>
      <c r="G467" s="750" t="s">
        <v>283</v>
      </c>
      <c r="H467" s="749" t="s">
        <v>3767</v>
      </c>
      <c r="I467" s="749" t="s">
        <v>3768</v>
      </c>
      <c r="J467" s="794">
        <v>4.5999999999999996</v>
      </c>
      <c r="K467" s="795"/>
    </row>
    <row r="468" spans="1:11" ht="0.95" customHeight="1" thickTop="1">
      <c r="A468" s="747"/>
      <c r="B468" s="747"/>
      <c r="C468" s="747"/>
      <c r="D468" s="747"/>
      <c r="E468" s="747"/>
      <c r="F468" s="747"/>
      <c r="G468" s="747"/>
      <c r="H468" s="747"/>
      <c r="I468" s="747"/>
      <c r="J468" s="747"/>
      <c r="K468" s="747"/>
    </row>
    <row r="469" spans="1:11" ht="18" customHeight="1">
      <c r="A469" s="738"/>
      <c r="B469" s="738" t="s">
        <v>60</v>
      </c>
      <c r="C469" s="739" t="s">
        <v>3312</v>
      </c>
      <c r="D469" s="738" t="s">
        <v>3602</v>
      </c>
      <c r="E469" s="738" t="s">
        <v>3313</v>
      </c>
      <c r="F469" s="738" t="s">
        <v>3390</v>
      </c>
      <c r="G469" s="740" t="s">
        <v>70</v>
      </c>
      <c r="H469" s="739" t="s">
        <v>64</v>
      </c>
      <c r="I469" s="739" t="s">
        <v>3617</v>
      </c>
      <c r="J469" s="797" t="s">
        <v>474</v>
      </c>
      <c r="K469" s="795"/>
    </row>
    <row r="470" spans="1:11" ht="33" customHeight="1">
      <c r="A470" s="741" t="s">
        <v>4608</v>
      </c>
      <c r="B470" s="741" t="s">
        <v>4747</v>
      </c>
      <c r="C470" s="742" t="s">
        <v>3431</v>
      </c>
      <c r="D470" s="741" t="s">
        <v>3604</v>
      </c>
      <c r="E470" s="741" t="s">
        <v>2667</v>
      </c>
      <c r="F470" s="741" t="s">
        <v>3417</v>
      </c>
      <c r="G470" s="743" t="s">
        <v>108</v>
      </c>
      <c r="H470" s="742">
        <v>1</v>
      </c>
      <c r="I470" s="742" t="s">
        <v>4672</v>
      </c>
      <c r="J470" s="798" t="s">
        <v>4672</v>
      </c>
      <c r="K470" s="795"/>
    </row>
    <row r="471" spans="1:11" ht="21.95" customHeight="1">
      <c r="A471" s="744" t="s">
        <v>4611</v>
      </c>
      <c r="B471" s="744"/>
      <c r="C471" s="745" t="s">
        <v>3807</v>
      </c>
      <c r="D471" s="744" t="s">
        <v>1127</v>
      </c>
      <c r="E471" s="744" t="s">
        <v>1188</v>
      </c>
      <c r="F471" s="744" t="s">
        <v>3430</v>
      </c>
      <c r="G471" s="746" t="s">
        <v>1129</v>
      </c>
      <c r="H471" s="745" t="s">
        <v>3808</v>
      </c>
      <c r="I471" s="745" t="s">
        <v>3809</v>
      </c>
      <c r="J471" s="796">
        <v>20.49</v>
      </c>
      <c r="K471" s="795"/>
    </row>
    <row r="472" spans="1:11" ht="21.95" customHeight="1">
      <c r="A472" s="744" t="s">
        <v>4611</v>
      </c>
      <c r="B472" s="744"/>
      <c r="C472" s="745" t="s">
        <v>3633</v>
      </c>
      <c r="D472" s="744" t="s">
        <v>1127</v>
      </c>
      <c r="E472" s="744" t="s">
        <v>1146</v>
      </c>
      <c r="F472" s="744" t="s">
        <v>3430</v>
      </c>
      <c r="G472" s="746" t="s">
        <v>1129</v>
      </c>
      <c r="H472" s="745" t="s">
        <v>3810</v>
      </c>
      <c r="I472" s="745" t="s">
        <v>3635</v>
      </c>
      <c r="J472" s="796">
        <v>9.02</v>
      </c>
      <c r="K472" s="795"/>
    </row>
    <row r="473" spans="1:11" ht="21.95" customHeight="1">
      <c r="A473" s="748" t="s">
        <v>4616</v>
      </c>
      <c r="B473" s="748"/>
      <c r="C473" s="749" t="s">
        <v>3811</v>
      </c>
      <c r="D473" s="748" t="s">
        <v>1127</v>
      </c>
      <c r="E473" s="748" t="s">
        <v>3812</v>
      </c>
      <c r="F473" s="748" t="s">
        <v>1187</v>
      </c>
      <c r="G473" s="750" t="s">
        <v>108</v>
      </c>
      <c r="H473" s="749" t="s">
        <v>3764</v>
      </c>
      <c r="I473" s="749" t="s">
        <v>3813</v>
      </c>
      <c r="J473" s="794">
        <v>116.44</v>
      </c>
      <c r="K473" s="795"/>
    </row>
    <row r="474" spans="1:11" ht="21.95" customHeight="1" thickBot="1">
      <c r="A474" s="748" t="s">
        <v>4616</v>
      </c>
      <c r="B474" s="748"/>
      <c r="C474" s="749" t="s">
        <v>3814</v>
      </c>
      <c r="D474" s="748" t="s">
        <v>1127</v>
      </c>
      <c r="E474" s="748" t="s">
        <v>1245</v>
      </c>
      <c r="F474" s="748" t="s">
        <v>1187</v>
      </c>
      <c r="G474" s="750" t="s">
        <v>94</v>
      </c>
      <c r="H474" s="749" t="s">
        <v>3815</v>
      </c>
      <c r="I474" s="749" t="s">
        <v>3816</v>
      </c>
      <c r="J474" s="794">
        <v>19.14</v>
      </c>
      <c r="K474" s="795"/>
    </row>
    <row r="475" spans="1:11" ht="0.95" customHeight="1" thickTop="1">
      <c r="A475" s="747"/>
      <c r="B475" s="747"/>
      <c r="C475" s="747"/>
      <c r="D475" s="747"/>
      <c r="E475" s="747"/>
      <c r="F475" s="747"/>
      <c r="G475" s="747"/>
      <c r="H475" s="747"/>
      <c r="I475" s="747"/>
      <c r="J475" s="747"/>
      <c r="K475" s="747"/>
    </row>
    <row r="476" spans="1:11" ht="18" customHeight="1">
      <c r="A476" s="738"/>
      <c r="B476" s="738" t="s">
        <v>60</v>
      </c>
      <c r="C476" s="739" t="s">
        <v>3312</v>
      </c>
      <c r="D476" s="738" t="s">
        <v>3602</v>
      </c>
      <c r="E476" s="738" t="s">
        <v>3313</v>
      </c>
      <c r="F476" s="738" t="s">
        <v>3390</v>
      </c>
      <c r="G476" s="740" t="s">
        <v>70</v>
      </c>
      <c r="H476" s="739" t="s">
        <v>64</v>
      </c>
      <c r="I476" s="739" t="s">
        <v>3617</v>
      </c>
      <c r="J476" s="797" t="s">
        <v>474</v>
      </c>
      <c r="K476" s="795"/>
    </row>
    <row r="477" spans="1:11" ht="33" customHeight="1">
      <c r="A477" s="741" t="s">
        <v>4608</v>
      </c>
      <c r="B477" s="741" t="s">
        <v>4748</v>
      </c>
      <c r="C477" s="742" t="s">
        <v>3491</v>
      </c>
      <c r="D477" s="741" t="s">
        <v>3604</v>
      </c>
      <c r="E477" s="741" t="s">
        <v>2599</v>
      </c>
      <c r="F477" s="741" t="s">
        <v>3493</v>
      </c>
      <c r="G477" s="743" t="s">
        <v>101</v>
      </c>
      <c r="H477" s="742">
        <v>1</v>
      </c>
      <c r="I477" s="742" t="s">
        <v>4674</v>
      </c>
      <c r="J477" s="798" t="s">
        <v>4674</v>
      </c>
      <c r="K477" s="795"/>
    </row>
    <row r="478" spans="1:11" ht="21.95" customHeight="1">
      <c r="A478" s="744" t="s">
        <v>4611</v>
      </c>
      <c r="B478" s="744"/>
      <c r="C478" s="745" t="s">
        <v>3817</v>
      </c>
      <c r="D478" s="744" t="s">
        <v>1127</v>
      </c>
      <c r="E478" s="744" t="s">
        <v>1471</v>
      </c>
      <c r="F478" s="744" t="s">
        <v>3430</v>
      </c>
      <c r="G478" s="746" t="s">
        <v>1129</v>
      </c>
      <c r="H478" s="745" t="s">
        <v>3818</v>
      </c>
      <c r="I478" s="745" t="s">
        <v>3819</v>
      </c>
      <c r="J478" s="796">
        <v>6.51</v>
      </c>
      <c r="K478" s="795"/>
    </row>
    <row r="479" spans="1:11" ht="21.95" customHeight="1">
      <c r="A479" s="744" t="s">
        <v>4611</v>
      </c>
      <c r="B479" s="744"/>
      <c r="C479" s="745" t="s">
        <v>3633</v>
      </c>
      <c r="D479" s="744" t="s">
        <v>1127</v>
      </c>
      <c r="E479" s="744" t="s">
        <v>1146</v>
      </c>
      <c r="F479" s="744" t="s">
        <v>3430</v>
      </c>
      <c r="G479" s="746" t="s">
        <v>1129</v>
      </c>
      <c r="H479" s="745" t="s">
        <v>3820</v>
      </c>
      <c r="I479" s="745" t="s">
        <v>3635</v>
      </c>
      <c r="J479" s="796">
        <v>2.77</v>
      </c>
      <c r="K479" s="795"/>
    </row>
    <row r="480" spans="1:11" ht="21.95" customHeight="1">
      <c r="A480" s="744" t="s">
        <v>4611</v>
      </c>
      <c r="B480" s="744"/>
      <c r="C480" s="745" t="s">
        <v>3821</v>
      </c>
      <c r="D480" s="744" t="s">
        <v>1127</v>
      </c>
      <c r="E480" s="744" t="s">
        <v>2600</v>
      </c>
      <c r="F480" s="744" t="s">
        <v>3430</v>
      </c>
      <c r="G480" s="746" t="s">
        <v>284</v>
      </c>
      <c r="H480" s="745" t="s">
        <v>3724</v>
      </c>
      <c r="I480" s="745" t="s">
        <v>4675</v>
      </c>
      <c r="J480" s="796">
        <v>1.37</v>
      </c>
      <c r="K480" s="795"/>
    </row>
    <row r="481" spans="1:11" ht="21.95" customHeight="1" thickBot="1">
      <c r="A481" s="748" t="s">
        <v>4616</v>
      </c>
      <c r="B481" s="748"/>
      <c r="C481" s="749" t="s">
        <v>4676</v>
      </c>
      <c r="D481" s="748" t="s">
        <v>3604</v>
      </c>
      <c r="E481" s="748" t="s">
        <v>4677</v>
      </c>
      <c r="F481" s="748" t="s">
        <v>1187</v>
      </c>
      <c r="G481" s="750" t="s">
        <v>108</v>
      </c>
      <c r="H481" s="749" t="s">
        <v>4367</v>
      </c>
      <c r="I481" s="749" t="s">
        <v>3866</v>
      </c>
      <c r="J481" s="794">
        <v>68.25</v>
      </c>
      <c r="K481" s="795"/>
    </row>
    <row r="482" spans="1:11" ht="0.95" customHeight="1" thickTop="1">
      <c r="A482" s="747"/>
      <c r="B482" s="747"/>
      <c r="C482" s="747"/>
      <c r="D482" s="747"/>
      <c r="E482" s="747"/>
      <c r="F482" s="747"/>
      <c r="G482" s="747"/>
      <c r="H482" s="747"/>
      <c r="I482" s="747"/>
      <c r="J482" s="747"/>
      <c r="K482" s="747"/>
    </row>
    <row r="483" spans="1:11" ht="18" customHeight="1">
      <c r="A483" s="738"/>
      <c r="B483" s="738" t="s">
        <v>60</v>
      </c>
      <c r="C483" s="739" t="s">
        <v>3312</v>
      </c>
      <c r="D483" s="738" t="s">
        <v>3602</v>
      </c>
      <c r="E483" s="738" t="s">
        <v>3313</v>
      </c>
      <c r="F483" s="738" t="s">
        <v>3390</v>
      </c>
      <c r="G483" s="740" t="s">
        <v>70</v>
      </c>
      <c r="H483" s="739" t="s">
        <v>64</v>
      </c>
      <c r="I483" s="739" t="s">
        <v>3617</v>
      </c>
      <c r="J483" s="797" t="s">
        <v>474</v>
      </c>
      <c r="K483" s="795"/>
    </row>
    <row r="484" spans="1:11" ht="44.1" customHeight="1">
      <c r="A484" s="741" t="s">
        <v>4608</v>
      </c>
      <c r="B484" s="741" t="s">
        <v>4749</v>
      </c>
      <c r="C484" s="742" t="s">
        <v>3542</v>
      </c>
      <c r="D484" s="741" t="s">
        <v>3604</v>
      </c>
      <c r="E484" s="741" t="s">
        <v>819</v>
      </c>
      <c r="F484" s="741" t="s">
        <v>3428</v>
      </c>
      <c r="G484" s="743" t="s">
        <v>57</v>
      </c>
      <c r="H484" s="742">
        <v>1</v>
      </c>
      <c r="I484" s="742" t="s">
        <v>4655</v>
      </c>
      <c r="J484" s="798" t="s">
        <v>4655</v>
      </c>
      <c r="K484" s="795"/>
    </row>
    <row r="485" spans="1:11" ht="21.95" customHeight="1">
      <c r="A485" s="744" t="s">
        <v>4611</v>
      </c>
      <c r="B485" s="744"/>
      <c r="C485" s="745" t="s">
        <v>3631</v>
      </c>
      <c r="D485" s="744" t="s">
        <v>1127</v>
      </c>
      <c r="E485" s="744" t="s">
        <v>1145</v>
      </c>
      <c r="F485" s="744" t="s">
        <v>3430</v>
      </c>
      <c r="G485" s="746" t="s">
        <v>1129</v>
      </c>
      <c r="H485" s="745" t="s">
        <v>3769</v>
      </c>
      <c r="I485" s="745" t="s">
        <v>3632</v>
      </c>
      <c r="J485" s="796">
        <v>59.09</v>
      </c>
      <c r="K485" s="795"/>
    </row>
    <row r="486" spans="1:11" ht="21.95" customHeight="1">
      <c r="A486" s="744" t="s">
        <v>4611</v>
      </c>
      <c r="B486" s="744"/>
      <c r="C486" s="745" t="s">
        <v>3633</v>
      </c>
      <c r="D486" s="744" t="s">
        <v>1127</v>
      </c>
      <c r="E486" s="744" t="s">
        <v>1146</v>
      </c>
      <c r="F486" s="744" t="s">
        <v>3430</v>
      </c>
      <c r="G486" s="746" t="s">
        <v>1129</v>
      </c>
      <c r="H486" s="745" t="s">
        <v>3770</v>
      </c>
      <c r="I486" s="745" t="s">
        <v>3635</v>
      </c>
      <c r="J486" s="796">
        <v>24.01</v>
      </c>
      <c r="K486" s="795"/>
    </row>
    <row r="487" spans="1:11" ht="21.95" customHeight="1">
      <c r="A487" s="744" t="s">
        <v>4611</v>
      </c>
      <c r="B487" s="744"/>
      <c r="C487" s="745" t="s">
        <v>3771</v>
      </c>
      <c r="D487" s="744" t="s">
        <v>1127</v>
      </c>
      <c r="E487" s="744" t="s">
        <v>1174</v>
      </c>
      <c r="F487" s="744" t="s">
        <v>3430</v>
      </c>
      <c r="G487" s="746" t="s">
        <v>284</v>
      </c>
      <c r="H487" s="745" t="s">
        <v>3727</v>
      </c>
      <c r="I487" s="745" t="s">
        <v>3772</v>
      </c>
      <c r="J487" s="796">
        <v>15.89</v>
      </c>
      <c r="K487" s="795"/>
    </row>
    <row r="488" spans="1:11" ht="21.95" customHeight="1" thickBot="1">
      <c r="A488" s="748" t="s">
        <v>4616</v>
      </c>
      <c r="B488" s="748"/>
      <c r="C488" s="749" t="s">
        <v>3773</v>
      </c>
      <c r="D488" s="748" t="s">
        <v>3604</v>
      </c>
      <c r="E488" s="748" t="s">
        <v>1175</v>
      </c>
      <c r="F488" s="748" t="s">
        <v>1187</v>
      </c>
      <c r="G488" s="750" t="s">
        <v>57</v>
      </c>
      <c r="H488" s="749" t="s">
        <v>3610</v>
      </c>
      <c r="I488" s="749" t="s">
        <v>4656</v>
      </c>
      <c r="J488" s="794">
        <v>1100</v>
      </c>
      <c r="K488" s="795"/>
    </row>
    <row r="489" spans="1:11" ht="0.95" customHeight="1" thickTop="1">
      <c r="A489" s="747"/>
      <c r="B489" s="747"/>
      <c r="C489" s="747"/>
      <c r="D489" s="747"/>
      <c r="E489" s="747"/>
      <c r="F489" s="747"/>
      <c r="G489" s="747"/>
      <c r="H489" s="747"/>
      <c r="I489" s="747"/>
      <c r="J489" s="747"/>
      <c r="K489" s="747"/>
    </row>
    <row r="490" spans="1:11" ht="18" customHeight="1">
      <c r="A490" s="738"/>
      <c r="B490" s="738" t="s">
        <v>60</v>
      </c>
      <c r="C490" s="739" t="s">
        <v>3312</v>
      </c>
      <c r="D490" s="738" t="s">
        <v>3602</v>
      </c>
      <c r="E490" s="738" t="s">
        <v>3313</v>
      </c>
      <c r="F490" s="738" t="s">
        <v>3390</v>
      </c>
      <c r="G490" s="740" t="s">
        <v>70</v>
      </c>
      <c r="H490" s="739" t="s">
        <v>64</v>
      </c>
      <c r="I490" s="739" t="s">
        <v>3617</v>
      </c>
      <c r="J490" s="797" t="s">
        <v>474</v>
      </c>
      <c r="K490" s="795"/>
    </row>
    <row r="491" spans="1:11" ht="44.1" customHeight="1">
      <c r="A491" s="741" t="s">
        <v>4608</v>
      </c>
      <c r="B491" s="741" t="s">
        <v>4750</v>
      </c>
      <c r="C491" s="742" t="s">
        <v>3544</v>
      </c>
      <c r="D491" s="741" t="s">
        <v>3604</v>
      </c>
      <c r="E491" s="741" t="s">
        <v>2610</v>
      </c>
      <c r="F491" s="741" t="s">
        <v>3428</v>
      </c>
      <c r="G491" s="743" t="s">
        <v>57</v>
      </c>
      <c r="H491" s="742">
        <v>1</v>
      </c>
      <c r="I491" s="742" t="s">
        <v>4668</v>
      </c>
      <c r="J491" s="798" t="s">
        <v>4668</v>
      </c>
      <c r="K491" s="795"/>
    </row>
    <row r="492" spans="1:11" ht="21.95" customHeight="1">
      <c r="A492" s="744" t="s">
        <v>4611</v>
      </c>
      <c r="B492" s="744"/>
      <c r="C492" s="745" t="s">
        <v>3631</v>
      </c>
      <c r="D492" s="744" t="s">
        <v>1127</v>
      </c>
      <c r="E492" s="744" t="s">
        <v>1145</v>
      </c>
      <c r="F492" s="744" t="s">
        <v>3430</v>
      </c>
      <c r="G492" s="746" t="s">
        <v>1129</v>
      </c>
      <c r="H492" s="745" t="s">
        <v>3797</v>
      </c>
      <c r="I492" s="745" t="s">
        <v>3632</v>
      </c>
      <c r="J492" s="796">
        <v>57.38</v>
      </c>
      <c r="K492" s="795"/>
    </row>
    <row r="493" spans="1:11" ht="21.95" customHeight="1">
      <c r="A493" s="744" t="s">
        <v>4611</v>
      </c>
      <c r="B493" s="744"/>
      <c r="C493" s="745" t="s">
        <v>3633</v>
      </c>
      <c r="D493" s="744" t="s">
        <v>1127</v>
      </c>
      <c r="E493" s="744" t="s">
        <v>1146</v>
      </c>
      <c r="F493" s="744" t="s">
        <v>3430</v>
      </c>
      <c r="G493" s="746" t="s">
        <v>1129</v>
      </c>
      <c r="H493" s="745" t="s">
        <v>3797</v>
      </c>
      <c r="I493" s="745" t="s">
        <v>3635</v>
      </c>
      <c r="J493" s="796">
        <v>46.63</v>
      </c>
      <c r="K493" s="795"/>
    </row>
    <row r="494" spans="1:11" ht="21.95" customHeight="1">
      <c r="A494" s="744" t="s">
        <v>4611</v>
      </c>
      <c r="B494" s="744"/>
      <c r="C494" s="745" t="s">
        <v>3771</v>
      </c>
      <c r="D494" s="744" t="s">
        <v>1127</v>
      </c>
      <c r="E494" s="744" t="s">
        <v>1174</v>
      </c>
      <c r="F494" s="744" t="s">
        <v>3430</v>
      </c>
      <c r="G494" s="746" t="s">
        <v>284</v>
      </c>
      <c r="H494" s="745" t="s">
        <v>3798</v>
      </c>
      <c r="I494" s="745" t="s">
        <v>3772</v>
      </c>
      <c r="J494" s="796">
        <v>31.78</v>
      </c>
      <c r="K494" s="795"/>
    </row>
    <row r="495" spans="1:11" ht="21.95" customHeight="1" thickBot="1">
      <c r="A495" s="748" t="s">
        <v>4616</v>
      </c>
      <c r="B495" s="748"/>
      <c r="C495" s="749" t="s">
        <v>3799</v>
      </c>
      <c r="D495" s="748" t="s">
        <v>3604</v>
      </c>
      <c r="E495" s="748" t="s">
        <v>1872</v>
      </c>
      <c r="F495" s="748" t="s">
        <v>1187</v>
      </c>
      <c r="G495" s="750" t="s">
        <v>57</v>
      </c>
      <c r="H495" s="749" t="s">
        <v>3610</v>
      </c>
      <c r="I495" s="749" t="s">
        <v>3800</v>
      </c>
      <c r="J495" s="794">
        <v>990</v>
      </c>
      <c r="K495" s="795"/>
    </row>
    <row r="496" spans="1:11" ht="0.95" customHeight="1" thickTop="1">
      <c r="A496" s="747"/>
      <c r="B496" s="747"/>
      <c r="C496" s="747"/>
      <c r="D496" s="747"/>
      <c r="E496" s="747"/>
      <c r="F496" s="747"/>
      <c r="G496" s="747"/>
      <c r="H496" s="747"/>
      <c r="I496" s="747"/>
      <c r="J496" s="747"/>
      <c r="K496" s="747"/>
    </row>
    <row r="497" spans="1:11" ht="18" customHeight="1">
      <c r="A497" s="738"/>
      <c r="B497" s="738" t="s">
        <v>60</v>
      </c>
      <c r="C497" s="739" t="s">
        <v>3312</v>
      </c>
      <c r="D497" s="738" t="s">
        <v>3602</v>
      </c>
      <c r="E497" s="738" t="s">
        <v>3313</v>
      </c>
      <c r="F497" s="738" t="s">
        <v>3390</v>
      </c>
      <c r="G497" s="740" t="s">
        <v>70</v>
      </c>
      <c r="H497" s="739" t="s">
        <v>64</v>
      </c>
      <c r="I497" s="739" t="s">
        <v>3617</v>
      </c>
      <c r="J497" s="797" t="s">
        <v>474</v>
      </c>
      <c r="K497" s="795"/>
    </row>
    <row r="498" spans="1:11" ht="44.1" customHeight="1">
      <c r="A498" s="741" t="s">
        <v>4608</v>
      </c>
      <c r="B498" s="741" t="s">
        <v>4751</v>
      </c>
      <c r="C498" s="742" t="s">
        <v>3427</v>
      </c>
      <c r="D498" s="741" t="s">
        <v>3604</v>
      </c>
      <c r="E498" s="741" t="s">
        <v>827</v>
      </c>
      <c r="F498" s="741" t="s">
        <v>3428</v>
      </c>
      <c r="G498" s="743" t="s">
        <v>57</v>
      </c>
      <c r="H498" s="742">
        <v>1</v>
      </c>
      <c r="I498" s="742" t="s">
        <v>4752</v>
      </c>
      <c r="J498" s="798" t="s">
        <v>4752</v>
      </c>
      <c r="K498" s="795"/>
    </row>
    <row r="499" spans="1:11" ht="21.95" customHeight="1">
      <c r="A499" s="744" t="s">
        <v>4611</v>
      </c>
      <c r="B499" s="744"/>
      <c r="C499" s="745" t="s">
        <v>3631</v>
      </c>
      <c r="D499" s="744" t="s">
        <v>1127</v>
      </c>
      <c r="E499" s="744" t="s">
        <v>1145</v>
      </c>
      <c r="F499" s="744" t="s">
        <v>3430</v>
      </c>
      <c r="G499" s="746" t="s">
        <v>1129</v>
      </c>
      <c r="H499" s="745" t="s">
        <v>3998</v>
      </c>
      <c r="I499" s="745" t="s">
        <v>3632</v>
      </c>
      <c r="J499" s="796">
        <v>55.54</v>
      </c>
      <c r="K499" s="795"/>
    </row>
    <row r="500" spans="1:11" ht="21.95" customHeight="1">
      <c r="A500" s="744" t="s">
        <v>4611</v>
      </c>
      <c r="B500" s="744"/>
      <c r="C500" s="745" t="s">
        <v>3633</v>
      </c>
      <c r="D500" s="744" t="s">
        <v>1127</v>
      </c>
      <c r="E500" s="744" t="s">
        <v>1146</v>
      </c>
      <c r="F500" s="744" t="s">
        <v>3430</v>
      </c>
      <c r="G500" s="746" t="s">
        <v>1129</v>
      </c>
      <c r="H500" s="745" t="s">
        <v>3999</v>
      </c>
      <c r="I500" s="745" t="s">
        <v>3635</v>
      </c>
      <c r="J500" s="796">
        <v>22.56</v>
      </c>
      <c r="K500" s="795"/>
    </row>
    <row r="501" spans="1:11" ht="21.95" customHeight="1">
      <c r="A501" s="744" t="s">
        <v>4611</v>
      </c>
      <c r="B501" s="744"/>
      <c r="C501" s="745" t="s">
        <v>3771</v>
      </c>
      <c r="D501" s="744" t="s">
        <v>1127</v>
      </c>
      <c r="E501" s="744" t="s">
        <v>1174</v>
      </c>
      <c r="F501" s="744" t="s">
        <v>3430</v>
      </c>
      <c r="G501" s="746" t="s">
        <v>284</v>
      </c>
      <c r="H501" s="745" t="s">
        <v>4000</v>
      </c>
      <c r="I501" s="745" t="s">
        <v>3772</v>
      </c>
      <c r="J501" s="796">
        <v>10.72</v>
      </c>
      <c r="K501" s="795"/>
    </row>
    <row r="502" spans="1:11" ht="33" customHeight="1">
      <c r="A502" s="744" t="s">
        <v>4611</v>
      </c>
      <c r="B502" s="744"/>
      <c r="C502" s="745" t="s">
        <v>4001</v>
      </c>
      <c r="D502" s="744" t="s">
        <v>1127</v>
      </c>
      <c r="E502" s="744" t="s">
        <v>1247</v>
      </c>
      <c r="F502" s="744" t="s">
        <v>3493</v>
      </c>
      <c r="G502" s="746" t="s">
        <v>108</v>
      </c>
      <c r="H502" s="745" t="s">
        <v>3990</v>
      </c>
      <c r="I502" s="745" t="s">
        <v>4753</v>
      </c>
      <c r="J502" s="796">
        <v>124.72</v>
      </c>
      <c r="K502" s="795"/>
    </row>
    <row r="503" spans="1:11" ht="21.95" customHeight="1" thickBot="1">
      <c r="A503" s="748" t="s">
        <v>4616</v>
      </c>
      <c r="B503" s="748"/>
      <c r="C503" s="749" t="s">
        <v>4002</v>
      </c>
      <c r="D503" s="748" t="s">
        <v>3604</v>
      </c>
      <c r="E503" s="748" t="s">
        <v>1248</v>
      </c>
      <c r="F503" s="748" t="s">
        <v>1187</v>
      </c>
      <c r="G503" s="750" t="s">
        <v>57</v>
      </c>
      <c r="H503" s="749" t="s">
        <v>3610</v>
      </c>
      <c r="I503" s="749" t="s">
        <v>4003</v>
      </c>
      <c r="J503" s="794">
        <v>2310</v>
      </c>
      <c r="K503" s="795"/>
    </row>
    <row r="504" spans="1:11" ht="0.95" customHeight="1" thickTop="1">
      <c r="A504" s="747"/>
      <c r="B504" s="747"/>
      <c r="C504" s="747"/>
      <c r="D504" s="747"/>
      <c r="E504" s="747"/>
      <c r="F504" s="747"/>
      <c r="G504" s="747"/>
      <c r="H504" s="747"/>
      <c r="I504" s="747"/>
      <c r="J504" s="747"/>
      <c r="K504" s="747"/>
    </row>
    <row r="505" spans="1:11" ht="18" customHeight="1">
      <c r="A505" s="738"/>
      <c r="B505" s="738" t="s">
        <v>60</v>
      </c>
      <c r="C505" s="739" t="s">
        <v>3312</v>
      </c>
      <c r="D505" s="738" t="s">
        <v>3602</v>
      </c>
      <c r="E505" s="738" t="s">
        <v>3313</v>
      </c>
      <c r="F505" s="738" t="s">
        <v>3390</v>
      </c>
      <c r="G505" s="740" t="s">
        <v>70</v>
      </c>
      <c r="H505" s="739" t="s">
        <v>64</v>
      </c>
      <c r="I505" s="739" t="s">
        <v>3617</v>
      </c>
      <c r="J505" s="797" t="s">
        <v>474</v>
      </c>
      <c r="K505" s="795"/>
    </row>
    <row r="506" spans="1:11" ht="21.95" customHeight="1">
      <c r="A506" s="741" t="s">
        <v>4608</v>
      </c>
      <c r="B506" s="741" t="s">
        <v>4754</v>
      </c>
      <c r="C506" s="742" t="s">
        <v>3460</v>
      </c>
      <c r="D506" s="741" t="s">
        <v>3604</v>
      </c>
      <c r="E506" s="741" t="s">
        <v>2677</v>
      </c>
      <c r="F506" s="741" t="s">
        <v>3423</v>
      </c>
      <c r="G506" s="743" t="s">
        <v>108</v>
      </c>
      <c r="H506" s="742">
        <v>1</v>
      </c>
      <c r="I506" s="742" t="s">
        <v>4679</v>
      </c>
      <c r="J506" s="798" t="s">
        <v>4679</v>
      </c>
      <c r="K506" s="795"/>
    </row>
    <row r="507" spans="1:11" ht="21.95" customHeight="1">
      <c r="A507" s="744" t="s">
        <v>4611</v>
      </c>
      <c r="B507" s="744"/>
      <c r="C507" s="745" t="s">
        <v>3723</v>
      </c>
      <c r="D507" s="744" t="s">
        <v>1127</v>
      </c>
      <c r="E507" s="744" t="s">
        <v>1159</v>
      </c>
      <c r="F507" s="744" t="s">
        <v>3430</v>
      </c>
      <c r="G507" s="746" t="s">
        <v>1129</v>
      </c>
      <c r="H507" s="745" t="s">
        <v>3701</v>
      </c>
      <c r="I507" s="745" t="s">
        <v>3725</v>
      </c>
      <c r="J507" s="796">
        <v>5.95</v>
      </c>
      <c r="K507" s="795"/>
    </row>
    <row r="508" spans="1:11" ht="21.95" customHeight="1">
      <c r="A508" s="744" t="s">
        <v>4611</v>
      </c>
      <c r="B508" s="744"/>
      <c r="C508" s="745" t="s">
        <v>3633</v>
      </c>
      <c r="D508" s="744" t="s">
        <v>1127</v>
      </c>
      <c r="E508" s="744" t="s">
        <v>1146</v>
      </c>
      <c r="F508" s="744" t="s">
        <v>3430</v>
      </c>
      <c r="G508" s="746" t="s">
        <v>1129</v>
      </c>
      <c r="H508" s="745" t="s">
        <v>3822</v>
      </c>
      <c r="I508" s="745" t="s">
        <v>3635</v>
      </c>
      <c r="J508" s="796">
        <v>3.47</v>
      </c>
      <c r="K508" s="795"/>
    </row>
    <row r="509" spans="1:11" ht="21.95" customHeight="1">
      <c r="A509" s="748" t="s">
        <v>4616</v>
      </c>
      <c r="B509" s="748"/>
      <c r="C509" s="749" t="s">
        <v>3823</v>
      </c>
      <c r="D509" s="748" t="s">
        <v>1127</v>
      </c>
      <c r="E509" s="748" t="s">
        <v>1987</v>
      </c>
      <c r="F509" s="748" t="s">
        <v>1187</v>
      </c>
      <c r="G509" s="750" t="s">
        <v>57</v>
      </c>
      <c r="H509" s="749" t="s">
        <v>3713</v>
      </c>
      <c r="I509" s="749" t="s">
        <v>3824</v>
      </c>
      <c r="J509" s="794">
        <v>0.2</v>
      </c>
      <c r="K509" s="795"/>
    </row>
    <row r="510" spans="1:11" ht="21.95" customHeight="1" thickBot="1">
      <c r="A510" s="748" t="s">
        <v>4616</v>
      </c>
      <c r="B510" s="748"/>
      <c r="C510" s="749" t="s">
        <v>3825</v>
      </c>
      <c r="D510" s="748" t="s">
        <v>1127</v>
      </c>
      <c r="E510" s="748" t="s">
        <v>3826</v>
      </c>
      <c r="F510" s="748" t="s">
        <v>1187</v>
      </c>
      <c r="G510" s="750" t="s">
        <v>3827</v>
      </c>
      <c r="H510" s="749" t="s">
        <v>3828</v>
      </c>
      <c r="I510" s="749" t="s">
        <v>3829</v>
      </c>
      <c r="J510" s="794">
        <v>3.44</v>
      </c>
      <c r="K510" s="795"/>
    </row>
    <row r="511" spans="1:11" ht="0.95" customHeight="1" thickTop="1">
      <c r="A511" s="747"/>
      <c r="B511" s="747"/>
      <c r="C511" s="747"/>
      <c r="D511" s="747"/>
      <c r="E511" s="747"/>
      <c r="F511" s="747"/>
      <c r="G511" s="747"/>
      <c r="H511" s="747"/>
      <c r="I511" s="747"/>
      <c r="J511" s="747"/>
      <c r="K511" s="747"/>
    </row>
    <row r="512" spans="1:11" ht="18" customHeight="1">
      <c r="A512" s="738"/>
      <c r="B512" s="738" t="s">
        <v>60</v>
      </c>
      <c r="C512" s="739" t="s">
        <v>3312</v>
      </c>
      <c r="D512" s="738" t="s">
        <v>3602</v>
      </c>
      <c r="E512" s="738" t="s">
        <v>3313</v>
      </c>
      <c r="F512" s="738" t="s">
        <v>3390</v>
      </c>
      <c r="G512" s="740" t="s">
        <v>70</v>
      </c>
      <c r="H512" s="739" t="s">
        <v>64</v>
      </c>
      <c r="I512" s="739" t="s">
        <v>3617</v>
      </c>
      <c r="J512" s="797" t="s">
        <v>474</v>
      </c>
      <c r="K512" s="795"/>
    </row>
    <row r="513" spans="1:11" ht="21.95" customHeight="1">
      <c r="A513" s="741" t="s">
        <v>4608</v>
      </c>
      <c r="B513" s="741" t="s">
        <v>4755</v>
      </c>
      <c r="C513" s="742" t="s">
        <v>3422</v>
      </c>
      <c r="D513" s="741" t="s">
        <v>3604</v>
      </c>
      <c r="E513" s="741" t="s">
        <v>2005</v>
      </c>
      <c r="F513" s="741" t="s">
        <v>3423</v>
      </c>
      <c r="G513" s="743" t="s">
        <v>108</v>
      </c>
      <c r="H513" s="742">
        <v>1</v>
      </c>
      <c r="I513" s="742" t="s">
        <v>3830</v>
      </c>
      <c r="J513" s="798" t="s">
        <v>3830</v>
      </c>
      <c r="K513" s="795"/>
    </row>
    <row r="514" spans="1:11" ht="21.95" customHeight="1">
      <c r="A514" s="744" t="s">
        <v>4611</v>
      </c>
      <c r="B514" s="744"/>
      <c r="C514" s="745" t="s">
        <v>3723</v>
      </c>
      <c r="D514" s="744" t="s">
        <v>1127</v>
      </c>
      <c r="E514" s="744" t="s">
        <v>1159</v>
      </c>
      <c r="F514" s="744" t="s">
        <v>3430</v>
      </c>
      <c r="G514" s="746" t="s">
        <v>1129</v>
      </c>
      <c r="H514" s="745" t="s">
        <v>3820</v>
      </c>
      <c r="I514" s="745" t="s">
        <v>3725</v>
      </c>
      <c r="J514" s="796">
        <v>3.4</v>
      </c>
      <c r="K514" s="795"/>
    </row>
    <row r="515" spans="1:11" ht="21.95" customHeight="1">
      <c r="A515" s="744" t="s">
        <v>4611</v>
      </c>
      <c r="B515" s="744"/>
      <c r="C515" s="745" t="s">
        <v>3831</v>
      </c>
      <c r="D515" s="744" t="s">
        <v>1127</v>
      </c>
      <c r="E515" s="744" t="s">
        <v>1229</v>
      </c>
      <c r="F515" s="744" t="s">
        <v>3430</v>
      </c>
      <c r="G515" s="746" t="s">
        <v>1129</v>
      </c>
      <c r="H515" s="745" t="s">
        <v>3832</v>
      </c>
      <c r="I515" s="745" t="s">
        <v>3833</v>
      </c>
      <c r="J515" s="796">
        <v>2.62</v>
      </c>
      <c r="K515" s="795"/>
    </row>
    <row r="516" spans="1:11" ht="21.95" customHeight="1">
      <c r="A516" s="748" t="s">
        <v>4616</v>
      </c>
      <c r="B516" s="748"/>
      <c r="C516" s="749" t="s">
        <v>3823</v>
      </c>
      <c r="D516" s="748" t="s">
        <v>1127</v>
      </c>
      <c r="E516" s="748" t="s">
        <v>1987</v>
      </c>
      <c r="F516" s="748" t="s">
        <v>1187</v>
      </c>
      <c r="G516" s="750" t="s">
        <v>57</v>
      </c>
      <c r="H516" s="749" t="s">
        <v>3610</v>
      </c>
      <c r="I516" s="749" t="s">
        <v>3824</v>
      </c>
      <c r="J516" s="794">
        <v>0.69</v>
      </c>
      <c r="K516" s="795"/>
    </row>
    <row r="517" spans="1:11" ht="21.95" customHeight="1" thickBot="1">
      <c r="A517" s="748" t="s">
        <v>4616</v>
      </c>
      <c r="B517" s="748"/>
      <c r="C517" s="749" t="s">
        <v>3834</v>
      </c>
      <c r="D517" s="748" t="s">
        <v>1127</v>
      </c>
      <c r="E517" s="748" t="s">
        <v>2007</v>
      </c>
      <c r="F517" s="748" t="s">
        <v>1187</v>
      </c>
      <c r="G517" s="750" t="s">
        <v>1163</v>
      </c>
      <c r="H517" s="749" t="s">
        <v>3835</v>
      </c>
      <c r="I517" s="749" t="s">
        <v>3836</v>
      </c>
      <c r="J517" s="794">
        <v>5.74</v>
      </c>
      <c r="K517" s="795"/>
    </row>
    <row r="518" spans="1:11" ht="0.95" customHeight="1" thickTop="1">
      <c r="A518" s="747"/>
      <c r="B518" s="747"/>
      <c r="C518" s="747"/>
      <c r="D518" s="747"/>
      <c r="E518" s="747"/>
      <c r="F518" s="747"/>
      <c r="G518" s="747"/>
      <c r="H518" s="747"/>
      <c r="I518" s="747"/>
      <c r="J518" s="747"/>
      <c r="K518" s="747"/>
    </row>
    <row r="519" spans="1:11" ht="18" customHeight="1">
      <c r="A519" s="738"/>
      <c r="B519" s="738" t="s">
        <v>60</v>
      </c>
      <c r="C519" s="739" t="s">
        <v>3312</v>
      </c>
      <c r="D519" s="738" t="s">
        <v>3602</v>
      </c>
      <c r="E519" s="738" t="s">
        <v>3313</v>
      </c>
      <c r="F519" s="738" t="s">
        <v>3390</v>
      </c>
      <c r="G519" s="740" t="s">
        <v>70</v>
      </c>
      <c r="H519" s="739" t="s">
        <v>64</v>
      </c>
      <c r="I519" s="739" t="s">
        <v>3617</v>
      </c>
      <c r="J519" s="797" t="s">
        <v>474</v>
      </c>
      <c r="K519" s="795"/>
    </row>
    <row r="520" spans="1:11" ht="33" customHeight="1">
      <c r="A520" s="741" t="s">
        <v>4608</v>
      </c>
      <c r="B520" s="741" t="s">
        <v>4756</v>
      </c>
      <c r="C520" s="742" t="s">
        <v>3495</v>
      </c>
      <c r="D520" s="741" t="s">
        <v>3604</v>
      </c>
      <c r="E520" s="741" t="s">
        <v>4700</v>
      </c>
      <c r="F520" s="741" t="s">
        <v>3430</v>
      </c>
      <c r="G520" s="743" t="s">
        <v>57</v>
      </c>
      <c r="H520" s="742">
        <v>1</v>
      </c>
      <c r="I520" s="742" t="s">
        <v>4701</v>
      </c>
      <c r="J520" s="798" t="s">
        <v>4701</v>
      </c>
      <c r="K520" s="795"/>
    </row>
    <row r="521" spans="1:11" ht="54.95" customHeight="1">
      <c r="A521" s="744" t="s">
        <v>4611</v>
      </c>
      <c r="B521" s="744"/>
      <c r="C521" s="745" t="s">
        <v>3957</v>
      </c>
      <c r="D521" s="744" t="s">
        <v>1127</v>
      </c>
      <c r="E521" s="744" t="s">
        <v>1256</v>
      </c>
      <c r="F521" s="744" t="s">
        <v>3490</v>
      </c>
      <c r="G521" s="746" t="s">
        <v>108</v>
      </c>
      <c r="H521" s="745" t="s">
        <v>4702</v>
      </c>
      <c r="I521" s="745" t="s">
        <v>4703</v>
      </c>
      <c r="J521" s="796">
        <v>183.09</v>
      </c>
      <c r="K521" s="795"/>
    </row>
    <row r="522" spans="1:11" ht="44.1" customHeight="1">
      <c r="A522" s="744" t="s">
        <v>4611</v>
      </c>
      <c r="B522" s="744"/>
      <c r="C522" s="745" t="s">
        <v>3958</v>
      </c>
      <c r="D522" s="744" t="s">
        <v>1127</v>
      </c>
      <c r="E522" s="744" t="s">
        <v>795</v>
      </c>
      <c r="F522" s="744" t="s">
        <v>3417</v>
      </c>
      <c r="G522" s="746" t="s">
        <v>108</v>
      </c>
      <c r="H522" s="745" t="s">
        <v>4342</v>
      </c>
      <c r="I522" s="745" t="s">
        <v>4672</v>
      </c>
      <c r="J522" s="796">
        <v>1082.99</v>
      </c>
      <c r="K522" s="795"/>
    </row>
    <row r="523" spans="1:11" ht="44.1" customHeight="1">
      <c r="A523" s="744" t="s">
        <v>4611</v>
      </c>
      <c r="B523" s="744"/>
      <c r="C523" s="745" t="s">
        <v>3959</v>
      </c>
      <c r="D523" s="744" t="s">
        <v>1127</v>
      </c>
      <c r="E523" s="744" t="s">
        <v>2662</v>
      </c>
      <c r="F523" s="744" t="s">
        <v>3417</v>
      </c>
      <c r="G523" s="746" t="s">
        <v>108</v>
      </c>
      <c r="H523" s="745" t="s">
        <v>4704</v>
      </c>
      <c r="I523" s="745" t="s">
        <v>3960</v>
      </c>
      <c r="J523" s="796">
        <v>23.75</v>
      </c>
      <c r="K523" s="795"/>
    </row>
    <row r="524" spans="1:11" ht="44.1" customHeight="1">
      <c r="A524" s="744" t="s">
        <v>4611</v>
      </c>
      <c r="B524" s="744"/>
      <c r="C524" s="745" t="s">
        <v>3961</v>
      </c>
      <c r="D524" s="744" t="s">
        <v>1127</v>
      </c>
      <c r="E524" s="744" t="s">
        <v>4705</v>
      </c>
      <c r="F524" s="744" t="s">
        <v>3410</v>
      </c>
      <c r="G524" s="746" t="s">
        <v>94</v>
      </c>
      <c r="H524" s="745" t="s">
        <v>3962</v>
      </c>
      <c r="I524" s="745" t="s">
        <v>3963</v>
      </c>
      <c r="J524" s="796">
        <v>12.05</v>
      </c>
      <c r="K524" s="795"/>
    </row>
    <row r="525" spans="1:11" ht="54.95" customHeight="1">
      <c r="A525" s="744" t="s">
        <v>4611</v>
      </c>
      <c r="B525" s="744"/>
      <c r="C525" s="745" t="s">
        <v>3964</v>
      </c>
      <c r="D525" s="744" t="s">
        <v>1127</v>
      </c>
      <c r="E525" s="744" t="s">
        <v>3965</v>
      </c>
      <c r="F525" s="744" t="s">
        <v>3417</v>
      </c>
      <c r="G525" s="746" t="s">
        <v>108</v>
      </c>
      <c r="H525" s="745" t="s">
        <v>4704</v>
      </c>
      <c r="I525" s="745" t="s">
        <v>3966</v>
      </c>
      <c r="J525" s="796">
        <v>211.02</v>
      </c>
      <c r="K525" s="795"/>
    </row>
    <row r="526" spans="1:11" ht="21.95" customHeight="1">
      <c r="A526" s="748" t="s">
        <v>4616</v>
      </c>
      <c r="B526" s="748"/>
      <c r="C526" s="749" t="s">
        <v>3967</v>
      </c>
      <c r="D526" s="748" t="s">
        <v>3604</v>
      </c>
      <c r="E526" s="748" t="s">
        <v>4571</v>
      </c>
      <c r="F526" s="748" t="s">
        <v>1187</v>
      </c>
      <c r="G526" s="750" t="s">
        <v>57</v>
      </c>
      <c r="H526" s="749" t="s">
        <v>3610</v>
      </c>
      <c r="I526" s="749" t="s">
        <v>4706</v>
      </c>
      <c r="J526" s="794">
        <v>3200</v>
      </c>
      <c r="K526" s="795"/>
    </row>
    <row r="527" spans="1:11" ht="21.95" customHeight="1">
      <c r="A527" s="748" t="s">
        <v>4616</v>
      </c>
      <c r="B527" s="748"/>
      <c r="C527" s="749" t="s">
        <v>4707</v>
      </c>
      <c r="D527" s="748" t="s">
        <v>1127</v>
      </c>
      <c r="E527" s="748" t="s">
        <v>4708</v>
      </c>
      <c r="F527" s="748" t="s">
        <v>1187</v>
      </c>
      <c r="G527" s="750" t="s">
        <v>94</v>
      </c>
      <c r="H527" s="749" t="s">
        <v>4709</v>
      </c>
      <c r="I527" s="749" t="s">
        <v>4710</v>
      </c>
      <c r="J527" s="794">
        <v>35.72</v>
      </c>
      <c r="K527" s="795"/>
    </row>
    <row r="528" spans="1:11" ht="21.95" customHeight="1" thickBot="1">
      <c r="A528" s="748" t="s">
        <v>4616</v>
      </c>
      <c r="B528" s="748"/>
      <c r="C528" s="749" t="s">
        <v>4711</v>
      </c>
      <c r="D528" s="748" t="s">
        <v>1127</v>
      </c>
      <c r="E528" s="748" t="s">
        <v>4712</v>
      </c>
      <c r="F528" s="748" t="s">
        <v>1187</v>
      </c>
      <c r="G528" s="750" t="s">
        <v>57</v>
      </c>
      <c r="H528" s="749" t="s">
        <v>4344</v>
      </c>
      <c r="I528" s="749" t="s">
        <v>4713</v>
      </c>
      <c r="J528" s="794">
        <v>12.48</v>
      </c>
      <c r="K528" s="795"/>
    </row>
    <row r="529" spans="1:11" ht="0.95" customHeight="1" thickTop="1">
      <c r="A529" s="747"/>
      <c r="B529" s="747"/>
      <c r="C529" s="747"/>
      <c r="D529" s="747"/>
      <c r="E529" s="747"/>
      <c r="F529" s="747"/>
      <c r="G529" s="747"/>
      <c r="H529" s="747"/>
      <c r="I529" s="747"/>
      <c r="J529" s="747"/>
      <c r="K529" s="747"/>
    </row>
    <row r="530" spans="1:11" ht="18" customHeight="1">
      <c r="A530" s="738"/>
      <c r="B530" s="738" t="s">
        <v>60</v>
      </c>
      <c r="C530" s="739" t="s">
        <v>3312</v>
      </c>
      <c r="D530" s="738" t="s">
        <v>3602</v>
      </c>
      <c r="E530" s="738" t="s">
        <v>3313</v>
      </c>
      <c r="F530" s="738" t="s">
        <v>3390</v>
      </c>
      <c r="G530" s="740" t="s">
        <v>70</v>
      </c>
      <c r="H530" s="739" t="s">
        <v>64</v>
      </c>
      <c r="I530" s="739" t="s">
        <v>3617</v>
      </c>
      <c r="J530" s="797" t="s">
        <v>474</v>
      </c>
      <c r="K530" s="795"/>
    </row>
    <row r="531" spans="1:11" ht="21.95" customHeight="1">
      <c r="A531" s="741" t="s">
        <v>4608</v>
      </c>
      <c r="B531" s="741" t="s">
        <v>4757</v>
      </c>
      <c r="C531" s="742" t="s">
        <v>3440</v>
      </c>
      <c r="D531" s="741" t="s">
        <v>3604</v>
      </c>
      <c r="E531" s="741" t="s">
        <v>815</v>
      </c>
      <c r="F531" s="741" t="s">
        <v>3430</v>
      </c>
      <c r="G531" s="743" t="s">
        <v>57</v>
      </c>
      <c r="H531" s="742">
        <v>1</v>
      </c>
      <c r="I531" s="742" t="s">
        <v>4758</v>
      </c>
      <c r="J531" s="798" t="s">
        <v>4758</v>
      </c>
      <c r="K531" s="795"/>
    </row>
    <row r="532" spans="1:11" ht="21.95" customHeight="1">
      <c r="A532" s="744" t="s">
        <v>4611</v>
      </c>
      <c r="B532" s="744"/>
      <c r="C532" s="745" t="s">
        <v>4004</v>
      </c>
      <c r="D532" s="744" t="s">
        <v>1127</v>
      </c>
      <c r="E532" s="744" t="s">
        <v>1265</v>
      </c>
      <c r="F532" s="744" t="s">
        <v>3430</v>
      </c>
      <c r="G532" s="746" t="s">
        <v>1129</v>
      </c>
      <c r="H532" s="745" t="s">
        <v>3610</v>
      </c>
      <c r="I532" s="745" t="s">
        <v>4005</v>
      </c>
      <c r="J532" s="796">
        <v>17.68</v>
      </c>
      <c r="K532" s="795"/>
    </row>
    <row r="533" spans="1:11" ht="21.95" customHeight="1">
      <c r="A533" s="744" t="s">
        <v>4611</v>
      </c>
      <c r="B533" s="744"/>
      <c r="C533" s="745" t="s">
        <v>3633</v>
      </c>
      <c r="D533" s="744" t="s">
        <v>1127</v>
      </c>
      <c r="E533" s="744" t="s">
        <v>1146</v>
      </c>
      <c r="F533" s="744" t="s">
        <v>3430</v>
      </c>
      <c r="G533" s="746" t="s">
        <v>1129</v>
      </c>
      <c r="H533" s="745" t="s">
        <v>3714</v>
      </c>
      <c r="I533" s="745" t="s">
        <v>3635</v>
      </c>
      <c r="J533" s="796">
        <v>27.76</v>
      </c>
      <c r="K533" s="795"/>
    </row>
    <row r="534" spans="1:11" ht="21.95" customHeight="1" thickBot="1">
      <c r="A534" s="748" t="s">
        <v>4616</v>
      </c>
      <c r="B534" s="748"/>
      <c r="C534" s="749" t="s">
        <v>4006</v>
      </c>
      <c r="D534" s="748" t="s">
        <v>3604</v>
      </c>
      <c r="E534" s="748" t="s">
        <v>1266</v>
      </c>
      <c r="F534" s="748" t="s">
        <v>1187</v>
      </c>
      <c r="G534" s="750" t="s">
        <v>57</v>
      </c>
      <c r="H534" s="749" t="s">
        <v>3610</v>
      </c>
      <c r="I534" s="749" t="s">
        <v>4007</v>
      </c>
      <c r="J534" s="794">
        <v>188.24</v>
      </c>
      <c r="K534" s="795"/>
    </row>
    <row r="535" spans="1:11" ht="0.95" customHeight="1" thickTop="1">
      <c r="A535" s="747"/>
      <c r="B535" s="747"/>
      <c r="C535" s="747"/>
      <c r="D535" s="747"/>
      <c r="E535" s="747"/>
      <c r="F535" s="747"/>
      <c r="G535" s="747"/>
      <c r="H535" s="747"/>
      <c r="I535" s="747"/>
      <c r="J535" s="747"/>
      <c r="K535" s="747"/>
    </row>
    <row r="536" spans="1:11" ht="18" customHeight="1">
      <c r="A536" s="738"/>
      <c r="B536" s="738" t="s">
        <v>60</v>
      </c>
      <c r="C536" s="739" t="s">
        <v>3312</v>
      </c>
      <c r="D536" s="738" t="s">
        <v>3602</v>
      </c>
      <c r="E536" s="738" t="s">
        <v>3313</v>
      </c>
      <c r="F536" s="738" t="s">
        <v>3390</v>
      </c>
      <c r="G536" s="740" t="s">
        <v>70</v>
      </c>
      <c r="H536" s="739" t="s">
        <v>64</v>
      </c>
      <c r="I536" s="739" t="s">
        <v>3617</v>
      </c>
      <c r="J536" s="797" t="s">
        <v>474</v>
      </c>
      <c r="K536" s="795"/>
    </row>
    <row r="537" spans="1:11" ht="21.95" customHeight="1">
      <c r="A537" s="741" t="s">
        <v>4608</v>
      </c>
      <c r="B537" s="741" t="s">
        <v>4759</v>
      </c>
      <c r="C537" s="742" t="s">
        <v>3424</v>
      </c>
      <c r="D537" s="741" t="s">
        <v>3604</v>
      </c>
      <c r="E537" s="741" t="s">
        <v>653</v>
      </c>
      <c r="F537" s="741" t="s">
        <v>3426</v>
      </c>
      <c r="G537" s="743" t="s">
        <v>284</v>
      </c>
      <c r="H537" s="742">
        <v>1</v>
      </c>
      <c r="I537" s="742" t="s">
        <v>3618</v>
      </c>
      <c r="J537" s="798" t="s">
        <v>3618</v>
      </c>
      <c r="K537" s="795"/>
    </row>
    <row r="538" spans="1:11" ht="21.95" customHeight="1" thickBot="1">
      <c r="A538" s="748" t="s">
        <v>4616</v>
      </c>
      <c r="B538" s="748"/>
      <c r="C538" s="749" t="s">
        <v>3619</v>
      </c>
      <c r="D538" s="748" t="s">
        <v>1127</v>
      </c>
      <c r="E538" s="748" t="s">
        <v>3620</v>
      </c>
      <c r="F538" s="748" t="s">
        <v>1187</v>
      </c>
      <c r="G538" s="750" t="s">
        <v>284</v>
      </c>
      <c r="H538" s="749" t="s">
        <v>3610</v>
      </c>
      <c r="I538" s="749" t="s">
        <v>3618</v>
      </c>
      <c r="J538" s="794">
        <v>27.41</v>
      </c>
      <c r="K538" s="795"/>
    </row>
    <row r="539" spans="1:11" ht="0.95" customHeight="1" thickTop="1">
      <c r="A539" s="747"/>
      <c r="B539" s="747"/>
      <c r="C539" s="747"/>
      <c r="D539" s="747"/>
      <c r="E539" s="747"/>
      <c r="F539" s="747"/>
      <c r="G539" s="747"/>
      <c r="H539" s="747"/>
      <c r="I539" s="747"/>
      <c r="J539" s="747"/>
      <c r="K539" s="747"/>
    </row>
    <row r="540" spans="1:11" ht="18" customHeight="1">
      <c r="A540" s="738"/>
      <c r="B540" s="738" t="s">
        <v>60</v>
      </c>
      <c r="C540" s="739" t="s">
        <v>3312</v>
      </c>
      <c r="D540" s="738" t="s">
        <v>3602</v>
      </c>
      <c r="E540" s="738" t="s">
        <v>3313</v>
      </c>
      <c r="F540" s="738" t="s">
        <v>3390</v>
      </c>
      <c r="G540" s="740" t="s">
        <v>70</v>
      </c>
      <c r="H540" s="739" t="s">
        <v>64</v>
      </c>
      <c r="I540" s="739" t="s">
        <v>3617</v>
      </c>
      <c r="J540" s="797" t="s">
        <v>474</v>
      </c>
      <c r="K540" s="795"/>
    </row>
    <row r="541" spans="1:11" ht="33" customHeight="1">
      <c r="A541" s="741" t="s">
        <v>4608</v>
      </c>
      <c r="B541" s="741" t="s">
        <v>4760</v>
      </c>
      <c r="C541" s="742" t="s">
        <v>3408</v>
      </c>
      <c r="D541" s="741" t="s">
        <v>3604</v>
      </c>
      <c r="E541" s="741" t="s">
        <v>536</v>
      </c>
      <c r="F541" s="741" t="s">
        <v>3410</v>
      </c>
      <c r="G541" s="743" t="s">
        <v>284</v>
      </c>
      <c r="H541" s="742">
        <v>1</v>
      </c>
      <c r="I541" s="742" t="s">
        <v>3698</v>
      </c>
      <c r="J541" s="798" t="s">
        <v>3698</v>
      </c>
      <c r="K541" s="795"/>
    </row>
    <row r="542" spans="1:11" ht="33" customHeight="1" thickBot="1">
      <c r="A542" s="748" t="s">
        <v>4616</v>
      </c>
      <c r="B542" s="748"/>
      <c r="C542" s="749" t="s">
        <v>3699</v>
      </c>
      <c r="D542" s="748" t="s">
        <v>1127</v>
      </c>
      <c r="E542" s="748" t="s">
        <v>536</v>
      </c>
      <c r="F542" s="748" t="s">
        <v>1187</v>
      </c>
      <c r="G542" s="750" t="s">
        <v>284</v>
      </c>
      <c r="H542" s="749" t="s">
        <v>3610</v>
      </c>
      <c r="I542" s="749" t="s">
        <v>3698</v>
      </c>
      <c r="J542" s="794">
        <v>294.68</v>
      </c>
      <c r="K542" s="795"/>
    </row>
    <row r="543" spans="1:11" ht="0.95" customHeight="1" thickTop="1">
      <c r="A543" s="747"/>
      <c r="B543" s="747"/>
      <c r="C543" s="747"/>
      <c r="D543" s="747"/>
      <c r="E543" s="747"/>
      <c r="F543" s="747"/>
      <c r="G543" s="747"/>
      <c r="H543" s="747"/>
      <c r="I543" s="747"/>
      <c r="J543" s="747"/>
      <c r="K543" s="747"/>
    </row>
    <row r="544" spans="1:11" ht="18" customHeight="1">
      <c r="A544" s="738"/>
      <c r="B544" s="738" t="s">
        <v>60</v>
      </c>
      <c r="C544" s="739" t="s">
        <v>3312</v>
      </c>
      <c r="D544" s="738" t="s">
        <v>3602</v>
      </c>
      <c r="E544" s="738" t="s">
        <v>3313</v>
      </c>
      <c r="F544" s="738" t="s">
        <v>3390</v>
      </c>
      <c r="G544" s="740" t="s">
        <v>70</v>
      </c>
      <c r="H544" s="739" t="s">
        <v>64</v>
      </c>
      <c r="I544" s="739" t="s">
        <v>3617</v>
      </c>
      <c r="J544" s="797" t="s">
        <v>474</v>
      </c>
      <c r="K544" s="795"/>
    </row>
    <row r="545" spans="1:11" ht="44.1" customHeight="1">
      <c r="A545" s="741" t="s">
        <v>4608</v>
      </c>
      <c r="B545" s="741" t="s">
        <v>4761</v>
      </c>
      <c r="C545" s="742" t="s">
        <v>3411</v>
      </c>
      <c r="D545" s="741" t="s">
        <v>3604</v>
      </c>
      <c r="E545" s="741" t="s">
        <v>537</v>
      </c>
      <c r="F545" s="741" t="s">
        <v>3410</v>
      </c>
      <c r="G545" s="743" t="s">
        <v>94</v>
      </c>
      <c r="H545" s="742">
        <v>1</v>
      </c>
      <c r="I545" s="742" t="s">
        <v>3687</v>
      </c>
      <c r="J545" s="798" t="s">
        <v>3687</v>
      </c>
      <c r="K545" s="795"/>
    </row>
    <row r="546" spans="1:11" ht="21.95" customHeight="1">
      <c r="A546" s="744" t="s">
        <v>4611</v>
      </c>
      <c r="B546" s="744"/>
      <c r="C546" s="745" t="s">
        <v>3661</v>
      </c>
      <c r="D546" s="744" t="s">
        <v>1127</v>
      </c>
      <c r="E546" s="744" t="s">
        <v>1133</v>
      </c>
      <c r="F546" s="744" t="s">
        <v>3430</v>
      </c>
      <c r="G546" s="746" t="s">
        <v>1129</v>
      </c>
      <c r="H546" s="745" t="s">
        <v>3688</v>
      </c>
      <c r="I546" s="745" t="s">
        <v>3663</v>
      </c>
      <c r="J546" s="796">
        <v>0.16</v>
      </c>
      <c r="K546" s="795"/>
    </row>
    <row r="547" spans="1:11" ht="21.95" customHeight="1">
      <c r="A547" s="744" t="s">
        <v>4611</v>
      </c>
      <c r="B547" s="744"/>
      <c r="C547" s="745" t="s">
        <v>3664</v>
      </c>
      <c r="D547" s="744" t="s">
        <v>1127</v>
      </c>
      <c r="E547" s="744" t="s">
        <v>1134</v>
      </c>
      <c r="F547" s="744" t="s">
        <v>3430</v>
      </c>
      <c r="G547" s="746" t="s">
        <v>1129</v>
      </c>
      <c r="H547" s="745" t="s">
        <v>3689</v>
      </c>
      <c r="I547" s="745" t="s">
        <v>4619</v>
      </c>
      <c r="J547" s="796">
        <v>1.26</v>
      </c>
      <c r="K547" s="795"/>
    </row>
    <row r="548" spans="1:11" ht="33" customHeight="1">
      <c r="A548" s="744" t="s">
        <v>4611</v>
      </c>
      <c r="B548" s="744"/>
      <c r="C548" s="745" t="s">
        <v>3690</v>
      </c>
      <c r="D548" s="744" t="s">
        <v>1127</v>
      </c>
      <c r="E548" s="744" t="s">
        <v>4623</v>
      </c>
      <c r="F548" s="744" t="s">
        <v>3410</v>
      </c>
      <c r="G548" s="746" t="s">
        <v>94</v>
      </c>
      <c r="H548" s="745" t="s">
        <v>3610</v>
      </c>
      <c r="I548" s="745" t="s">
        <v>3691</v>
      </c>
      <c r="J548" s="796">
        <v>5.94</v>
      </c>
      <c r="K548" s="795"/>
    </row>
    <row r="549" spans="1:11" ht="21.95" customHeight="1" thickBot="1">
      <c r="A549" s="748" t="s">
        <v>4616</v>
      </c>
      <c r="B549" s="748"/>
      <c r="C549" s="749" t="s">
        <v>3668</v>
      </c>
      <c r="D549" s="748" t="s">
        <v>1127</v>
      </c>
      <c r="E549" s="748" t="s">
        <v>1137</v>
      </c>
      <c r="F549" s="748" t="s">
        <v>1187</v>
      </c>
      <c r="G549" s="750" t="s">
        <v>94</v>
      </c>
      <c r="H549" s="749" t="s">
        <v>3669</v>
      </c>
      <c r="I549" s="749" t="s">
        <v>3670</v>
      </c>
      <c r="J549" s="794">
        <v>0.19</v>
      </c>
      <c r="K549" s="795"/>
    </row>
    <row r="550" spans="1:11" ht="0.95" customHeight="1" thickTop="1">
      <c r="A550" s="747"/>
      <c r="B550" s="747"/>
      <c r="C550" s="747"/>
      <c r="D550" s="747"/>
      <c r="E550" s="747"/>
      <c r="F550" s="747"/>
      <c r="G550" s="747"/>
      <c r="H550" s="747"/>
      <c r="I550" s="747"/>
      <c r="J550" s="747"/>
      <c r="K550" s="747"/>
    </row>
    <row r="551" spans="1:11" ht="18" customHeight="1">
      <c r="A551" s="738"/>
      <c r="B551" s="738" t="s">
        <v>60</v>
      </c>
      <c r="C551" s="739" t="s">
        <v>3312</v>
      </c>
      <c r="D551" s="738" t="s">
        <v>3602</v>
      </c>
      <c r="E551" s="738" t="s">
        <v>3313</v>
      </c>
      <c r="F551" s="738" t="s">
        <v>3390</v>
      </c>
      <c r="G551" s="740" t="s">
        <v>70</v>
      </c>
      <c r="H551" s="739" t="s">
        <v>64</v>
      </c>
      <c r="I551" s="739" t="s">
        <v>3617</v>
      </c>
      <c r="J551" s="797" t="s">
        <v>474</v>
      </c>
      <c r="K551" s="795"/>
    </row>
    <row r="552" spans="1:11" ht="44.1" customHeight="1">
      <c r="A552" s="741" t="s">
        <v>4608</v>
      </c>
      <c r="B552" s="741" t="s">
        <v>4762</v>
      </c>
      <c r="C552" s="742" t="s">
        <v>3412</v>
      </c>
      <c r="D552" s="741" t="s">
        <v>3604</v>
      </c>
      <c r="E552" s="741" t="s">
        <v>539</v>
      </c>
      <c r="F552" s="741" t="s">
        <v>3410</v>
      </c>
      <c r="G552" s="743" t="s">
        <v>94</v>
      </c>
      <c r="H552" s="742">
        <v>1</v>
      </c>
      <c r="I552" s="742" t="s">
        <v>3692</v>
      </c>
      <c r="J552" s="798" t="s">
        <v>3692</v>
      </c>
      <c r="K552" s="795"/>
    </row>
    <row r="553" spans="1:11" ht="21.95" customHeight="1">
      <c r="A553" s="744" t="s">
        <v>4611</v>
      </c>
      <c r="B553" s="744"/>
      <c r="C553" s="745" t="s">
        <v>3661</v>
      </c>
      <c r="D553" s="744" t="s">
        <v>1127</v>
      </c>
      <c r="E553" s="744" t="s">
        <v>1133</v>
      </c>
      <c r="F553" s="744" t="s">
        <v>3430</v>
      </c>
      <c r="G553" s="746" t="s">
        <v>1129</v>
      </c>
      <c r="H553" s="745" t="s">
        <v>3693</v>
      </c>
      <c r="I553" s="745" t="s">
        <v>3663</v>
      </c>
      <c r="J553" s="796">
        <v>0.12</v>
      </c>
      <c r="K553" s="795"/>
    </row>
    <row r="554" spans="1:11" ht="21.95" customHeight="1">
      <c r="A554" s="744" t="s">
        <v>4611</v>
      </c>
      <c r="B554" s="744"/>
      <c r="C554" s="745" t="s">
        <v>3664</v>
      </c>
      <c r="D554" s="744" t="s">
        <v>1127</v>
      </c>
      <c r="E554" s="744" t="s">
        <v>1134</v>
      </c>
      <c r="F554" s="744" t="s">
        <v>3430</v>
      </c>
      <c r="G554" s="746" t="s">
        <v>1129</v>
      </c>
      <c r="H554" s="745" t="s">
        <v>3694</v>
      </c>
      <c r="I554" s="745" t="s">
        <v>4619</v>
      </c>
      <c r="J554" s="796">
        <v>0.92</v>
      </c>
      <c r="K554" s="795"/>
    </row>
    <row r="555" spans="1:11" ht="33" customHeight="1">
      <c r="A555" s="744" t="s">
        <v>4611</v>
      </c>
      <c r="B555" s="744"/>
      <c r="C555" s="745" t="s">
        <v>3695</v>
      </c>
      <c r="D555" s="744" t="s">
        <v>1127</v>
      </c>
      <c r="E555" s="744" t="s">
        <v>4632</v>
      </c>
      <c r="F555" s="744" t="s">
        <v>3410</v>
      </c>
      <c r="G555" s="746" t="s">
        <v>94</v>
      </c>
      <c r="H555" s="745" t="s">
        <v>3610</v>
      </c>
      <c r="I555" s="745" t="s">
        <v>3696</v>
      </c>
      <c r="J555" s="796">
        <v>5.01</v>
      </c>
      <c r="K555" s="795"/>
    </row>
    <row r="556" spans="1:11" ht="21.95" customHeight="1">
      <c r="A556" s="748" t="s">
        <v>4616</v>
      </c>
      <c r="B556" s="748"/>
      <c r="C556" s="749" t="s">
        <v>3668</v>
      </c>
      <c r="D556" s="748" t="s">
        <v>1127</v>
      </c>
      <c r="E556" s="748" t="s">
        <v>1137</v>
      </c>
      <c r="F556" s="748" t="s">
        <v>1187</v>
      </c>
      <c r="G556" s="750" t="s">
        <v>94</v>
      </c>
      <c r="H556" s="749" t="s">
        <v>3669</v>
      </c>
      <c r="I556" s="749" t="s">
        <v>3670</v>
      </c>
      <c r="J556" s="794">
        <v>0.19</v>
      </c>
      <c r="K556" s="795"/>
    </row>
    <row r="557" spans="1:11" ht="33" customHeight="1" thickBot="1">
      <c r="A557" s="748" t="s">
        <v>4616</v>
      </c>
      <c r="B557" s="748"/>
      <c r="C557" s="749" t="s">
        <v>3671</v>
      </c>
      <c r="D557" s="748" t="s">
        <v>1127</v>
      </c>
      <c r="E557" s="748" t="s">
        <v>3672</v>
      </c>
      <c r="F557" s="748" t="s">
        <v>1187</v>
      </c>
      <c r="G557" s="750" t="s">
        <v>57</v>
      </c>
      <c r="H557" s="749" t="s">
        <v>3697</v>
      </c>
      <c r="I557" s="749" t="s">
        <v>3674</v>
      </c>
      <c r="J557" s="794">
        <v>0.04</v>
      </c>
      <c r="K557" s="795"/>
    </row>
    <row r="558" spans="1:11" ht="0.95" customHeight="1" thickTop="1">
      <c r="A558" s="747"/>
      <c r="B558" s="747"/>
      <c r="C558" s="747"/>
      <c r="D558" s="747"/>
      <c r="E558" s="747"/>
      <c r="F558" s="747"/>
      <c r="G558" s="747"/>
      <c r="H558" s="747"/>
      <c r="I558" s="747"/>
      <c r="J558" s="747"/>
      <c r="K558" s="747"/>
    </row>
    <row r="559" spans="1:11" ht="18" customHeight="1">
      <c r="A559" s="738"/>
      <c r="B559" s="738" t="s">
        <v>60</v>
      </c>
      <c r="C559" s="739" t="s">
        <v>3312</v>
      </c>
      <c r="D559" s="738" t="s">
        <v>3602</v>
      </c>
      <c r="E559" s="738" t="s">
        <v>3313</v>
      </c>
      <c r="F559" s="738" t="s">
        <v>3390</v>
      </c>
      <c r="G559" s="740" t="s">
        <v>70</v>
      </c>
      <c r="H559" s="739" t="s">
        <v>64</v>
      </c>
      <c r="I559" s="739" t="s">
        <v>3617</v>
      </c>
      <c r="J559" s="797" t="s">
        <v>474</v>
      </c>
      <c r="K559" s="795"/>
    </row>
    <row r="560" spans="1:11" ht="44.1" customHeight="1">
      <c r="A560" s="741" t="s">
        <v>4608</v>
      </c>
      <c r="B560" s="741" t="s">
        <v>4763</v>
      </c>
      <c r="C560" s="742" t="s">
        <v>3413</v>
      </c>
      <c r="D560" s="741" t="s">
        <v>3604</v>
      </c>
      <c r="E560" s="741" t="s">
        <v>541</v>
      </c>
      <c r="F560" s="741" t="s">
        <v>3410</v>
      </c>
      <c r="G560" s="743" t="s">
        <v>94</v>
      </c>
      <c r="H560" s="742">
        <v>1</v>
      </c>
      <c r="I560" s="742" t="s">
        <v>4625</v>
      </c>
      <c r="J560" s="798" t="s">
        <v>4625</v>
      </c>
      <c r="K560" s="795"/>
    </row>
    <row r="561" spans="1:11" ht="21.95" customHeight="1">
      <c r="A561" s="744" t="s">
        <v>4611</v>
      </c>
      <c r="B561" s="744"/>
      <c r="C561" s="745" t="s">
        <v>3661</v>
      </c>
      <c r="D561" s="744" t="s">
        <v>1127</v>
      </c>
      <c r="E561" s="744" t="s">
        <v>1133</v>
      </c>
      <c r="F561" s="744" t="s">
        <v>3430</v>
      </c>
      <c r="G561" s="746" t="s">
        <v>1129</v>
      </c>
      <c r="H561" s="745" t="s">
        <v>3662</v>
      </c>
      <c r="I561" s="745" t="s">
        <v>3663</v>
      </c>
      <c r="J561" s="796">
        <v>0.39</v>
      </c>
      <c r="K561" s="795"/>
    </row>
    <row r="562" spans="1:11" ht="21.95" customHeight="1">
      <c r="A562" s="744" t="s">
        <v>4611</v>
      </c>
      <c r="B562" s="744"/>
      <c r="C562" s="745" t="s">
        <v>3664</v>
      </c>
      <c r="D562" s="744" t="s">
        <v>1127</v>
      </c>
      <c r="E562" s="744" t="s">
        <v>1134</v>
      </c>
      <c r="F562" s="744" t="s">
        <v>3430</v>
      </c>
      <c r="G562" s="746" t="s">
        <v>1129</v>
      </c>
      <c r="H562" s="745" t="s">
        <v>3665</v>
      </c>
      <c r="I562" s="745" t="s">
        <v>4619</v>
      </c>
      <c r="J562" s="796">
        <v>2.96</v>
      </c>
      <c r="K562" s="795"/>
    </row>
    <row r="563" spans="1:11" ht="33" customHeight="1">
      <c r="A563" s="744" t="s">
        <v>4611</v>
      </c>
      <c r="B563" s="744"/>
      <c r="C563" s="745" t="s">
        <v>3666</v>
      </c>
      <c r="D563" s="744" t="s">
        <v>1127</v>
      </c>
      <c r="E563" s="744" t="s">
        <v>4626</v>
      </c>
      <c r="F563" s="744" t="s">
        <v>3410</v>
      </c>
      <c r="G563" s="746" t="s">
        <v>94</v>
      </c>
      <c r="H563" s="745" t="s">
        <v>3610</v>
      </c>
      <c r="I563" s="745" t="s">
        <v>3667</v>
      </c>
      <c r="J563" s="796">
        <v>7.29</v>
      </c>
      <c r="K563" s="795"/>
    </row>
    <row r="564" spans="1:11" ht="21.95" customHeight="1">
      <c r="A564" s="748" t="s">
        <v>4616</v>
      </c>
      <c r="B564" s="748"/>
      <c r="C564" s="749" t="s">
        <v>3668</v>
      </c>
      <c r="D564" s="748" t="s">
        <v>1127</v>
      </c>
      <c r="E564" s="748" t="s">
        <v>1137</v>
      </c>
      <c r="F564" s="748" t="s">
        <v>1187</v>
      </c>
      <c r="G564" s="750" t="s">
        <v>94</v>
      </c>
      <c r="H564" s="749" t="s">
        <v>3669</v>
      </c>
      <c r="I564" s="749" t="s">
        <v>3670</v>
      </c>
      <c r="J564" s="794">
        <v>0.19</v>
      </c>
      <c r="K564" s="795"/>
    </row>
    <row r="565" spans="1:11" ht="33" customHeight="1" thickBot="1">
      <c r="A565" s="748" t="s">
        <v>4616</v>
      </c>
      <c r="B565" s="748"/>
      <c r="C565" s="749" t="s">
        <v>3671</v>
      </c>
      <c r="D565" s="748" t="s">
        <v>1127</v>
      </c>
      <c r="E565" s="748" t="s">
        <v>3672</v>
      </c>
      <c r="F565" s="748" t="s">
        <v>1187</v>
      </c>
      <c r="G565" s="750" t="s">
        <v>57</v>
      </c>
      <c r="H565" s="749" t="s">
        <v>3673</v>
      </c>
      <c r="I565" s="749" t="s">
        <v>3674</v>
      </c>
      <c r="J565" s="794">
        <v>0.14000000000000001</v>
      </c>
      <c r="K565" s="795"/>
    </row>
    <row r="566" spans="1:11" ht="0.95" customHeight="1" thickTop="1">
      <c r="A566" s="747"/>
      <c r="B566" s="747"/>
      <c r="C566" s="747"/>
      <c r="D566" s="747"/>
      <c r="E566" s="747"/>
      <c r="F566" s="747"/>
      <c r="G566" s="747"/>
      <c r="H566" s="747"/>
      <c r="I566" s="747"/>
      <c r="J566" s="747"/>
      <c r="K566" s="747"/>
    </row>
    <row r="567" spans="1:11" ht="18" customHeight="1">
      <c r="A567" s="738"/>
      <c r="B567" s="738" t="s">
        <v>60</v>
      </c>
      <c r="C567" s="739" t="s">
        <v>3312</v>
      </c>
      <c r="D567" s="738" t="s">
        <v>3602</v>
      </c>
      <c r="E567" s="738" t="s">
        <v>3313</v>
      </c>
      <c r="F567" s="738" t="s">
        <v>3390</v>
      </c>
      <c r="G567" s="740" t="s">
        <v>70</v>
      </c>
      <c r="H567" s="739" t="s">
        <v>64</v>
      </c>
      <c r="I567" s="739" t="s">
        <v>3617</v>
      </c>
      <c r="J567" s="797" t="s">
        <v>474</v>
      </c>
      <c r="K567" s="795"/>
    </row>
    <row r="568" spans="1:11" ht="44.1" customHeight="1">
      <c r="A568" s="741" t="s">
        <v>4608</v>
      </c>
      <c r="B568" s="741" t="s">
        <v>4764</v>
      </c>
      <c r="C568" s="742" t="s">
        <v>3414</v>
      </c>
      <c r="D568" s="741" t="s">
        <v>3604</v>
      </c>
      <c r="E568" s="741" t="s">
        <v>543</v>
      </c>
      <c r="F568" s="741" t="s">
        <v>3410</v>
      </c>
      <c r="G568" s="743" t="s">
        <v>94</v>
      </c>
      <c r="H568" s="742">
        <v>1</v>
      </c>
      <c r="I568" s="742" t="s">
        <v>3675</v>
      </c>
      <c r="J568" s="798" t="s">
        <v>3675</v>
      </c>
      <c r="K568" s="795"/>
    </row>
    <row r="569" spans="1:11" ht="21.95" customHeight="1">
      <c r="A569" s="744" t="s">
        <v>4611</v>
      </c>
      <c r="B569" s="744"/>
      <c r="C569" s="745" t="s">
        <v>3661</v>
      </c>
      <c r="D569" s="744" t="s">
        <v>1127</v>
      </c>
      <c r="E569" s="744" t="s">
        <v>1133</v>
      </c>
      <c r="F569" s="744" t="s">
        <v>3430</v>
      </c>
      <c r="G569" s="746" t="s">
        <v>1129</v>
      </c>
      <c r="H569" s="745" t="s">
        <v>3676</v>
      </c>
      <c r="I569" s="745" t="s">
        <v>3663</v>
      </c>
      <c r="J569" s="796">
        <v>0.3</v>
      </c>
      <c r="K569" s="795"/>
    </row>
    <row r="570" spans="1:11" ht="21.95" customHeight="1">
      <c r="A570" s="744" t="s">
        <v>4611</v>
      </c>
      <c r="B570" s="744"/>
      <c r="C570" s="745" t="s">
        <v>3664</v>
      </c>
      <c r="D570" s="744" t="s">
        <v>1127</v>
      </c>
      <c r="E570" s="744" t="s">
        <v>1134</v>
      </c>
      <c r="F570" s="744" t="s">
        <v>3430</v>
      </c>
      <c r="G570" s="746" t="s">
        <v>1129</v>
      </c>
      <c r="H570" s="745" t="s">
        <v>3677</v>
      </c>
      <c r="I570" s="745" t="s">
        <v>4619</v>
      </c>
      <c r="J570" s="796">
        <v>2.25</v>
      </c>
      <c r="K570" s="795"/>
    </row>
    <row r="571" spans="1:11" ht="33" customHeight="1">
      <c r="A571" s="744" t="s">
        <v>4611</v>
      </c>
      <c r="B571" s="744"/>
      <c r="C571" s="745" t="s">
        <v>3678</v>
      </c>
      <c r="D571" s="744" t="s">
        <v>1127</v>
      </c>
      <c r="E571" s="744" t="s">
        <v>4628</v>
      </c>
      <c r="F571" s="744" t="s">
        <v>3410</v>
      </c>
      <c r="G571" s="746" t="s">
        <v>94</v>
      </c>
      <c r="H571" s="745" t="s">
        <v>3610</v>
      </c>
      <c r="I571" s="745" t="s">
        <v>3679</v>
      </c>
      <c r="J571" s="796">
        <v>7.11</v>
      </c>
      <c r="K571" s="795"/>
    </row>
    <row r="572" spans="1:11" ht="21.95" customHeight="1">
      <c r="A572" s="748" t="s">
        <v>4616</v>
      </c>
      <c r="B572" s="748"/>
      <c r="C572" s="749" t="s">
        <v>3668</v>
      </c>
      <c r="D572" s="748" t="s">
        <v>1127</v>
      </c>
      <c r="E572" s="748" t="s">
        <v>1137</v>
      </c>
      <c r="F572" s="748" t="s">
        <v>1187</v>
      </c>
      <c r="G572" s="750" t="s">
        <v>94</v>
      </c>
      <c r="H572" s="749" t="s">
        <v>3669</v>
      </c>
      <c r="I572" s="749" t="s">
        <v>3670</v>
      </c>
      <c r="J572" s="794">
        <v>0.19</v>
      </c>
      <c r="K572" s="795"/>
    </row>
    <row r="573" spans="1:11" ht="33" customHeight="1" thickBot="1">
      <c r="A573" s="748" t="s">
        <v>4616</v>
      </c>
      <c r="B573" s="748"/>
      <c r="C573" s="749" t="s">
        <v>3671</v>
      </c>
      <c r="D573" s="748" t="s">
        <v>1127</v>
      </c>
      <c r="E573" s="748" t="s">
        <v>3672</v>
      </c>
      <c r="F573" s="748" t="s">
        <v>1187</v>
      </c>
      <c r="G573" s="750" t="s">
        <v>57</v>
      </c>
      <c r="H573" s="749" t="s">
        <v>3680</v>
      </c>
      <c r="I573" s="749" t="s">
        <v>3674</v>
      </c>
      <c r="J573" s="794">
        <v>0.11</v>
      </c>
      <c r="K573" s="795"/>
    </row>
    <row r="574" spans="1:11" ht="0.95" customHeight="1" thickTop="1">
      <c r="A574" s="747"/>
      <c r="B574" s="747"/>
      <c r="C574" s="747"/>
      <c r="D574" s="747"/>
      <c r="E574" s="747"/>
      <c r="F574" s="747"/>
      <c r="G574" s="747"/>
      <c r="H574" s="747"/>
      <c r="I574" s="747"/>
      <c r="J574" s="747"/>
      <c r="K574" s="747"/>
    </row>
    <row r="575" spans="1:11" ht="18" customHeight="1">
      <c r="A575" s="738"/>
      <c r="B575" s="738" t="s">
        <v>60</v>
      </c>
      <c r="C575" s="739" t="s">
        <v>3312</v>
      </c>
      <c r="D575" s="738" t="s">
        <v>3602</v>
      </c>
      <c r="E575" s="738" t="s">
        <v>3313</v>
      </c>
      <c r="F575" s="738" t="s">
        <v>3390</v>
      </c>
      <c r="G575" s="740" t="s">
        <v>70</v>
      </c>
      <c r="H575" s="739" t="s">
        <v>64</v>
      </c>
      <c r="I575" s="739" t="s">
        <v>3617</v>
      </c>
      <c r="J575" s="797" t="s">
        <v>474</v>
      </c>
      <c r="K575" s="795"/>
    </row>
    <row r="576" spans="1:11" ht="44.1" customHeight="1">
      <c r="A576" s="741" t="s">
        <v>4608</v>
      </c>
      <c r="B576" s="741" t="s">
        <v>4765</v>
      </c>
      <c r="C576" s="742" t="s">
        <v>3415</v>
      </c>
      <c r="D576" s="741" t="s">
        <v>3604</v>
      </c>
      <c r="E576" s="741" t="s">
        <v>545</v>
      </c>
      <c r="F576" s="741" t="s">
        <v>3410</v>
      </c>
      <c r="G576" s="743" t="s">
        <v>94</v>
      </c>
      <c r="H576" s="742">
        <v>1</v>
      </c>
      <c r="I576" s="742" t="s">
        <v>3681</v>
      </c>
      <c r="J576" s="798" t="s">
        <v>3681</v>
      </c>
      <c r="K576" s="795"/>
    </row>
    <row r="577" spans="1:11" ht="21.95" customHeight="1">
      <c r="A577" s="744" t="s">
        <v>4611</v>
      </c>
      <c r="B577" s="744"/>
      <c r="C577" s="745" t="s">
        <v>3661</v>
      </c>
      <c r="D577" s="744" t="s">
        <v>1127</v>
      </c>
      <c r="E577" s="744" t="s">
        <v>1133</v>
      </c>
      <c r="F577" s="744" t="s">
        <v>3430</v>
      </c>
      <c r="G577" s="746" t="s">
        <v>1129</v>
      </c>
      <c r="H577" s="745" t="s">
        <v>3682</v>
      </c>
      <c r="I577" s="745" t="s">
        <v>3663</v>
      </c>
      <c r="J577" s="796">
        <v>0.22</v>
      </c>
      <c r="K577" s="795"/>
    </row>
    <row r="578" spans="1:11" ht="21.95" customHeight="1">
      <c r="A578" s="744" t="s">
        <v>4611</v>
      </c>
      <c r="B578" s="744"/>
      <c r="C578" s="745" t="s">
        <v>3664</v>
      </c>
      <c r="D578" s="744" t="s">
        <v>1127</v>
      </c>
      <c r="E578" s="744" t="s">
        <v>1134</v>
      </c>
      <c r="F578" s="744" t="s">
        <v>3430</v>
      </c>
      <c r="G578" s="746" t="s">
        <v>1129</v>
      </c>
      <c r="H578" s="745" t="s">
        <v>3683</v>
      </c>
      <c r="I578" s="745" t="s">
        <v>4619</v>
      </c>
      <c r="J578" s="796">
        <v>1.68</v>
      </c>
      <c r="K578" s="795"/>
    </row>
    <row r="579" spans="1:11" ht="33" customHeight="1">
      <c r="A579" s="744" t="s">
        <v>4611</v>
      </c>
      <c r="B579" s="744"/>
      <c r="C579" s="745" t="s">
        <v>3684</v>
      </c>
      <c r="D579" s="744" t="s">
        <v>1127</v>
      </c>
      <c r="E579" s="744" t="s">
        <v>4630</v>
      </c>
      <c r="F579" s="744" t="s">
        <v>3410</v>
      </c>
      <c r="G579" s="746" t="s">
        <v>94</v>
      </c>
      <c r="H579" s="745" t="s">
        <v>3610</v>
      </c>
      <c r="I579" s="745" t="s">
        <v>3685</v>
      </c>
      <c r="J579" s="796">
        <v>7.24</v>
      </c>
      <c r="K579" s="795"/>
    </row>
    <row r="580" spans="1:11" ht="21.95" customHeight="1">
      <c r="A580" s="748" t="s">
        <v>4616</v>
      </c>
      <c r="B580" s="748"/>
      <c r="C580" s="749" t="s">
        <v>3668</v>
      </c>
      <c r="D580" s="748" t="s">
        <v>1127</v>
      </c>
      <c r="E580" s="748" t="s">
        <v>1137</v>
      </c>
      <c r="F580" s="748" t="s">
        <v>1187</v>
      </c>
      <c r="G580" s="750" t="s">
        <v>94</v>
      </c>
      <c r="H580" s="749" t="s">
        <v>3669</v>
      </c>
      <c r="I580" s="749" t="s">
        <v>3670</v>
      </c>
      <c r="J580" s="794">
        <v>0.19</v>
      </c>
      <c r="K580" s="795"/>
    </row>
    <row r="581" spans="1:11" ht="33" customHeight="1" thickBot="1">
      <c r="A581" s="748" t="s">
        <v>4616</v>
      </c>
      <c r="B581" s="748"/>
      <c r="C581" s="749" t="s">
        <v>3671</v>
      </c>
      <c r="D581" s="748" t="s">
        <v>1127</v>
      </c>
      <c r="E581" s="748" t="s">
        <v>3672</v>
      </c>
      <c r="F581" s="748" t="s">
        <v>1187</v>
      </c>
      <c r="G581" s="750" t="s">
        <v>57</v>
      </c>
      <c r="H581" s="749" t="s">
        <v>3686</v>
      </c>
      <c r="I581" s="749" t="s">
        <v>3674</v>
      </c>
      <c r="J581" s="794">
        <v>0.08</v>
      </c>
      <c r="K581" s="795"/>
    </row>
    <row r="582" spans="1:11" ht="0.95" customHeight="1" thickTop="1">
      <c r="A582" s="747"/>
      <c r="B582" s="747"/>
      <c r="C582" s="747"/>
      <c r="D582" s="747"/>
      <c r="E582" s="747"/>
      <c r="F582" s="747"/>
      <c r="G582" s="747"/>
      <c r="H582" s="747"/>
      <c r="I582" s="747"/>
      <c r="J582" s="747"/>
      <c r="K582" s="747"/>
    </row>
    <row r="583" spans="1:11" ht="18" customHeight="1">
      <c r="A583" s="738"/>
      <c r="B583" s="738" t="s">
        <v>60</v>
      </c>
      <c r="C583" s="739" t="s">
        <v>3312</v>
      </c>
      <c r="D583" s="738" t="s">
        <v>3602</v>
      </c>
      <c r="E583" s="738" t="s">
        <v>3313</v>
      </c>
      <c r="F583" s="738" t="s">
        <v>3390</v>
      </c>
      <c r="G583" s="740" t="s">
        <v>70</v>
      </c>
      <c r="H583" s="739" t="s">
        <v>64</v>
      </c>
      <c r="I583" s="739" t="s">
        <v>3617</v>
      </c>
      <c r="J583" s="797" t="s">
        <v>474</v>
      </c>
      <c r="K583" s="795"/>
    </row>
    <row r="584" spans="1:11" ht="44.1" customHeight="1">
      <c r="A584" s="741" t="s">
        <v>4608</v>
      </c>
      <c r="B584" s="741" t="s">
        <v>4766</v>
      </c>
      <c r="C584" s="742" t="s">
        <v>3462</v>
      </c>
      <c r="D584" s="741" t="s">
        <v>3604</v>
      </c>
      <c r="E584" s="741" t="s">
        <v>2688</v>
      </c>
      <c r="F584" s="741" t="s">
        <v>3410</v>
      </c>
      <c r="G584" s="743" t="s">
        <v>94</v>
      </c>
      <c r="H584" s="742">
        <v>1</v>
      </c>
      <c r="I584" s="742" t="s">
        <v>4116</v>
      </c>
      <c r="J584" s="798" t="s">
        <v>4116</v>
      </c>
      <c r="K584" s="795"/>
    </row>
    <row r="585" spans="1:11" ht="21.95" customHeight="1">
      <c r="A585" s="744" t="s">
        <v>4611</v>
      </c>
      <c r="B585" s="744"/>
      <c r="C585" s="745" t="s">
        <v>3661</v>
      </c>
      <c r="D585" s="744" t="s">
        <v>1127</v>
      </c>
      <c r="E585" s="744" t="s">
        <v>1133</v>
      </c>
      <c r="F585" s="744" t="s">
        <v>3430</v>
      </c>
      <c r="G585" s="746" t="s">
        <v>1129</v>
      </c>
      <c r="H585" s="745" t="s">
        <v>4495</v>
      </c>
      <c r="I585" s="745" t="s">
        <v>3663</v>
      </c>
      <c r="J585" s="796">
        <v>0.08</v>
      </c>
      <c r="K585" s="795"/>
    </row>
    <row r="586" spans="1:11" ht="21.95" customHeight="1">
      <c r="A586" s="744" t="s">
        <v>4611</v>
      </c>
      <c r="B586" s="744"/>
      <c r="C586" s="745" t="s">
        <v>3664</v>
      </c>
      <c r="D586" s="744" t="s">
        <v>1127</v>
      </c>
      <c r="E586" s="744" t="s">
        <v>1134</v>
      </c>
      <c r="F586" s="744" t="s">
        <v>3430</v>
      </c>
      <c r="G586" s="746" t="s">
        <v>1129</v>
      </c>
      <c r="H586" s="745" t="s">
        <v>4496</v>
      </c>
      <c r="I586" s="745" t="s">
        <v>4619</v>
      </c>
      <c r="J586" s="796">
        <v>0.62</v>
      </c>
      <c r="K586" s="795"/>
    </row>
    <row r="587" spans="1:11" ht="33" customHeight="1">
      <c r="A587" s="744" t="s">
        <v>4611</v>
      </c>
      <c r="B587" s="744"/>
      <c r="C587" s="745" t="s">
        <v>4497</v>
      </c>
      <c r="D587" s="744" t="s">
        <v>1127</v>
      </c>
      <c r="E587" s="744" t="s">
        <v>4648</v>
      </c>
      <c r="F587" s="744" t="s">
        <v>3410</v>
      </c>
      <c r="G587" s="746" t="s">
        <v>94</v>
      </c>
      <c r="H587" s="745" t="s">
        <v>3610</v>
      </c>
      <c r="I587" s="745" t="s">
        <v>4498</v>
      </c>
      <c r="J587" s="796">
        <v>3.95</v>
      </c>
      <c r="K587" s="795"/>
    </row>
    <row r="588" spans="1:11" ht="21.95" customHeight="1">
      <c r="A588" s="748" t="s">
        <v>4616</v>
      </c>
      <c r="B588" s="748"/>
      <c r="C588" s="749" t="s">
        <v>3668</v>
      </c>
      <c r="D588" s="748" t="s">
        <v>1127</v>
      </c>
      <c r="E588" s="748" t="s">
        <v>1137</v>
      </c>
      <c r="F588" s="748" t="s">
        <v>1187</v>
      </c>
      <c r="G588" s="750" t="s">
        <v>94</v>
      </c>
      <c r="H588" s="749" t="s">
        <v>3669</v>
      </c>
      <c r="I588" s="749" t="s">
        <v>3670</v>
      </c>
      <c r="J588" s="794">
        <v>0.19</v>
      </c>
      <c r="K588" s="795"/>
    </row>
    <row r="589" spans="1:11" ht="33" customHeight="1" thickBot="1">
      <c r="A589" s="748" t="s">
        <v>4616</v>
      </c>
      <c r="B589" s="748"/>
      <c r="C589" s="749" t="s">
        <v>3671</v>
      </c>
      <c r="D589" s="748" t="s">
        <v>1127</v>
      </c>
      <c r="E589" s="748" t="s">
        <v>3672</v>
      </c>
      <c r="F589" s="748" t="s">
        <v>1187</v>
      </c>
      <c r="G589" s="750" t="s">
        <v>57</v>
      </c>
      <c r="H589" s="749" t="s">
        <v>4499</v>
      </c>
      <c r="I589" s="749" t="s">
        <v>3674</v>
      </c>
      <c r="J589" s="794">
        <v>0</v>
      </c>
      <c r="K589" s="795"/>
    </row>
    <row r="590" spans="1:11" ht="0.95" customHeight="1" thickTop="1">
      <c r="A590" s="747"/>
      <c r="B590" s="747"/>
      <c r="C590" s="747"/>
      <c r="D590" s="747"/>
      <c r="E590" s="747"/>
      <c r="F590" s="747"/>
      <c r="G590" s="747"/>
      <c r="H590" s="747"/>
      <c r="I590" s="747"/>
      <c r="J590" s="747"/>
      <c r="K590" s="747"/>
    </row>
    <row r="591" spans="1:11" ht="18" customHeight="1">
      <c r="A591" s="738"/>
      <c r="B591" s="738" t="s">
        <v>60</v>
      </c>
      <c r="C591" s="739" t="s">
        <v>3312</v>
      </c>
      <c r="D591" s="738" t="s">
        <v>3602</v>
      </c>
      <c r="E591" s="738" t="s">
        <v>3313</v>
      </c>
      <c r="F591" s="738" t="s">
        <v>3390</v>
      </c>
      <c r="G591" s="740" t="s">
        <v>70</v>
      </c>
      <c r="H591" s="739" t="s">
        <v>64</v>
      </c>
      <c r="I591" s="739" t="s">
        <v>3617</v>
      </c>
      <c r="J591" s="797" t="s">
        <v>474</v>
      </c>
      <c r="K591" s="795"/>
    </row>
    <row r="592" spans="1:11" ht="33" customHeight="1">
      <c r="A592" s="741" t="s">
        <v>4608</v>
      </c>
      <c r="B592" s="741" t="s">
        <v>4767</v>
      </c>
      <c r="C592" s="742" t="s">
        <v>3408</v>
      </c>
      <c r="D592" s="741" t="s">
        <v>3604</v>
      </c>
      <c r="E592" s="741" t="s">
        <v>536</v>
      </c>
      <c r="F592" s="741" t="s">
        <v>3410</v>
      </c>
      <c r="G592" s="743" t="s">
        <v>284</v>
      </c>
      <c r="H592" s="742">
        <v>1</v>
      </c>
      <c r="I592" s="742" t="s">
        <v>3698</v>
      </c>
      <c r="J592" s="798" t="s">
        <v>3698</v>
      </c>
      <c r="K592" s="795"/>
    </row>
    <row r="593" spans="1:11" ht="33" customHeight="1" thickBot="1">
      <c r="A593" s="748" t="s">
        <v>4616</v>
      </c>
      <c r="B593" s="748"/>
      <c r="C593" s="749" t="s">
        <v>3699</v>
      </c>
      <c r="D593" s="748" t="s">
        <v>1127</v>
      </c>
      <c r="E593" s="748" t="s">
        <v>536</v>
      </c>
      <c r="F593" s="748" t="s">
        <v>1187</v>
      </c>
      <c r="G593" s="750" t="s">
        <v>284</v>
      </c>
      <c r="H593" s="749" t="s">
        <v>3610</v>
      </c>
      <c r="I593" s="749" t="s">
        <v>3698</v>
      </c>
      <c r="J593" s="794">
        <v>294.68</v>
      </c>
      <c r="K593" s="795"/>
    </row>
    <row r="594" spans="1:11" ht="0.95" customHeight="1" thickTop="1">
      <c r="A594" s="747"/>
      <c r="B594" s="747"/>
      <c r="C594" s="747"/>
      <c r="D594" s="747"/>
      <c r="E594" s="747"/>
      <c r="F594" s="747"/>
      <c r="G594" s="747"/>
      <c r="H594" s="747"/>
      <c r="I594" s="747"/>
      <c r="J594" s="747"/>
      <c r="K594" s="747"/>
    </row>
    <row r="595" spans="1:11" ht="18" customHeight="1">
      <c r="A595" s="738"/>
      <c r="B595" s="738" t="s">
        <v>60</v>
      </c>
      <c r="C595" s="739" t="s">
        <v>3312</v>
      </c>
      <c r="D595" s="738" t="s">
        <v>3602</v>
      </c>
      <c r="E595" s="738" t="s">
        <v>3313</v>
      </c>
      <c r="F595" s="738" t="s">
        <v>3390</v>
      </c>
      <c r="G595" s="740" t="s">
        <v>70</v>
      </c>
      <c r="H595" s="739" t="s">
        <v>64</v>
      </c>
      <c r="I595" s="739" t="s">
        <v>3617</v>
      </c>
      <c r="J595" s="797" t="s">
        <v>474</v>
      </c>
      <c r="K595" s="795"/>
    </row>
    <row r="596" spans="1:11" ht="33" customHeight="1">
      <c r="A596" s="741" t="s">
        <v>4608</v>
      </c>
      <c r="B596" s="741" t="s">
        <v>4768</v>
      </c>
      <c r="C596" s="742" t="s">
        <v>3418</v>
      </c>
      <c r="D596" s="741" t="s">
        <v>3604</v>
      </c>
      <c r="E596" s="741" t="s">
        <v>601</v>
      </c>
      <c r="F596" s="741" t="s">
        <v>3410</v>
      </c>
      <c r="G596" s="743" t="s">
        <v>108</v>
      </c>
      <c r="H596" s="742">
        <v>1</v>
      </c>
      <c r="I596" s="742" t="s">
        <v>4635</v>
      </c>
      <c r="J596" s="798" t="s">
        <v>4635</v>
      </c>
      <c r="K596" s="795"/>
    </row>
    <row r="597" spans="1:11" ht="21.95" customHeight="1">
      <c r="A597" s="744" t="s">
        <v>4611</v>
      </c>
      <c r="B597" s="744"/>
      <c r="C597" s="745" t="s">
        <v>3636</v>
      </c>
      <c r="D597" s="744" t="s">
        <v>1127</v>
      </c>
      <c r="E597" s="744" t="s">
        <v>1144</v>
      </c>
      <c r="F597" s="744" t="s">
        <v>3430</v>
      </c>
      <c r="G597" s="746" t="s">
        <v>1129</v>
      </c>
      <c r="H597" s="745" t="s">
        <v>3700</v>
      </c>
      <c r="I597" s="745" t="s">
        <v>4619</v>
      </c>
      <c r="J597" s="796">
        <v>3.22</v>
      </c>
      <c r="K597" s="795"/>
    </row>
    <row r="598" spans="1:11" ht="21.95" customHeight="1">
      <c r="A598" s="744" t="s">
        <v>4611</v>
      </c>
      <c r="B598" s="744"/>
      <c r="C598" s="745" t="s">
        <v>3631</v>
      </c>
      <c r="D598" s="744" t="s">
        <v>1127</v>
      </c>
      <c r="E598" s="744" t="s">
        <v>1145</v>
      </c>
      <c r="F598" s="744" t="s">
        <v>3430</v>
      </c>
      <c r="G598" s="746" t="s">
        <v>1129</v>
      </c>
      <c r="H598" s="745" t="s">
        <v>3701</v>
      </c>
      <c r="I598" s="745" t="s">
        <v>3632</v>
      </c>
      <c r="J598" s="796">
        <v>5.97</v>
      </c>
      <c r="K598" s="795"/>
    </row>
    <row r="599" spans="1:11" ht="21.95" customHeight="1">
      <c r="A599" s="744" t="s">
        <v>4611</v>
      </c>
      <c r="B599" s="744"/>
      <c r="C599" s="745" t="s">
        <v>3633</v>
      </c>
      <c r="D599" s="744" t="s">
        <v>1127</v>
      </c>
      <c r="E599" s="744" t="s">
        <v>1146</v>
      </c>
      <c r="F599" s="744" t="s">
        <v>3430</v>
      </c>
      <c r="G599" s="746" t="s">
        <v>1129</v>
      </c>
      <c r="H599" s="745" t="s">
        <v>3702</v>
      </c>
      <c r="I599" s="745" t="s">
        <v>3635</v>
      </c>
      <c r="J599" s="796">
        <v>11.79</v>
      </c>
      <c r="K599" s="795"/>
    </row>
    <row r="600" spans="1:11" ht="21.95" customHeight="1">
      <c r="A600" s="744" t="s">
        <v>4611</v>
      </c>
      <c r="B600" s="744"/>
      <c r="C600" s="745" t="s">
        <v>3703</v>
      </c>
      <c r="D600" s="744" t="s">
        <v>1127</v>
      </c>
      <c r="E600" s="744" t="s">
        <v>535</v>
      </c>
      <c r="F600" s="744" t="s">
        <v>3410</v>
      </c>
      <c r="G600" s="746" t="s">
        <v>284</v>
      </c>
      <c r="H600" s="745" t="s">
        <v>3748</v>
      </c>
      <c r="I600" s="745" t="s">
        <v>4636</v>
      </c>
      <c r="J600" s="796">
        <v>1.42</v>
      </c>
      <c r="K600" s="795"/>
    </row>
    <row r="601" spans="1:11" ht="33" customHeight="1">
      <c r="A601" s="744" t="s">
        <v>4611</v>
      </c>
      <c r="B601" s="744"/>
      <c r="C601" s="745" t="s">
        <v>3408</v>
      </c>
      <c r="D601" s="744" t="s">
        <v>3604</v>
      </c>
      <c r="E601" s="744" t="s">
        <v>536</v>
      </c>
      <c r="F601" s="744" t="s">
        <v>3410</v>
      </c>
      <c r="G601" s="746" t="s">
        <v>284</v>
      </c>
      <c r="H601" s="745" t="s">
        <v>3748</v>
      </c>
      <c r="I601" s="745" t="s">
        <v>3698</v>
      </c>
      <c r="J601" s="796">
        <v>17.68</v>
      </c>
      <c r="K601" s="795"/>
    </row>
    <row r="602" spans="1:11" ht="21.95" customHeight="1">
      <c r="A602" s="748" t="s">
        <v>4616</v>
      </c>
      <c r="B602" s="748"/>
      <c r="C602" s="749" t="s">
        <v>3705</v>
      </c>
      <c r="D602" s="748" t="s">
        <v>3604</v>
      </c>
      <c r="E602" s="748" t="s">
        <v>1148</v>
      </c>
      <c r="F602" s="748" t="s">
        <v>1187</v>
      </c>
      <c r="G602" s="750" t="s">
        <v>108</v>
      </c>
      <c r="H602" s="749" t="s">
        <v>3610</v>
      </c>
      <c r="I602" s="749" t="s">
        <v>4637</v>
      </c>
      <c r="J602" s="794">
        <v>41.95</v>
      </c>
      <c r="K602" s="795"/>
    </row>
    <row r="603" spans="1:11" ht="21.95" customHeight="1">
      <c r="A603" s="748" t="s">
        <v>4616</v>
      </c>
      <c r="B603" s="748"/>
      <c r="C603" s="749" t="s">
        <v>3706</v>
      </c>
      <c r="D603" s="748" t="s">
        <v>1127</v>
      </c>
      <c r="E603" s="748" t="s">
        <v>1147</v>
      </c>
      <c r="F603" s="748" t="s">
        <v>1187</v>
      </c>
      <c r="G603" s="750" t="s">
        <v>101</v>
      </c>
      <c r="H603" s="749" t="s">
        <v>3707</v>
      </c>
      <c r="I603" s="749" t="s">
        <v>3708</v>
      </c>
      <c r="J603" s="794">
        <v>4.75</v>
      </c>
      <c r="K603" s="795"/>
    </row>
    <row r="604" spans="1:11" ht="21.95" customHeight="1">
      <c r="A604" s="748" t="s">
        <v>4616</v>
      </c>
      <c r="B604" s="748"/>
      <c r="C604" s="749" t="s">
        <v>3709</v>
      </c>
      <c r="D604" s="748" t="s">
        <v>1127</v>
      </c>
      <c r="E604" s="748" t="s">
        <v>3710</v>
      </c>
      <c r="F604" s="748" t="s">
        <v>1187</v>
      </c>
      <c r="G604" s="750" t="s">
        <v>94</v>
      </c>
      <c r="H604" s="749" t="s">
        <v>3711</v>
      </c>
      <c r="I604" s="749" t="s">
        <v>3712</v>
      </c>
      <c r="J604" s="794">
        <v>0.16</v>
      </c>
      <c r="K604" s="795"/>
    </row>
    <row r="605" spans="1:11" ht="21.95" customHeight="1" thickBot="1">
      <c r="A605" s="748" t="s">
        <v>4616</v>
      </c>
      <c r="B605" s="748"/>
      <c r="C605" s="749" t="s">
        <v>3649</v>
      </c>
      <c r="D605" s="748" t="s">
        <v>1127</v>
      </c>
      <c r="E605" s="748" t="s">
        <v>1464</v>
      </c>
      <c r="F605" s="748" t="s">
        <v>1187</v>
      </c>
      <c r="G605" s="750" t="s">
        <v>101</v>
      </c>
      <c r="H605" s="749" t="s">
        <v>3713</v>
      </c>
      <c r="I605" s="749" t="s">
        <v>3650</v>
      </c>
      <c r="J605" s="794">
        <v>1.87</v>
      </c>
      <c r="K605" s="795"/>
    </row>
    <row r="606" spans="1:11" ht="0.95" customHeight="1" thickTop="1">
      <c r="A606" s="747"/>
      <c r="B606" s="747"/>
      <c r="C606" s="747"/>
      <c r="D606" s="747"/>
      <c r="E606" s="747"/>
      <c r="F606" s="747"/>
      <c r="G606" s="747"/>
      <c r="H606" s="747"/>
      <c r="I606" s="747"/>
      <c r="J606" s="747"/>
      <c r="K606" s="747"/>
    </row>
    <row r="607" spans="1:11" ht="18" customHeight="1">
      <c r="A607" s="738"/>
      <c r="B607" s="738" t="s">
        <v>60</v>
      </c>
      <c r="C607" s="739" t="s">
        <v>3312</v>
      </c>
      <c r="D607" s="738" t="s">
        <v>3602</v>
      </c>
      <c r="E607" s="738" t="s">
        <v>3313</v>
      </c>
      <c r="F607" s="738" t="s">
        <v>3390</v>
      </c>
      <c r="G607" s="740" t="s">
        <v>70</v>
      </c>
      <c r="H607" s="739" t="s">
        <v>64</v>
      </c>
      <c r="I607" s="739" t="s">
        <v>3617</v>
      </c>
      <c r="J607" s="797" t="s">
        <v>474</v>
      </c>
      <c r="K607" s="795"/>
    </row>
    <row r="608" spans="1:11" ht="21.95" customHeight="1">
      <c r="A608" s="741" t="s">
        <v>4608</v>
      </c>
      <c r="B608" s="741" t="s">
        <v>4769</v>
      </c>
      <c r="C608" s="742" t="s">
        <v>3429</v>
      </c>
      <c r="D608" s="741" t="s">
        <v>3604</v>
      </c>
      <c r="E608" s="741" t="s">
        <v>657</v>
      </c>
      <c r="F608" s="741" t="s">
        <v>3430</v>
      </c>
      <c r="G608" s="743" t="s">
        <v>284</v>
      </c>
      <c r="H608" s="742">
        <v>1</v>
      </c>
      <c r="I608" s="742" t="s">
        <v>4639</v>
      </c>
      <c r="J608" s="798" t="s">
        <v>4639</v>
      </c>
      <c r="K608" s="795"/>
    </row>
    <row r="609" spans="1:11" ht="21.95" customHeight="1">
      <c r="A609" s="744" t="s">
        <v>4611</v>
      </c>
      <c r="B609" s="744"/>
      <c r="C609" s="745" t="s">
        <v>3633</v>
      </c>
      <c r="D609" s="744" t="s">
        <v>1127</v>
      </c>
      <c r="E609" s="744" t="s">
        <v>1146</v>
      </c>
      <c r="F609" s="744" t="s">
        <v>3430</v>
      </c>
      <c r="G609" s="746" t="s">
        <v>1129</v>
      </c>
      <c r="H609" s="745" t="s">
        <v>3714</v>
      </c>
      <c r="I609" s="745" t="s">
        <v>3635</v>
      </c>
      <c r="J609" s="796">
        <v>27.76</v>
      </c>
      <c r="K609" s="795"/>
    </row>
    <row r="610" spans="1:11" ht="21.95" customHeight="1" thickBot="1">
      <c r="A610" s="748" t="s">
        <v>4616</v>
      </c>
      <c r="B610" s="748"/>
      <c r="C610" s="749" t="s">
        <v>3715</v>
      </c>
      <c r="D610" s="748" t="s">
        <v>1127</v>
      </c>
      <c r="E610" s="748" t="s">
        <v>1154</v>
      </c>
      <c r="F610" s="748" t="s">
        <v>1187</v>
      </c>
      <c r="G610" s="750" t="s">
        <v>284</v>
      </c>
      <c r="H610" s="749" t="s">
        <v>3716</v>
      </c>
      <c r="I610" s="749" t="s">
        <v>3717</v>
      </c>
      <c r="J610" s="794">
        <v>59.64</v>
      </c>
      <c r="K610" s="795"/>
    </row>
    <row r="611" spans="1:11" ht="0.95" customHeight="1" thickTop="1">
      <c r="A611" s="747"/>
      <c r="B611" s="747"/>
      <c r="C611" s="747"/>
      <c r="D611" s="747"/>
      <c r="E611" s="747"/>
      <c r="F611" s="747"/>
      <c r="G611" s="747"/>
      <c r="H611" s="747"/>
      <c r="I611" s="747"/>
      <c r="J611" s="747"/>
      <c r="K611" s="747"/>
    </row>
    <row r="612" spans="1:11" ht="18" customHeight="1">
      <c r="A612" s="738"/>
      <c r="B612" s="738" t="s">
        <v>60</v>
      </c>
      <c r="C612" s="739" t="s">
        <v>3312</v>
      </c>
      <c r="D612" s="738" t="s">
        <v>3602</v>
      </c>
      <c r="E612" s="738" t="s">
        <v>3313</v>
      </c>
      <c r="F612" s="738" t="s">
        <v>3390</v>
      </c>
      <c r="G612" s="740" t="s">
        <v>70</v>
      </c>
      <c r="H612" s="739" t="s">
        <v>64</v>
      </c>
      <c r="I612" s="739" t="s">
        <v>3617</v>
      </c>
      <c r="J612" s="797" t="s">
        <v>474</v>
      </c>
      <c r="K612" s="795"/>
    </row>
    <row r="613" spans="1:11" ht="33" customHeight="1">
      <c r="A613" s="741" t="s">
        <v>4608</v>
      </c>
      <c r="B613" s="741" t="s">
        <v>4770</v>
      </c>
      <c r="C613" s="742" t="s">
        <v>3408</v>
      </c>
      <c r="D613" s="741" t="s">
        <v>3604</v>
      </c>
      <c r="E613" s="741" t="s">
        <v>536</v>
      </c>
      <c r="F613" s="741" t="s">
        <v>3410</v>
      </c>
      <c r="G613" s="743" t="s">
        <v>284</v>
      </c>
      <c r="H613" s="742">
        <v>1</v>
      </c>
      <c r="I613" s="742" t="s">
        <v>3698</v>
      </c>
      <c r="J613" s="798" t="s">
        <v>3698</v>
      </c>
      <c r="K613" s="795"/>
    </row>
    <row r="614" spans="1:11" ht="33" customHeight="1" thickBot="1">
      <c r="A614" s="748" t="s">
        <v>4616</v>
      </c>
      <c r="B614" s="748"/>
      <c r="C614" s="749" t="s">
        <v>3699</v>
      </c>
      <c r="D614" s="748" t="s">
        <v>1127</v>
      </c>
      <c r="E614" s="748" t="s">
        <v>536</v>
      </c>
      <c r="F614" s="748" t="s">
        <v>1187</v>
      </c>
      <c r="G614" s="750" t="s">
        <v>284</v>
      </c>
      <c r="H614" s="749" t="s">
        <v>3610</v>
      </c>
      <c r="I614" s="749" t="s">
        <v>3698</v>
      </c>
      <c r="J614" s="794">
        <v>294.68</v>
      </c>
      <c r="K614" s="795"/>
    </row>
    <row r="615" spans="1:11" ht="0.95" customHeight="1" thickTop="1">
      <c r="A615" s="747"/>
      <c r="B615" s="747"/>
      <c r="C615" s="747"/>
      <c r="D615" s="747"/>
      <c r="E615" s="747"/>
      <c r="F615" s="747"/>
      <c r="G615" s="747"/>
      <c r="H615" s="747"/>
      <c r="I615" s="747"/>
      <c r="J615" s="747"/>
      <c r="K615" s="747"/>
    </row>
    <row r="616" spans="1:11" ht="18" customHeight="1">
      <c r="A616" s="738"/>
      <c r="B616" s="738" t="s">
        <v>60</v>
      </c>
      <c r="C616" s="739" t="s">
        <v>3312</v>
      </c>
      <c r="D616" s="738" t="s">
        <v>3602</v>
      </c>
      <c r="E616" s="738" t="s">
        <v>3313</v>
      </c>
      <c r="F616" s="738" t="s">
        <v>3390</v>
      </c>
      <c r="G616" s="740" t="s">
        <v>70</v>
      </c>
      <c r="H616" s="739" t="s">
        <v>64</v>
      </c>
      <c r="I616" s="739" t="s">
        <v>3617</v>
      </c>
      <c r="J616" s="797" t="s">
        <v>474</v>
      </c>
      <c r="K616" s="795"/>
    </row>
    <row r="617" spans="1:11" ht="21.95" customHeight="1">
      <c r="A617" s="741" t="s">
        <v>4608</v>
      </c>
      <c r="B617" s="741" t="s">
        <v>4771</v>
      </c>
      <c r="C617" s="742" t="s">
        <v>4772</v>
      </c>
      <c r="D617" s="741" t="s">
        <v>3604</v>
      </c>
      <c r="E617" s="741" t="s">
        <v>1486</v>
      </c>
      <c r="F617" s="741" t="s">
        <v>3493</v>
      </c>
      <c r="G617" s="743" t="s">
        <v>108</v>
      </c>
      <c r="H617" s="742">
        <v>1</v>
      </c>
      <c r="I617" s="742" t="s">
        <v>4773</v>
      </c>
      <c r="J617" s="798" t="s">
        <v>4773</v>
      </c>
      <c r="K617" s="795"/>
    </row>
    <row r="618" spans="1:11" ht="21.95" customHeight="1">
      <c r="A618" s="744" t="s">
        <v>4611</v>
      </c>
      <c r="B618" s="744"/>
      <c r="C618" s="745" t="s">
        <v>3633</v>
      </c>
      <c r="D618" s="744" t="s">
        <v>1127</v>
      </c>
      <c r="E618" s="744" t="s">
        <v>1146</v>
      </c>
      <c r="F618" s="744" t="s">
        <v>3430</v>
      </c>
      <c r="G618" s="746" t="s">
        <v>1129</v>
      </c>
      <c r="H618" s="745" t="s">
        <v>3820</v>
      </c>
      <c r="I618" s="745" t="s">
        <v>3635</v>
      </c>
      <c r="J618" s="796">
        <v>2.77</v>
      </c>
      <c r="K618" s="795"/>
    </row>
    <row r="619" spans="1:11" ht="33" customHeight="1" thickBot="1">
      <c r="A619" s="744" t="s">
        <v>4611</v>
      </c>
      <c r="B619" s="744"/>
      <c r="C619" s="745" t="s">
        <v>4774</v>
      </c>
      <c r="D619" s="744" t="s">
        <v>1127</v>
      </c>
      <c r="E619" s="744" t="s">
        <v>4775</v>
      </c>
      <c r="F619" s="744" t="s">
        <v>3757</v>
      </c>
      <c r="G619" s="746" t="s">
        <v>1169</v>
      </c>
      <c r="H619" s="745" t="s">
        <v>3714</v>
      </c>
      <c r="I619" s="745" t="s">
        <v>3853</v>
      </c>
      <c r="J619" s="796">
        <v>5.0199999999999996</v>
      </c>
      <c r="K619" s="795"/>
    </row>
    <row r="620" spans="1:11" ht="0.95" customHeight="1" thickTop="1">
      <c r="A620" s="747"/>
      <c r="B620" s="747"/>
      <c r="C620" s="747"/>
      <c r="D620" s="747"/>
      <c r="E620" s="747"/>
      <c r="F620" s="747"/>
      <c r="G620" s="747"/>
      <c r="H620" s="747"/>
      <c r="I620" s="747"/>
      <c r="J620" s="747"/>
      <c r="K620" s="747"/>
    </row>
    <row r="621" spans="1:11" ht="18" customHeight="1">
      <c r="A621" s="738"/>
      <c r="B621" s="738" t="s">
        <v>60</v>
      </c>
      <c r="C621" s="739" t="s">
        <v>3312</v>
      </c>
      <c r="D621" s="738" t="s">
        <v>3602</v>
      </c>
      <c r="E621" s="738" t="s">
        <v>3313</v>
      </c>
      <c r="F621" s="738" t="s">
        <v>3390</v>
      </c>
      <c r="G621" s="740" t="s">
        <v>70</v>
      </c>
      <c r="H621" s="739" t="s">
        <v>64</v>
      </c>
      <c r="I621" s="739" t="s">
        <v>3617</v>
      </c>
      <c r="J621" s="797" t="s">
        <v>474</v>
      </c>
      <c r="K621" s="795"/>
    </row>
    <row r="622" spans="1:11" ht="44.1" customHeight="1">
      <c r="A622" s="741" t="s">
        <v>4608</v>
      </c>
      <c r="B622" s="741" t="s">
        <v>4776</v>
      </c>
      <c r="C622" s="742" t="s">
        <v>3542</v>
      </c>
      <c r="D622" s="741" t="s">
        <v>3604</v>
      </c>
      <c r="E622" s="741" t="s">
        <v>819</v>
      </c>
      <c r="F622" s="741" t="s">
        <v>3428</v>
      </c>
      <c r="G622" s="743" t="s">
        <v>57</v>
      </c>
      <c r="H622" s="742">
        <v>1</v>
      </c>
      <c r="I622" s="742" t="s">
        <v>4655</v>
      </c>
      <c r="J622" s="798" t="s">
        <v>4655</v>
      </c>
      <c r="K622" s="795"/>
    </row>
    <row r="623" spans="1:11" ht="21.95" customHeight="1">
      <c r="A623" s="744" t="s">
        <v>4611</v>
      </c>
      <c r="B623" s="744"/>
      <c r="C623" s="745" t="s">
        <v>3631</v>
      </c>
      <c r="D623" s="744" t="s">
        <v>1127</v>
      </c>
      <c r="E623" s="744" t="s">
        <v>1145</v>
      </c>
      <c r="F623" s="744" t="s">
        <v>3430</v>
      </c>
      <c r="G623" s="746" t="s">
        <v>1129</v>
      </c>
      <c r="H623" s="745" t="s">
        <v>3769</v>
      </c>
      <c r="I623" s="745" t="s">
        <v>3632</v>
      </c>
      <c r="J623" s="796">
        <v>59.09</v>
      </c>
      <c r="K623" s="795"/>
    </row>
    <row r="624" spans="1:11" ht="21.95" customHeight="1">
      <c r="A624" s="744" t="s">
        <v>4611</v>
      </c>
      <c r="B624" s="744"/>
      <c r="C624" s="745" t="s">
        <v>3633</v>
      </c>
      <c r="D624" s="744" t="s">
        <v>1127</v>
      </c>
      <c r="E624" s="744" t="s">
        <v>1146</v>
      </c>
      <c r="F624" s="744" t="s">
        <v>3430</v>
      </c>
      <c r="G624" s="746" t="s">
        <v>1129</v>
      </c>
      <c r="H624" s="745" t="s">
        <v>3770</v>
      </c>
      <c r="I624" s="745" t="s">
        <v>3635</v>
      </c>
      <c r="J624" s="796">
        <v>24.01</v>
      </c>
      <c r="K624" s="795"/>
    </row>
    <row r="625" spans="1:11" ht="21.95" customHeight="1">
      <c r="A625" s="744" t="s">
        <v>4611</v>
      </c>
      <c r="B625" s="744"/>
      <c r="C625" s="745" t="s">
        <v>3771</v>
      </c>
      <c r="D625" s="744" t="s">
        <v>1127</v>
      </c>
      <c r="E625" s="744" t="s">
        <v>1174</v>
      </c>
      <c r="F625" s="744" t="s">
        <v>3430</v>
      </c>
      <c r="G625" s="746" t="s">
        <v>284</v>
      </c>
      <c r="H625" s="745" t="s">
        <v>3727</v>
      </c>
      <c r="I625" s="745" t="s">
        <v>3772</v>
      </c>
      <c r="J625" s="796">
        <v>15.89</v>
      </c>
      <c r="K625" s="795"/>
    </row>
    <row r="626" spans="1:11" ht="21.95" customHeight="1" thickBot="1">
      <c r="A626" s="748" t="s">
        <v>4616</v>
      </c>
      <c r="B626" s="748"/>
      <c r="C626" s="749" t="s">
        <v>3773</v>
      </c>
      <c r="D626" s="748" t="s">
        <v>3604</v>
      </c>
      <c r="E626" s="748" t="s">
        <v>1175</v>
      </c>
      <c r="F626" s="748" t="s">
        <v>1187</v>
      </c>
      <c r="G626" s="750" t="s">
        <v>57</v>
      </c>
      <c r="H626" s="749" t="s">
        <v>3610</v>
      </c>
      <c r="I626" s="749" t="s">
        <v>4656</v>
      </c>
      <c r="J626" s="794">
        <v>1100</v>
      </c>
      <c r="K626" s="795"/>
    </row>
    <row r="627" spans="1:11" ht="0.95" customHeight="1" thickTop="1">
      <c r="A627" s="747"/>
      <c r="B627" s="747"/>
      <c r="C627" s="747"/>
      <c r="D627" s="747"/>
      <c r="E627" s="747"/>
      <c r="F627" s="747"/>
      <c r="G627" s="747"/>
      <c r="H627" s="747"/>
      <c r="I627" s="747"/>
      <c r="J627" s="747"/>
      <c r="K627" s="747"/>
    </row>
    <row r="628" spans="1:11" ht="18" customHeight="1">
      <c r="A628" s="738"/>
      <c r="B628" s="738" t="s">
        <v>60</v>
      </c>
      <c r="C628" s="739" t="s">
        <v>3312</v>
      </c>
      <c r="D628" s="738" t="s">
        <v>3602</v>
      </c>
      <c r="E628" s="738" t="s">
        <v>3313</v>
      </c>
      <c r="F628" s="738" t="s">
        <v>3390</v>
      </c>
      <c r="G628" s="740" t="s">
        <v>70</v>
      </c>
      <c r="H628" s="739" t="s">
        <v>64</v>
      </c>
      <c r="I628" s="739" t="s">
        <v>3617</v>
      </c>
      <c r="J628" s="797" t="s">
        <v>474</v>
      </c>
      <c r="K628" s="795"/>
    </row>
    <row r="629" spans="1:11" ht="21.95" customHeight="1">
      <c r="A629" s="741" t="s">
        <v>4608</v>
      </c>
      <c r="B629" s="741" t="s">
        <v>4777</v>
      </c>
      <c r="C629" s="742" t="s">
        <v>3419</v>
      </c>
      <c r="D629" s="741" t="s">
        <v>3604</v>
      </c>
      <c r="E629" s="741" t="s">
        <v>606</v>
      </c>
      <c r="F629" s="741" t="s">
        <v>3410</v>
      </c>
      <c r="G629" s="743" t="s">
        <v>94</v>
      </c>
      <c r="H629" s="742">
        <v>1</v>
      </c>
      <c r="I629" s="742" t="s">
        <v>3718</v>
      </c>
      <c r="J629" s="798" t="s">
        <v>3718</v>
      </c>
      <c r="K629" s="795"/>
    </row>
    <row r="630" spans="1:11" ht="21.95" customHeight="1">
      <c r="A630" s="744" t="s">
        <v>4611</v>
      </c>
      <c r="B630" s="744"/>
      <c r="C630" s="745" t="s">
        <v>3719</v>
      </c>
      <c r="D630" s="744" t="s">
        <v>1127</v>
      </c>
      <c r="E630" s="744" t="s">
        <v>1157</v>
      </c>
      <c r="F630" s="744" t="s">
        <v>3430</v>
      </c>
      <c r="G630" s="746" t="s">
        <v>1129</v>
      </c>
      <c r="H630" s="745" t="s">
        <v>3711</v>
      </c>
      <c r="I630" s="745" t="s">
        <v>3720</v>
      </c>
      <c r="J630" s="796">
        <v>0.32</v>
      </c>
      <c r="K630" s="795"/>
    </row>
    <row r="631" spans="1:11" ht="21.95" customHeight="1">
      <c r="A631" s="744" t="s">
        <v>4611</v>
      </c>
      <c r="B631" s="744"/>
      <c r="C631" s="745" t="s">
        <v>3721</v>
      </c>
      <c r="D631" s="744" t="s">
        <v>1127</v>
      </c>
      <c r="E631" s="744" t="s">
        <v>1158</v>
      </c>
      <c r="F631" s="744" t="s">
        <v>3430</v>
      </c>
      <c r="G631" s="746" t="s">
        <v>1129</v>
      </c>
      <c r="H631" s="745" t="s">
        <v>3711</v>
      </c>
      <c r="I631" s="745" t="s">
        <v>3722</v>
      </c>
      <c r="J631" s="796">
        <v>0.26</v>
      </c>
      <c r="K631" s="795"/>
    </row>
    <row r="632" spans="1:11" ht="21.95" customHeight="1">
      <c r="A632" s="744" t="s">
        <v>4611</v>
      </c>
      <c r="B632" s="744"/>
      <c r="C632" s="745" t="s">
        <v>3723</v>
      </c>
      <c r="D632" s="744" t="s">
        <v>1127</v>
      </c>
      <c r="E632" s="744" t="s">
        <v>1159</v>
      </c>
      <c r="F632" s="744" t="s">
        <v>3430</v>
      </c>
      <c r="G632" s="746" t="s">
        <v>1129</v>
      </c>
      <c r="H632" s="745" t="s">
        <v>3724</v>
      </c>
      <c r="I632" s="745" t="s">
        <v>3725</v>
      </c>
      <c r="J632" s="796">
        <v>0.05</v>
      </c>
      <c r="K632" s="795"/>
    </row>
    <row r="633" spans="1:11" ht="21.95" customHeight="1">
      <c r="A633" s="744" t="s">
        <v>4611</v>
      </c>
      <c r="B633" s="744"/>
      <c r="C633" s="745" t="s">
        <v>3633</v>
      </c>
      <c r="D633" s="744" t="s">
        <v>1127</v>
      </c>
      <c r="E633" s="744" t="s">
        <v>1146</v>
      </c>
      <c r="F633" s="744" t="s">
        <v>3430</v>
      </c>
      <c r="G633" s="746" t="s">
        <v>1129</v>
      </c>
      <c r="H633" s="745" t="s">
        <v>3724</v>
      </c>
      <c r="I633" s="745" t="s">
        <v>3635</v>
      </c>
      <c r="J633" s="796">
        <v>0.04</v>
      </c>
      <c r="K633" s="795"/>
    </row>
    <row r="634" spans="1:11" ht="21.95" customHeight="1">
      <c r="A634" s="744" t="s">
        <v>4611</v>
      </c>
      <c r="B634" s="744"/>
      <c r="C634" s="745" t="s">
        <v>3726</v>
      </c>
      <c r="D634" s="744" t="s">
        <v>1127</v>
      </c>
      <c r="E634" s="744" t="s">
        <v>1160</v>
      </c>
      <c r="F634" s="744" t="s">
        <v>3430</v>
      </c>
      <c r="G634" s="746" t="s">
        <v>1129</v>
      </c>
      <c r="H634" s="745" t="s">
        <v>3727</v>
      </c>
      <c r="I634" s="745" t="s">
        <v>3728</v>
      </c>
      <c r="J634" s="796">
        <v>0.35</v>
      </c>
      <c r="K634" s="795"/>
    </row>
    <row r="635" spans="1:11" ht="21.95" customHeight="1">
      <c r="A635" s="744" t="s">
        <v>4611</v>
      </c>
      <c r="B635" s="744"/>
      <c r="C635" s="745" t="s">
        <v>3729</v>
      </c>
      <c r="D635" s="744" t="s">
        <v>1127</v>
      </c>
      <c r="E635" s="744" t="s">
        <v>1161</v>
      </c>
      <c r="F635" s="744" t="s">
        <v>3430</v>
      </c>
      <c r="G635" s="746" t="s">
        <v>1129</v>
      </c>
      <c r="H635" s="745" t="s">
        <v>3727</v>
      </c>
      <c r="I635" s="745" t="s">
        <v>4619</v>
      </c>
      <c r="J635" s="796">
        <v>0.67</v>
      </c>
      <c r="K635" s="795"/>
    </row>
    <row r="636" spans="1:11" ht="21.95" customHeight="1">
      <c r="A636" s="748" t="s">
        <v>4616</v>
      </c>
      <c r="B636" s="748"/>
      <c r="C636" s="749" t="s">
        <v>3730</v>
      </c>
      <c r="D636" s="748" t="s">
        <v>3604</v>
      </c>
      <c r="E636" s="748" t="s">
        <v>1156</v>
      </c>
      <c r="F636" s="748" t="s">
        <v>1187</v>
      </c>
      <c r="G636" s="750" t="s">
        <v>94</v>
      </c>
      <c r="H636" s="749" t="s">
        <v>3731</v>
      </c>
      <c r="I636" s="749" t="s">
        <v>3732</v>
      </c>
      <c r="J636" s="794">
        <v>2.56</v>
      </c>
      <c r="K636" s="795"/>
    </row>
    <row r="637" spans="1:11" ht="21.95" customHeight="1">
      <c r="A637" s="748" t="s">
        <v>4616</v>
      </c>
      <c r="B637" s="748"/>
      <c r="C637" s="749" t="s">
        <v>3733</v>
      </c>
      <c r="D637" s="748" t="s">
        <v>1127</v>
      </c>
      <c r="E637" s="748" t="s">
        <v>3734</v>
      </c>
      <c r="F637" s="748" t="s">
        <v>1187</v>
      </c>
      <c r="G637" s="750" t="s">
        <v>101</v>
      </c>
      <c r="H637" s="749" t="s">
        <v>3735</v>
      </c>
      <c r="I637" s="749" t="s">
        <v>3736</v>
      </c>
      <c r="J637" s="794">
        <v>2.4500000000000002</v>
      </c>
      <c r="K637" s="795"/>
    </row>
    <row r="638" spans="1:11" ht="21.95" customHeight="1">
      <c r="A638" s="748" t="s">
        <v>4616</v>
      </c>
      <c r="B638" s="748"/>
      <c r="C638" s="749" t="s">
        <v>3737</v>
      </c>
      <c r="D638" s="748" t="s">
        <v>1127</v>
      </c>
      <c r="E638" s="748" t="s">
        <v>1162</v>
      </c>
      <c r="F638" s="748" t="s">
        <v>1187</v>
      </c>
      <c r="G638" s="750" t="s">
        <v>1163</v>
      </c>
      <c r="H638" s="749" t="s">
        <v>3738</v>
      </c>
      <c r="I638" s="749" t="s">
        <v>3739</v>
      </c>
      <c r="J638" s="794">
        <v>0.04</v>
      </c>
      <c r="K638" s="795"/>
    </row>
    <row r="639" spans="1:11" ht="21.95" customHeight="1">
      <c r="A639" s="748" t="s">
        <v>4616</v>
      </c>
      <c r="B639" s="748"/>
      <c r="C639" s="749" t="s">
        <v>3740</v>
      </c>
      <c r="D639" s="748" t="s">
        <v>1127</v>
      </c>
      <c r="E639" s="748" t="s">
        <v>1220</v>
      </c>
      <c r="F639" s="748" t="s">
        <v>1187</v>
      </c>
      <c r="G639" s="750" t="s">
        <v>94</v>
      </c>
      <c r="H639" s="749" t="s">
        <v>3741</v>
      </c>
      <c r="I639" s="749" t="s">
        <v>3742</v>
      </c>
      <c r="J639" s="794">
        <v>0.15</v>
      </c>
      <c r="K639" s="795"/>
    </row>
    <row r="640" spans="1:11" ht="21.95" customHeight="1" thickBot="1">
      <c r="A640" s="748" t="s">
        <v>4616</v>
      </c>
      <c r="B640" s="748"/>
      <c r="C640" s="749" t="s">
        <v>3743</v>
      </c>
      <c r="D640" s="748" t="s">
        <v>1127</v>
      </c>
      <c r="E640" s="748" t="s">
        <v>1164</v>
      </c>
      <c r="F640" s="748" t="s">
        <v>1187</v>
      </c>
      <c r="G640" s="750" t="s">
        <v>1163</v>
      </c>
      <c r="H640" s="749" t="s">
        <v>3744</v>
      </c>
      <c r="I640" s="749" t="s">
        <v>3745</v>
      </c>
      <c r="J640" s="794">
        <v>0</v>
      </c>
      <c r="K640" s="795"/>
    </row>
    <row r="641" spans="1:11" ht="0.95" customHeight="1" thickTop="1">
      <c r="A641" s="747"/>
      <c r="B641" s="747"/>
      <c r="C641" s="747"/>
      <c r="D641" s="747"/>
      <c r="E641" s="747"/>
      <c r="F641" s="747"/>
      <c r="G641" s="747"/>
      <c r="H641" s="747"/>
      <c r="I641" s="747"/>
      <c r="J641" s="747"/>
      <c r="K641" s="747"/>
    </row>
    <row r="642" spans="1:11" ht="18" customHeight="1">
      <c r="A642" s="738"/>
      <c r="B642" s="738" t="s">
        <v>60</v>
      </c>
      <c r="C642" s="739" t="s">
        <v>3312</v>
      </c>
      <c r="D642" s="738" t="s">
        <v>3602</v>
      </c>
      <c r="E642" s="738" t="s">
        <v>3313</v>
      </c>
      <c r="F642" s="738" t="s">
        <v>3390</v>
      </c>
      <c r="G642" s="740" t="s">
        <v>70</v>
      </c>
      <c r="H642" s="739" t="s">
        <v>64</v>
      </c>
      <c r="I642" s="739" t="s">
        <v>3617</v>
      </c>
      <c r="J642" s="797" t="s">
        <v>474</v>
      </c>
      <c r="K642" s="795"/>
    </row>
    <row r="643" spans="1:11" ht="21.95" customHeight="1">
      <c r="A643" s="741" t="s">
        <v>4608</v>
      </c>
      <c r="B643" s="741" t="s">
        <v>4778</v>
      </c>
      <c r="C643" s="742" t="s">
        <v>3420</v>
      </c>
      <c r="D643" s="741" t="s">
        <v>3604</v>
      </c>
      <c r="E643" s="741" t="s">
        <v>608</v>
      </c>
      <c r="F643" s="741" t="s">
        <v>3410</v>
      </c>
      <c r="G643" s="743" t="s">
        <v>94</v>
      </c>
      <c r="H643" s="742">
        <v>1</v>
      </c>
      <c r="I643" s="742" t="s">
        <v>4643</v>
      </c>
      <c r="J643" s="798" t="s">
        <v>4643</v>
      </c>
      <c r="K643" s="795"/>
    </row>
    <row r="644" spans="1:11" ht="21.95" customHeight="1">
      <c r="A644" s="744" t="s">
        <v>4611</v>
      </c>
      <c r="B644" s="744"/>
      <c r="C644" s="745" t="s">
        <v>3746</v>
      </c>
      <c r="D644" s="744" t="s">
        <v>1127</v>
      </c>
      <c r="E644" s="744" t="s">
        <v>1165</v>
      </c>
      <c r="F644" s="744" t="s">
        <v>3430</v>
      </c>
      <c r="G644" s="746" t="s">
        <v>1129</v>
      </c>
      <c r="H644" s="745" t="s">
        <v>3711</v>
      </c>
      <c r="I644" s="745" t="s">
        <v>3747</v>
      </c>
      <c r="J644" s="796">
        <v>0.22</v>
      </c>
      <c r="K644" s="795"/>
    </row>
    <row r="645" spans="1:11" ht="21.95" customHeight="1">
      <c r="A645" s="744" t="s">
        <v>4611</v>
      </c>
      <c r="B645" s="744"/>
      <c r="C645" s="745" t="s">
        <v>3726</v>
      </c>
      <c r="D645" s="744" t="s">
        <v>1127</v>
      </c>
      <c r="E645" s="744" t="s">
        <v>1160</v>
      </c>
      <c r="F645" s="744" t="s">
        <v>3430</v>
      </c>
      <c r="G645" s="746" t="s">
        <v>1129</v>
      </c>
      <c r="H645" s="745" t="s">
        <v>3748</v>
      </c>
      <c r="I645" s="745" t="s">
        <v>3728</v>
      </c>
      <c r="J645" s="796">
        <v>0.52</v>
      </c>
      <c r="K645" s="795"/>
    </row>
    <row r="646" spans="1:11" ht="33" customHeight="1" thickBot="1">
      <c r="A646" s="744" t="s">
        <v>4611</v>
      </c>
      <c r="B646" s="744"/>
      <c r="C646" s="745" t="s">
        <v>4644</v>
      </c>
      <c r="D646" s="744" t="s">
        <v>1127</v>
      </c>
      <c r="E646" s="744" t="s">
        <v>4645</v>
      </c>
      <c r="F646" s="744" t="s">
        <v>3757</v>
      </c>
      <c r="G646" s="746" t="s">
        <v>1169</v>
      </c>
      <c r="H646" s="745" t="s">
        <v>3749</v>
      </c>
      <c r="I646" s="745" t="s">
        <v>4646</v>
      </c>
      <c r="J646" s="796">
        <v>1.48</v>
      </c>
      <c r="K646" s="795"/>
    </row>
    <row r="647" spans="1:11" ht="0.95" customHeight="1" thickTop="1">
      <c r="A647" s="747"/>
      <c r="B647" s="747"/>
      <c r="C647" s="747"/>
      <c r="D647" s="747"/>
      <c r="E647" s="747"/>
      <c r="F647" s="747"/>
      <c r="G647" s="747"/>
      <c r="H647" s="747"/>
      <c r="I647" s="747"/>
      <c r="J647" s="747"/>
      <c r="K647" s="747"/>
    </row>
    <row r="648" spans="1:11" ht="18" customHeight="1">
      <c r="A648" s="738"/>
      <c r="B648" s="738" t="s">
        <v>60</v>
      </c>
      <c r="C648" s="739" t="s">
        <v>3312</v>
      </c>
      <c r="D648" s="738" t="s">
        <v>3602</v>
      </c>
      <c r="E648" s="738" t="s">
        <v>3313</v>
      </c>
      <c r="F648" s="738" t="s">
        <v>3390</v>
      </c>
      <c r="G648" s="740" t="s">
        <v>70</v>
      </c>
      <c r="H648" s="739" t="s">
        <v>64</v>
      </c>
      <c r="I648" s="739" t="s">
        <v>3617</v>
      </c>
      <c r="J648" s="797" t="s">
        <v>474</v>
      </c>
      <c r="K648" s="795"/>
    </row>
    <row r="649" spans="1:11" ht="21.95" customHeight="1">
      <c r="A649" s="741" t="s">
        <v>4608</v>
      </c>
      <c r="B649" s="741" t="s">
        <v>4779</v>
      </c>
      <c r="C649" s="742" t="s">
        <v>4780</v>
      </c>
      <c r="D649" s="741" t="s">
        <v>3604</v>
      </c>
      <c r="E649" s="741" t="s">
        <v>2054</v>
      </c>
      <c r="F649" s="741" t="s">
        <v>3750</v>
      </c>
      <c r="G649" s="743" t="s">
        <v>101</v>
      </c>
      <c r="H649" s="742">
        <v>1</v>
      </c>
      <c r="I649" s="742" t="s">
        <v>4781</v>
      </c>
      <c r="J649" s="798" t="s">
        <v>4781</v>
      </c>
      <c r="K649" s="795"/>
    </row>
    <row r="650" spans="1:11" ht="21.95" customHeight="1">
      <c r="A650" s="744" t="s">
        <v>4611</v>
      </c>
      <c r="B650" s="744"/>
      <c r="C650" s="745" t="s">
        <v>3633</v>
      </c>
      <c r="D650" s="744" t="s">
        <v>1127</v>
      </c>
      <c r="E650" s="744" t="s">
        <v>1146</v>
      </c>
      <c r="F650" s="744" t="s">
        <v>3430</v>
      </c>
      <c r="G650" s="746" t="s">
        <v>1129</v>
      </c>
      <c r="H650" s="745" t="s">
        <v>4782</v>
      </c>
      <c r="I650" s="745" t="s">
        <v>3635</v>
      </c>
      <c r="J650" s="796">
        <v>10.29</v>
      </c>
      <c r="K650" s="795"/>
    </row>
    <row r="651" spans="1:11" ht="21.95" customHeight="1">
      <c r="A651" s="744" t="s">
        <v>4611</v>
      </c>
      <c r="B651" s="744"/>
      <c r="C651" s="745" t="s">
        <v>3753</v>
      </c>
      <c r="D651" s="744" t="s">
        <v>1127</v>
      </c>
      <c r="E651" s="744" t="s">
        <v>1167</v>
      </c>
      <c r="F651" s="744" t="s">
        <v>3430</v>
      </c>
      <c r="G651" s="746" t="s">
        <v>1129</v>
      </c>
      <c r="H651" s="745" t="s">
        <v>4783</v>
      </c>
      <c r="I651" s="745" t="s">
        <v>3755</v>
      </c>
      <c r="J651" s="796">
        <v>8.4700000000000006</v>
      </c>
      <c r="K651" s="795"/>
    </row>
    <row r="652" spans="1:11" ht="33" customHeight="1">
      <c r="A652" s="744" t="s">
        <v>4611</v>
      </c>
      <c r="B652" s="744"/>
      <c r="C652" s="745" t="s">
        <v>4784</v>
      </c>
      <c r="D652" s="744" t="s">
        <v>1127</v>
      </c>
      <c r="E652" s="744" t="s">
        <v>4785</v>
      </c>
      <c r="F652" s="744" t="s">
        <v>3757</v>
      </c>
      <c r="G652" s="746" t="s">
        <v>1169</v>
      </c>
      <c r="H652" s="745" t="s">
        <v>4786</v>
      </c>
      <c r="I652" s="745" t="s">
        <v>4787</v>
      </c>
      <c r="J652" s="796">
        <v>0.28999999999999998</v>
      </c>
      <c r="K652" s="795"/>
    </row>
    <row r="653" spans="1:11" ht="33" customHeight="1">
      <c r="A653" s="744" t="s">
        <v>4611</v>
      </c>
      <c r="B653" s="744"/>
      <c r="C653" s="745" t="s">
        <v>4788</v>
      </c>
      <c r="D653" s="744" t="s">
        <v>1127</v>
      </c>
      <c r="E653" s="744" t="s">
        <v>4789</v>
      </c>
      <c r="F653" s="744" t="s">
        <v>3757</v>
      </c>
      <c r="G653" s="746" t="s">
        <v>1171</v>
      </c>
      <c r="H653" s="745" t="s">
        <v>4790</v>
      </c>
      <c r="I653" s="745" t="s">
        <v>4791</v>
      </c>
      <c r="J653" s="796">
        <v>0.38</v>
      </c>
      <c r="K653" s="795"/>
    </row>
    <row r="654" spans="1:11" ht="21.95" customHeight="1">
      <c r="A654" s="748" t="s">
        <v>4616</v>
      </c>
      <c r="B654" s="748"/>
      <c r="C654" s="749" t="s">
        <v>4792</v>
      </c>
      <c r="D654" s="748" t="s">
        <v>1127</v>
      </c>
      <c r="E654" s="748" t="s">
        <v>4793</v>
      </c>
      <c r="F654" s="748" t="s">
        <v>1187</v>
      </c>
      <c r="G654" s="750" t="s">
        <v>4794</v>
      </c>
      <c r="H654" s="749" t="s">
        <v>4795</v>
      </c>
      <c r="I654" s="749" t="s">
        <v>4796</v>
      </c>
      <c r="J654" s="794">
        <v>4.8600000000000003</v>
      </c>
      <c r="K654" s="795"/>
    </row>
    <row r="655" spans="1:11" ht="21.95" customHeight="1">
      <c r="A655" s="748" t="s">
        <v>4616</v>
      </c>
      <c r="B655" s="748"/>
      <c r="C655" s="749" t="s">
        <v>3846</v>
      </c>
      <c r="D655" s="748" t="s">
        <v>1127</v>
      </c>
      <c r="E655" s="748" t="s">
        <v>1203</v>
      </c>
      <c r="F655" s="748" t="s">
        <v>1187</v>
      </c>
      <c r="G655" s="750" t="s">
        <v>94</v>
      </c>
      <c r="H655" s="749" t="s">
        <v>4089</v>
      </c>
      <c r="I655" s="749" t="s">
        <v>3847</v>
      </c>
      <c r="J655" s="794">
        <v>0.2</v>
      </c>
      <c r="K655" s="795"/>
    </row>
    <row r="656" spans="1:11" ht="21.95" customHeight="1">
      <c r="A656" s="748" t="s">
        <v>4616</v>
      </c>
      <c r="B656" s="748"/>
      <c r="C656" s="749" t="s">
        <v>4797</v>
      </c>
      <c r="D656" s="748" t="s">
        <v>1127</v>
      </c>
      <c r="E656" s="748" t="s">
        <v>4798</v>
      </c>
      <c r="F656" s="748" t="s">
        <v>1187</v>
      </c>
      <c r="G656" s="750" t="s">
        <v>94</v>
      </c>
      <c r="H656" s="749" t="s">
        <v>4799</v>
      </c>
      <c r="I656" s="749" t="s">
        <v>4800</v>
      </c>
      <c r="J656" s="794">
        <v>0.33</v>
      </c>
      <c r="K656" s="795"/>
    </row>
    <row r="657" spans="1:11" ht="21.95" customHeight="1">
      <c r="A657" s="748" t="s">
        <v>4616</v>
      </c>
      <c r="B657" s="748"/>
      <c r="C657" s="749" t="s">
        <v>4801</v>
      </c>
      <c r="D657" s="748" t="s">
        <v>1127</v>
      </c>
      <c r="E657" s="748" t="s">
        <v>4802</v>
      </c>
      <c r="F657" s="748" t="s">
        <v>1187</v>
      </c>
      <c r="G657" s="750" t="s">
        <v>94</v>
      </c>
      <c r="H657" s="749" t="s">
        <v>3832</v>
      </c>
      <c r="I657" s="749" t="s">
        <v>4803</v>
      </c>
      <c r="J657" s="794">
        <v>10.54</v>
      </c>
      <c r="K657" s="795"/>
    </row>
    <row r="658" spans="1:11" ht="21.95" customHeight="1" thickBot="1">
      <c r="A658" s="748" t="s">
        <v>4616</v>
      </c>
      <c r="B658" s="748"/>
      <c r="C658" s="749" t="s">
        <v>4804</v>
      </c>
      <c r="D658" s="748" t="s">
        <v>1127</v>
      </c>
      <c r="E658" s="748" t="s">
        <v>4805</v>
      </c>
      <c r="F658" s="748" t="s">
        <v>1187</v>
      </c>
      <c r="G658" s="750" t="s">
        <v>101</v>
      </c>
      <c r="H658" s="749" t="s">
        <v>3796</v>
      </c>
      <c r="I658" s="749" t="s">
        <v>4806</v>
      </c>
      <c r="J658" s="794">
        <v>74.5</v>
      </c>
      <c r="K658" s="795"/>
    </row>
    <row r="659" spans="1:11" ht="0.95" customHeight="1" thickTop="1">
      <c r="A659" s="747"/>
      <c r="B659" s="747"/>
      <c r="C659" s="747"/>
      <c r="D659" s="747"/>
      <c r="E659" s="747"/>
      <c r="F659" s="747"/>
      <c r="G659" s="747"/>
      <c r="H659" s="747"/>
      <c r="I659" s="747"/>
      <c r="J659" s="747"/>
      <c r="K659" s="747"/>
    </row>
    <row r="660" spans="1:11" ht="18" customHeight="1">
      <c r="A660" s="738"/>
      <c r="B660" s="738" t="s">
        <v>60</v>
      </c>
      <c r="C660" s="739" t="s">
        <v>3312</v>
      </c>
      <c r="D660" s="738" t="s">
        <v>3602</v>
      </c>
      <c r="E660" s="738" t="s">
        <v>3313</v>
      </c>
      <c r="F660" s="738" t="s">
        <v>3390</v>
      </c>
      <c r="G660" s="740" t="s">
        <v>70</v>
      </c>
      <c r="H660" s="739" t="s">
        <v>64</v>
      </c>
      <c r="I660" s="739" t="s">
        <v>3617</v>
      </c>
      <c r="J660" s="797" t="s">
        <v>474</v>
      </c>
      <c r="K660" s="795"/>
    </row>
    <row r="661" spans="1:11" ht="44.1" customHeight="1">
      <c r="A661" s="741" t="s">
        <v>4608</v>
      </c>
      <c r="B661" s="741" t="s">
        <v>4807</v>
      </c>
      <c r="C661" s="742" t="s">
        <v>3412</v>
      </c>
      <c r="D661" s="741" t="s">
        <v>3604</v>
      </c>
      <c r="E661" s="741" t="s">
        <v>539</v>
      </c>
      <c r="F661" s="741" t="s">
        <v>3410</v>
      </c>
      <c r="G661" s="743" t="s">
        <v>94</v>
      </c>
      <c r="H661" s="742">
        <v>1</v>
      </c>
      <c r="I661" s="742" t="s">
        <v>3692</v>
      </c>
      <c r="J661" s="798" t="s">
        <v>3692</v>
      </c>
      <c r="K661" s="795"/>
    </row>
    <row r="662" spans="1:11" ht="21.95" customHeight="1">
      <c r="A662" s="744" t="s">
        <v>4611</v>
      </c>
      <c r="B662" s="744"/>
      <c r="C662" s="745" t="s">
        <v>3661</v>
      </c>
      <c r="D662" s="744" t="s">
        <v>1127</v>
      </c>
      <c r="E662" s="744" t="s">
        <v>1133</v>
      </c>
      <c r="F662" s="744" t="s">
        <v>3430</v>
      </c>
      <c r="G662" s="746" t="s">
        <v>1129</v>
      </c>
      <c r="H662" s="745" t="s">
        <v>3693</v>
      </c>
      <c r="I662" s="745" t="s">
        <v>3663</v>
      </c>
      <c r="J662" s="796">
        <v>0.12</v>
      </c>
      <c r="K662" s="795"/>
    </row>
    <row r="663" spans="1:11" ht="21.95" customHeight="1">
      <c r="A663" s="744" t="s">
        <v>4611</v>
      </c>
      <c r="B663" s="744"/>
      <c r="C663" s="745" t="s">
        <v>3664</v>
      </c>
      <c r="D663" s="744" t="s">
        <v>1127</v>
      </c>
      <c r="E663" s="744" t="s">
        <v>1134</v>
      </c>
      <c r="F663" s="744" t="s">
        <v>3430</v>
      </c>
      <c r="G663" s="746" t="s">
        <v>1129</v>
      </c>
      <c r="H663" s="745" t="s">
        <v>3694</v>
      </c>
      <c r="I663" s="745" t="s">
        <v>4619</v>
      </c>
      <c r="J663" s="796">
        <v>0.92</v>
      </c>
      <c r="K663" s="795"/>
    </row>
    <row r="664" spans="1:11" ht="33" customHeight="1">
      <c r="A664" s="744" t="s">
        <v>4611</v>
      </c>
      <c r="B664" s="744"/>
      <c r="C664" s="745" t="s">
        <v>3695</v>
      </c>
      <c r="D664" s="744" t="s">
        <v>1127</v>
      </c>
      <c r="E664" s="744" t="s">
        <v>4632</v>
      </c>
      <c r="F664" s="744" t="s">
        <v>3410</v>
      </c>
      <c r="G664" s="746" t="s">
        <v>94</v>
      </c>
      <c r="H664" s="745" t="s">
        <v>3610</v>
      </c>
      <c r="I664" s="745" t="s">
        <v>3696</v>
      </c>
      <c r="J664" s="796">
        <v>5.01</v>
      </c>
      <c r="K664" s="795"/>
    </row>
    <row r="665" spans="1:11" ht="21.95" customHeight="1">
      <c r="A665" s="748" t="s">
        <v>4616</v>
      </c>
      <c r="B665" s="748"/>
      <c r="C665" s="749" t="s">
        <v>3668</v>
      </c>
      <c r="D665" s="748" t="s">
        <v>1127</v>
      </c>
      <c r="E665" s="748" t="s">
        <v>1137</v>
      </c>
      <c r="F665" s="748" t="s">
        <v>1187</v>
      </c>
      <c r="G665" s="750" t="s">
        <v>94</v>
      </c>
      <c r="H665" s="749" t="s">
        <v>3669</v>
      </c>
      <c r="I665" s="749" t="s">
        <v>3670</v>
      </c>
      <c r="J665" s="794">
        <v>0.19</v>
      </c>
      <c r="K665" s="795"/>
    </row>
    <row r="666" spans="1:11" ht="33" customHeight="1" thickBot="1">
      <c r="A666" s="748" t="s">
        <v>4616</v>
      </c>
      <c r="B666" s="748"/>
      <c r="C666" s="749" t="s">
        <v>3671</v>
      </c>
      <c r="D666" s="748" t="s">
        <v>1127</v>
      </c>
      <c r="E666" s="748" t="s">
        <v>3672</v>
      </c>
      <c r="F666" s="748" t="s">
        <v>1187</v>
      </c>
      <c r="G666" s="750" t="s">
        <v>57</v>
      </c>
      <c r="H666" s="749" t="s">
        <v>3697</v>
      </c>
      <c r="I666" s="749" t="s">
        <v>3674</v>
      </c>
      <c r="J666" s="794">
        <v>0.04</v>
      </c>
      <c r="K666" s="795"/>
    </row>
    <row r="667" spans="1:11" ht="0.95" customHeight="1" thickTop="1">
      <c r="A667" s="747"/>
      <c r="B667" s="747"/>
      <c r="C667" s="747"/>
      <c r="D667" s="747"/>
      <c r="E667" s="747"/>
      <c r="F667" s="747"/>
      <c r="G667" s="747"/>
      <c r="H667" s="747"/>
      <c r="I667" s="747"/>
      <c r="J667" s="747"/>
      <c r="K667" s="747"/>
    </row>
    <row r="668" spans="1:11" ht="18" customHeight="1">
      <c r="A668" s="738"/>
      <c r="B668" s="738" t="s">
        <v>60</v>
      </c>
      <c r="C668" s="739" t="s">
        <v>3312</v>
      </c>
      <c r="D668" s="738" t="s">
        <v>3602</v>
      </c>
      <c r="E668" s="738" t="s">
        <v>3313</v>
      </c>
      <c r="F668" s="738" t="s">
        <v>3390</v>
      </c>
      <c r="G668" s="740" t="s">
        <v>70</v>
      </c>
      <c r="H668" s="739" t="s">
        <v>64</v>
      </c>
      <c r="I668" s="739" t="s">
        <v>3617</v>
      </c>
      <c r="J668" s="797" t="s">
        <v>474</v>
      </c>
      <c r="K668" s="795"/>
    </row>
    <row r="669" spans="1:11" ht="33" customHeight="1">
      <c r="A669" s="741" t="s">
        <v>4608</v>
      </c>
      <c r="B669" s="741" t="s">
        <v>4808</v>
      </c>
      <c r="C669" s="742" t="s">
        <v>3491</v>
      </c>
      <c r="D669" s="741" t="s">
        <v>3604</v>
      </c>
      <c r="E669" s="741" t="s">
        <v>2599</v>
      </c>
      <c r="F669" s="741" t="s">
        <v>3493</v>
      </c>
      <c r="G669" s="743" t="s">
        <v>101</v>
      </c>
      <c r="H669" s="742">
        <v>1</v>
      </c>
      <c r="I669" s="742" t="s">
        <v>4674</v>
      </c>
      <c r="J669" s="798" t="s">
        <v>4674</v>
      </c>
      <c r="K669" s="795"/>
    </row>
    <row r="670" spans="1:11" ht="21.95" customHeight="1">
      <c r="A670" s="744" t="s">
        <v>4611</v>
      </c>
      <c r="B670" s="744"/>
      <c r="C670" s="745" t="s">
        <v>3817</v>
      </c>
      <c r="D670" s="744" t="s">
        <v>1127</v>
      </c>
      <c r="E670" s="744" t="s">
        <v>1471</v>
      </c>
      <c r="F670" s="744" t="s">
        <v>3430</v>
      </c>
      <c r="G670" s="746" t="s">
        <v>1129</v>
      </c>
      <c r="H670" s="745" t="s">
        <v>3818</v>
      </c>
      <c r="I670" s="745" t="s">
        <v>3819</v>
      </c>
      <c r="J670" s="796">
        <v>6.51</v>
      </c>
      <c r="K670" s="795"/>
    </row>
    <row r="671" spans="1:11" ht="21.95" customHeight="1">
      <c r="A671" s="744" t="s">
        <v>4611</v>
      </c>
      <c r="B671" s="744"/>
      <c r="C671" s="745" t="s">
        <v>3633</v>
      </c>
      <c r="D671" s="744" t="s">
        <v>1127</v>
      </c>
      <c r="E671" s="744" t="s">
        <v>1146</v>
      </c>
      <c r="F671" s="744" t="s">
        <v>3430</v>
      </c>
      <c r="G671" s="746" t="s">
        <v>1129</v>
      </c>
      <c r="H671" s="745" t="s">
        <v>3820</v>
      </c>
      <c r="I671" s="745" t="s">
        <v>3635</v>
      </c>
      <c r="J671" s="796">
        <v>2.77</v>
      </c>
      <c r="K671" s="795"/>
    </row>
    <row r="672" spans="1:11" ht="21.95" customHeight="1">
      <c r="A672" s="744" t="s">
        <v>4611</v>
      </c>
      <c r="B672" s="744"/>
      <c r="C672" s="745" t="s">
        <v>3821</v>
      </c>
      <c r="D672" s="744" t="s">
        <v>1127</v>
      </c>
      <c r="E672" s="744" t="s">
        <v>2600</v>
      </c>
      <c r="F672" s="744" t="s">
        <v>3430</v>
      </c>
      <c r="G672" s="746" t="s">
        <v>284</v>
      </c>
      <c r="H672" s="745" t="s">
        <v>3724</v>
      </c>
      <c r="I672" s="745" t="s">
        <v>4675</v>
      </c>
      <c r="J672" s="796">
        <v>1.37</v>
      </c>
      <c r="K672" s="795"/>
    </row>
    <row r="673" spans="1:11" ht="21.95" customHeight="1" thickBot="1">
      <c r="A673" s="748" t="s">
        <v>4616</v>
      </c>
      <c r="B673" s="748"/>
      <c r="C673" s="749" t="s">
        <v>4676</v>
      </c>
      <c r="D673" s="748" t="s">
        <v>3604</v>
      </c>
      <c r="E673" s="748" t="s">
        <v>4677</v>
      </c>
      <c r="F673" s="748" t="s">
        <v>1187</v>
      </c>
      <c r="G673" s="750" t="s">
        <v>108</v>
      </c>
      <c r="H673" s="749" t="s">
        <v>4367</v>
      </c>
      <c r="I673" s="749" t="s">
        <v>3866</v>
      </c>
      <c r="J673" s="794">
        <v>68.25</v>
      </c>
      <c r="K673" s="795"/>
    </row>
    <row r="674" spans="1:11" ht="0.95" customHeight="1" thickTop="1">
      <c r="A674" s="747"/>
      <c r="B674" s="747"/>
      <c r="C674" s="747"/>
      <c r="D674" s="747"/>
      <c r="E674" s="747"/>
      <c r="F674" s="747"/>
      <c r="G674" s="747"/>
      <c r="H674" s="747"/>
      <c r="I674" s="747"/>
      <c r="J674" s="747"/>
      <c r="K674" s="747"/>
    </row>
    <row r="675" spans="1:11" ht="18" customHeight="1">
      <c r="A675" s="738"/>
      <c r="B675" s="738" t="s">
        <v>60</v>
      </c>
      <c r="C675" s="739" t="s">
        <v>3312</v>
      </c>
      <c r="D675" s="738" t="s">
        <v>3602</v>
      </c>
      <c r="E675" s="738" t="s">
        <v>3313</v>
      </c>
      <c r="F675" s="738" t="s">
        <v>3390</v>
      </c>
      <c r="G675" s="740" t="s">
        <v>70</v>
      </c>
      <c r="H675" s="739" t="s">
        <v>64</v>
      </c>
      <c r="I675" s="739" t="s">
        <v>3617</v>
      </c>
      <c r="J675" s="797" t="s">
        <v>474</v>
      </c>
      <c r="K675" s="795"/>
    </row>
    <row r="676" spans="1:11" ht="33" customHeight="1">
      <c r="A676" s="741" t="s">
        <v>4608</v>
      </c>
      <c r="B676" s="741" t="s">
        <v>4809</v>
      </c>
      <c r="C676" s="742" t="s">
        <v>3408</v>
      </c>
      <c r="D676" s="741" t="s">
        <v>3604</v>
      </c>
      <c r="E676" s="741" t="s">
        <v>536</v>
      </c>
      <c r="F676" s="741" t="s">
        <v>3410</v>
      </c>
      <c r="G676" s="743" t="s">
        <v>284</v>
      </c>
      <c r="H676" s="742">
        <v>1</v>
      </c>
      <c r="I676" s="742" t="s">
        <v>3698</v>
      </c>
      <c r="J676" s="798" t="s">
        <v>3698</v>
      </c>
      <c r="K676" s="795"/>
    </row>
    <row r="677" spans="1:11" ht="33" customHeight="1" thickBot="1">
      <c r="A677" s="748" t="s">
        <v>4616</v>
      </c>
      <c r="B677" s="748"/>
      <c r="C677" s="749" t="s">
        <v>3699</v>
      </c>
      <c r="D677" s="748" t="s">
        <v>1127</v>
      </c>
      <c r="E677" s="748" t="s">
        <v>536</v>
      </c>
      <c r="F677" s="748" t="s">
        <v>1187</v>
      </c>
      <c r="G677" s="750" t="s">
        <v>284</v>
      </c>
      <c r="H677" s="749" t="s">
        <v>3610</v>
      </c>
      <c r="I677" s="749" t="s">
        <v>3698</v>
      </c>
      <c r="J677" s="794">
        <v>294.68</v>
      </c>
      <c r="K677" s="795"/>
    </row>
    <row r="678" spans="1:11" ht="0.95" customHeight="1" thickTop="1">
      <c r="A678" s="747"/>
      <c r="B678" s="747"/>
      <c r="C678" s="747"/>
      <c r="D678" s="747"/>
      <c r="E678" s="747"/>
      <c r="F678" s="747"/>
      <c r="G678" s="747"/>
      <c r="H678" s="747"/>
      <c r="I678" s="747"/>
      <c r="J678" s="747"/>
      <c r="K678" s="747"/>
    </row>
    <row r="679" spans="1:11" ht="18" customHeight="1">
      <c r="A679" s="738"/>
      <c r="B679" s="738" t="s">
        <v>60</v>
      </c>
      <c r="C679" s="739" t="s">
        <v>3312</v>
      </c>
      <c r="D679" s="738" t="s">
        <v>3602</v>
      </c>
      <c r="E679" s="738" t="s">
        <v>3313</v>
      </c>
      <c r="F679" s="738" t="s">
        <v>3390</v>
      </c>
      <c r="G679" s="740" t="s">
        <v>70</v>
      </c>
      <c r="H679" s="739" t="s">
        <v>64</v>
      </c>
      <c r="I679" s="739" t="s">
        <v>3617</v>
      </c>
      <c r="J679" s="797" t="s">
        <v>474</v>
      </c>
      <c r="K679" s="795"/>
    </row>
    <row r="680" spans="1:11" ht="21.95" customHeight="1">
      <c r="A680" s="741" t="s">
        <v>4608</v>
      </c>
      <c r="B680" s="741" t="s">
        <v>4810</v>
      </c>
      <c r="C680" s="742" t="s">
        <v>3460</v>
      </c>
      <c r="D680" s="741" t="s">
        <v>3604</v>
      </c>
      <c r="E680" s="741" t="s">
        <v>2677</v>
      </c>
      <c r="F680" s="741" t="s">
        <v>3423</v>
      </c>
      <c r="G680" s="743" t="s">
        <v>108</v>
      </c>
      <c r="H680" s="742">
        <v>1</v>
      </c>
      <c r="I680" s="742" t="s">
        <v>4679</v>
      </c>
      <c r="J680" s="798" t="s">
        <v>4679</v>
      </c>
      <c r="K680" s="795"/>
    </row>
    <row r="681" spans="1:11" ht="21.95" customHeight="1">
      <c r="A681" s="744" t="s">
        <v>4611</v>
      </c>
      <c r="B681" s="744"/>
      <c r="C681" s="745" t="s">
        <v>3723</v>
      </c>
      <c r="D681" s="744" t="s">
        <v>1127</v>
      </c>
      <c r="E681" s="744" t="s">
        <v>1159</v>
      </c>
      <c r="F681" s="744" t="s">
        <v>3430</v>
      </c>
      <c r="G681" s="746" t="s">
        <v>1129</v>
      </c>
      <c r="H681" s="745" t="s">
        <v>3701</v>
      </c>
      <c r="I681" s="745" t="s">
        <v>3725</v>
      </c>
      <c r="J681" s="796">
        <v>5.95</v>
      </c>
      <c r="K681" s="795"/>
    </row>
    <row r="682" spans="1:11" ht="21.95" customHeight="1">
      <c r="A682" s="744" t="s">
        <v>4611</v>
      </c>
      <c r="B682" s="744"/>
      <c r="C682" s="745" t="s">
        <v>3633</v>
      </c>
      <c r="D682" s="744" t="s">
        <v>1127</v>
      </c>
      <c r="E682" s="744" t="s">
        <v>1146</v>
      </c>
      <c r="F682" s="744" t="s">
        <v>3430</v>
      </c>
      <c r="G682" s="746" t="s">
        <v>1129</v>
      </c>
      <c r="H682" s="745" t="s">
        <v>3822</v>
      </c>
      <c r="I682" s="745" t="s">
        <v>3635</v>
      </c>
      <c r="J682" s="796">
        <v>3.47</v>
      </c>
      <c r="K682" s="795"/>
    </row>
    <row r="683" spans="1:11" ht="21.95" customHeight="1">
      <c r="A683" s="748" t="s">
        <v>4616</v>
      </c>
      <c r="B683" s="748"/>
      <c r="C683" s="749" t="s">
        <v>3823</v>
      </c>
      <c r="D683" s="748" t="s">
        <v>1127</v>
      </c>
      <c r="E683" s="748" t="s">
        <v>1987</v>
      </c>
      <c r="F683" s="748" t="s">
        <v>1187</v>
      </c>
      <c r="G683" s="750" t="s">
        <v>57</v>
      </c>
      <c r="H683" s="749" t="s">
        <v>3713</v>
      </c>
      <c r="I683" s="749" t="s">
        <v>3824</v>
      </c>
      <c r="J683" s="794">
        <v>0.2</v>
      </c>
      <c r="K683" s="795"/>
    </row>
    <row r="684" spans="1:11" ht="21.95" customHeight="1" thickBot="1">
      <c r="A684" s="748" t="s">
        <v>4616</v>
      </c>
      <c r="B684" s="748"/>
      <c r="C684" s="749" t="s">
        <v>3825</v>
      </c>
      <c r="D684" s="748" t="s">
        <v>1127</v>
      </c>
      <c r="E684" s="748" t="s">
        <v>3826</v>
      </c>
      <c r="F684" s="748" t="s">
        <v>1187</v>
      </c>
      <c r="G684" s="750" t="s">
        <v>3827</v>
      </c>
      <c r="H684" s="749" t="s">
        <v>3828</v>
      </c>
      <c r="I684" s="749" t="s">
        <v>3829</v>
      </c>
      <c r="J684" s="794">
        <v>3.44</v>
      </c>
      <c r="K684" s="795"/>
    </row>
    <row r="685" spans="1:11" ht="0.95" customHeight="1" thickTop="1">
      <c r="A685" s="747"/>
      <c r="B685" s="747"/>
      <c r="C685" s="747"/>
      <c r="D685" s="747"/>
      <c r="E685" s="747"/>
      <c r="F685" s="747"/>
      <c r="G685" s="747"/>
      <c r="H685" s="747"/>
      <c r="I685" s="747"/>
      <c r="J685" s="747"/>
      <c r="K685" s="747"/>
    </row>
    <row r="686" spans="1:11" ht="18" customHeight="1">
      <c r="A686" s="738"/>
      <c r="B686" s="738" t="s">
        <v>60</v>
      </c>
      <c r="C686" s="739" t="s">
        <v>3312</v>
      </c>
      <c r="D686" s="738" t="s">
        <v>3602</v>
      </c>
      <c r="E686" s="738" t="s">
        <v>3313</v>
      </c>
      <c r="F686" s="738" t="s">
        <v>3390</v>
      </c>
      <c r="G686" s="740" t="s">
        <v>70</v>
      </c>
      <c r="H686" s="739" t="s">
        <v>64</v>
      </c>
      <c r="I686" s="739" t="s">
        <v>3617</v>
      </c>
      <c r="J686" s="797" t="s">
        <v>474</v>
      </c>
      <c r="K686" s="795"/>
    </row>
    <row r="687" spans="1:11" ht="33" customHeight="1">
      <c r="A687" s="741" t="s">
        <v>4608</v>
      </c>
      <c r="B687" s="741" t="s">
        <v>4811</v>
      </c>
      <c r="C687" s="742" t="s">
        <v>4812</v>
      </c>
      <c r="D687" s="741" t="s">
        <v>3604</v>
      </c>
      <c r="E687" s="741" t="s">
        <v>1126</v>
      </c>
      <c r="F687" s="741" t="s">
        <v>3423</v>
      </c>
      <c r="G687" s="743" t="s">
        <v>108</v>
      </c>
      <c r="H687" s="742">
        <v>1</v>
      </c>
      <c r="I687" s="742" t="s">
        <v>4813</v>
      </c>
      <c r="J687" s="798" t="s">
        <v>4813</v>
      </c>
      <c r="K687" s="795"/>
    </row>
    <row r="688" spans="1:11" ht="21.95" customHeight="1">
      <c r="A688" s="744" t="s">
        <v>4611</v>
      </c>
      <c r="B688" s="744"/>
      <c r="C688" s="745" t="s">
        <v>3723</v>
      </c>
      <c r="D688" s="744" t="s">
        <v>1127</v>
      </c>
      <c r="E688" s="744" t="s">
        <v>1159</v>
      </c>
      <c r="F688" s="744" t="s">
        <v>3430</v>
      </c>
      <c r="G688" s="746" t="s">
        <v>1129</v>
      </c>
      <c r="H688" s="745" t="s">
        <v>3818</v>
      </c>
      <c r="I688" s="745" t="s">
        <v>3725</v>
      </c>
      <c r="J688" s="796">
        <v>6.8</v>
      </c>
      <c r="K688" s="795"/>
    </row>
    <row r="689" spans="1:11" ht="21.95" customHeight="1">
      <c r="A689" s="744" t="s">
        <v>4611</v>
      </c>
      <c r="B689" s="744"/>
      <c r="C689" s="745" t="s">
        <v>3633</v>
      </c>
      <c r="D689" s="744" t="s">
        <v>1127</v>
      </c>
      <c r="E689" s="744" t="s">
        <v>1146</v>
      </c>
      <c r="F689" s="744" t="s">
        <v>3430</v>
      </c>
      <c r="G689" s="746" t="s">
        <v>1129</v>
      </c>
      <c r="H689" s="745" t="s">
        <v>3820</v>
      </c>
      <c r="I689" s="745" t="s">
        <v>3635</v>
      </c>
      <c r="J689" s="796">
        <v>2.77</v>
      </c>
      <c r="K689" s="795"/>
    </row>
    <row r="690" spans="1:11" ht="21.95" customHeight="1" thickBot="1">
      <c r="A690" s="748" t="s">
        <v>4616</v>
      </c>
      <c r="B690" s="748"/>
      <c r="C690" s="749" t="s">
        <v>4814</v>
      </c>
      <c r="D690" s="748" t="s">
        <v>3604</v>
      </c>
      <c r="E690" s="748" t="s">
        <v>4543</v>
      </c>
      <c r="F690" s="748" t="s">
        <v>1187</v>
      </c>
      <c r="G690" s="750" t="s">
        <v>1163</v>
      </c>
      <c r="H690" s="749" t="s">
        <v>3832</v>
      </c>
      <c r="I690" s="749" t="s">
        <v>4815</v>
      </c>
      <c r="J690" s="794">
        <v>6.68</v>
      </c>
      <c r="K690" s="795"/>
    </row>
    <row r="691" spans="1:11" ht="0.95" customHeight="1" thickTop="1">
      <c r="A691" s="747"/>
      <c r="B691" s="747"/>
      <c r="C691" s="747"/>
      <c r="D691" s="747"/>
      <c r="E691" s="747"/>
      <c r="F691" s="747"/>
      <c r="G691" s="747"/>
      <c r="H691" s="747"/>
      <c r="I691" s="747"/>
      <c r="J691" s="747"/>
      <c r="K691" s="747"/>
    </row>
    <row r="692" spans="1:11" ht="18" customHeight="1">
      <c r="A692" s="738"/>
      <c r="B692" s="738" t="s">
        <v>60</v>
      </c>
      <c r="C692" s="739" t="s">
        <v>3312</v>
      </c>
      <c r="D692" s="738" t="s">
        <v>3602</v>
      </c>
      <c r="E692" s="738" t="s">
        <v>3313</v>
      </c>
      <c r="F692" s="738" t="s">
        <v>3390</v>
      </c>
      <c r="G692" s="740" t="s">
        <v>70</v>
      </c>
      <c r="H692" s="739" t="s">
        <v>64</v>
      </c>
      <c r="I692" s="739" t="s">
        <v>3617</v>
      </c>
      <c r="J692" s="797" t="s">
        <v>474</v>
      </c>
      <c r="K692" s="795"/>
    </row>
    <row r="693" spans="1:11" ht="33" customHeight="1">
      <c r="A693" s="741" t="s">
        <v>4608</v>
      </c>
      <c r="B693" s="741" t="s">
        <v>4816</v>
      </c>
      <c r="C693" s="742" t="s">
        <v>4817</v>
      </c>
      <c r="D693" s="741" t="s">
        <v>3604</v>
      </c>
      <c r="E693" s="741" t="s">
        <v>982</v>
      </c>
      <c r="F693" s="741" t="s">
        <v>3423</v>
      </c>
      <c r="G693" s="743" t="s">
        <v>108</v>
      </c>
      <c r="H693" s="742">
        <v>1</v>
      </c>
      <c r="I693" s="742" t="s">
        <v>4818</v>
      </c>
      <c r="J693" s="798" t="s">
        <v>4818</v>
      </c>
      <c r="K693" s="795"/>
    </row>
    <row r="694" spans="1:11" ht="21.95" customHeight="1">
      <c r="A694" s="744" t="s">
        <v>4611</v>
      </c>
      <c r="B694" s="744"/>
      <c r="C694" s="745" t="s">
        <v>3723</v>
      </c>
      <c r="D694" s="744" t="s">
        <v>1127</v>
      </c>
      <c r="E694" s="744" t="s">
        <v>1159</v>
      </c>
      <c r="F694" s="744" t="s">
        <v>3430</v>
      </c>
      <c r="G694" s="746" t="s">
        <v>1129</v>
      </c>
      <c r="H694" s="745" t="s">
        <v>3818</v>
      </c>
      <c r="I694" s="745" t="s">
        <v>3725</v>
      </c>
      <c r="J694" s="796">
        <v>6.8</v>
      </c>
      <c r="K694" s="795"/>
    </row>
    <row r="695" spans="1:11" ht="21.95" customHeight="1">
      <c r="A695" s="744" t="s">
        <v>4611</v>
      </c>
      <c r="B695" s="744"/>
      <c r="C695" s="745" t="s">
        <v>3633</v>
      </c>
      <c r="D695" s="744" t="s">
        <v>1127</v>
      </c>
      <c r="E695" s="744" t="s">
        <v>1146</v>
      </c>
      <c r="F695" s="744" t="s">
        <v>3430</v>
      </c>
      <c r="G695" s="746" t="s">
        <v>1129</v>
      </c>
      <c r="H695" s="745" t="s">
        <v>3820</v>
      </c>
      <c r="I695" s="745" t="s">
        <v>3635</v>
      </c>
      <c r="J695" s="796">
        <v>2.77</v>
      </c>
      <c r="K695" s="795"/>
    </row>
    <row r="696" spans="1:11" ht="21.95" customHeight="1" thickBot="1">
      <c r="A696" s="748" t="s">
        <v>4616</v>
      </c>
      <c r="B696" s="748"/>
      <c r="C696" s="749" t="s">
        <v>4819</v>
      </c>
      <c r="D696" s="748" t="s">
        <v>3604</v>
      </c>
      <c r="E696" s="748" t="s">
        <v>4534</v>
      </c>
      <c r="F696" s="748" t="s">
        <v>1187</v>
      </c>
      <c r="G696" s="750" t="s">
        <v>1163</v>
      </c>
      <c r="H696" s="749" t="s">
        <v>3832</v>
      </c>
      <c r="I696" s="749" t="s">
        <v>4820</v>
      </c>
      <c r="J696" s="794">
        <v>8.15</v>
      </c>
      <c r="K696" s="795"/>
    </row>
    <row r="697" spans="1:11" ht="0.95" customHeight="1" thickTop="1">
      <c r="A697" s="747"/>
      <c r="B697" s="747"/>
      <c r="C697" s="747"/>
      <c r="D697" s="747"/>
      <c r="E697" s="747"/>
      <c r="F697" s="747"/>
      <c r="G697" s="747"/>
      <c r="H697" s="747"/>
      <c r="I697" s="747"/>
      <c r="J697" s="747"/>
      <c r="K697" s="747"/>
    </row>
    <row r="698" spans="1:11" ht="18" customHeight="1">
      <c r="A698" s="738"/>
      <c r="B698" s="738" t="s">
        <v>60</v>
      </c>
      <c r="C698" s="739" t="s">
        <v>3312</v>
      </c>
      <c r="D698" s="738" t="s">
        <v>3602</v>
      </c>
      <c r="E698" s="738" t="s">
        <v>3313</v>
      </c>
      <c r="F698" s="738" t="s">
        <v>3390</v>
      </c>
      <c r="G698" s="740" t="s">
        <v>70</v>
      </c>
      <c r="H698" s="739" t="s">
        <v>64</v>
      </c>
      <c r="I698" s="739" t="s">
        <v>3617</v>
      </c>
      <c r="J698" s="797" t="s">
        <v>474</v>
      </c>
      <c r="K698" s="795"/>
    </row>
    <row r="699" spans="1:11" ht="21.95" customHeight="1">
      <c r="A699" s="741" t="s">
        <v>4608</v>
      </c>
      <c r="B699" s="741" t="s">
        <v>4821</v>
      </c>
      <c r="C699" s="742" t="s">
        <v>3422</v>
      </c>
      <c r="D699" s="741" t="s">
        <v>3604</v>
      </c>
      <c r="E699" s="741" t="s">
        <v>2005</v>
      </c>
      <c r="F699" s="741" t="s">
        <v>3423</v>
      </c>
      <c r="G699" s="743" t="s">
        <v>108</v>
      </c>
      <c r="H699" s="742">
        <v>1</v>
      </c>
      <c r="I699" s="742" t="s">
        <v>3830</v>
      </c>
      <c r="J699" s="798" t="s">
        <v>3830</v>
      </c>
      <c r="K699" s="795"/>
    </row>
    <row r="700" spans="1:11" ht="21.95" customHeight="1">
      <c r="A700" s="744" t="s">
        <v>4611</v>
      </c>
      <c r="B700" s="744"/>
      <c r="C700" s="745" t="s">
        <v>3723</v>
      </c>
      <c r="D700" s="744" t="s">
        <v>1127</v>
      </c>
      <c r="E700" s="744" t="s">
        <v>1159</v>
      </c>
      <c r="F700" s="744" t="s">
        <v>3430</v>
      </c>
      <c r="G700" s="746" t="s">
        <v>1129</v>
      </c>
      <c r="H700" s="745" t="s">
        <v>3820</v>
      </c>
      <c r="I700" s="745" t="s">
        <v>3725</v>
      </c>
      <c r="J700" s="796">
        <v>3.4</v>
      </c>
      <c r="K700" s="795"/>
    </row>
    <row r="701" spans="1:11" ht="21.95" customHeight="1">
      <c r="A701" s="744" t="s">
        <v>4611</v>
      </c>
      <c r="B701" s="744"/>
      <c r="C701" s="745" t="s">
        <v>3831</v>
      </c>
      <c r="D701" s="744" t="s">
        <v>1127</v>
      </c>
      <c r="E701" s="744" t="s">
        <v>1229</v>
      </c>
      <c r="F701" s="744" t="s">
        <v>3430</v>
      </c>
      <c r="G701" s="746" t="s">
        <v>1129</v>
      </c>
      <c r="H701" s="745" t="s">
        <v>3832</v>
      </c>
      <c r="I701" s="745" t="s">
        <v>3833</v>
      </c>
      <c r="J701" s="796">
        <v>2.62</v>
      </c>
      <c r="K701" s="795"/>
    </row>
    <row r="702" spans="1:11" ht="21.95" customHeight="1">
      <c r="A702" s="748" t="s">
        <v>4616</v>
      </c>
      <c r="B702" s="748"/>
      <c r="C702" s="749" t="s">
        <v>3823</v>
      </c>
      <c r="D702" s="748" t="s">
        <v>1127</v>
      </c>
      <c r="E702" s="748" t="s">
        <v>1987</v>
      </c>
      <c r="F702" s="748" t="s">
        <v>1187</v>
      </c>
      <c r="G702" s="750" t="s">
        <v>57</v>
      </c>
      <c r="H702" s="749" t="s">
        <v>3610</v>
      </c>
      <c r="I702" s="749" t="s">
        <v>3824</v>
      </c>
      <c r="J702" s="794">
        <v>0.69</v>
      </c>
      <c r="K702" s="795"/>
    </row>
    <row r="703" spans="1:11" ht="21.95" customHeight="1" thickBot="1">
      <c r="A703" s="748" t="s">
        <v>4616</v>
      </c>
      <c r="B703" s="748"/>
      <c r="C703" s="749" t="s">
        <v>3834</v>
      </c>
      <c r="D703" s="748" t="s">
        <v>1127</v>
      </c>
      <c r="E703" s="748" t="s">
        <v>2007</v>
      </c>
      <c r="F703" s="748" t="s">
        <v>1187</v>
      </c>
      <c r="G703" s="750" t="s">
        <v>1163</v>
      </c>
      <c r="H703" s="749" t="s">
        <v>3835</v>
      </c>
      <c r="I703" s="749" t="s">
        <v>3836</v>
      </c>
      <c r="J703" s="794">
        <v>5.74</v>
      </c>
      <c r="K703" s="795"/>
    </row>
    <row r="704" spans="1:11" ht="0.95" customHeight="1" thickTop="1">
      <c r="A704" s="747"/>
      <c r="B704" s="747"/>
      <c r="C704" s="747"/>
      <c r="D704" s="747"/>
      <c r="E704" s="747"/>
      <c r="F704" s="747"/>
      <c r="G704" s="747"/>
      <c r="H704" s="747"/>
      <c r="I704" s="747"/>
      <c r="J704" s="747"/>
      <c r="K704" s="747"/>
    </row>
    <row r="705" spans="1:11" ht="18" customHeight="1">
      <c r="A705" s="738"/>
      <c r="B705" s="738" t="s">
        <v>60</v>
      </c>
      <c r="C705" s="739" t="s">
        <v>3312</v>
      </c>
      <c r="D705" s="738" t="s">
        <v>3602</v>
      </c>
      <c r="E705" s="738" t="s">
        <v>3313</v>
      </c>
      <c r="F705" s="738" t="s">
        <v>3390</v>
      </c>
      <c r="G705" s="740" t="s">
        <v>70</v>
      </c>
      <c r="H705" s="739" t="s">
        <v>64</v>
      </c>
      <c r="I705" s="739" t="s">
        <v>3617</v>
      </c>
      <c r="J705" s="797" t="s">
        <v>474</v>
      </c>
      <c r="K705" s="795"/>
    </row>
    <row r="706" spans="1:11" ht="21.95" customHeight="1">
      <c r="A706" s="741" t="s">
        <v>4608</v>
      </c>
      <c r="B706" s="741" t="s">
        <v>4822</v>
      </c>
      <c r="C706" s="742" t="s">
        <v>3416</v>
      </c>
      <c r="D706" s="741" t="s">
        <v>3604</v>
      </c>
      <c r="E706" s="741" t="s">
        <v>2679</v>
      </c>
      <c r="F706" s="741" t="s">
        <v>3417</v>
      </c>
      <c r="G706" s="743" t="s">
        <v>108</v>
      </c>
      <c r="H706" s="742">
        <v>1</v>
      </c>
      <c r="I706" s="742" t="s">
        <v>4311</v>
      </c>
      <c r="J706" s="798" t="s">
        <v>4311</v>
      </c>
      <c r="K706" s="795"/>
    </row>
    <row r="707" spans="1:11" ht="21.95" customHeight="1">
      <c r="A707" s="744" t="s">
        <v>4611</v>
      </c>
      <c r="B707" s="744"/>
      <c r="C707" s="745" t="s">
        <v>3633</v>
      </c>
      <c r="D707" s="744" t="s">
        <v>1127</v>
      </c>
      <c r="E707" s="744" t="s">
        <v>1146</v>
      </c>
      <c r="F707" s="744" t="s">
        <v>3430</v>
      </c>
      <c r="G707" s="746" t="s">
        <v>1129</v>
      </c>
      <c r="H707" s="745" t="s">
        <v>3837</v>
      </c>
      <c r="I707" s="745" t="s">
        <v>3635</v>
      </c>
      <c r="J707" s="796">
        <v>10.41</v>
      </c>
      <c r="K707" s="795"/>
    </row>
    <row r="708" spans="1:11" ht="21.95" customHeight="1">
      <c r="A708" s="744" t="s">
        <v>4611</v>
      </c>
      <c r="B708" s="744"/>
      <c r="C708" s="745" t="s">
        <v>3636</v>
      </c>
      <c r="D708" s="744" t="s">
        <v>1127</v>
      </c>
      <c r="E708" s="744" t="s">
        <v>1144</v>
      </c>
      <c r="F708" s="744" t="s">
        <v>3430</v>
      </c>
      <c r="G708" s="746" t="s">
        <v>1129</v>
      </c>
      <c r="H708" s="745" t="s">
        <v>3837</v>
      </c>
      <c r="I708" s="745" t="s">
        <v>4619</v>
      </c>
      <c r="J708" s="796">
        <v>12.74</v>
      </c>
      <c r="K708" s="795"/>
    </row>
    <row r="709" spans="1:11" ht="21.95" customHeight="1">
      <c r="A709" s="748" t="s">
        <v>4616</v>
      </c>
      <c r="B709" s="748"/>
      <c r="C709" s="749" t="s">
        <v>3838</v>
      </c>
      <c r="D709" s="748" t="s">
        <v>1127</v>
      </c>
      <c r="E709" s="748" t="s">
        <v>1200</v>
      </c>
      <c r="F709" s="748" t="s">
        <v>1187</v>
      </c>
      <c r="G709" s="750" t="s">
        <v>3839</v>
      </c>
      <c r="H709" s="749" t="s">
        <v>3840</v>
      </c>
      <c r="I709" s="749" t="s">
        <v>3841</v>
      </c>
      <c r="J709" s="794">
        <v>0.23</v>
      </c>
      <c r="K709" s="795"/>
    </row>
    <row r="710" spans="1:11" ht="21.95" customHeight="1">
      <c r="A710" s="748" t="s">
        <v>4616</v>
      </c>
      <c r="B710" s="748"/>
      <c r="C710" s="749" t="s">
        <v>3842</v>
      </c>
      <c r="D710" s="748" t="s">
        <v>1127</v>
      </c>
      <c r="E710" s="748" t="s">
        <v>1201</v>
      </c>
      <c r="F710" s="748" t="s">
        <v>1187</v>
      </c>
      <c r="G710" s="750" t="s">
        <v>94</v>
      </c>
      <c r="H710" s="749" t="s">
        <v>3818</v>
      </c>
      <c r="I710" s="749" t="s">
        <v>3843</v>
      </c>
      <c r="J710" s="794">
        <v>5.76</v>
      </c>
      <c r="K710" s="795"/>
    </row>
    <row r="711" spans="1:11" ht="21.95" customHeight="1">
      <c r="A711" s="748" t="s">
        <v>4616</v>
      </c>
      <c r="B711" s="748"/>
      <c r="C711" s="749" t="s">
        <v>3844</v>
      </c>
      <c r="D711" s="748" t="s">
        <v>1127</v>
      </c>
      <c r="E711" s="748" t="s">
        <v>1202</v>
      </c>
      <c r="F711" s="748" t="s">
        <v>1187</v>
      </c>
      <c r="G711" s="750" t="s">
        <v>94</v>
      </c>
      <c r="H711" s="749" t="s">
        <v>3741</v>
      </c>
      <c r="I711" s="749" t="s">
        <v>3845</v>
      </c>
      <c r="J711" s="794">
        <v>0.19</v>
      </c>
      <c r="K711" s="795"/>
    </row>
    <row r="712" spans="1:11" ht="21.95" customHeight="1">
      <c r="A712" s="748" t="s">
        <v>4616</v>
      </c>
      <c r="B712" s="748"/>
      <c r="C712" s="749" t="s">
        <v>3846</v>
      </c>
      <c r="D712" s="748" t="s">
        <v>1127</v>
      </c>
      <c r="E712" s="748" t="s">
        <v>1203</v>
      </c>
      <c r="F712" s="748" t="s">
        <v>1187</v>
      </c>
      <c r="G712" s="750" t="s">
        <v>94</v>
      </c>
      <c r="H712" s="749" t="s">
        <v>3828</v>
      </c>
      <c r="I712" s="749" t="s">
        <v>3847</v>
      </c>
      <c r="J712" s="794">
        <v>0.22</v>
      </c>
      <c r="K712" s="795"/>
    </row>
    <row r="713" spans="1:11" ht="21.95" customHeight="1">
      <c r="A713" s="748" t="s">
        <v>4616</v>
      </c>
      <c r="B713" s="748"/>
      <c r="C713" s="749" t="s">
        <v>3848</v>
      </c>
      <c r="D713" s="748" t="s">
        <v>1127</v>
      </c>
      <c r="E713" s="748" t="s">
        <v>1204</v>
      </c>
      <c r="F713" s="748" t="s">
        <v>1187</v>
      </c>
      <c r="G713" s="750" t="s">
        <v>101</v>
      </c>
      <c r="H713" s="749" t="s">
        <v>3849</v>
      </c>
      <c r="I713" s="749" t="s">
        <v>3850</v>
      </c>
      <c r="J713" s="794">
        <v>3.97</v>
      </c>
      <c r="K713" s="795"/>
    </row>
    <row r="714" spans="1:11" ht="21.95" customHeight="1">
      <c r="A714" s="748" t="s">
        <v>4616</v>
      </c>
      <c r="B714" s="748"/>
      <c r="C714" s="749" t="s">
        <v>3851</v>
      </c>
      <c r="D714" s="748" t="s">
        <v>1127</v>
      </c>
      <c r="E714" s="748" t="s">
        <v>1205</v>
      </c>
      <c r="F714" s="748" t="s">
        <v>1187</v>
      </c>
      <c r="G714" s="750" t="s">
        <v>101</v>
      </c>
      <c r="H714" s="749" t="s">
        <v>3852</v>
      </c>
      <c r="I714" s="749" t="s">
        <v>3853</v>
      </c>
      <c r="J714" s="794">
        <v>2.25</v>
      </c>
      <c r="K714" s="795"/>
    </row>
    <row r="715" spans="1:11" ht="33" customHeight="1">
      <c r="A715" s="748" t="s">
        <v>4616</v>
      </c>
      <c r="B715" s="748"/>
      <c r="C715" s="749" t="s">
        <v>3854</v>
      </c>
      <c r="D715" s="748" t="s">
        <v>1127</v>
      </c>
      <c r="E715" s="748" t="s">
        <v>3855</v>
      </c>
      <c r="F715" s="748" t="s">
        <v>1187</v>
      </c>
      <c r="G715" s="750" t="s">
        <v>101</v>
      </c>
      <c r="H715" s="749" t="s">
        <v>3818</v>
      </c>
      <c r="I715" s="749" t="s">
        <v>3856</v>
      </c>
      <c r="J715" s="794">
        <v>0.9</v>
      </c>
      <c r="K715" s="795"/>
    </row>
    <row r="716" spans="1:11" ht="33" customHeight="1" thickBot="1">
      <c r="A716" s="748" t="s">
        <v>4616</v>
      </c>
      <c r="B716" s="748"/>
      <c r="C716" s="749" t="s">
        <v>3857</v>
      </c>
      <c r="D716" s="748" t="s">
        <v>1127</v>
      </c>
      <c r="E716" s="748" t="s">
        <v>1206</v>
      </c>
      <c r="F716" s="748" t="s">
        <v>1187</v>
      </c>
      <c r="G716" s="750" t="s">
        <v>108</v>
      </c>
      <c r="H716" s="749" t="s">
        <v>3610</v>
      </c>
      <c r="I716" s="749" t="s">
        <v>3663</v>
      </c>
      <c r="J716" s="794">
        <v>13.9</v>
      </c>
      <c r="K716" s="795"/>
    </row>
    <row r="717" spans="1:11" ht="0.95" customHeight="1" thickTop="1">
      <c r="A717" s="747"/>
      <c r="B717" s="747"/>
      <c r="C717" s="747"/>
      <c r="D717" s="747"/>
      <c r="E717" s="747"/>
      <c r="F717" s="747"/>
      <c r="G717" s="747"/>
      <c r="H717" s="747"/>
      <c r="I717" s="747"/>
      <c r="J717" s="747"/>
      <c r="K717" s="747"/>
    </row>
    <row r="718" spans="1:11" ht="18" customHeight="1">
      <c r="A718" s="738"/>
      <c r="B718" s="738" t="s">
        <v>60</v>
      </c>
      <c r="C718" s="739" t="s">
        <v>3312</v>
      </c>
      <c r="D718" s="738" t="s">
        <v>3602</v>
      </c>
      <c r="E718" s="738" t="s">
        <v>3313</v>
      </c>
      <c r="F718" s="738" t="s">
        <v>3390</v>
      </c>
      <c r="G718" s="740" t="s">
        <v>70</v>
      </c>
      <c r="H718" s="739" t="s">
        <v>64</v>
      </c>
      <c r="I718" s="739" t="s">
        <v>3617</v>
      </c>
      <c r="J718" s="797" t="s">
        <v>474</v>
      </c>
      <c r="K718" s="795"/>
    </row>
    <row r="719" spans="1:11" ht="33" customHeight="1">
      <c r="A719" s="741" t="s">
        <v>4608</v>
      </c>
      <c r="B719" s="741" t="s">
        <v>4823</v>
      </c>
      <c r="C719" s="742" t="s">
        <v>3489</v>
      </c>
      <c r="D719" s="741" t="s">
        <v>3604</v>
      </c>
      <c r="E719" s="741" t="s">
        <v>1469</v>
      </c>
      <c r="F719" s="741" t="s">
        <v>3490</v>
      </c>
      <c r="G719" s="743" t="s">
        <v>108</v>
      </c>
      <c r="H719" s="742">
        <v>1</v>
      </c>
      <c r="I719" s="742" t="s">
        <v>4683</v>
      </c>
      <c r="J719" s="798" t="s">
        <v>4683</v>
      </c>
      <c r="K719" s="795"/>
    </row>
    <row r="720" spans="1:11" ht="21.95" customHeight="1">
      <c r="A720" s="744" t="s">
        <v>4611</v>
      </c>
      <c r="B720" s="744"/>
      <c r="C720" s="745" t="s">
        <v>3817</v>
      </c>
      <c r="D720" s="744" t="s">
        <v>1127</v>
      </c>
      <c r="E720" s="744" t="s">
        <v>1471</v>
      </c>
      <c r="F720" s="744" t="s">
        <v>3430</v>
      </c>
      <c r="G720" s="746" t="s">
        <v>1129</v>
      </c>
      <c r="H720" s="745" t="s">
        <v>3858</v>
      </c>
      <c r="I720" s="745" t="s">
        <v>3819</v>
      </c>
      <c r="J720" s="796">
        <v>78.19</v>
      </c>
      <c r="K720" s="795"/>
    </row>
    <row r="721" spans="1:11" ht="21.95" customHeight="1">
      <c r="A721" s="744" t="s">
        <v>4611</v>
      </c>
      <c r="B721" s="744"/>
      <c r="C721" s="745" t="s">
        <v>3633</v>
      </c>
      <c r="D721" s="744" t="s">
        <v>1127</v>
      </c>
      <c r="E721" s="744" t="s">
        <v>1146</v>
      </c>
      <c r="F721" s="744" t="s">
        <v>3430</v>
      </c>
      <c r="G721" s="746" t="s">
        <v>1129</v>
      </c>
      <c r="H721" s="745" t="s">
        <v>3859</v>
      </c>
      <c r="I721" s="745" t="s">
        <v>3635</v>
      </c>
      <c r="J721" s="796">
        <v>31.92</v>
      </c>
      <c r="K721" s="795"/>
    </row>
    <row r="722" spans="1:11" ht="21.95" customHeight="1">
      <c r="A722" s="744" t="s">
        <v>4611</v>
      </c>
      <c r="B722" s="744"/>
      <c r="C722" s="745" t="s">
        <v>3860</v>
      </c>
      <c r="D722" s="744" t="s">
        <v>1127</v>
      </c>
      <c r="E722" s="744" t="s">
        <v>1472</v>
      </c>
      <c r="F722" s="744" t="s">
        <v>3430</v>
      </c>
      <c r="G722" s="746" t="s">
        <v>284</v>
      </c>
      <c r="H722" s="745" t="s">
        <v>3861</v>
      </c>
      <c r="I722" s="745" t="s">
        <v>4684</v>
      </c>
      <c r="J722" s="796">
        <v>1.19</v>
      </c>
      <c r="K722" s="795"/>
    </row>
    <row r="723" spans="1:11" ht="21.95" customHeight="1">
      <c r="A723" s="748" t="s">
        <v>4616</v>
      </c>
      <c r="B723" s="748"/>
      <c r="C723" s="749" t="s">
        <v>3862</v>
      </c>
      <c r="D723" s="748" t="s">
        <v>1127</v>
      </c>
      <c r="E723" s="748" t="s">
        <v>1473</v>
      </c>
      <c r="F723" s="748" t="s">
        <v>1187</v>
      </c>
      <c r="G723" s="750" t="s">
        <v>94</v>
      </c>
      <c r="H723" s="749" t="s">
        <v>3863</v>
      </c>
      <c r="I723" s="749" t="s">
        <v>3864</v>
      </c>
      <c r="J723" s="794">
        <v>1.96</v>
      </c>
      <c r="K723" s="795"/>
    </row>
    <row r="724" spans="1:11" ht="21.95" customHeight="1" thickBot="1">
      <c r="A724" s="748" t="s">
        <v>4616</v>
      </c>
      <c r="B724" s="748"/>
      <c r="C724" s="749" t="s">
        <v>3865</v>
      </c>
      <c r="D724" s="748" t="s">
        <v>3604</v>
      </c>
      <c r="E724" s="748" t="s">
        <v>1474</v>
      </c>
      <c r="F724" s="748" t="s">
        <v>1187</v>
      </c>
      <c r="G724" s="750" t="s">
        <v>108</v>
      </c>
      <c r="H724" s="749" t="s">
        <v>3610</v>
      </c>
      <c r="I724" s="749" t="s">
        <v>3866</v>
      </c>
      <c r="J724" s="794">
        <v>455</v>
      </c>
      <c r="K724" s="795"/>
    </row>
    <row r="725" spans="1:11" ht="0.95" customHeight="1" thickTop="1">
      <c r="A725" s="747"/>
      <c r="B725" s="747"/>
      <c r="C725" s="747"/>
      <c r="D725" s="747"/>
      <c r="E725" s="747"/>
      <c r="F725" s="747"/>
      <c r="G725" s="747"/>
      <c r="H725" s="747"/>
      <c r="I725" s="747"/>
      <c r="J725" s="747"/>
      <c r="K725" s="747"/>
    </row>
    <row r="726" spans="1:11" ht="18" customHeight="1">
      <c r="A726" s="738"/>
      <c r="B726" s="738" t="s">
        <v>60</v>
      </c>
      <c r="C726" s="739" t="s">
        <v>3312</v>
      </c>
      <c r="D726" s="738" t="s">
        <v>3602</v>
      </c>
      <c r="E726" s="738" t="s">
        <v>3313</v>
      </c>
      <c r="F726" s="738" t="s">
        <v>3390</v>
      </c>
      <c r="G726" s="740" t="s">
        <v>70</v>
      </c>
      <c r="H726" s="739" t="s">
        <v>64</v>
      </c>
      <c r="I726" s="739" t="s">
        <v>3617</v>
      </c>
      <c r="J726" s="797" t="s">
        <v>474</v>
      </c>
      <c r="K726" s="795"/>
    </row>
    <row r="727" spans="1:11" ht="44.1" customHeight="1">
      <c r="A727" s="741" t="s">
        <v>4608</v>
      </c>
      <c r="B727" s="741" t="s">
        <v>4824</v>
      </c>
      <c r="C727" s="742" t="s">
        <v>3499</v>
      </c>
      <c r="D727" s="741" t="s">
        <v>3604</v>
      </c>
      <c r="E727" s="741" t="s">
        <v>810</v>
      </c>
      <c r="F727" s="741" t="s">
        <v>3430</v>
      </c>
      <c r="G727" s="743" t="s">
        <v>108</v>
      </c>
      <c r="H727" s="742">
        <v>1</v>
      </c>
      <c r="I727" s="742" t="s">
        <v>3934</v>
      </c>
      <c r="J727" s="798" t="s">
        <v>3934</v>
      </c>
      <c r="K727" s="795"/>
    </row>
    <row r="728" spans="1:11" ht="44.1" customHeight="1">
      <c r="A728" s="744" t="s">
        <v>4611</v>
      </c>
      <c r="B728" s="744"/>
      <c r="C728" s="745" t="s">
        <v>3935</v>
      </c>
      <c r="D728" s="744" t="s">
        <v>1127</v>
      </c>
      <c r="E728" s="744" t="s">
        <v>1231</v>
      </c>
      <c r="F728" s="744" t="s">
        <v>3430</v>
      </c>
      <c r="G728" s="746" t="s">
        <v>284</v>
      </c>
      <c r="H728" s="745" t="s">
        <v>3669</v>
      </c>
      <c r="I728" s="745" t="s">
        <v>4716</v>
      </c>
      <c r="J728" s="796">
        <v>8.83</v>
      </c>
      <c r="K728" s="795"/>
    </row>
    <row r="729" spans="1:11" ht="33" customHeight="1" thickBot="1">
      <c r="A729" s="748" t="s">
        <v>4616</v>
      </c>
      <c r="B729" s="748"/>
      <c r="C729" s="749" t="s">
        <v>3931</v>
      </c>
      <c r="D729" s="748" t="s">
        <v>1127</v>
      </c>
      <c r="E729" s="748" t="s">
        <v>3932</v>
      </c>
      <c r="F729" s="748" t="s">
        <v>1187</v>
      </c>
      <c r="G729" s="750" t="s">
        <v>108</v>
      </c>
      <c r="H729" s="749" t="s">
        <v>3610</v>
      </c>
      <c r="I729" s="749" t="s">
        <v>3933</v>
      </c>
      <c r="J729" s="794">
        <v>240</v>
      </c>
      <c r="K729" s="795"/>
    </row>
    <row r="730" spans="1:11" ht="0.95" customHeight="1" thickTop="1">
      <c r="A730" s="747"/>
      <c r="B730" s="747"/>
      <c r="C730" s="747"/>
      <c r="D730" s="747"/>
      <c r="E730" s="747"/>
      <c r="F730" s="747"/>
      <c r="G730" s="747"/>
      <c r="H730" s="747"/>
      <c r="I730" s="747"/>
      <c r="J730" s="747"/>
      <c r="K730" s="747"/>
    </row>
    <row r="731" spans="1:11" ht="18" customHeight="1">
      <c r="A731" s="738"/>
      <c r="B731" s="738" t="s">
        <v>60</v>
      </c>
      <c r="C731" s="739" t="s">
        <v>3312</v>
      </c>
      <c r="D731" s="738" t="s">
        <v>3602</v>
      </c>
      <c r="E731" s="738" t="s">
        <v>3313</v>
      </c>
      <c r="F731" s="738" t="s">
        <v>3390</v>
      </c>
      <c r="G731" s="740" t="s">
        <v>70</v>
      </c>
      <c r="H731" s="739" t="s">
        <v>64</v>
      </c>
      <c r="I731" s="739" t="s">
        <v>3617</v>
      </c>
      <c r="J731" s="797" t="s">
        <v>474</v>
      </c>
      <c r="K731" s="795"/>
    </row>
    <row r="732" spans="1:11" ht="21.95" customHeight="1">
      <c r="A732" s="741" t="s">
        <v>4608</v>
      </c>
      <c r="B732" s="741" t="s">
        <v>4825</v>
      </c>
      <c r="C732" s="742" t="s">
        <v>3500</v>
      </c>
      <c r="D732" s="741" t="s">
        <v>3604</v>
      </c>
      <c r="E732" s="741" t="s">
        <v>814</v>
      </c>
      <c r="F732" s="741" t="s">
        <v>3430</v>
      </c>
      <c r="G732" s="743" t="s">
        <v>57</v>
      </c>
      <c r="H732" s="742">
        <v>1</v>
      </c>
      <c r="I732" s="742" t="s">
        <v>4722</v>
      </c>
      <c r="J732" s="798" t="s">
        <v>4722</v>
      </c>
      <c r="K732" s="795"/>
    </row>
    <row r="733" spans="1:11" ht="21.95" customHeight="1">
      <c r="A733" s="744" t="s">
        <v>4611</v>
      </c>
      <c r="B733" s="744"/>
      <c r="C733" s="745" t="s">
        <v>3631</v>
      </c>
      <c r="D733" s="744" t="s">
        <v>1127</v>
      </c>
      <c r="E733" s="744" t="s">
        <v>1145</v>
      </c>
      <c r="F733" s="744" t="s">
        <v>3430</v>
      </c>
      <c r="G733" s="746" t="s">
        <v>1129</v>
      </c>
      <c r="H733" s="745" t="s">
        <v>3610</v>
      </c>
      <c r="I733" s="745" t="s">
        <v>3632</v>
      </c>
      <c r="J733" s="796">
        <v>17.079999999999998</v>
      </c>
      <c r="K733" s="795"/>
    </row>
    <row r="734" spans="1:11" ht="21.95" customHeight="1">
      <c r="A734" s="744" t="s">
        <v>4611</v>
      </c>
      <c r="B734" s="744"/>
      <c r="C734" s="745" t="s">
        <v>3633</v>
      </c>
      <c r="D734" s="744" t="s">
        <v>1127</v>
      </c>
      <c r="E734" s="744" t="s">
        <v>1146</v>
      </c>
      <c r="F734" s="744" t="s">
        <v>3430</v>
      </c>
      <c r="G734" s="746" t="s">
        <v>1129</v>
      </c>
      <c r="H734" s="745" t="s">
        <v>3610</v>
      </c>
      <c r="I734" s="745" t="s">
        <v>3635</v>
      </c>
      <c r="J734" s="796">
        <v>13.88</v>
      </c>
      <c r="K734" s="795"/>
    </row>
    <row r="735" spans="1:11" ht="21.95" customHeight="1" thickBot="1">
      <c r="A735" s="748" t="s">
        <v>4616</v>
      </c>
      <c r="B735" s="748"/>
      <c r="C735" s="749" t="s">
        <v>3941</v>
      </c>
      <c r="D735" s="748" t="s">
        <v>1127</v>
      </c>
      <c r="E735" s="748" t="s">
        <v>1233</v>
      </c>
      <c r="F735" s="748" t="s">
        <v>1187</v>
      </c>
      <c r="G735" s="750" t="s">
        <v>57</v>
      </c>
      <c r="H735" s="749" t="s">
        <v>3610</v>
      </c>
      <c r="I735" s="749" t="s">
        <v>3942</v>
      </c>
      <c r="J735" s="794">
        <v>181.83</v>
      </c>
      <c r="K735" s="795"/>
    </row>
    <row r="736" spans="1:11" ht="0.95" customHeight="1" thickTop="1">
      <c r="A736" s="747"/>
      <c r="B736" s="747"/>
      <c r="C736" s="747"/>
      <c r="D736" s="747"/>
      <c r="E736" s="747"/>
      <c r="F736" s="747"/>
      <c r="G736" s="747"/>
      <c r="H736" s="747"/>
      <c r="I736" s="747"/>
      <c r="J736" s="747"/>
      <c r="K736" s="747"/>
    </row>
    <row r="737" spans="1:11" ht="18" customHeight="1">
      <c r="A737" s="738"/>
      <c r="B737" s="738" t="s">
        <v>60</v>
      </c>
      <c r="C737" s="739" t="s">
        <v>3312</v>
      </c>
      <c r="D737" s="738" t="s">
        <v>3602</v>
      </c>
      <c r="E737" s="738" t="s">
        <v>3313</v>
      </c>
      <c r="F737" s="738" t="s">
        <v>3390</v>
      </c>
      <c r="G737" s="740" t="s">
        <v>70</v>
      </c>
      <c r="H737" s="739" t="s">
        <v>64</v>
      </c>
      <c r="I737" s="739" t="s">
        <v>3617</v>
      </c>
      <c r="J737" s="797" t="s">
        <v>474</v>
      </c>
      <c r="K737" s="795"/>
    </row>
    <row r="738" spans="1:11" ht="21.95" customHeight="1">
      <c r="A738" s="741" t="s">
        <v>4608</v>
      </c>
      <c r="B738" s="741" t="s">
        <v>4826</v>
      </c>
      <c r="C738" s="742" t="s">
        <v>3517</v>
      </c>
      <c r="D738" s="741" t="s">
        <v>3604</v>
      </c>
      <c r="E738" s="741" t="s">
        <v>1798</v>
      </c>
      <c r="F738" s="741" t="s">
        <v>3430</v>
      </c>
      <c r="G738" s="743" t="s">
        <v>57</v>
      </c>
      <c r="H738" s="742">
        <v>1</v>
      </c>
      <c r="I738" s="742" t="s">
        <v>4661</v>
      </c>
      <c r="J738" s="798" t="s">
        <v>4661</v>
      </c>
      <c r="K738" s="795"/>
    </row>
    <row r="739" spans="1:11" ht="21.95" customHeight="1">
      <c r="A739" s="744" t="s">
        <v>4611</v>
      </c>
      <c r="B739" s="744"/>
      <c r="C739" s="745" t="s">
        <v>3631</v>
      </c>
      <c r="D739" s="744" t="s">
        <v>1127</v>
      </c>
      <c r="E739" s="744" t="s">
        <v>1145</v>
      </c>
      <c r="F739" s="744" t="s">
        <v>3430</v>
      </c>
      <c r="G739" s="746" t="s">
        <v>1129</v>
      </c>
      <c r="H739" s="745" t="s">
        <v>3781</v>
      </c>
      <c r="I739" s="745" t="s">
        <v>3632</v>
      </c>
      <c r="J739" s="796">
        <v>8.5399999999999991</v>
      </c>
      <c r="K739" s="795"/>
    </row>
    <row r="740" spans="1:11" ht="21.95" customHeight="1">
      <c r="A740" s="744" t="s">
        <v>4611</v>
      </c>
      <c r="B740" s="744"/>
      <c r="C740" s="745" t="s">
        <v>3633</v>
      </c>
      <c r="D740" s="744" t="s">
        <v>1127</v>
      </c>
      <c r="E740" s="744" t="s">
        <v>1146</v>
      </c>
      <c r="F740" s="744" t="s">
        <v>3430</v>
      </c>
      <c r="G740" s="746" t="s">
        <v>1129</v>
      </c>
      <c r="H740" s="745" t="s">
        <v>3781</v>
      </c>
      <c r="I740" s="745" t="s">
        <v>3635</v>
      </c>
      <c r="J740" s="796">
        <v>6.94</v>
      </c>
      <c r="K740" s="795"/>
    </row>
    <row r="741" spans="1:11" ht="21.95" customHeight="1" thickBot="1">
      <c r="A741" s="748" t="s">
        <v>4616</v>
      </c>
      <c r="B741" s="748"/>
      <c r="C741" s="749" t="s">
        <v>3782</v>
      </c>
      <c r="D741" s="748" t="s">
        <v>3604</v>
      </c>
      <c r="E741" s="748" t="s">
        <v>1799</v>
      </c>
      <c r="F741" s="748" t="s">
        <v>1187</v>
      </c>
      <c r="G741" s="750" t="s">
        <v>57</v>
      </c>
      <c r="H741" s="749" t="s">
        <v>3610</v>
      </c>
      <c r="I741" s="749" t="s">
        <v>4662</v>
      </c>
      <c r="J741" s="794">
        <v>129.94999999999999</v>
      </c>
      <c r="K741" s="795"/>
    </row>
    <row r="742" spans="1:11" ht="0.95" customHeight="1" thickTop="1">
      <c r="A742" s="747"/>
      <c r="B742" s="747"/>
      <c r="C742" s="747"/>
      <c r="D742" s="747"/>
      <c r="E742" s="747"/>
      <c r="F742" s="747"/>
      <c r="G742" s="747"/>
      <c r="H742" s="747"/>
      <c r="I742" s="747"/>
      <c r="J742" s="747"/>
      <c r="K742" s="747"/>
    </row>
    <row r="743" spans="1:11" ht="18" customHeight="1">
      <c r="A743" s="738"/>
      <c r="B743" s="738" t="s">
        <v>60</v>
      </c>
      <c r="C743" s="739" t="s">
        <v>3312</v>
      </c>
      <c r="D743" s="738" t="s">
        <v>3602</v>
      </c>
      <c r="E743" s="738" t="s">
        <v>3313</v>
      </c>
      <c r="F743" s="738" t="s">
        <v>3390</v>
      </c>
      <c r="G743" s="740" t="s">
        <v>70</v>
      </c>
      <c r="H743" s="739" t="s">
        <v>64</v>
      </c>
      <c r="I743" s="739" t="s">
        <v>3617</v>
      </c>
      <c r="J743" s="797" t="s">
        <v>474</v>
      </c>
      <c r="K743" s="795"/>
    </row>
    <row r="744" spans="1:11" ht="21.95" customHeight="1">
      <c r="A744" s="741" t="s">
        <v>4608</v>
      </c>
      <c r="B744" s="741" t="s">
        <v>4827</v>
      </c>
      <c r="C744" s="742" t="s">
        <v>3487</v>
      </c>
      <c r="D744" s="741" t="s">
        <v>3604</v>
      </c>
      <c r="E744" s="741" t="s">
        <v>2458</v>
      </c>
      <c r="F744" s="741" t="s">
        <v>3391</v>
      </c>
      <c r="G744" s="743" t="s">
        <v>57</v>
      </c>
      <c r="H744" s="742">
        <v>1</v>
      </c>
      <c r="I744" s="742" t="s">
        <v>4828</v>
      </c>
      <c r="J744" s="798" t="s">
        <v>4828</v>
      </c>
      <c r="K744" s="795"/>
    </row>
    <row r="745" spans="1:11" ht="21.95" customHeight="1">
      <c r="A745" s="744" t="s">
        <v>4611</v>
      </c>
      <c r="B745" s="744"/>
      <c r="C745" s="745" t="s">
        <v>3631</v>
      </c>
      <c r="D745" s="744" t="s">
        <v>1127</v>
      </c>
      <c r="E745" s="744" t="s">
        <v>1145</v>
      </c>
      <c r="F745" s="744" t="s">
        <v>3430</v>
      </c>
      <c r="G745" s="746" t="s">
        <v>1129</v>
      </c>
      <c r="H745" s="745" t="s">
        <v>3610</v>
      </c>
      <c r="I745" s="745" t="s">
        <v>3632</v>
      </c>
      <c r="J745" s="796">
        <v>17.079999999999998</v>
      </c>
      <c r="K745" s="795"/>
    </row>
    <row r="746" spans="1:11" ht="21.95" customHeight="1" thickBot="1">
      <c r="A746" s="748" t="s">
        <v>4616</v>
      </c>
      <c r="B746" s="748"/>
      <c r="C746" s="749" t="s">
        <v>4829</v>
      </c>
      <c r="D746" s="748" t="s">
        <v>1127</v>
      </c>
      <c r="E746" s="748" t="s">
        <v>4830</v>
      </c>
      <c r="F746" s="748" t="s">
        <v>1187</v>
      </c>
      <c r="G746" s="750" t="s">
        <v>57</v>
      </c>
      <c r="H746" s="749" t="s">
        <v>3610</v>
      </c>
      <c r="I746" s="749" t="s">
        <v>4831</v>
      </c>
      <c r="J746" s="794">
        <v>787.4</v>
      </c>
      <c r="K746" s="795"/>
    </row>
    <row r="747" spans="1:11" ht="0.95" customHeight="1" thickTop="1">
      <c r="A747" s="747"/>
      <c r="B747" s="747"/>
      <c r="C747" s="747"/>
      <c r="D747" s="747"/>
      <c r="E747" s="747"/>
      <c r="F747" s="747"/>
      <c r="G747" s="747"/>
      <c r="H747" s="747"/>
      <c r="I747" s="747"/>
      <c r="J747" s="747"/>
      <c r="K747" s="747"/>
    </row>
    <row r="748" spans="1:11" ht="18" customHeight="1">
      <c r="A748" s="738"/>
      <c r="B748" s="738" t="s">
        <v>60</v>
      </c>
      <c r="C748" s="739" t="s">
        <v>3312</v>
      </c>
      <c r="D748" s="738" t="s">
        <v>3602</v>
      </c>
      <c r="E748" s="738" t="s">
        <v>3313</v>
      </c>
      <c r="F748" s="738" t="s">
        <v>3390</v>
      </c>
      <c r="G748" s="740" t="s">
        <v>70</v>
      </c>
      <c r="H748" s="739" t="s">
        <v>64</v>
      </c>
      <c r="I748" s="739" t="s">
        <v>3617</v>
      </c>
      <c r="J748" s="797" t="s">
        <v>474</v>
      </c>
      <c r="K748" s="795"/>
    </row>
    <row r="749" spans="1:11" ht="21.95" customHeight="1">
      <c r="A749" s="741" t="s">
        <v>4608</v>
      </c>
      <c r="B749" s="741" t="s">
        <v>4832</v>
      </c>
      <c r="C749" s="742" t="s">
        <v>3518</v>
      </c>
      <c r="D749" s="741" t="s">
        <v>3604</v>
      </c>
      <c r="E749" s="741" t="s">
        <v>2683</v>
      </c>
      <c r="F749" s="741" t="s">
        <v>3430</v>
      </c>
      <c r="G749" s="743" t="s">
        <v>57</v>
      </c>
      <c r="H749" s="742">
        <v>1</v>
      </c>
      <c r="I749" s="742" t="s">
        <v>3943</v>
      </c>
      <c r="J749" s="798" t="s">
        <v>3943</v>
      </c>
      <c r="K749" s="795"/>
    </row>
    <row r="750" spans="1:11" ht="33" customHeight="1" thickBot="1">
      <c r="A750" s="748" t="s">
        <v>4616</v>
      </c>
      <c r="B750" s="748"/>
      <c r="C750" s="749" t="s">
        <v>3944</v>
      </c>
      <c r="D750" s="748" t="s">
        <v>3604</v>
      </c>
      <c r="E750" s="748" t="s">
        <v>1816</v>
      </c>
      <c r="F750" s="748" t="s">
        <v>1187</v>
      </c>
      <c r="G750" s="750" t="s">
        <v>57</v>
      </c>
      <c r="H750" s="749" t="s">
        <v>3610</v>
      </c>
      <c r="I750" s="749" t="s">
        <v>3943</v>
      </c>
      <c r="J750" s="794">
        <v>2250</v>
      </c>
      <c r="K750" s="795"/>
    </row>
    <row r="751" spans="1:11" ht="0.95" customHeight="1" thickTop="1">
      <c r="A751" s="747"/>
      <c r="B751" s="747"/>
      <c r="C751" s="747"/>
      <c r="D751" s="747"/>
      <c r="E751" s="747"/>
      <c r="F751" s="747"/>
      <c r="G751" s="747"/>
      <c r="H751" s="747"/>
      <c r="I751" s="747"/>
      <c r="J751" s="747"/>
      <c r="K751" s="747"/>
    </row>
    <row r="752" spans="1:11" ht="18" customHeight="1">
      <c r="A752" s="738"/>
      <c r="B752" s="738" t="s">
        <v>60</v>
      </c>
      <c r="C752" s="739" t="s">
        <v>3312</v>
      </c>
      <c r="D752" s="738" t="s">
        <v>3602</v>
      </c>
      <c r="E752" s="738" t="s">
        <v>3313</v>
      </c>
      <c r="F752" s="738" t="s">
        <v>3390</v>
      </c>
      <c r="G752" s="740" t="s">
        <v>70</v>
      </c>
      <c r="H752" s="739" t="s">
        <v>64</v>
      </c>
      <c r="I752" s="739" t="s">
        <v>3617</v>
      </c>
      <c r="J752" s="797" t="s">
        <v>474</v>
      </c>
      <c r="K752" s="795"/>
    </row>
    <row r="753" spans="1:11" ht="33" customHeight="1">
      <c r="A753" s="741" t="s">
        <v>4608</v>
      </c>
      <c r="B753" s="741" t="s">
        <v>4833</v>
      </c>
      <c r="C753" s="742" t="s">
        <v>4728</v>
      </c>
      <c r="D753" s="741" t="s">
        <v>3604</v>
      </c>
      <c r="E753" s="741" t="s">
        <v>2684</v>
      </c>
      <c r="F753" s="741" t="s">
        <v>3430</v>
      </c>
      <c r="G753" s="743" t="s">
        <v>57</v>
      </c>
      <c r="H753" s="742">
        <v>1</v>
      </c>
      <c r="I753" s="742" t="s">
        <v>4729</v>
      </c>
      <c r="J753" s="798" t="s">
        <v>4729</v>
      </c>
      <c r="K753" s="795"/>
    </row>
    <row r="754" spans="1:11" ht="21.95" customHeight="1" thickBot="1">
      <c r="A754" s="748" t="s">
        <v>4616</v>
      </c>
      <c r="B754" s="748"/>
      <c r="C754" s="749" t="s">
        <v>4730</v>
      </c>
      <c r="D754" s="748" t="s">
        <v>3604</v>
      </c>
      <c r="E754" s="748" t="s">
        <v>4731</v>
      </c>
      <c r="F754" s="748" t="s">
        <v>1187</v>
      </c>
      <c r="G754" s="750" t="s">
        <v>57</v>
      </c>
      <c r="H754" s="749" t="s">
        <v>3610</v>
      </c>
      <c r="I754" s="749" t="s">
        <v>4729</v>
      </c>
      <c r="J754" s="794">
        <v>290</v>
      </c>
      <c r="K754" s="795"/>
    </row>
    <row r="755" spans="1:11" ht="0.95" customHeight="1" thickTop="1">
      <c r="A755" s="747"/>
      <c r="B755" s="747"/>
      <c r="C755" s="747"/>
      <c r="D755" s="747"/>
      <c r="E755" s="747"/>
      <c r="F755" s="747"/>
      <c r="G755" s="747"/>
      <c r="H755" s="747"/>
      <c r="I755" s="747"/>
      <c r="J755" s="747"/>
      <c r="K755" s="747"/>
    </row>
    <row r="756" spans="1:11" ht="18" customHeight="1">
      <c r="A756" s="738"/>
      <c r="B756" s="738" t="s">
        <v>60</v>
      </c>
      <c r="C756" s="739" t="s">
        <v>3312</v>
      </c>
      <c r="D756" s="738" t="s">
        <v>3602</v>
      </c>
      <c r="E756" s="738" t="s">
        <v>3313</v>
      </c>
      <c r="F756" s="738" t="s">
        <v>3390</v>
      </c>
      <c r="G756" s="740" t="s">
        <v>70</v>
      </c>
      <c r="H756" s="739" t="s">
        <v>64</v>
      </c>
      <c r="I756" s="739" t="s">
        <v>3617</v>
      </c>
      <c r="J756" s="797" t="s">
        <v>474</v>
      </c>
      <c r="K756" s="795"/>
    </row>
    <row r="757" spans="1:11" ht="44.1" customHeight="1">
      <c r="A757" s="741" t="s">
        <v>4608</v>
      </c>
      <c r="B757" s="741" t="s">
        <v>4834</v>
      </c>
      <c r="C757" s="742" t="s">
        <v>4835</v>
      </c>
      <c r="D757" s="741" t="s">
        <v>3604</v>
      </c>
      <c r="E757" s="741" t="s">
        <v>850</v>
      </c>
      <c r="F757" s="741" t="s">
        <v>3430</v>
      </c>
      <c r="G757" s="743" t="s">
        <v>283</v>
      </c>
      <c r="H757" s="742">
        <v>1</v>
      </c>
      <c r="I757" s="742" t="s">
        <v>4836</v>
      </c>
      <c r="J757" s="798" t="s">
        <v>4836</v>
      </c>
      <c r="K757" s="795"/>
    </row>
    <row r="758" spans="1:11" ht="54.95" customHeight="1" thickBot="1">
      <c r="A758" s="748" t="s">
        <v>4616</v>
      </c>
      <c r="B758" s="748"/>
      <c r="C758" s="749" t="s">
        <v>4837</v>
      </c>
      <c r="D758" s="748" t="s">
        <v>1127</v>
      </c>
      <c r="E758" s="748" t="s">
        <v>4838</v>
      </c>
      <c r="F758" s="748" t="s">
        <v>1187</v>
      </c>
      <c r="G758" s="750" t="s">
        <v>57</v>
      </c>
      <c r="H758" s="749" t="s">
        <v>3610</v>
      </c>
      <c r="I758" s="749" t="s">
        <v>4836</v>
      </c>
      <c r="J758" s="794">
        <v>2617.77</v>
      </c>
      <c r="K758" s="795"/>
    </row>
    <row r="759" spans="1:11" ht="0.95" customHeight="1" thickTop="1">
      <c r="A759" s="747"/>
      <c r="B759" s="747"/>
      <c r="C759" s="747"/>
      <c r="D759" s="747"/>
      <c r="E759" s="747"/>
      <c r="F759" s="747"/>
      <c r="G759" s="747"/>
      <c r="H759" s="747"/>
      <c r="I759" s="747"/>
      <c r="J759" s="747"/>
      <c r="K759" s="747"/>
    </row>
    <row r="760" spans="1:11" ht="18" customHeight="1">
      <c r="A760" s="738"/>
      <c r="B760" s="738" t="s">
        <v>60</v>
      </c>
      <c r="C760" s="739" t="s">
        <v>3312</v>
      </c>
      <c r="D760" s="738" t="s">
        <v>3602</v>
      </c>
      <c r="E760" s="738" t="s">
        <v>3313</v>
      </c>
      <c r="F760" s="738" t="s">
        <v>3390</v>
      </c>
      <c r="G760" s="740" t="s">
        <v>70</v>
      </c>
      <c r="H760" s="739" t="s">
        <v>64</v>
      </c>
      <c r="I760" s="739" t="s">
        <v>3617</v>
      </c>
      <c r="J760" s="797" t="s">
        <v>474</v>
      </c>
      <c r="K760" s="795"/>
    </row>
    <row r="761" spans="1:11" ht="44.1" customHeight="1">
      <c r="A761" s="741" t="s">
        <v>4608</v>
      </c>
      <c r="B761" s="741" t="s">
        <v>4839</v>
      </c>
      <c r="C761" s="742" t="s">
        <v>4840</v>
      </c>
      <c r="D761" s="741" t="s">
        <v>3604</v>
      </c>
      <c r="E761" s="741" t="s">
        <v>852</v>
      </c>
      <c r="F761" s="741" t="s">
        <v>3430</v>
      </c>
      <c r="G761" s="743" t="s">
        <v>283</v>
      </c>
      <c r="H761" s="742">
        <v>1</v>
      </c>
      <c r="I761" s="742" t="s">
        <v>4841</v>
      </c>
      <c r="J761" s="798" t="s">
        <v>4841</v>
      </c>
      <c r="K761" s="795"/>
    </row>
    <row r="762" spans="1:11" ht="54.95" customHeight="1" thickBot="1">
      <c r="A762" s="748" t="s">
        <v>4616</v>
      </c>
      <c r="B762" s="748"/>
      <c r="C762" s="749" t="s">
        <v>4842</v>
      </c>
      <c r="D762" s="748" t="s">
        <v>1127</v>
      </c>
      <c r="E762" s="748" t="s">
        <v>4843</v>
      </c>
      <c r="F762" s="748" t="s">
        <v>1187</v>
      </c>
      <c r="G762" s="750" t="s">
        <v>57</v>
      </c>
      <c r="H762" s="749" t="s">
        <v>3610</v>
      </c>
      <c r="I762" s="749" t="s">
        <v>4841</v>
      </c>
      <c r="J762" s="794">
        <v>1589.21</v>
      </c>
      <c r="K762" s="795"/>
    </row>
    <row r="763" spans="1:11" ht="0.95" customHeight="1" thickTop="1">
      <c r="A763" s="747"/>
      <c r="B763" s="747"/>
      <c r="C763" s="747"/>
      <c r="D763" s="747"/>
      <c r="E763" s="747"/>
      <c r="F763" s="747"/>
      <c r="G763" s="747"/>
      <c r="H763" s="747"/>
      <c r="I763" s="747"/>
      <c r="J763" s="747"/>
      <c r="K763" s="747"/>
    </row>
    <row r="764" spans="1:11" ht="18" customHeight="1">
      <c r="A764" s="738"/>
      <c r="B764" s="738" t="s">
        <v>60</v>
      </c>
      <c r="C764" s="739" t="s">
        <v>3312</v>
      </c>
      <c r="D764" s="738" t="s">
        <v>3602</v>
      </c>
      <c r="E764" s="738" t="s">
        <v>3313</v>
      </c>
      <c r="F764" s="738" t="s">
        <v>3390</v>
      </c>
      <c r="G764" s="740" t="s">
        <v>70</v>
      </c>
      <c r="H764" s="739" t="s">
        <v>64</v>
      </c>
      <c r="I764" s="739" t="s">
        <v>3617</v>
      </c>
      <c r="J764" s="797" t="s">
        <v>474</v>
      </c>
      <c r="K764" s="795"/>
    </row>
    <row r="765" spans="1:11" ht="33" customHeight="1">
      <c r="A765" s="741" t="s">
        <v>4608</v>
      </c>
      <c r="B765" s="741" t="s">
        <v>4844</v>
      </c>
      <c r="C765" s="742" t="s">
        <v>4845</v>
      </c>
      <c r="D765" s="741" t="s">
        <v>3604</v>
      </c>
      <c r="E765" s="741" t="s">
        <v>854</v>
      </c>
      <c r="F765" s="741" t="s">
        <v>3430</v>
      </c>
      <c r="G765" s="743" t="s">
        <v>57</v>
      </c>
      <c r="H765" s="742">
        <v>1</v>
      </c>
      <c r="I765" s="742" t="s">
        <v>4846</v>
      </c>
      <c r="J765" s="798" t="s">
        <v>4846</v>
      </c>
      <c r="K765" s="795"/>
    </row>
    <row r="766" spans="1:11" ht="21.95" customHeight="1">
      <c r="A766" s="744" t="s">
        <v>4611</v>
      </c>
      <c r="B766" s="744"/>
      <c r="C766" s="745" t="s">
        <v>4192</v>
      </c>
      <c r="D766" s="744" t="s">
        <v>1127</v>
      </c>
      <c r="E766" s="744" t="s">
        <v>1275</v>
      </c>
      <c r="F766" s="744" t="s">
        <v>3430</v>
      </c>
      <c r="G766" s="746" t="s">
        <v>1129</v>
      </c>
      <c r="H766" s="745" t="s">
        <v>4847</v>
      </c>
      <c r="I766" s="745" t="s">
        <v>4193</v>
      </c>
      <c r="J766" s="796">
        <v>309.39999999999998</v>
      </c>
      <c r="K766" s="795"/>
    </row>
    <row r="767" spans="1:11" ht="21.95" customHeight="1">
      <c r="A767" s="744" t="s">
        <v>4611</v>
      </c>
      <c r="B767" s="744"/>
      <c r="C767" s="745" t="s">
        <v>3636</v>
      </c>
      <c r="D767" s="744" t="s">
        <v>1127</v>
      </c>
      <c r="E767" s="744" t="s">
        <v>1144</v>
      </c>
      <c r="F767" s="744" t="s">
        <v>3430</v>
      </c>
      <c r="G767" s="746" t="s">
        <v>1129</v>
      </c>
      <c r="H767" s="745" t="s">
        <v>4848</v>
      </c>
      <c r="I767" s="745" t="s">
        <v>4619</v>
      </c>
      <c r="J767" s="796">
        <v>170.64</v>
      </c>
      <c r="K767" s="795"/>
    </row>
    <row r="768" spans="1:11" ht="21.95" customHeight="1">
      <c r="A768" s="744" t="s">
        <v>4611</v>
      </c>
      <c r="B768" s="744"/>
      <c r="C768" s="745" t="s">
        <v>3664</v>
      </c>
      <c r="D768" s="744" t="s">
        <v>1127</v>
      </c>
      <c r="E768" s="744" t="s">
        <v>1134</v>
      </c>
      <c r="F768" s="744" t="s">
        <v>3430</v>
      </c>
      <c r="G768" s="746" t="s">
        <v>1129</v>
      </c>
      <c r="H768" s="745" t="s">
        <v>4849</v>
      </c>
      <c r="I768" s="745" t="s">
        <v>4619</v>
      </c>
      <c r="J768" s="796">
        <v>214.75</v>
      </c>
      <c r="K768" s="795"/>
    </row>
    <row r="769" spans="1:11" ht="21.95" customHeight="1">
      <c r="A769" s="744" t="s">
        <v>4611</v>
      </c>
      <c r="B769" s="744"/>
      <c r="C769" s="745" t="s">
        <v>3631</v>
      </c>
      <c r="D769" s="744" t="s">
        <v>1127</v>
      </c>
      <c r="E769" s="744" t="s">
        <v>1145</v>
      </c>
      <c r="F769" s="744" t="s">
        <v>3430</v>
      </c>
      <c r="G769" s="746" t="s">
        <v>1129</v>
      </c>
      <c r="H769" s="745" t="s">
        <v>4850</v>
      </c>
      <c r="I769" s="745" t="s">
        <v>3632</v>
      </c>
      <c r="J769" s="796">
        <v>111.02</v>
      </c>
      <c r="K769" s="795"/>
    </row>
    <row r="770" spans="1:11" ht="21.95" customHeight="1">
      <c r="A770" s="744" t="s">
        <v>4611</v>
      </c>
      <c r="B770" s="744"/>
      <c r="C770" s="745" t="s">
        <v>3633</v>
      </c>
      <c r="D770" s="744" t="s">
        <v>1127</v>
      </c>
      <c r="E770" s="744" t="s">
        <v>1146</v>
      </c>
      <c r="F770" s="744" t="s">
        <v>3430</v>
      </c>
      <c r="G770" s="746" t="s">
        <v>1129</v>
      </c>
      <c r="H770" s="745" t="s">
        <v>4851</v>
      </c>
      <c r="I770" s="745" t="s">
        <v>3635</v>
      </c>
      <c r="J770" s="796">
        <v>252.61</v>
      </c>
      <c r="K770" s="795"/>
    </row>
    <row r="771" spans="1:11" ht="44.1" customHeight="1">
      <c r="A771" s="744" t="s">
        <v>4611</v>
      </c>
      <c r="B771" s="744"/>
      <c r="C771" s="745" t="s">
        <v>4852</v>
      </c>
      <c r="D771" s="744" t="s">
        <v>1127</v>
      </c>
      <c r="E771" s="744" t="s">
        <v>4853</v>
      </c>
      <c r="F771" s="744" t="s">
        <v>3757</v>
      </c>
      <c r="G771" s="746" t="s">
        <v>1169</v>
      </c>
      <c r="H771" s="745" t="s">
        <v>4854</v>
      </c>
      <c r="I771" s="745" t="s">
        <v>4855</v>
      </c>
      <c r="J771" s="796">
        <v>2.74</v>
      </c>
      <c r="K771" s="795"/>
    </row>
    <row r="772" spans="1:11" ht="21.95" customHeight="1">
      <c r="A772" s="748" t="s">
        <v>4616</v>
      </c>
      <c r="B772" s="748"/>
      <c r="C772" s="749" t="s">
        <v>3644</v>
      </c>
      <c r="D772" s="748" t="s">
        <v>1127</v>
      </c>
      <c r="E772" s="748" t="s">
        <v>1215</v>
      </c>
      <c r="F772" s="748" t="s">
        <v>1187</v>
      </c>
      <c r="G772" s="750" t="s">
        <v>284</v>
      </c>
      <c r="H772" s="749" t="s">
        <v>4856</v>
      </c>
      <c r="I772" s="749" t="s">
        <v>3646</v>
      </c>
      <c r="J772" s="794">
        <v>50.75</v>
      </c>
      <c r="K772" s="795"/>
    </row>
    <row r="773" spans="1:11" ht="21.95" customHeight="1">
      <c r="A773" s="748" t="s">
        <v>4616</v>
      </c>
      <c r="B773" s="748"/>
      <c r="C773" s="749" t="s">
        <v>3877</v>
      </c>
      <c r="D773" s="748" t="s">
        <v>1127</v>
      </c>
      <c r="E773" s="748" t="s">
        <v>1216</v>
      </c>
      <c r="F773" s="748" t="s">
        <v>1187</v>
      </c>
      <c r="G773" s="750" t="s">
        <v>94</v>
      </c>
      <c r="H773" s="749" t="s">
        <v>4857</v>
      </c>
      <c r="I773" s="749" t="s">
        <v>3879</v>
      </c>
      <c r="J773" s="794">
        <v>207.86</v>
      </c>
      <c r="K773" s="795"/>
    </row>
    <row r="774" spans="1:11" ht="21.95" customHeight="1">
      <c r="A774" s="748" t="s">
        <v>4616</v>
      </c>
      <c r="B774" s="748"/>
      <c r="C774" s="749" t="s">
        <v>3912</v>
      </c>
      <c r="D774" s="748" t="s">
        <v>1127</v>
      </c>
      <c r="E774" s="748" t="s">
        <v>1276</v>
      </c>
      <c r="F774" s="748" t="s">
        <v>1187</v>
      </c>
      <c r="G774" s="750" t="s">
        <v>284</v>
      </c>
      <c r="H774" s="749" t="s">
        <v>4858</v>
      </c>
      <c r="I774" s="749" t="s">
        <v>3717</v>
      </c>
      <c r="J774" s="794">
        <v>16.989999999999998</v>
      </c>
      <c r="K774" s="795"/>
    </row>
    <row r="775" spans="1:11" ht="21.95" customHeight="1">
      <c r="A775" s="748" t="s">
        <v>4616</v>
      </c>
      <c r="B775" s="748"/>
      <c r="C775" s="749" t="s">
        <v>3715</v>
      </c>
      <c r="D775" s="748" t="s">
        <v>1127</v>
      </c>
      <c r="E775" s="748" t="s">
        <v>1154</v>
      </c>
      <c r="F775" s="748" t="s">
        <v>1187</v>
      </c>
      <c r="G775" s="750" t="s">
        <v>284</v>
      </c>
      <c r="H775" s="749" t="s">
        <v>4859</v>
      </c>
      <c r="I775" s="749" t="s">
        <v>3717</v>
      </c>
      <c r="J775" s="794">
        <v>39.729999999999997</v>
      </c>
      <c r="K775" s="795"/>
    </row>
    <row r="776" spans="1:11" ht="21.95" customHeight="1">
      <c r="A776" s="748" t="s">
        <v>4616</v>
      </c>
      <c r="B776" s="748"/>
      <c r="C776" s="749" t="s">
        <v>3706</v>
      </c>
      <c r="D776" s="748" t="s">
        <v>1127</v>
      </c>
      <c r="E776" s="748" t="s">
        <v>1147</v>
      </c>
      <c r="F776" s="748" t="s">
        <v>1187</v>
      </c>
      <c r="G776" s="750" t="s">
        <v>101</v>
      </c>
      <c r="H776" s="749" t="s">
        <v>4860</v>
      </c>
      <c r="I776" s="749" t="s">
        <v>3708</v>
      </c>
      <c r="J776" s="794">
        <v>38.56</v>
      </c>
      <c r="K776" s="795"/>
    </row>
    <row r="777" spans="1:11" ht="21.95" customHeight="1">
      <c r="A777" s="748" t="s">
        <v>4616</v>
      </c>
      <c r="B777" s="748"/>
      <c r="C777" s="749" t="s">
        <v>3899</v>
      </c>
      <c r="D777" s="748" t="s">
        <v>1127</v>
      </c>
      <c r="E777" s="748" t="s">
        <v>1219</v>
      </c>
      <c r="F777" s="748" t="s">
        <v>1187</v>
      </c>
      <c r="G777" s="750" t="s">
        <v>101</v>
      </c>
      <c r="H777" s="749" t="s">
        <v>4861</v>
      </c>
      <c r="I777" s="749" t="s">
        <v>3901</v>
      </c>
      <c r="J777" s="794">
        <v>52.13</v>
      </c>
      <c r="K777" s="795"/>
    </row>
    <row r="778" spans="1:11" ht="21.95" customHeight="1">
      <c r="A778" s="748" t="s">
        <v>4616</v>
      </c>
      <c r="B778" s="748"/>
      <c r="C778" s="749" t="s">
        <v>4862</v>
      </c>
      <c r="D778" s="748" t="s">
        <v>1127</v>
      </c>
      <c r="E778" s="748" t="s">
        <v>4863</v>
      </c>
      <c r="F778" s="748" t="s">
        <v>1187</v>
      </c>
      <c r="G778" s="750" t="s">
        <v>101</v>
      </c>
      <c r="H778" s="749" t="s">
        <v>4864</v>
      </c>
      <c r="I778" s="749" t="s">
        <v>4865</v>
      </c>
      <c r="J778" s="794">
        <v>23.05</v>
      </c>
      <c r="K778" s="795"/>
    </row>
    <row r="779" spans="1:11" ht="21.95" customHeight="1">
      <c r="A779" s="748" t="s">
        <v>4616</v>
      </c>
      <c r="B779" s="748"/>
      <c r="C779" s="749" t="s">
        <v>3893</v>
      </c>
      <c r="D779" s="748" t="s">
        <v>1127</v>
      </c>
      <c r="E779" s="748" t="s">
        <v>1218</v>
      </c>
      <c r="F779" s="748" t="s">
        <v>1187</v>
      </c>
      <c r="G779" s="750" t="s">
        <v>108</v>
      </c>
      <c r="H779" s="749" t="s">
        <v>4866</v>
      </c>
      <c r="I779" s="749" t="s">
        <v>3895</v>
      </c>
      <c r="J779" s="794">
        <v>50.56</v>
      </c>
      <c r="K779" s="795"/>
    </row>
    <row r="780" spans="1:11" ht="21.95" customHeight="1">
      <c r="A780" s="748" t="s">
        <v>4616</v>
      </c>
      <c r="B780" s="748"/>
      <c r="C780" s="749" t="s">
        <v>4867</v>
      </c>
      <c r="D780" s="748" t="s">
        <v>1127</v>
      </c>
      <c r="E780" s="748" t="s">
        <v>4868</v>
      </c>
      <c r="F780" s="748" t="s">
        <v>1187</v>
      </c>
      <c r="G780" s="750" t="s">
        <v>94</v>
      </c>
      <c r="H780" s="749" t="s">
        <v>4869</v>
      </c>
      <c r="I780" s="749" t="s">
        <v>4870</v>
      </c>
      <c r="J780" s="794">
        <v>755.87</v>
      </c>
      <c r="K780" s="795"/>
    </row>
    <row r="781" spans="1:11" ht="21.95" customHeight="1">
      <c r="A781" s="748" t="s">
        <v>4616</v>
      </c>
      <c r="B781" s="748"/>
      <c r="C781" s="749" t="s">
        <v>3846</v>
      </c>
      <c r="D781" s="748" t="s">
        <v>1127</v>
      </c>
      <c r="E781" s="748" t="s">
        <v>1203</v>
      </c>
      <c r="F781" s="748" t="s">
        <v>1187</v>
      </c>
      <c r="G781" s="750" t="s">
        <v>94</v>
      </c>
      <c r="H781" s="749" t="s">
        <v>4871</v>
      </c>
      <c r="I781" s="749" t="s">
        <v>3847</v>
      </c>
      <c r="J781" s="794">
        <v>14.67</v>
      </c>
      <c r="K781" s="795"/>
    </row>
    <row r="782" spans="1:11" ht="21.95" customHeight="1" thickBot="1">
      <c r="A782" s="748" t="s">
        <v>4616</v>
      </c>
      <c r="B782" s="748"/>
      <c r="C782" s="749" t="s">
        <v>3842</v>
      </c>
      <c r="D782" s="748" t="s">
        <v>1127</v>
      </c>
      <c r="E782" s="748" t="s">
        <v>1201</v>
      </c>
      <c r="F782" s="748" t="s">
        <v>1187</v>
      </c>
      <c r="G782" s="750" t="s">
        <v>94</v>
      </c>
      <c r="H782" s="749" t="s">
        <v>4872</v>
      </c>
      <c r="I782" s="749" t="s">
        <v>3843</v>
      </c>
      <c r="J782" s="794">
        <v>45.53</v>
      </c>
      <c r="K782" s="795"/>
    </row>
    <row r="783" spans="1:11" ht="0.95" customHeight="1" thickTop="1">
      <c r="A783" s="747"/>
      <c r="B783" s="747"/>
      <c r="C783" s="747"/>
      <c r="D783" s="747"/>
      <c r="E783" s="747"/>
      <c r="F783" s="747"/>
      <c r="G783" s="747"/>
      <c r="H783" s="747"/>
      <c r="I783" s="747"/>
      <c r="J783" s="747"/>
      <c r="K783" s="747"/>
    </row>
    <row r="784" spans="1:11" ht="18" customHeight="1">
      <c r="A784" s="738"/>
      <c r="B784" s="738" t="s">
        <v>60</v>
      </c>
      <c r="C784" s="739" t="s">
        <v>3312</v>
      </c>
      <c r="D784" s="738" t="s">
        <v>3602</v>
      </c>
      <c r="E784" s="738" t="s">
        <v>3313</v>
      </c>
      <c r="F784" s="738" t="s">
        <v>3390</v>
      </c>
      <c r="G784" s="740" t="s">
        <v>70</v>
      </c>
      <c r="H784" s="739" t="s">
        <v>64</v>
      </c>
      <c r="I784" s="739" t="s">
        <v>3617</v>
      </c>
      <c r="J784" s="797" t="s">
        <v>474</v>
      </c>
      <c r="K784" s="795"/>
    </row>
    <row r="785" spans="1:11" ht="33" customHeight="1">
      <c r="A785" s="741" t="s">
        <v>4608</v>
      </c>
      <c r="B785" s="741" t="s">
        <v>4873</v>
      </c>
      <c r="C785" s="742" t="s">
        <v>4874</v>
      </c>
      <c r="D785" s="741" t="s">
        <v>3604</v>
      </c>
      <c r="E785" s="741" t="s">
        <v>856</v>
      </c>
      <c r="F785" s="741" t="s">
        <v>3430</v>
      </c>
      <c r="G785" s="743" t="s">
        <v>283</v>
      </c>
      <c r="H785" s="742">
        <v>1</v>
      </c>
      <c r="I785" s="742" t="s">
        <v>4875</v>
      </c>
      <c r="J785" s="798" t="s">
        <v>4875</v>
      </c>
      <c r="K785" s="795"/>
    </row>
    <row r="786" spans="1:11" ht="33" customHeight="1" thickBot="1">
      <c r="A786" s="748" t="s">
        <v>4616</v>
      </c>
      <c r="B786" s="748"/>
      <c r="C786" s="749" t="s">
        <v>4876</v>
      </c>
      <c r="D786" s="748" t="s">
        <v>1127</v>
      </c>
      <c r="E786" s="748" t="s">
        <v>856</v>
      </c>
      <c r="F786" s="748" t="s">
        <v>1187</v>
      </c>
      <c r="G786" s="750" t="s">
        <v>57</v>
      </c>
      <c r="H786" s="749" t="s">
        <v>3610</v>
      </c>
      <c r="I786" s="749" t="s">
        <v>4875</v>
      </c>
      <c r="J786" s="794">
        <v>993.63</v>
      </c>
      <c r="K786" s="795"/>
    </row>
    <row r="787" spans="1:11" ht="0.95" customHeight="1" thickTop="1">
      <c r="A787" s="747"/>
      <c r="B787" s="747"/>
      <c r="C787" s="747"/>
      <c r="D787" s="747"/>
      <c r="E787" s="747"/>
      <c r="F787" s="747"/>
      <c r="G787" s="747"/>
      <c r="H787" s="747"/>
      <c r="I787" s="747"/>
      <c r="J787" s="747"/>
      <c r="K787" s="747"/>
    </row>
    <row r="788" spans="1:11" ht="18" customHeight="1">
      <c r="A788" s="738"/>
      <c r="B788" s="738" t="s">
        <v>60</v>
      </c>
      <c r="C788" s="739" t="s">
        <v>3312</v>
      </c>
      <c r="D788" s="738" t="s">
        <v>3602</v>
      </c>
      <c r="E788" s="738" t="s">
        <v>3313</v>
      </c>
      <c r="F788" s="738" t="s">
        <v>3390</v>
      </c>
      <c r="G788" s="740" t="s">
        <v>70</v>
      </c>
      <c r="H788" s="739" t="s">
        <v>64</v>
      </c>
      <c r="I788" s="739" t="s">
        <v>3617</v>
      </c>
      <c r="J788" s="797" t="s">
        <v>474</v>
      </c>
      <c r="K788" s="795"/>
    </row>
    <row r="789" spans="1:11" ht="21.95" customHeight="1">
      <c r="A789" s="741" t="s">
        <v>4608</v>
      </c>
      <c r="B789" s="741" t="s">
        <v>4877</v>
      </c>
      <c r="C789" s="742" t="s">
        <v>4008</v>
      </c>
      <c r="D789" s="741" t="s">
        <v>3604</v>
      </c>
      <c r="E789" s="741" t="s">
        <v>2698</v>
      </c>
      <c r="F789" s="741" t="s">
        <v>3480</v>
      </c>
      <c r="G789" s="743" t="s">
        <v>57</v>
      </c>
      <c r="H789" s="742">
        <v>1</v>
      </c>
      <c r="I789" s="742" t="s">
        <v>4009</v>
      </c>
      <c r="J789" s="798" t="s">
        <v>4009</v>
      </c>
      <c r="K789" s="795"/>
    </row>
    <row r="790" spans="1:11" ht="21.95" customHeight="1">
      <c r="A790" s="744" t="s">
        <v>4611</v>
      </c>
      <c r="B790" s="744"/>
      <c r="C790" s="745" t="s">
        <v>3633</v>
      </c>
      <c r="D790" s="744" t="s">
        <v>1127</v>
      </c>
      <c r="E790" s="744" t="s">
        <v>1146</v>
      </c>
      <c r="F790" s="744" t="s">
        <v>3430</v>
      </c>
      <c r="G790" s="746" t="s">
        <v>1129</v>
      </c>
      <c r="H790" s="745" t="s">
        <v>3749</v>
      </c>
      <c r="I790" s="745" t="s">
        <v>3635</v>
      </c>
      <c r="J790" s="796">
        <v>0.13</v>
      </c>
      <c r="K790" s="795"/>
    </row>
    <row r="791" spans="1:11" ht="21.95" customHeight="1">
      <c r="A791" s="748" t="s">
        <v>4616</v>
      </c>
      <c r="B791" s="748"/>
      <c r="C791" s="749" t="s">
        <v>4010</v>
      </c>
      <c r="D791" s="748" t="s">
        <v>1127</v>
      </c>
      <c r="E791" s="748" t="s">
        <v>2582</v>
      </c>
      <c r="F791" s="748" t="s">
        <v>1187</v>
      </c>
      <c r="G791" s="750" t="s">
        <v>284</v>
      </c>
      <c r="H791" s="749" t="s">
        <v>3840</v>
      </c>
      <c r="I791" s="749" t="s">
        <v>4011</v>
      </c>
      <c r="J791" s="794">
        <v>0.31</v>
      </c>
      <c r="K791" s="795"/>
    </row>
    <row r="792" spans="1:11" ht="21.95" customHeight="1">
      <c r="A792" s="748" t="s">
        <v>4616</v>
      </c>
      <c r="B792" s="748"/>
      <c r="C792" s="749" t="s">
        <v>4012</v>
      </c>
      <c r="D792" s="748" t="s">
        <v>3604</v>
      </c>
      <c r="E792" s="748" t="s">
        <v>2575</v>
      </c>
      <c r="F792" s="748" t="s">
        <v>1187</v>
      </c>
      <c r="G792" s="750" t="s">
        <v>57</v>
      </c>
      <c r="H792" s="749" t="s">
        <v>3610</v>
      </c>
      <c r="I792" s="749" t="s">
        <v>4013</v>
      </c>
      <c r="J792" s="794">
        <v>3</v>
      </c>
      <c r="K792" s="795"/>
    </row>
    <row r="793" spans="1:11" ht="21.95" customHeight="1">
      <c r="A793" s="748" t="s">
        <v>4616</v>
      </c>
      <c r="B793" s="748"/>
      <c r="C793" s="749" t="s">
        <v>4014</v>
      </c>
      <c r="D793" s="748" t="s">
        <v>1127</v>
      </c>
      <c r="E793" s="748" t="s">
        <v>2583</v>
      </c>
      <c r="F793" s="748" t="s">
        <v>1187</v>
      </c>
      <c r="G793" s="750" t="s">
        <v>94</v>
      </c>
      <c r="H793" s="749" t="s">
        <v>3840</v>
      </c>
      <c r="I793" s="749" t="s">
        <v>4015</v>
      </c>
      <c r="J793" s="794">
        <v>0</v>
      </c>
      <c r="K793" s="795"/>
    </row>
    <row r="794" spans="1:11" ht="21.95" customHeight="1" thickBot="1">
      <c r="A794" s="748" t="s">
        <v>4616</v>
      </c>
      <c r="B794" s="748"/>
      <c r="C794" s="749" t="s">
        <v>4016</v>
      </c>
      <c r="D794" s="748" t="s">
        <v>1127</v>
      </c>
      <c r="E794" s="748" t="s">
        <v>2584</v>
      </c>
      <c r="F794" s="748" t="s">
        <v>1187</v>
      </c>
      <c r="G794" s="750" t="s">
        <v>94</v>
      </c>
      <c r="H794" s="749" t="s">
        <v>3840</v>
      </c>
      <c r="I794" s="749" t="s">
        <v>4017</v>
      </c>
      <c r="J794" s="794">
        <v>0</v>
      </c>
      <c r="K794" s="795"/>
    </row>
    <row r="795" spans="1:11" ht="0.95" customHeight="1" thickTop="1">
      <c r="A795" s="747"/>
      <c r="B795" s="747"/>
      <c r="C795" s="747"/>
      <c r="D795" s="747"/>
      <c r="E795" s="747"/>
      <c r="F795" s="747"/>
      <c r="G795" s="747"/>
      <c r="H795" s="747"/>
      <c r="I795" s="747"/>
      <c r="J795" s="747"/>
      <c r="K795" s="747"/>
    </row>
    <row r="796" spans="1:11" ht="18" customHeight="1">
      <c r="A796" s="738"/>
      <c r="B796" s="738" t="s">
        <v>60</v>
      </c>
      <c r="C796" s="739" t="s">
        <v>3312</v>
      </c>
      <c r="D796" s="738" t="s">
        <v>3602</v>
      </c>
      <c r="E796" s="738" t="s">
        <v>3313</v>
      </c>
      <c r="F796" s="738" t="s">
        <v>3390</v>
      </c>
      <c r="G796" s="740" t="s">
        <v>70</v>
      </c>
      <c r="H796" s="739" t="s">
        <v>64</v>
      </c>
      <c r="I796" s="739" t="s">
        <v>3617</v>
      </c>
      <c r="J796" s="797" t="s">
        <v>474</v>
      </c>
      <c r="K796" s="795"/>
    </row>
    <row r="797" spans="1:11" ht="33" customHeight="1">
      <c r="A797" s="741" t="s">
        <v>4608</v>
      </c>
      <c r="B797" s="741" t="s">
        <v>4878</v>
      </c>
      <c r="C797" s="742" t="s">
        <v>3408</v>
      </c>
      <c r="D797" s="741" t="s">
        <v>3604</v>
      </c>
      <c r="E797" s="741" t="s">
        <v>536</v>
      </c>
      <c r="F797" s="741" t="s">
        <v>3410</v>
      </c>
      <c r="G797" s="743" t="s">
        <v>284</v>
      </c>
      <c r="H797" s="742">
        <v>1</v>
      </c>
      <c r="I797" s="742" t="s">
        <v>3698</v>
      </c>
      <c r="J797" s="798" t="s">
        <v>3698</v>
      </c>
      <c r="K797" s="795"/>
    </row>
    <row r="798" spans="1:11" ht="33" customHeight="1" thickBot="1">
      <c r="A798" s="748" t="s">
        <v>4616</v>
      </c>
      <c r="B798" s="748"/>
      <c r="C798" s="749" t="s">
        <v>3699</v>
      </c>
      <c r="D798" s="748" t="s">
        <v>1127</v>
      </c>
      <c r="E798" s="748" t="s">
        <v>536</v>
      </c>
      <c r="F798" s="748" t="s">
        <v>1187</v>
      </c>
      <c r="G798" s="750" t="s">
        <v>284</v>
      </c>
      <c r="H798" s="749" t="s">
        <v>3610</v>
      </c>
      <c r="I798" s="749" t="s">
        <v>3698</v>
      </c>
      <c r="J798" s="794">
        <v>294.68</v>
      </c>
      <c r="K798" s="795"/>
    </row>
    <row r="799" spans="1:11" ht="0.95" customHeight="1" thickTop="1">
      <c r="A799" s="747"/>
      <c r="B799" s="747"/>
      <c r="C799" s="747"/>
      <c r="D799" s="747"/>
      <c r="E799" s="747"/>
      <c r="F799" s="747"/>
      <c r="G799" s="747"/>
      <c r="H799" s="747"/>
      <c r="I799" s="747"/>
      <c r="J799" s="747"/>
      <c r="K799" s="747"/>
    </row>
    <row r="800" spans="1:11" ht="18" customHeight="1">
      <c r="A800" s="738"/>
      <c r="B800" s="738" t="s">
        <v>60</v>
      </c>
      <c r="C800" s="739" t="s">
        <v>3312</v>
      </c>
      <c r="D800" s="738" t="s">
        <v>3602</v>
      </c>
      <c r="E800" s="738" t="s">
        <v>3313</v>
      </c>
      <c r="F800" s="738" t="s">
        <v>3390</v>
      </c>
      <c r="G800" s="740" t="s">
        <v>70</v>
      </c>
      <c r="H800" s="739" t="s">
        <v>64</v>
      </c>
      <c r="I800" s="739" t="s">
        <v>3617</v>
      </c>
      <c r="J800" s="797" t="s">
        <v>474</v>
      </c>
      <c r="K800" s="795"/>
    </row>
    <row r="801" spans="1:11" ht="44.1" customHeight="1">
      <c r="A801" s="741" t="s">
        <v>4608</v>
      </c>
      <c r="B801" s="741" t="s">
        <v>4879</v>
      </c>
      <c r="C801" s="742" t="s">
        <v>3413</v>
      </c>
      <c r="D801" s="741" t="s">
        <v>3604</v>
      </c>
      <c r="E801" s="741" t="s">
        <v>541</v>
      </c>
      <c r="F801" s="741" t="s">
        <v>3410</v>
      </c>
      <c r="G801" s="743" t="s">
        <v>94</v>
      </c>
      <c r="H801" s="742">
        <v>1</v>
      </c>
      <c r="I801" s="742" t="s">
        <v>4625</v>
      </c>
      <c r="J801" s="798" t="s">
        <v>4625</v>
      </c>
      <c r="K801" s="795"/>
    </row>
    <row r="802" spans="1:11" ht="21.95" customHeight="1">
      <c r="A802" s="744" t="s">
        <v>4611</v>
      </c>
      <c r="B802" s="744"/>
      <c r="C802" s="745" t="s">
        <v>3661</v>
      </c>
      <c r="D802" s="744" t="s">
        <v>1127</v>
      </c>
      <c r="E802" s="744" t="s">
        <v>1133</v>
      </c>
      <c r="F802" s="744" t="s">
        <v>3430</v>
      </c>
      <c r="G802" s="746" t="s">
        <v>1129</v>
      </c>
      <c r="H802" s="745" t="s">
        <v>3662</v>
      </c>
      <c r="I802" s="745" t="s">
        <v>3663</v>
      </c>
      <c r="J802" s="796">
        <v>0.39</v>
      </c>
      <c r="K802" s="795"/>
    </row>
    <row r="803" spans="1:11" ht="21.95" customHeight="1">
      <c r="A803" s="744" t="s">
        <v>4611</v>
      </c>
      <c r="B803" s="744"/>
      <c r="C803" s="745" t="s">
        <v>3664</v>
      </c>
      <c r="D803" s="744" t="s">
        <v>1127</v>
      </c>
      <c r="E803" s="744" t="s">
        <v>1134</v>
      </c>
      <c r="F803" s="744" t="s">
        <v>3430</v>
      </c>
      <c r="G803" s="746" t="s">
        <v>1129</v>
      </c>
      <c r="H803" s="745" t="s">
        <v>3665</v>
      </c>
      <c r="I803" s="745" t="s">
        <v>4619</v>
      </c>
      <c r="J803" s="796">
        <v>2.96</v>
      </c>
      <c r="K803" s="795"/>
    </row>
    <row r="804" spans="1:11" ht="33" customHeight="1">
      <c r="A804" s="744" t="s">
        <v>4611</v>
      </c>
      <c r="B804" s="744"/>
      <c r="C804" s="745" t="s">
        <v>3666</v>
      </c>
      <c r="D804" s="744" t="s">
        <v>1127</v>
      </c>
      <c r="E804" s="744" t="s">
        <v>4626</v>
      </c>
      <c r="F804" s="744" t="s">
        <v>3410</v>
      </c>
      <c r="G804" s="746" t="s">
        <v>94</v>
      </c>
      <c r="H804" s="745" t="s">
        <v>3610</v>
      </c>
      <c r="I804" s="745" t="s">
        <v>3667</v>
      </c>
      <c r="J804" s="796">
        <v>7.29</v>
      </c>
      <c r="K804" s="795"/>
    </row>
    <row r="805" spans="1:11" ht="21.95" customHeight="1">
      <c r="A805" s="748" t="s">
        <v>4616</v>
      </c>
      <c r="B805" s="748"/>
      <c r="C805" s="749" t="s">
        <v>3668</v>
      </c>
      <c r="D805" s="748" t="s">
        <v>1127</v>
      </c>
      <c r="E805" s="748" t="s">
        <v>1137</v>
      </c>
      <c r="F805" s="748" t="s">
        <v>1187</v>
      </c>
      <c r="G805" s="750" t="s">
        <v>94</v>
      </c>
      <c r="H805" s="749" t="s">
        <v>3669</v>
      </c>
      <c r="I805" s="749" t="s">
        <v>3670</v>
      </c>
      <c r="J805" s="794">
        <v>0.19</v>
      </c>
      <c r="K805" s="795"/>
    </row>
    <row r="806" spans="1:11" ht="33" customHeight="1" thickBot="1">
      <c r="A806" s="748" t="s">
        <v>4616</v>
      </c>
      <c r="B806" s="748"/>
      <c r="C806" s="749" t="s">
        <v>3671</v>
      </c>
      <c r="D806" s="748" t="s">
        <v>1127</v>
      </c>
      <c r="E806" s="748" t="s">
        <v>3672</v>
      </c>
      <c r="F806" s="748" t="s">
        <v>1187</v>
      </c>
      <c r="G806" s="750" t="s">
        <v>57</v>
      </c>
      <c r="H806" s="749" t="s">
        <v>3673</v>
      </c>
      <c r="I806" s="749" t="s">
        <v>3674</v>
      </c>
      <c r="J806" s="794">
        <v>0.14000000000000001</v>
      </c>
      <c r="K806" s="795"/>
    </row>
    <row r="807" spans="1:11" ht="0.95" customHeight="1" thickTop="1">
      <c r="A807" s="747"/>
      <c r="B807" s="747"/>
      <c r="C807" s="747"/>
      <c r="D807" s="747"/>
      <c r="E807" s="747"/>
      <c r="F807" s="747"/>
      <c r="G807" s="747"/>
      <c r="H807" s="747"/>
      <c r="I807" s="747"/>
      <c r="J807" s="747"/>
      <c r="K807" s="747"/>
    </row>
    <row r="808" spans="1:11" ht="18" customHeight="1">
      <c r="A808" s="738"/>
      <c r="B808" s="738" t="s">
        <v>60</v>
      </c>
      <c r="C808" s="739" t="s">
        <v>3312</v>
      </c>
      <c r="D808" s="738" t="s">
        <v>3602</v>
      </c>
      <c r="E808" s="738" t="s">
        <v>3313</v>
      </c>
      <c r="F808" s="738" t="s">
        <v>3390</v>
      </c>
      <c r="G808" s="740" t="s">
        <v>70</v>
      </c>
      <c r="H808" s="739" t="s">
        <v>64</v>
      </c>
      <c r="I808" s="739" t="s">
        <v>3617</v>
      </c>
      <c r="J808" s="797" t="s">
        <v>474</v>
      </c>
      <c r="K808" s="795"/>
    </row>
    <row r="809" spans="1:11" ht="44.1" customHeight="1">
      <c r="A809" s="741" t="s">
        <v>4608</v>
      </c>
      <c r="B809" s="741" t="s">
        <v>4880</v>
      </c>
      <c r="C809" s="742" t="s">
        <v>3411</v>
      </c>
      <c r="D809" s="741" t="s">
        <v>3604</v>
      </c>
      <c r="E809" s="741" t="s">
        <v>537</v>
      </c>
      <c r="F809" s="741" t="s">
        <v>3410</v>
      </c>
      <c r="G809" s="743" t="s">
        <v>94</v>
      </c>
      <c r="H809" s="742">
        <v>1</v>
      </c>
      <c r="I809" s="742" t="s">
        <v>3687</v>
      </c>
      <c r="J809" s="798" t="s">
        <v>3687</v>
      </c>
      <c r="K809" s="795"/>
    </row>
    <row r="810" spans="1:11" ht="21.95" customHeight="1">
      <c r="A810" s="744" t="s">
        <v>4611</v>
      </c>
      <c r="B810" s="744"/>
      <c r="C810" s="745" t="s">
        <v>3661</v>
      </c>
      <c r="D810" s="744" t="s">
        <v>1127</v>
      </c>
      <c r="E810" s="744" t="s">
        <v>1133</v>
      </c>
      <c r="F810" s="744" t="s">
        <v>3430</v>
      </c>
      <c r="G810" s="746" t="s">
        <v>1129</v>
      </c>
      <c r="H810" s="745" t="s">
        <v>3688</v>
      </c>
      <c r="I810" s="745" t="s">
        <v>3663</v>
      </c>
      <c r="J810" s="796">
        <v>0.16</v>
      </c>
      <c r="K810" s="795"/>
    </row>
    <row r="811" spans="1:11" ht="21.95" customHeight="1">
      <c r="A811" s="744" t="s">
        <v>4611</v>
      </c>
      <c r="B811" s="744"/>
      <c r="C811" s="745" t="s">
        <v>3664</v>
      </c>
      <c r="D811" s="744" t="s">
        <v>1127</v>
      </c>
      <c r="E811" s="744" t="s">
        <v>1134</v>
      </c>
      <c r="F811" s="744" t="s">
        <v>3430</v>
      </c>
      <c r="G811" s="746" t="s">
        <v>1129</v>
      </c>
      <c r="H811" s="745" t="s">
        <v>3689</v>
      </c>
      <c r="I811" s="745" t="s">
        <v>4619</v>
      </c>
      <c r="J811" s="796">
        <v>1.26</v>
      </c>
      <c r="K811" s="795"/>
    </row>
    <row r="812" spans="1:11" ht="33" customHeight="1">
      <c r="A812" s="744" t="s">
        <v>4611</v>
      </c>
      <c r="B812" s="744"/>
      <c r="C812" s="745" t="s">
        <v>3690</v>
      </c>
      <c r="D812" s="744" t="s">
        <v>1127</v>
      </c>
      <c r="E812" s="744" t="s">
        <v>4623</v>
      </c>
      <c r="F812" s="744" t="s">
        <v>3410</v>
      </c>
      <c r="G812" s="746" t="s">
        <v>94</v>
      </c>
      <c r="H812" s="745" t="s">
        <v>3610</v>
      </c>
      <c r="I812" s="745" t="s">
        <v>3691</v>
      </c>
      <c r="J812" s="796">
        <v>5.94</v>
      </c>
      <c r="K812" s="795"/>
    </row>
    <row r="813" spans="1:11" ht="21.95" customHeight="1" thickBot="1">
      <c r="A813" s="748" t="s">
        <v>4616</v>
      </c>
      <c r="B813" s="748"/>
      <c r="C813" s="749" t="s">
        <v>3668</v>
      </c>
      <c r="D813" s="748" t="s">
        <v>1127</v>
      </c>
      <c r="E813" s="748" t="s">
        <v>1137</v>
      </c>
      <c r="F813" s="748" t="s">
        <v>1187</v>
      </c>
      <c r="G813" s="750" t="s">
        <v>94</v>
      </c>
      <c r="H813" s="749" t="s">
        <v>3669</v>
      </c>
      <c r="I813" s="749" t="s">
        <v>3670</v>
      </c>
      <c r="J813" s="794">
        <v>0.19</v>
      </c>
      <c r="K813" s="795"/>
    </row>
    <row r="814" spans="1:11" ht="0.95" customHeight="1" thickTop="1">
      <c r="A814" s="747"/>
      <c r="B814" s="747"/>
      <c r="C814" s="747"/>
      <c r="D814" s="747"/>
      <c r="E814" s="747"/>
      <c r="F814" s="747"/>
      <c r="G814" s="747"/>
      <c r="H814" s="747"/>
      <c r="I814" s="747"/>
      <c r="J814" s="747"/>
      <c r="K814" s="747"/>
    </row>
    <row r="815" spans="1:11" ht="18" customHeight="1">
      <c r="A815" s="738"/>
      <c r="B815" s="738" t="s">
        <v>60</v>
      </c>
      <c r="C815" s="739" t="s">
        <v>3312</v>
      </c>
      <c r="D815" s="738" t="s">
        <v>3602</v>
      </c>
      <c r="E815" s="738" t="s">
        <v>3313</v>
      </c>
      <c r="F815" s="738" t="s">
        <v>3390</v>
      </c>
      <c r="G815" s="740" t="s">
        <v>70</v>
      </c>
      <c r="H815" s="739" t="s">
        <v>64</v>
      </c>
      <c r="I815" s="739" t="s">
        <v>3617</v>
      </c>
      <c r="J815" s="797" t="s">
        <v>474</v>
      </c>
      <c r="K815" s="795"/>
    </row>
    <row r="816" spans="1:11" ht="44.1" customHeight="1">
      <c r="A816" s="741" t="s">
        <v>4608</v>
      </c>
      <c r="B816" s="741" t="s">
        <v>4881</v>
      </c>
      <c r="C816" s="742" t="s">
        <v>3415</v>
      </c>
      <c r="D816" s="741" t="s">
        <v>3604</v>
      </c>
      <c r="E816" s="741" t="s">
        <v>545</v>
      </c>
      <c r="F816" s="741" t="s">
        <v>3410</v>
      </c>
      <c r="G816" s="743" t="s">
        <v>94</v>
      </c>
      <c r="H816" s="742">
        <v>1</v>
      </c>
      <c r="I816" s="742" t="s">
        <v>3681</v>
      </c>
      <c r="J816" s="798" t="s">
        <v>3681</v>
      </c>
      <c r="K816" s="795"/>
    </row>
    <row r="817" spans="1:11" ht="21.95" customHeight="1">
      <c r="A817" s="744" t="s">
        <v>4611</v>
      </c>
      <c r="B817" s="744"/>
      <c r="C817" s="745" t="s">
        <v>3661</v>
      </c>
      <c r="D817" s="744" t="s">
        <v>1127</v>
      </c>
      <c r="E817" s="744" t="s">
        <v>1133</v>
      </c>
      <c r="F817" s="744" t="s">
        <v>3430</v>
      </c>
      <c r="G817" s="746" t="s">
        <v>1129</v>
      </c>
      <c r="H817" s="745" t="s">
        <v>3682</v>
      </c>
      <c r="I817" s="745" t="s">
        <v>3663</v>
      </c>
      <c r="J817" s="796">
        <v>0.22</v>
      </c>
      <c r="K817" s="795"/>
    </row>
    <row r="818" spans="1:11" ht="21.95" customHeight="1">
      <c r="A818" s="744" t="s">
        <v>4611</v>
      </c>
      <c r="B818" s="744"/>
      <c r="C818" s="745" t="s">
        <v>3664</v>
      </c>
      <c r="D818" s="744" t="s">
        <v>1127</v>
      </c>
      <c r="E818" s="744" t="s">
        <v>1134</v>
      </c>
      <c r="F818" s="744" t="s">
        <v>3430</v>
      </c>
      <c r="G818" s="746" t="s">
        <v>1129</v>
      </c>
      <c r="H818" s="745" t="s">
        <v>3683</v>
      </c>
      <c r="I818" s="745" t="s">
        <v>4619</v>
      </c>
      <c r="J818" s="796">
        <v>1.68</v>
      </c>
      <c r="K818" s="795"/>
    </row>
    <row r="819" spans="1:11" ht="33" customHeight="1">
      <c r="A819" s="744" t="s">
        <v>4611</v>
      </c>
      <c r="B819" s="744"/>
      <c r="C819" s="745" t="s">
        <v>3684</v>
      </c>
      <c r="D819" s="744" t="s">
        <v>1127</v>
      </c>
      <c r="E819" s="744" t="s">
        <v>4630</v>
      </c>
      <c r="F819" s="744" t="s">
        <v>3410</v>
      </c>
      <c r="G819" s="746" t="s">
        <v>94</v>
      </c>
      <c r="H819" s="745" t="s">
        <v>3610</v>
      </c>
      <c r="I819" s="745" t="s">
        <v>3685</v>
      </c>
      <c r="J819" s="796">
        <v>7.24</v>
      </c>
      <c r="K819" s="795"/>
    </row>
    <row r="820" spans="1:11" ht="21.95" customHeight="1">
      <c r="A820" s="748" t="s">
        <v>4616</v>
      </c>
      <c r="B820" s="748"/>
      <c r="C820" s="749" t="s">
        <v>3668</v>
      </c>
      <c r="D820" s="748" t="s">
        <v>1127</v>
      </c>
      <c r="E820" s="748" t="s">
        <v>1137</v>
      </c>
      <c r="F820" s="748" t="s">
        <v>1187</v>
      </c>
      <c r="G820" s="750" t="s">
        <v>94</v>
      </c>
      <c r="H820" s="749" t="s">
        <v>3669</v>
      </c>
      <c r="I820" s="749" t="s">
        <v>3670</v>
      </c>
      <c r="J820" s="794">
        <v>0.19</v>
      </c>
      <c r="K820" s="795"/>
    </row>
    <row r="821" spans="1:11" ht="33" customHeight="1" thickBot="1">
      <c r="A821" s="748" t="s">
        <v>4616</v>
      </c>
      <c r="B821" s="748"/>
      <c r="C821" s="749" t="s">
        <v>3671</v>
      </c>
      <c r="D821" s="748" t="s">
        <v>1127</v>
      </c>
      <c r="E821" s="748" t="s">
        <v>3672</v>
      </c>
      <c r="F821" s="748" t="s">
        <v>1187</v>
      </c>
      <c r="G821" s="750" t="s">
        <v>57</v>
      </c>
      <c r="H821" s="749" t="s">
        <v>3686</v>
      </c>
      <c r="I821" s="749" t="s">
        <v>3674</v>
      </c>
      <c r="J821" s="794">
        <v>0.08</v>
      </c>
      <c r="K821" s="795"/>
    </row>
    <row r="822" spans="1:11" ht="0.95" customHeight="1" thickTop="1">
      <c r="A822" s="747"/>
      <c r="B822" s="747"/>
      <c r="C822" s="747"/>
      <c r="D822" s="747"/>
      <c r="E822" s="747"/>
      <c r="F822" s="747"/>
      <c r="G822" s="747"/>
      <c r="H822" s="747"/>
      <c r="I822" s="747"/>
      <c r="J822" s="747"/>
      <c r="K822" s="747"/>
    </row>
    <row r="823" spans="1:11" ht="18" customHeight="1">
      <c r="A823" s="738"/>
      <c r="B823" s="738" t="s">
        <v>60</v>
      </c>
      <c r="C823" s="739" t="s">
        <v>3312</v>
      </c>
      <c r="D823" s="738" t="s">
        <v>3602</v>
      </c>
      <c r="E823" s="738" t="s">
        <v>3313</v>
      </c>
      <c r="F823" s="738" t="s">
        <v>3390</v>
      </c>
      <c r="G823" s="740" t="s">
        <v>70</v>
      </c>
      <c r="H823" s="739" t="s">
        <v>64</v>
      </c>
      <c r="I823" s="739" t="s">
        <v>3617</v>
      </c>
      <c r="J823" s="797" t="s">
        <v>474</v>
      </c>
      <c r="K823" s="795"/>
    </row>
    <row r="824" spans="1:11" ht="44.1" customHeight="1">
      <c r="A824" s="741" t="s">
        <v>4608</v>
      </c>
      <c r="B824" s="741" t="s">
        <v>4882</v>
      </c>
      <c r="C824" s="742" t="s">
        <v>3412</v>
      </c>
      <c r="D824" s="741" t="s">
        <v>3604</v>
      </c>
      <c r="E824" s="741" t="s">
        <v>539</v>
      </c>
      <c r="F824" s="741" t="s">
        <v>3410</v>
      </c>
      <c r="G824" s="743" t="s">
        <v>94</v>
      </c>
      <c r="H824" s="742">
        <v>1</v>
      </c>
      <c r="I824" s="742" t="s">
        <v>3692</v>
      </c>
      <c r="J824" s="798" t="s">
        <v>3692</v>
      </c>
      <c r="K824" s="795"/>
    </row>
    <row r="825" spans="1:11" ht="21.95" customHeight="1">
      <c r="A825" s="744" t="s">
        <v>4611</v>
      </c>
      <c r="B825" s="744"/>
      <c r="C825" s="745" t="s">
        <v>3661</v>
      </c>
      <c r="D825" s="744" t="s">
        <v>1127</v>
      </c>
      <c r="E825" s="744" t="s">
        <v>1133</v>
      </c>
      <c r="F825" s="744" t="s">
        <v>3430</v>
      </c>
      <c r="G825" s="746" t="s">
        <v>1129</v>
      </c>
      <c r="H825" s="745" t="s">
        <v>3693</v>
      </c>
      <c r="I825" s="745" t="s">
        <v>3663</v>
      </c>
      <c r="J825" s="796">
        <v>0.12</v>
      </c>
      <c r="K825" s="795"/>
    </row>
    <row r="826" spans="1:11" ht="21.95" customHeight="1">
      <c r="A826" s="744" t="s">
        <v>4611</v>
      </c>
      <c r="B826" s="744"/>
      <c r="C826" s="745" t="s">
        <v>3664</v>
      </c>
      <c r="D826" s="744" t="s">
        <v>1127</v>
      </c>
      <c r="E826" s="744" t="s">
        <v>1134</v>
      </c>
      <c r="F826" s="744" t="s">
        <v>3430</v>
      </c>
      <c r="G826" s="746" t="s">
        <v>1129</v>
      </c>
      <c r="H826" s="745" t="s">
        <v>3694</v>
      </c>
      <c r="I826" s="745" t="s">
        <v>4619</v>
      </c>
      <c r="J826" s="796">
        <v>0.92</v>
      </c>
      <c r="K826" s="795"/>
    </row>
    <row r="827" spans="1:11" ht="33" customHeight="1">
      <c r="A827" s="744" t="s">
        <v>4611</v>
      </c>
      <c r="B827" s="744"/>
      <c r="C827" s="745" t="s">
        <v>3695</v>
      </c>
      <c r="D827" s="744" t="s">
        <v>1127</v>
      </c>
      <c r="E827" s="744" t="s">
        <v>4632</v>
      </c>
      <c r="F827" s="744" t="s">
        <v>3410</v>
      </c>
      <c r="G827" s="746" t="s">
        <v>94</v>
      </c>
      <c r="H827" s="745" t="s">
        <v>3610</v>
      </c>
      <c r="I827" s="745" t="s">
        <v>3696</v>
      </c>
      <c r="J827" s="796">
        <v>5.01</v>
      </c>
      <c r="K827" s="795"/>
    </row>
    <row r="828" spans="1:11" ht="21.95" customHeight="1">
      <c r="A828" s="748" t="s">
        <v>4616</v>
      </c>
      <c r="B828" s="748"/>
      <c r="C828" s="749" t="s">
        <v>3668</v>
      </c>
      <c r="D828" s="748" t="s">
        <v>1127</v>
      </c>
      <c r="E828" s="748" t="s">
        <v>1137</v>
      </c>
      <c r="F828" s="748" t="s">
        <v>1187</v>
      </c>
      <c r="G828" s="750" t="s">
        <v>94</v>
      </c>
      <c r="H828" s="749" t="s">
        <v>3669</v>
      </c>
      <c r="I828" s="749" t="s">
        <v>3670</v>
      </c>
      <c r="J828" s="794">
        <v>0.19</v>
      </c>
      <c r="K828" s="795"/>
    </row>
    <row r="829" spans="1:11" ht="33" customHeight="1" thickBot="1">
      <c r="A829" s="748" t="s">
        <v>4616</v>
      </c>
      <c r="B829" s="748"/>
      <c r="C829" s="749" t="s">
        <v>3671</v>
      </c>
      <c r="D829" s="748" t="s">
        <v>1127</v>
      </c>
      <c r="E829" s="748" t="s">
        <v>3672</v>
      </c>
      <c r="F829" s="748" t="s">
        <v>1187</v>
      </c>
      <c r="G829" s="750" t="s">
        <v>57</v>
      </c>
      <c r="H829" s="749" t="s">
        <v>3697</v>
      </c>
      <c r="I829" s="749" t="s">
        <v>3674</v>
      </c>
      <c r="J829" s="794">
        <v>0.04</v>
      </c>
      <c r="K829" s="795"/>
    </row>
    <row r="830" spans="1:11" ht="0.95" customHeight="1" thickTop="1">
      <c r="A830" s="747"/>
      <c r="B830" s="747"/>
      <c r="C830" s="747"/>
      <c r="D830" s="747"/>
      <c r="E830" s="747"/>
      <c r="F830" s="747"/>
      <c r="G830" s="747"/>
      <c r="H830" s="747"/>
      <c r="I830" s="747"/>
      <c r="J830" s="747"/>
      <c r="K830" s="747"/>
    </row>
    <row r="831" spans="1:11" ht="18" customHeight="1">
      <c r="A831" s="738"/>
      <c r="B831" s="738" t="s">
        <v>60</v>
      </c>
      <c r="C831" s="739" t="s">
        <v>3312</v>
      </c>
      <c r="D831" s="738" t="s">
        <v>3602</v>
      </c>
      <c r="E831" s="738" t="s">
        <v>3313</v>
      </c>
      <c r="F831" s="738" t="s">
        <v>3390</v>
      </c>
      <c r="G831" s="740" t="s">
        <v>70</v>
      </c>
      <c r="H831" s="739" t="s">
        <v>64</v>
      </c>
      <c r="I831" s="739" t="s">
        <v>3617</v>
      </c>
      <c r="J831" s="797" t="s">
        <v>474</v>
      </c>
      <c r="K831" s="795"/>
    </row>
    <row r="832" spans="1:11" ht="21.95" customHeight="1">
      <c r="A832" s="741" t="s">
        <v>4608</v>
      </c>
      <c r="B832" s="741" t="s">
        <v>4883</v>
      </c>
      <c r="C832" s="742" t="s">
        <v>3419</v>
      </c>
      <c r="D832" s="741" t="s">
        <v>3604</v>
      </c>
      <c r="E832" s="741" t="s">
        <v>606</v>
      </c>
      <c r="F832" s="741" t="s">
        <v>3410</v>
      </c>
      <c r="G832" s="743" t="s">
        <v>94</v>
      </c>
      <c r="H832" s="742">
        <v>1</v>
      </c>
      <c r="I832" s="742" t="s">
        <v>3718</v>
      </c>
      <c r="J832" s="798" t="s">
        <v>3718</v>
      </c>
      <c r="K832" s="795"/>
    </row>
    <row r="833" spans="1:11" ht="21.95" customHeight="1">
      <c r="A833" s="744" t="s">
        <v>4611</v>
      </c>
      <c r="B833" s="744"/>
      <c r="C833" s="745" t="s">
        <v>3719</v>
      </c>
      <c r="D833" s="744" t="s">
        <v>1127</v>
      </c>
      <c r="E833" s="744" t="s">
        <v>1157</v>
      </c>
      <c r="F833" s="744" t="s">
        <v>3430</v>
      </c>
      <c r="G833" s="746" t="s">
        <v>1129</v>
      </c>
      <c r="H833" s="745" t="s">
        <v>3711</v>
      </c>
      <c r="I833" s="745" t="s">
        <v>3720</v>
      </c>
      <c r="J833" s="796">
        <v>0.32</v>
      </c>
      <c r="K833" s="795"/>
    </row>
    <row r="834" spans="1:11" ht="21.95" customHeight="1">
      <c r="A834" s="744" t="s">
        <v>4611</v>
      </c>
      <c r="B834" s="744"/>
      <c r="C834" s="745" t="s">
        <v>3721</v>
      </c>
      <c r="D834" s="744" t="s">
        <v>1127</v>
      </c>
      <c r="E834" s="744" t="s">
        <v>1158</v>
      </c>
      <c r="F834" s="744" t="s">
        <v>3430</v>
      </c>
      <c r="G834" s="746" t="s">
        <v>1129</v>
      </c>
      <c r="H834" s="745" t="s">
        <v>3711</v>
      </c>
      <c r="I834" s="745" t="s">
        <v>3722</v>
      </c>
      <c r="J834" s="796">
        <v>0.26</v>
      </c>
      <c r="K834" s="795"/>
    </row>
    <row r="835" spans="1:11" ht="21.95" customHeight="1">
      <c r="A835" s="744" t="s">
        <v>4611</v>
      </c>
      <c r="B835" s="744"/>
      <c r="C835" s="745" t="s">
        <v>3723</v>
      </c>
      <c r="D835" s="744" t="s">
        <v>1127</v>
      </c>
      <c r="E835" s="744" t="s">
        <v>1159</v>
      </c>
      <c r="F835" s="744" t="s">
        <v>3430</v>
      </c>
      <c r="G835" s="746" t="s">
        <v>1129</v>
      </c>
      <c r="H835" s="745" t="s">
        <v>3724</v>
      </c>
      <c r="I835" s="745" t="s">
        <v>3725</v>
      </c>
      <c r="J835" s="796">
        <v>0.05</v>
      </c>
      <c r="K835" s="795"/>
    </row>
    <row r="836" spans="1:11" ht="21.95" customHeight="1">
      <c r="A836" s="744" t="s">
        <v>4611</v>
      </c>
      <c r="B836" s="744"/>
      <c r="C836" s="745" t="s">
        <v>3633</v>
      </c>
      <c r="D836" s="744" t="s">
        <v>1127</v>
      </c>
      <c r="E836" s="744" t="s">
        <v>1146</v>
      </c>
      <c r="F836" s="744" t="s">
        <v>3430</v>
      </c>
      <c r="G836" s="746" t="s">
        <v>1129</v>
      </c>
      <c r="H836" s="745" t="s">
        <v>3724</v>
      </c>
      <c r="I836" s="745" t="s">
        <v>3635</v>
      </c>
      <c r="J836" s="796">
        <v>0.04</v>
      </c>
      <c r="K836" s="795"/>
    </row>
    <row r="837" spans="1:11" ht="21.95" customHeight="1">
      <c r="A837" s="744" t="s">
        <v>4611</v>
      </c>
      <c r="B837" s="744"/>
      <c r="C837" s="745" t="s">
        <v>3726</v>
      </c>
      <c r="D837" s="744" t="s">
        <v>1127</v>
      </c>
      <c r="E837" s="744" t="s">
        <v>1160</v>
      </c>
      <c r="F837" s="744" t="s">
        <v>3430</v>
      </c>
      <c r="G837" s="746" t="s">
        <v>1129</v>
      </c>
      <c r="H837" s="745" t="s">
        <v>3727</v>
      </c>
      <c r="I837" s="745" t="s">
        <v>3728</v>
      </c>
      <c r="J837" s="796">
        <v>0.35</v>
      </c>
      <c r="K837" s="795"/>
    </row>
    <row r="838" spans="1:11" ht="21.95" customHeight="1">
      <c r="A838" s="744" t="s">
        <v>4611</v>
      </c>
      <c r="B838" s="744"/>
      <c r="C838" s="745" t="s">
        <v>3729</v>
      </c>
      <c r="D838" s="744" t="s">
        <v>1127</v>
      </c>
      <c r="E838" s="744" t="s">
        <v>1161</v>
      </c>
      <c r="F838" s="744" t="s">
        <v>3430</v>
      </c>
      <c r="G838" s="746" t="s">
        <v>1129</v>
      </c>
      <c r="H838" s="745" t="s">
        <v>3727</v>
      </c>
      <c r="I838" s="745" t="s">
        <v>4619</v>
      </c>
      <c r="J838" s="796">
        <v>0.67</v>
      </c>
      <c r="K838" s="795"/>
    </row>
    <row r="839" spans="1:11" ht="21.95" customHeight="1">
      <c r="A839" s="748" t="s">
        <v>4616</v>
      </c>
      <c r="B839" s="748"/>
      <c r="C839" s="749" t="s">
        <v>3730</v>
      </c>
      <c r="D839" s="748" t="s">
        <v>3604</v>
      </c>
      <c r="E839" s="748" t="s">
        <v>1156</v>
      </c>
      <c r="F839" s="748" t="s">
        <v>1187</v>
      </c>
      <c r="G839" s="750" t="s">
        <v>94</v>
      </c>
      <c r="H839" s="749" t="s">
        <v>3731</v>
      </c>
      <c r="I839" s="749" t="s">
        <v>3732</v>
      </c>
      <c r="J839" s="794">
        <v>2.56</v>
      </c>
      <c r="K839" s="795"/>
    </row>
    <row r="840" spans="1:11" ht="21.95" customHeight="1">
      <c r="A840" s="748" t="s">
        <v>4616</v>
      </c>
      <c r="B840" s="748"/>
      <c r="C840" s="749" t="s">
        <v>3733</v>
      </c>
      <c r="D840" s="748" t="s">
        <v>1127</v>
      </c>
      <c r="E840" s="748" t="s">
        <v>3734</v>
      </c>
      <c r="F840" s="748" t="s">
        <v>1187</v>
      </c>
      <c r="G840" s="750" t="s">
        <v>101</v>
      </c>
      <c r="H840" s="749" t="s">
        <v>3735</v>
      </c>
      <c r="I840" s="749" t="s">
        <v>3736</v>
      </c>
      <c r="J840" s="794">
        <v>2.4500000000000002</v>
      </c>
      <c r="K840" s="795"/>
    </row>
    <row r="841" spans="1:11" ht="21.95" customHeight="1">
      <c r="A841" s="748" t="s">
        <v>4616</v>
      </c>
      <c r="B841" s="748"/>
      <c r="C841" s="749" t="s">
        <v>3737</v>
      </c>
      <c r="D841" s="748" t="s">
        <v>1127</v>
      </c>
      <c r="E841" s="748" t="s">
        <v>1162</v>
      </c>
      <c r="F841" s="748" t="s">
        <v>1187</v>
      </c>
      <c r="G841" s="750" t="s">
        <v>1163</v>
      </c>
      <c r="H841" s="749" t="s">
        <v>3738</v>
      </c>
      <c r="I841" s="749" t="s">
        <v>3739</v>
      </c>
      <c r="J841" s="794">
        <v>0.04</v>
      </c>
      <c r="K841" s="795"/>
    </row>
    <row r="842" spans="1:11" ht="21.95" customHeight="1">
      <c r="A842" s="748" t="s">
        <v>4616</v>
      </c>
      <c r="B842" s="748"/>
      <c r="C842" s="749" t="s">
        <v>3740</v>
      </c>
      <c r="D842" s="748" t="s">
        <v>1127</v>
      </c>
      <c r="E842" s="748" t="s">
        <v>1220</v>
      </c>
      <c r="F842" s="748" t="s">
        <v>1187</v>
      </c>
      <c r="G842" s="750" t="s">
        <v>94</v>
      </c>
      <c r="H842" s="749" t="s">
        <v>3741</v>
      </c>
      <c r="I842" s="749" t="s">
        <v>3742</v>
      </c>
      <c r="J842" s="794">
        <v>0.15</v>
      </c>
      <c r="K842" s="795"/>
    </row>
    <row r="843" spans="1:11" ht="21.95" customHeight="1" thickBot="1">
      <c r="A843" s="748" t="s">
        <v>4616</v>
      </c>
      <c r="B843" s="748"/>
      <c r="C843" s="749" t="s">
        <v>3743</v>
      </c>
      <c r="D843" s="748" t="s">
        <v>1127</v>
      </c>
      <c r="E843" s="748" t="s">
        <v>1164</v>
      </c>
      <c r="F843" s="748" t="s">
        <v>1187</v>
      </c>
      <c r="G843" s="750" t="s">
        <v>1163</v>
      </c>
      <c r="H843" s="749" t="s">
        <v>3744</v>
      </c>
      <c r="I843" s="749" t="s">
        <v>3745</v>
      </c>
      <c r="J843" s="794">
        <v>0</v>
      </c>
      <c r="K843" s="795"/>
    </row>
    <row r="844" spans="1:11" ht="0.95" customHeight="1" thickTop="1">
      <c r="A844" s="747"/>
      <c r="B844" s="747"/>
      <c r="C844" s="747"/>
      <c r="D844" s="747"/>
      <c r="E844" s="747"/>
      <c r="F844" s="747"/>
      <c r="G844" s="747"/>
      <c r="H844" s="747"/>
      <c r="I844" s="747"/>
      <c r="J844" s="747"/>
      <c r="K844" s="747"/>
    </row>
    <row r="845" spans="1:11" ht="18" customHeight="1">
      <c r="A845" s="738"/>
      <c r="B845" s="738" t="s">
        <v>60</v>
      </c>
      <c r="C845" s="739" t="s">
        <v>3312</v>
      </c>
      <c r="D845" s="738" t="s">
        <v>3602</v>
      </c>
      <c r="E845" s="738" t="s">
        <v>3313</v>
      </c>
      <c r="F845" s="738" t="s">
        <v>3390</v>
      </c>
      <c r="G845" s="740" t="s">
        <v>70</v>
      </c>
      <c r="H845" s="739" t="s">
        <v>64</v>
      </c>
      <c r="I845" s="739" t="s">
        <v>3617</v>
      </c>
      <c r="J845" s="797" t="s">
        <v>474</v>
      </c>
      <c r="K845" s="795"/>
    </row>
    <row r="846" spans="1:11" ht="44.1" customHeight="1">
      <c r="A846" s="741" t="s">
        <v>4608</v>
      </c>
      <c r="B846" s="741" t="s">
        <v>4884</v>
      </c>
      <c r="C846" s="742" t="s">
        <v>3462</v>
      </c>
      <c r="D846" s="741" t="s">
        <v>3604</v>
      </c>
      <c r="E846" s="741" t="s">
        <v>2688</v>
      </c>
      <c r="F846" s="741" t="s">
        <v>3410</v>
      </c>
      <c r="G846" s="743" t="s">
        <v>94</v>
      </c>
      <c r="H846" s="742">
        <v>1</v>
      </c>
      <c r="I846" s="742" t="s">
        <v>4116</v>
      </c>
      <c r="J846" s="798" t="s">
        <v>4116</v>
      </c>
      <c r="K846" s="795"/>
    </row>
    <row r="847" spans="1:11" ht="21.95" customHeight="1">
      <c r="A847" s="744" t="s">
        <v>4611</v>
      </c>
      <c r="B847" s="744"/>
      <c r="C847" s="745" t="s">
        <v>3661</v>
      </c>
      <c r="D847" s="744" t="s">
        <v>1127</v>
      </c>
      <c r="E847" s="744" t="s">
        <v>1133</v>
      </c>
      <c r="F847" s="744" t="s">
        <v>3430</v>
      </c>
      <c r="G847" s="746" t="s">
        <v>1129</v>
      </c>
      <c r="H847" s="745" t="s">
        <v>4495</v>
      </c>
      <c r="I847" s="745" t="s">
        <v>3663</v>
      </c>
      <c r="J847" s="796">
        <v>0.08</v>
      </c>
      <c r="K847" s="795"/>
    </row>
    <row r="848" spans="1:11" ht="21.95" customHeight="1">
      <c r="A848" s="744" t="s">
        <v>4611</v>
      </c>
      <c r="B848" s="744"/>
      <c r="C848" s="745" t="s">
        <v>3664</v>
      </c>
      <c r="D848" s="744" t="s">
        <v>1127</v>
      </c>
      <c r="E848" s="744" t="s">
        <v>1134</v>
      </c>
      <c r="F848" s="744" t="s">
        <v>3430</v>
      </c>
      <c r="G848" s="746" t="s">
        <v>1129</v>
      </c>
      <c r="H848" s="745" t="s">
        <v>4496</v>
      </c>
      <c r="I848" s="745" t="s">
        <v>4619</v>
      </c>
      <c r="J848" s="796">
        <v>0.62</v>
      </c>
      <c r="K848" s="795"/>
    </row>
    <row r="849" spans="1:11" ht="33" customHeight="1">
      <c r="A849" s="744" t="s">
        <v>4611</v>
      </c>
      <c r="B849" s="744"/>
      <c r="C849" s="745" t="s">
        <v>4497</v>
      </c>
      <c r="D849" s="744" t="s">
        <v>1127</v>
      </c>
      <c r="E849" s="744" t="s">
        <v>4648</v>
      </c>
      <c r="F849" s="744" t="s">
        <v>3410</v>
      </c>
      <c r="G849" s="746" t="s">
        <v>94</v>
      </c>
      <c r="H849" s="745" t="s">
        <v>3610</v>
      </c>
      <c r="I849" s="745" t="s">
        <v>4498</v>
      </c>
      <c r="J849" s="796">
        <v>3.95</v>
      </c>
      <c r="K849" s="795"/>
    </row>
    <row r="850" spans="1:11" ht="21.95" customHeight="1">
      <c r="A850" s="748" t="s">
        <v>4616</v>
      </c>
      <c r="B850" s="748"/>
      <c r="C850" s="749" t="s">
        <v>3668</v>
      </c>
      <c r="D850" s="748" t="s">
        <v>1127</v>
      </c>
      <c r="E850" s="748" t="s">
        <v>1137</v>
      </c>
      <c r="F850" s="748" t="s">
        <v>1187</v>
      </c>
      <c r="G850" s="750" t="s">
        <v>94</v>
      </c>
      <c r="H850" s="749" t="s">
        <v>3669</v>
      </c>
      <c r="I850" s="749" t="s">
        <v>3670</v>
      </c>
      <c r="J850" s="794">
        <v>0.19</v>
      </c>
      <c r="K850" s="795"/>
    </row>
    <row r="851" spans="1:11" ht="33" customHeight="1" thickBot="1">
      <c r="A851" s="748" t="s">
        <v>4616</v>
      </c>
      <c r="B851" s="748"/>
      <c r="C851" s="749" t="s">
        <v>3671</v>
      </c>
      <c r="D851" s="748" t="s">
        <v>1127</v>
      </c>
      <c r="E851" s="748" t="s">
        <v>3672</v>
      </c>
      <c r="F851" s="748" t="s">
        <v>1187</v>
      </c>
      <c r="G851" s="750" t="s">
        <v>57</v>
      </c>
      <c r="H851" s="749" t="s">
        <v>4499</v>
      </c>
      <c r="I851" s="749" t="s">
        <v>3674</v>
      </c>
      <c r="J851" s="794">
        <v>0</v>
      </c>
      <c r="K851" s="795"/>
    </row>
    <row r="852" spans="1:11" ht="0.95" customHeight="1" thickTop="1">
      <c r="A852" s="747"/>
      <c r="B852" s="747"/>
      <c r="C852" s="747"/>
      <c r="D852" s="747"/>
      <c r="E852" s="747"/>
      <c r="F852" s="747"/>
      <c r="G852" s="747"/>
      <c r="H852" s="747"/>
      <c r="I852" s="747"/>
      <c r="J852" s="747"/>
      <c r="K852" s="747"/>
    </row>
    <row r="853" spans="1:11" ht="18" customHeight="1">
      <c r="A853" s="738"/>
      <c r="B853" s="738" t="s">
        <v>60</v>
      </c>
      <c r="C853" s="739" t="s">
        <v>3312</v>
      </c>
      <c r="D853" s="738" t="s">
        <v>3602</v>
      </c>
      <c r="E853" s="738" t="s">
        <v>3313</v>
      </c>
      <c r="F853" s="738" t="s">
        <v>3390</v>
      </c>
      <c r="G853" s="740" t="s">
        <v>70</v>
      </c>
      <c r="H853" s="739" t="s">
        <v>64</v>
      </c>
      <c r="I853" s="739" t="s">
        <v>3617</v>
      </c>
      <c r="J853" s="797" t="s">
        <v>474</v>
      </c>
      <c r="K853" s="795"/>
    </row>
    <row r="854" spans="1:11" ht="21.95" customHeight="1">
      <c r="A854" s="741" t="s">
        <v>4608</v>
      </c>
      <c r="B854" s="741" t="s">
        <v>4885</v>
      </c>
      <c r="C854" s="742" t="s">
        <v>3507</v>
      </c>
      <c r="D854" s="741" t="s">
        <v>3604</v>
      </c>
      <c r="E854" s="741" t="s">
        <v>4886</v>
      </c>
      <c r="F854" s="741" t="s">
        <v>3490</v>
      </c>
      <c r="G854" s="743" t="s">
        <v>101</v>
      </c>
      <c r="H854" s="742">
        <v>1</v>
      </c>
      <c r="I854" s="742" t="s">
        <v>4887</v>
      </c>
      <c r="J854" s="798" t="s">
        <v>4887</v>
      </c>
      <c r="K854" s="795"/>
    </row>
    <row r="855" spans="1:11" ht="21.95" customHeight="1">
      <c r="A855" s="744" t="s">
        <v>4611</v>
      </c>
      <c r="B855" s="744"/>
      <c r="C855" s="745" t="s">
        <v>3968</v>
      </c>
      <c r="D855" s="744" t="s">
        <v>1127</v>
      </c>
      <c r="E855" s="744" t="s">
        <v>524</v>
      </c>
      <c r="F855" s="744" t="s">
        <v>3426</v>
      </c>
      <c r="G855" s="746" t="s">
        <v>284</v>
      </c>
      <c r="H855" s="745" t="s">
        <v>3798</v>
      </c>
      <c r="I855" s="745" t="s">
        <v>4888</v>
      </c>
      <c r="J855" s="796">
        <v>4.3899999999999997</v>
      </c>
      <c r="K855" s="795"/>
    </row>
    <row r="856" spans="1:11" ht="44.1" customHeight="1">
      <c r="A856" s="744" t="s">
        <v>4611</v>
      </c>
      <c r="B856" s="744"/>
      <c r="C856" s="745" t="s">
        <v>3969</v>
      </c>
      <c r="D856" s="744" t="s">
        <v>1127</v>
      </c>
      <c r="E856" s="744" t="s">
        <v>3970</v>
      </c>
      <c r="F856" s="744" t="s">
        <v>3490</v>
      </c>
      <c r="G856" s="746" t="s">
        <v>108</v>
      </c>
      <c r="H856" s="745" t="s">
        <v>3930</v>
      </c>
      <c r="I856" s="745" t="s">
        <v>4889</v>
      </c>
      <c r="J856" s="796">
        <v>179.25</v>
      </c>
      <c r="K856" s="795"/>
    </row>
    <row r="857" spans="1:11" ht="33" customHeight="1">
      <c r="A857" s="744" t="s">
        <v>4611</v>
      </c>
      <c r="B857" s="744"/>
      <c r="C857" s="745" t="s">
        <v>3971</v>
      </c>
      <c r="D857" s="744" t="s">
        <v>1127</v>
      </c>
      <c r="E857" s="744" t="s">
        <v>3972</v>
      </c>
      <c r="F857" s="744" t="s">
        <v>3410</v>
      </c>
      <c r="G857" s="746" t="s">
        <v>284</v>
      </c>
      <c r="H857" s="745" t="s">
        <v>3973</v>
      </c>
      <c r="I857" s="745" t="s">
        <v>4890</v>
      </c>
      <c r="J857" s="796">
        <v>29.76</v>
      </c>
      <c r="K857" s="795"/>
    </row>
    <row r="858" spans="1:11" ht="21.95" customHeight="1">
      <c r="A858" s="744" t="s">
        <v>4611</v>
      </c>
      <c r="B858" s="744"/>
      <c r="C858" s="745" t="s">
        <v>3974</v>
      </c>
      <c r="D858" s="744" t="s">
        <v>1127</v>
      </c>
      <c r="E858" s="744" t="s">
        <v>561</v>
      </c>
      <c r="F858" s="744" t="s">
        <v>3410</v>
      </c>
      <c r="G858" s="746" t="s">
        <v>284</v>
      </c>
      <c r="H858" s="745" t="s">
        <v>3973</v>
      </c>
      <c r="I858" s="745" t="s">
        <v>4891</v>
      </c>
      <c r="J858" s="796">
        <v>15.76</v>
      </c>
      <c r="K858" s="795"/>
    </row>
    <row r="859" spans="1:11" ht="21.95" customHeight="1">
      <c r="A859" s="744" t="s">
        <v>4611</v>
      </c>
      <c r="B859" s="744"/>
      <c r="C859" s="745" t="s">
        <v>3975</v>
      </c>
      <c r="D859" s="744" t="s">
        <v>1127</v>
      </c>
      <c r="E859" s="744" t="s">
        <v>1277</v>
      </c>
      <c r="F859" s="744" t="s">
        <v>3410</v>
      </c>
      <c r="G859" s="746" t="s">
        <v>94</v>
      </c>
      <c r="H859" s="745" t="s">
        <v>3976</v>
      </c>
      <c r="I859" s="745" t="s">
        <v>3977</v>
      </c>
      <c r="J859" s="796">
        <v>13.2</v>
      </c>
      <c r="K859" s="795"/>
    </row>
    <row r="860" spans="1:11" ht="21.95" customHeight="1">
      <c r="A860" s="744" t="s">
        <v>4611</v>
      </c>
      <c r="B860" s="744"/>
      <c r="C860" s="745" t="s">
        <v>3978</v>
      </c>
      <c r="D860" s="744" t="s">
        <v>1127</v>
      </c>
      <c r="E860" s="744" t="s">
        <v>1278</v>
      </c>
      <c r="F860" s="744" t="s">
        <v>3430</v>
      </c>
      <c r="G860" s="746" t="s">
        <v>108</v>
      </c>
      <c r="H860" s="745" t="s">
        <v>3979</v>
      </c>
      <c r="I860" s="745" t="s">
        <v>3980</v>
      </c>
      <c r="J860" s="796">
        <v>6.72</v>
      </c>
      <c r="K860" s="795"/>
    </row>
    <row r="861" spans="1:11" ht="44.1" customHeight="1">
      <c r="A861" s="744" t="s">
        <v>4611</v>
      </c>
      <c r="B861" s="744"/>
      <c r="C861" s="745" t="s">
        <v>3959</v>
      </c>
      <c r="D861" s="744" t="s">
        <v>1127</v>
      </c>
      <c r="E861" s="744" t="s">
        <v>2662</v>
      </c>
      <c r="F861" s="744" t="s">
        <v>3417</v>
      </c>
      <c r="G861" s="746" t="s">
        <v>108</v>
      </c>
      <c r="H861" s="745" t="s">
        <v>4892</v>
      </c>
      <c r="I861" s="745" t="s">
        <v>3960</v>
      </c>
      <c r="J861" s="796">
        <v>11.26</v>
      </c>
      <c r="K861" s="795"/>
    </row>
    <row r="862" spans="1:11" ht="54.95" customHeight="1" thickBot="1">
      <c r="A862" s="744" t="s">
        <v>4611</v>
      </c>
      <c r="B862" s="744"/>
      <c r="C862" s="745" t="s">
        <v>3989</v>
      </c>
      <c r="D862" s="744" t="s">
        <v>1127</v>
      </c>
      <c r="E862" s="744" t="s">
        <v>785</v>
      </c>
      <c r="F862" s="744" t="s">
        <v>3417</v>
      </c>
      <c r="G862" s="746" t="s">
        <v>108</v>
      </c>
      <c r="H862" s="745" t="s">
        <v>4892</v>
      </c>
      <c r="I862" s="745" t="s">
        <v>3991</v>
      </c>
      <c r="J862" s="796">
        <v>101.59</v>
      </c>
      <c r="K862" s="795"/>
    </row>
    <row r="863" spans="1:11" ht="0.95" customHeight="1" thickTop="1">
      <c r="A863" s="747"/>
      <c r="B863" s="747"/>
      <c r="C863" s="747"/>
      <c r="D863" s="747"/>
      <c r="E863" s="747"/>
      <c r="F863" s="747"/>
      <c r="G863" s="747"/>
      <c r="H863" s="747"/>
      <c r="I863" s="747"/>
      <c r="J863" s="747"/>
      <c r="K863" s="747"/>
    </row>
    <row r="864" spans="1:11" ht="18" customHeight="1">
      <c r="A864" s="738"/>
      <c r="B864" s="738" t="s">
        <v>60</v>
      </c>
      <c r="C864" s="739" t="s">
        <v>3312</v>
      </c>
      <c r="D864" s="738" t="s">
        <v>3602</v>
      </c>
      <c r="E864" s="738" t="s">
        <v>3313</v>
      </c>
      <c r="F864" s="738" t="s">
        <v>3390</v>
      </c>
      <c r="G864" s="740" t="s">
        <v>70</v>
      </c>
      <c r="H864" s="739" t="s">
        <v>64</v>
      </c>
      <c r="I864" s="739" t="s">
        <v>3617</v>
      </c>
      <c r="J864" s="797" t="s">
        <v>474</v>
      </c>
      <c r="K864" s="795"/>
    </row>
    <row r="865" spans="1:11" ht="33" customHeight="1">
      <c r="A865" s="741" t="s">
        <v>4608</v>
      </c>
      <c r="B865" s="741" t="s">
        <v>4893</v>
      </c>
      <c r="C865" s="742" t="s">
        <v>3479</v>
      </c>
      <c r="D865" s="741" t="s">
        <v>3604</v>
      </c>
      <c r="E865" s="741" t="s">
        <v>2701</v>
      </c>
      <c r="F865" s="741" t="s">
        <v>3480</v>
      </c>
      <c r="G865" s="743" t="s">
        <v>101</v>
      </c>
      <c r="H865" s="742">
        <v>1</v>
      </c>
      <c r="I865" s="742" t="s">
        <v>4894</v>
      </c>
      <c r="J865" s="798" t="s">
        <v>4894</v>
      </c>
      <c r="K865" s="795"/>
    </row>
    <row r="866" spans="1:11" ht="21.95" customHeight="1">
      <c r="A866" s="744" t="s">
        <v>4611</v>
      </c>
      <c r="B866" s="744"/>
      <c r="C866" s="745" t="s">
        <v>3981</v>
      </c>
      <c r="D866" s="744" t="s">
        <v>1127</v>
      </c>
      <c r="E866" s="744" t="s">
        <v>2512</v>
      </c>
      <c r="F866" s="744" t="s">
        <v>3410</v>
      </c>
      <c r="G866" s="746" t="s">
        <v>108</v>
      </c>
      <c r="H866" s="745" t="s">
        <v>3982</v>
      </c>
      <c r="I866" s="745" t="s">
        <v>4895</v>
      </c>
      <c r="J866" s="796">
        <v>1.39</v>
      </c>
      <c r="K866" s="795"/>
    </row>
    <row r="867" spans="1:11" ht="21.95" customHeight="1">
      <c r="A867" s="744" t="s">
        <v>4611</v>
      </c>
      <c r="B867" s="744"/>
      <c r="C867" s="745" t="s">
        <v>3983</v>
      </c>
      <c r="D867" s="744" t="s">
        <v>1127</v>
      </c>
      <c r="E867" s="744" t="s">
        <v>2513</v>
      </c>
      <c r="F867" s="744" t="s">
        <v>3410</v>
      </c>
      <c r="G867" s="746" t="s">
        <v>284</v>
      </c>
      <c r="H867" s="745" t="s">
        <v>3798</v>
      </c>
      <c r="I867" s="745" t="s">
        <v>4896</v>
      </c>
      <c r="J867" s="796">
        <v>36.44</v>
      </c>
      <c r="K867" s="795"/>
    </row>
    <row r="868" spans="1:11" ht="21.95" customHeight="1">
      <c r="A868" s="744" t="s">
        <v>4611</v>
      </c>
      <c r="B868" s="744"/>
      <c r="C868" s="745" t="s">
        <v>3984</v>
      </c>
      <c r="D868" s="744" t="s">
        <v>1127</v>
      </c>
      <c r="E868" s="744" t="s">
        <v>3985</v>
      </c>
      <c r="F868" s="744" t="s">
        <v>3410</v>
      </c>
      <c r="G868" s="746" t="s">
        <v>284</v>
      </c>
      <c r="H868" s="745" t="s">
        <v>3986</v>
      </c>
      <c r="I868" s="745" t="s">
        <v>4897</v>
      </c>
      <c r="J868" s="796">
        <v>6.48</v>
      </c>
      <c r="K868" s="795"/>
    </row>
    <row r="869" spans="1:11" ht="54.95" customHeight="1">
      <c r="A869" s="744" t="s">
        <v>4611</v>
      </c>
      <c r="B869" s="744"/>
      <c r="C869" s="745" t="s">
        <v>3987</v>
      </c>
      <c r="D869" s="744" t="s">
        <v>1127</v>
      </c>
      <c r="E869" s="744" t="s">
        <v>4898</v>
      </c>
      <c r="F869" s="744" t="s">
        <v>3410</v>
      </c>
      <c r="G869" s="746" t="s">
        <v>94</v>
      </c>
      <c r="H869" s="745" t="s">
        <v>3818</v>
      </c>
      <c r="I869" s="745" t="s">
        <v>3681</v>
      </c>
      <c r="J869" s="796">
        <v>3.76</v>
      </c>
      <c r="K869" s="795"/>
    </row>
    <row r="870" spans="1:11" ht="54.95" customHeight="1">
      <c r="A870" s="744" t="s">
        <v>4611</v>
      </c>
      <c r="B870" s="744"/>
      <c r="C870" s="745" t="s">
        <v>3988</v>
      </c>
      <c r="D870" s="744" t="s">
        <v>1127</v>
      </c>
      <c r="E870" s="744" t="s">
        <v>2514</v>
      </c>
      <c r="F870" s="744" t="s">
        <v>3490</v>
      </c>
      <c r="G870" s="746" t="s">
        <v>108</v>
      </c>
      <c r="H870" s="745" t="s">
        <v>3818</v>
      </c>
      <c r="I870" s="745" t="s">
        <v>4899</v>
      </c>
      <c r="J870" s="796">
        <v>36.17</v>
      </c>
      <c r="K870" s="795"/>
    </row>
    <row r="871" spans="1:11" ht="54.95" customHeight="1">
      <c r="A871" s="744" t="s">
        <v>4611</v>
      </c>
      <c r="B871" s="744"/>
      <c r="C871" s="745" t="s">
        <v>3989</v>
      </c>
      <c r="D871" s="744" t="s">
        <v>1127</v>
      </c>
      <c r="E871" s="744" t="s">
        <v>785</v>
      </c>
      <c r="F871" s="744" t="s">
        <v>3417</v>
      </c>
      <c r="G871" s="746" t="s">
        <v>108</v>
      </c>
      <c r="H871" s="745" t="s">
        <v>3990</v>
      </c>
      <c r="I871" s="745" t="s">
        <v>3991</v>
      </c>
      <c r="J871" s="796">
        <v>18.47</v>
      </c>
      <c r="K871" s="795"/>
    </row>
    <row r="872" spans="1:11" ht="21.95" customHeight="1">
      <c r="A872" s="744" t="s">
        <v>4611</v>
      </c>
      <c r="B872" s="744"/>
      <c r="C872" s="745" t="s">
        <v>3968</v>
      </c>
      <c r="D872" s="744" t="s">
        <v>1127</v>
      </c>
      <c r="E872" s="744" t="s">
        <v>524</v>
      </c>
      <c r="F872" s="744" t="s">
        <v>3426</v>
      </c>
      <c r="G872" s="746" t="s">
        <v>284</v>
      </c>
      <c r="H872" s="745" t="s">
        <v>3798</v>
      </c>
      <c r="I872" s="745" t="s">
        <v>4888</v>
      </c>
      <c r="J872" s="796">
        <v>4.3899999999999997</v>
      </c>
      <c r="K872" s="795"/>
    </row>
    <row r="873" spans="1:11" ht="44.1" customHeight="1">
      <c r="A873" s="744" t="s">
        <v>4611</v>
      </c>
      <c r="B873" s="744"/>
      <c r="C873" s="745" t="s">
        <v>3992</v>
      </c>
      <c r="D873" s="744" t="s">
        <v>1127</v>
      </c>
      <c r="E873" s="744" t="s">
        <v>3993</v>
      </c>
      <c r="F873" s="744" t="s">
        <v>3417</v>
      </c>
      <c r="G873" s="746" t="s">
        <v>108</v>
      </c>
      <c r="H873" s="745" t="s">
        <v>3990</v>
      </c>
      <c r="I873" s="745" t="s">
        <v>3994</v>
      </c>
      <c r="J873" s="796">
        <v>4.8099999999999996</v>
      </c>
      <c r="K873" s="795"/>
    </row>
    <row r="874" spans="1:11" ht="21.95" customHeight="1">
      <c r="A874" s="744" t="s">
        <v>4611</v>
      </c>
      <c r="B874" s="744"/>
      <c r="C874" s="745" t="s">
        <v>3995</v>
      </c>
      <c r="D874" s="744" t="s">
        <v>1127</v>
      </c>
      <c r="E874" s="744" t="s">
        <v>2515</v>
      </c>
      <c r="F874" s="744" t="s">
        <v>3428</v>
      </c>
      <c r="G874" s="746" t="s">
        <v>108</v>
      </c>
      <c r="H874" s="745" t="s">
        <v>3849</v>
      </c>
      <c r="I874" s="745" t="s">
        <v>4900</v>
      </c>
      <c r="J874" s="796">
        <v>462.6</v>
      </c>
      <c r="K874" s="795"/>
    </row>
    <row r="875" spans="1:11" ht="21.95" customHeight="1">
      <c r="A875" s="744" t="s">
        <v>4611</v>
      </c>
      <c r="B875" s="744"/>
      <c r="C875" s="745" t="s">
        <v>3631</v>
      </c>
      <c r="D875" s="744" t="s">
        <v>1127</v>
      </c>
      <c r="E875" s="744" t="s">
        <v>1145</v>
      </c>
      <c r="F875" s="744" t="s">
        <v>3430</v>
      </c>
      <c r="G875" s="746" t="s">
        <v>1129</v>
      </c>
      <c r="H875" s="745" t="s">
        <v>3818</v>
      </c>
      <c r="I875" s="745" t="s">
        <v>3632</v>
      </c>
      <c r="J875" s="796">
        <v>6.83</v>
      </c>
      <c r="K875" s="795"/>
    </row>
    <row r="876" spans="1:11" ht="21.95" customHeight="1">
      <c r="A876" s="744" t="s">
        <v>4611</v>
      </c>
      <c r="B876" s="744"/>
      <c r="C876" s="745" t="s">
        <v>3633</v>
      </c>
      <c r="D876" s="744" t="s">
        <v>1127</v>
      </c>
      <c r="E876" s="744" t="s">
        <v>1146</v>
      </c>
      <c r="F876" s="744" t="s">
        <v>3430</v>
      </c>
      <c r="G876" s="746" t="s">
        <v>1129</v>
      </c>
      <c r="H876" s="745" t="s">
        <v>3835</v>
      </c>
      <c r="I876" s="745" t="s">
        <v>3635</v>
      </c>
      <c r="J876" s="796">
        <v>6.66</v>
      </c>
      <c r="K876" s="795"/>
    </row>
    <row r="877" spans="1:11" ht="21.95" customHeight="1">
      <c r="A877" s="748" t="s">
        <v>4616</v>
      </c>
      <c r="B877" s="748"/>
      <c r="C877" s="749" t="s">
        <v>3644</v>
      </c>
      <c r="D877" s="748" t="s">
        <v>1127</v>
      </c>
      <c r="E877" s="748" t="s">
        <v>1215</v>
      </c>
      <c r="F877" s="748" t="s">
        <v>1187</v>
      </c>
      <c r="G877" s="750" t="s">
        <v>284</v>
      </c>
      <c r="H877" s="749" t="s">
        <v>3996</v>
      </c>
      <c r="I877" s="749" t="s">
        <v>3646</v>
      </c>
      <c r="J877" s="794">
        <v>0.22</v>
      </c>
      <c r="K877" s="795"/>
    </row>
    <row r="878" spans="1:11" ht="21.95" customHeight="1" thickBot="1">
      <c r="A878" s="748" t="s">
        <v>4616</v>
      </c>
      <c r="B878" s="748"/>
      <c r="C878" s="749" t="s">
        <v>3877</v>
      </c>
      <c r="D878" s="748" t="s">
        <v>1127</v>
      </c>
      <c r="E878" s="748" t="s">
        <v>1216</v>
      </c>
      <c r="F878" s="748" t="s">
        <v>1187</v>
      </c>
      <c r="G878" s="750" t="s">
        <v>94</v>
      </c>
      <c r="H878" s="749" t="s">
        <v>3997</v>
      </c>
      <c r="I878" s="749" t="s">
        <v>3879</v>
      </c>
      <c r="J878" s="794">
        <v>0.52</v>
      </c>
      <c r="K878" s="795"/>
    </row>
    <row r="879" spans="1:11" ht="0.95" customHeight="1" thickTop="1">
      <c r="A879" s="747"/>
      <c r="B879" s="747"/>
      <c r="C879" s="747"/>
      <c r="D879" s="747"/>
      <c r="E879" s="747"/>
      <c r="F879" s="747"/>
      <c r="G879" s="747"/>
      <c r="H879" s="747"/>
      <c r="I879" s="747"/>
      <c r="J879" s="747"/>
      <c r="K879" s="747"/>
    </row>
    <row r="880" spans="1:11" ht="18" customHeight="1">
      <c r="A880" s="738"/>
      <c r="B880" s="738" t="s">
        <v>60</v>
      </c>
      <c r="C880" s="739" t="s">
        <v>3312</v>
      </c>
      <c r="D880" s="738" t="s">
        <v>3602</v>
      </c>
      <c r="E880" s="738" t="s">
        <v>3313</v>
      </c>
      <c r="F880" s="738" t="s">
        <v>3390</v>
      </c>
      <c r="G880" s="740" t="s">
        <v>70</v>
      </c>
      <c r="H880" s="739" t="s">
        <v>64</v>
      </c>
      <c r="I880" s="739" t="s">
        <v>3617</v>
      </c>
      <c r="J880" s="797" t="s">
        <v>474</v>
      </c>
      <c r="K880" s="795"/>
    </row>
    <row r="881" spans="1:11" ht="44.1" customHeight="1">
      <c r="A881" s="741" t="s">
        <v>4608</v>
      </c>
      <c r="B881" s="741" t="s">
        <v>4901</v>
      </c>
      <c r="C881" s="742" t="s">
        <v>3509</v>
      </c>
      <c r="D881" s="741" t="s">
        <v>3604</v>
      </c>
      <c r="E881" s="741" t="s">
        <v>4902</v>
      </c>
      <c r="F881" s="741" t="s">
        <v>3430</v>
      </c>
      <c r="G881" s="743" t="s">
        <v>57</v>
      </c>
      <c r="H881" s="742">
        <v>1</v>
      </c>
      <c r="I881" s="742" t="s">
        <v>4903</v>
      </c>
      <c r="J881" s="798" t="s">
        <v>4903</v>
      </c>
      <c r="K881" s="795"/>
    </row>
    <row r="882" spans="1:11" ht="33" customHeight="1" thickBot="1">
      <c r="A882" s="748" t="s">
        <v>4616</v>
      </c>
      <c r="B882" s="748"/>
      <c r="C882" s="749" t="s">
        <v>3951</v>
      </c>
      <c r="D882" s="748" t="s">
        <v>3604</v>
      </c>
      <c r="E882" s="748" t="s">
        <v>3952</v>
      </c>
      <c r="F882" s="748" t="s">
        <v>1187</v>
      </c>
      <c r="G882" s="750" t="s">
        <v>57</v>
      </c>
      <c r="H882" s="749" t="s">
        <v>3610</v>
      </c>
      <c r="I882" s="749" t="s">
        <v>4903</v>
      </c>
      <c r="J882" s="794">
        <v>7400</v>
      </c>
      <c r="K882" s="795"/>
    </row>
    <row r="883" spans="1:11" ht="0.95" customHeight="1" thickTop="1">
      <c r="A883" s="747"/>
      <c r="B883" s="747"/>
      <c r="C883" s="747"/>
      <c r="D883" s="747"/>
      <c r="E883" s="747"/>
      <c r="F883" s="747"/>
      <c r="G883" s="747"/>
      <c r="H883" s="747"/>
      <c r="I883" s="747"/>
      <c r="J883" s="747"/>
      <c r="K883" s="747"/>
    </row>
    <row r="884" spans="1:11" ht="18" customHeight="1">
      <c r="A884" s="738"/>
      <c r="B884" s="738" t="s">
        <v>60</v>
      </c>
      <c r="C884" s="739" t="s">
        <v>3312</v>
      </c>
      <c r="D884" s="738" t="s">
        <v>3602</v>
      </c>
      <c r="E884" s="738" t="s">
        <v>3313</v>
      </c>
      <c r="F884" s="738" t="s">
        <v>3390</v>
      </c>
      <c r="G884" s="740" t="s">
        <v>70</v>
      </c>
      <c r="H884" s="739" t="s">
        <v>64</v>
      </c>
      <c r="I884" s="739" t="s">
        <v>3617</v>
      </c>
      <c r="J884" s="797" t="s">
        <v>474</v>
      </c>
      <c r="K884" s="795"/>
    </row>
    <row r="885" spans="1:11" ht="44.1" customHeight="1">
      <c r="A885" s="741" t="s">
        <v>4608</v>
      </c>
      <c r="B885" s="741" t="s">
        <v>4904</v>
      </c>
      <c r="C885" s="742" t="s">
        <v>3496</v>
      </c>
      <c r="D885" s="741" t="s">
        <v>3604</v>
      </c>
      <c r="E885" s="741" t="s">
        <v>812</v>
      </c>
      <c r="F885" s="741" t="s">
        <v>3430</v>
      </c>
      <c r="G885" s="743" t="s">
        <v>57</v>
      </c>
      <c r="H885" s="742">
        <v>1</v>
      </c>
      <c r="I885" s="742" t="s">
        <v>4905</v>
      </c>
      <c r="J885" s="798" t="s">
        <v>4905</v>
      </c>
      <c r="K885" s="795"/>
    </row>
    <row r="886" spans="1:11" ht="54.95" customHeight="1">
      <c r="A886" s="744" t="s">
        <v>4611</v>
      </c>
      <c r="B886" s="744"/>
      <c r="C886" s="745" t="s">
        <v>3957</v>
      </c>
      <c r="D886" s="744" t="s">
        <v>1127</v>
      </c>
      <c r="E886" s="744" t="s">
        <v>1256</v>
      </c>
      <c r="F886" s="744" t="s">
        <v>3490</v>
      </c>
      <c r="G886" s="746" t="s">
        <v>108</v>
      </c>
      <c r="H886" s="745" t="s">
        <v>4027</v>
      </c>
      <c r="I886" s="745" t="s">
        <v>4703</v>
      </c>
      <c r="J886" s="796">
        <v>425.5</v>
      </c>
      <c r="K886" s="795"/>
    </row>
    <row r="887" spans="1:11" ht="54.95" customHeight="1">
      <c r="A887" s="744" t="s">
        <v>4611</v>
      </c>
      <c r="B887" s="744"/>
      <c r="C887" s="745" t="s">
        <v>4028</v>
      </c>
      <c r="D887" s="744" t="s">
        <v>1127</v>
      </c>
      <c r="E887" s="744" t="s">
        <v>1282</v>
      </c>
      <c r="F887" s="744" t="s">
        <v>3493</v>
      </c>
      <c r="G887" s="746" t="s">
        <v>108</v>
      </c>
      <c r="H887" s="745" t="s">
        <v>4029</v>
      </c>
      <c r="I887" s="745" t="s">
        <v>4030</v>
      </c>
      <c r="J887" s="796">
        <v>37.619999999999997</v>
      </c>
      <c r="K887" s="795"/>
    </row>
    <row r="888" spans="1:11" ht="54.95" customHeight="1">
      <c r="A888" s="744" t="s">
        <v>4611</v>
      </c>
      <c r="B888" s="744"/>
      <c r="C888" s="745" t="s">
        <v>4031</v>
      </c>
      <c r="D888" s="744" t="s">
        <v>1127</v>
      </c>
      <c r="E888" s="744" t="s">
        <v>787</v>
      </c>
      <c r="F888" s="744" t="s">
        <v>3417</v>
      </c>
      <c r="G888" s="746" t="s">
        <v>108</v>
      </c>
      <c r="H888" s="745" t="s">
        <v>4032</v>
      </c>
      <c r="I888" s="745" t="s">
        <v>4033</v>
      </c>
      <c r="J888" s="796">
        <v>237.08</v>
      </c>
      <c r="K888" s="795"/>
    </row>
    <row r="889" spans="1:11" ht="44.1" customHeight="1">
      <c r="A889" s="744" t="s">
        <v>4611</v>
      </c>
      <c r="B889" s="744"/>
      <c r="C889" s="745" t="s">
        <v>3959</v>
      </c>
      <c r="D889" s="744" t="s">
        <v>1127</v>
      </c>
      <c r="E889" s="744" t="s">
        <v>2662</v>
      </c>
      <c r="F889" s="744" t="s">
        <v>3417</v>
      </c>
      <c r="G889" s="746" t="s">
        <v>108</v>
      </c>
      <c r="H889" s="745" t="s">
        <v>4034</v>
      </c>
      <c r="I889" s="745" t="s">
        <v>3960</v>
      </c>
      <c r="J889" s="796">
        <v>27.54</v>
      </c>
      <c r="K889" s="795"/>
    </row>
    <row r="890" spans="1:11" ht="54.95" customHeight="1">
      <c r="A890" s="744" t="s">
        <v>4611</v>
      </c>
      <c r="B890" s="744"/>
      <c r="C890" s="745" t="s">
        <v>3989</v>
      </c>
      <c r="D890" s="744" t="s">
        <v>1127</v>
      </c>
      <c r="E890" s="744" t="s">
        <v>785</v>
      </c>
      <c r="F890" s="744" t="s">
        <v>3417</v>
      </c>
      <c r="G890" s="746" t="s">
        <v>108</v>
      </c>
      <c r="H890" s="745" t="s">
        <v>4027</v>
      </c>
      <c r="I890" s="745" t="s">
        <v>3991</v>
      </c>
      <c r="J890" s="796">
        <v>124.22</v>
      </c>
      <c r="K890" s="795"/>
    </row>
    <row r="891" spans="1:11" ht="54.95" customHeight="1">
      <c r="A891" s="744" t="s">
        <v>4611</v>
      </c>
      <c r="B891" s="744"/>
      <c r="C891" s="745" t="s">
        <v>3964</v>
      </c>
      <c r="D891" s="744" t="s">
        <v>1127</v>
      </c>
      <c r="E891" s="744" t="s">
        <v>3965</v>
      </c>
      <c r="F891" s="744" t="s">
        <v>3417</v>
      </c>
      <c r="G891" s="746" t="s">
        <v>108</v>
      </c>
      <c r="H891" s="745" t="s">
        <v>4027</v>
      </c>
      <c r="I891" s="745" t="s">
        <v>3966</v>
      </c>
      <c r="J891" s="796">
        <v>122.34</v>
      </c>
      <c r="K891" s="795"/>
    </row>
    <row r="892" spans="1:11" ht="33" customHeight="1">
      <c r="A892" s="744" t="s">
        <v>4611</v>
      </c>
      <c r="B892" s="744"/>
      <c r="C892" s="745" t="s">
        <v>4035</v>
      </c>
      <c r="D892" s="744" t="s">
        <v>1127</v>
      </c>
      <c r="E892" s="744" t="s">
        <v>1283</v>
      </c>
      <c r="F892" s="744" t="s">
        <v>3410</v>
      </c>
      <c r="G892" s="746" t="s">
        <v>108</v>
      </c>
      <c r="H892" s="745" t="s">
        <v>4036</v>
      </c>
      <c r="I892" s="745" t="s">
        <v>4906</v>
      </c>
      <c r="J892" s="796">
        <v>219.36</v>
      </c>
      <c r="K892" s="795"/>
    </row>
    <row r="893" spans="1:11" ht="21.95" customHeight="1">
      <c r="A893" s="744" t="s">
        <v>4611</v>
      </c>
      <c r="B893" s="744"/>
      <c r="C893" s="745" t="s">
        <v>4037</v>
      </c>
      <c r="D893" s="744" t="s">
        <v>1127</v>
      </c>
      <c r="E893" s="744" t="s">
        <v>1284</v>
      </c>
      <c r="F893" s="744" t="s">
        <v>3493</v>
      </c>
      <c r="G893" s="746" t="s">
        <v>108</v>
      </c>
      <c r="H893" s="745" t="s">
        <v>4029</v>
      </c>
      <c r="I893" s="745" t="s">
        <v>4907</v>
      </c>
      <c r="J893" s="796">
        <v>57.58</v>
      </c>
      <c r="K893" s="795"/>
    </row>
    <row r="894" spans="1:11" ht="54.95" customHeight="1">
      <c r="A894" s="744" t="s">
        <v>4611</v>
      </c>
      <c r="B894" s="744"/>
      <c r="C894" s="745" t="s">
        <v>4039</v>
      </c>
      <c r="D894" s="744" t="s">
        <v>1127</v>
      </c>
      <c r="E894" s="744" t="s">
        <v>1285</v>
      </c>
      <c r="F894" s="744" t="s">
        <v>3493</v>
      </c>
      <c r="G894" s="746" t="s">
        <v>108</v>
      </c>
      <c r="H894" s="745" t="s">
        <v>4029</v>
      </c>
      <c r="I894" s="745" t="s">
        <v>4908</v>
      </c>
      <c r="J894" s="796">
        <v>42.99</v>
      </c>
      <c r="K894" s="795"/>
    </row>
    <row r="895" spans="1:11" ht="33" customHeight="1">
      <c r="A895" s="744" t="s">
        <v>4611</v>
      </c>
      <c r="B895" s="744"/>
      <c r="C895" s="745" t="s">
        <v>4040</v>
      </c>
      <c r="D895" s="744" t="s">
        <v>1127</v>
      </c>
      <c r="E895" s="744" t="s">
        <v>798</v>
      </c>
      <c r="F895" s="744" t="s">
        <v>3428</v>
      </c>
      <c r="G895" s="746" t="s">
        <v>108</v>
      </c>
      <c r="H895" s="745" t="s">
        <v>4041</v>
      </c>
      <c r="I895" s="745" t="s">
        <v>4909</v>
      </c>
      <c r="J895" s="796">
        <v>1997.61</v>
      </c>
      <c r="K895" s="795"/>
    </row>
    <row r="896" spans="1:11" ht="33" customHeight="1" thickBot="1">
      <c r="A896" s="744" t="s">
        <v>4611</v>
      </c>
      <c r="B896" s="744"/>
      <c r="C896" s="745" t="s">
        <v>4042</v>
      </c>
      <c r="D896" s="744" t="s">
        <v>1127</v>
      </c>
      <c r="E896" s="744" t="s">
        <v>4043</v>
      </c>
      <c r="F896" s="744" t="s">
        <v>3391</v>
      </c>
      <c r="G896" s="746" t="s">
        <v>57</v>
      </c>
      <c r="H896" s="745" t="s">
        <v>3610</v>
      </c>
      <c r="I896" s="745" t="s">
        <v>4044</v>
      </c>
      <c r="J896" s="796">
        <v>7.41</v>
      </c>
      <c r="K896" s="795"/>
    </row>
    <row r="897" spans="1:11" ht="0.95" customHeight="1" thickTop="1">
      <c r="A897" s="747"/>
      <c r="B897" s="747"/>
      <c r="C897" s="747"/>
      <c r="D897" s="747"/>
      <c r="E897" s="747"/>
      <c r="F897" s="747"/>
      <c r="G897" s="747"/>
      <c r="H897" s="747"/>
      <c r="I897" s="747"/>
      <c r="J897" s="747"/>
      <c r="K897" s="747"/>
    </row>
    <row r="898" spans="1:11" ht="18" customHeight="1">
      <c r="A898" s="738"/>
      <c r="B898" s="738" t="s">
        <v>60</v>
      </c>
      <c r="C898" s="739" t="s">
        <v>3312</v>
      </c>
      <c r="D898" s="738" t="s">
        <v>3602</v>
      </c>
      <c r="E898" s="738" t="s">
        <v>3313</v>
      </c>
      <c r="F898" s="738" t="s">
        <v>3390</v>
      </c>
      <c r="G898" s="740" t="s">
        <v>70</v>
      </c>
      <c r="H898" s="739" t="s">
        <v>64</v>
      </c>
      <c r="I898" s="739" t="s">
        <v>3617</v>
      </c>
      <c r="J898" s="797" t="s">
        <v>474</v>
      </c>
      <c r="K898" s="795"/>
    </row>
    <row r="899" spans="1:11" ht="21.95" customHeight="1">
      <c r="A899" s="741" t="s">
        <v>4608</v>
      </c>
      <c r="B899" s="741" t="s">
        <v>4910</v>
      </c>
      <c r="C899" s="742" t="s">
        <v>4911</v>
      </c>
      <c r="D899" s="741" t="s">
        <v>3604</v>
      </c>
      <c r="E899" s="741" t="s">
        <v>1984</v>
      </c>
      <c r="F899" s="741" t="s">
        <v>3391</v>
      </c>
      <c r="G899" s="743" t="s">
        <v>57</v>
      </c>
      <c r="H899" s="742">
        <v>1</v>
      </c>
      <c r="I899" s="742" t="s">
        <v>4912</v>
      </c>
      <c r="J899" s="798" t="s">
        <v>4912</v>
      </c>
      <c r="K899" s="795"/>
    </row>
    <row r="900" spans="1:11" ht="21.95" customHeight="1">
      <c r="A900" s="744" t="s">
        <v>4611</v>
      </c>
      <c r="B900" s="744"/>
      <c r="C900" s="745" t="s">
        <v>3625</v>
      </c>
      <c r="D900" s="744" t="s">
        <v>1127</v>
      </c>
      <c r="E900" s="744" t="s">
        <v>1296</v>
      </c>
      <c r="F900" s="744" t="s">
        <v>3430</v>
      </c>
      <c r="G900" s="746" t="s">
        <v>1129</v>
      </c>
      <c r="H900" s="745" t="s">
        <v>3674</v>
      </c>
      <c r="I900" s="745" t="s">
        <v>3627</v>
      </c>
      <c r="J900" s="796">
        <v>1.71</v>
      </c>
      <c r="K900" s="795"/>
    </row>
    <row r="901" spans="1:11" ht="21.95" customHeight="1">
      <c r="A901" s="744" t="s">
        <v>4611</v>
      </c>
      <c r="B901" s="744"/>
      <c r="C901" s="745" t="s">
        <v>3628</v>
      </c>
      <c r="D901" s="744" t="s">
        <v>1127</v>
      </c>
      <c r="E901" s="744" t="s">
        <v>1286</v>
      </c>
      <c r="F901" s="744" t="s">
        <v>3430</v>
      </c>
      <c r="G901" s="746" t="s">
        <v>1129</v>
      </c>
      <c r="H901" s="745" t="s">
        <v>3674</v>
      </c>
      <c r="I901" s="745" t="s">
        <v>3630</v>
      </c>
      <c r="J901" s="796">
        <v>2.09</v>
      </c>
      <c r="K901" s="795"/>
    </row>
    <row r="902" spans="1:11" ht="21.95" customHeight="1">
      <c r="A902" s="748" t="s">
        <v>4616</v>
      </c>
      <c r="B902" s="748"/>
      <c r="C902" s="749" t="s">
        <v>4913</v>
      </c>
      <c r="D902" s="748" t="s">
        <v>1127</v>
      </c>
      <c r="E902" s="748" t="s">
        <v>4914</v>
      </c>
      <c r="F902" s="748" t="s">
        <v>1187</v>
      </c>
      <c r="G902" s="750" t="s">
        <v>57</v>
      </c>
      <c r="H902" s="749" t="s">
        <v>3727</v>
      </c>
      <c r="I902" s="749" t="s">
        <v>4915</v>
      </c>
      <c r="J902" s="794">
        <v>0.56999999999999995</v>
      </c>
      <c r="K902" s="795"/>
    </row>
    <row r="903" spans="1:11" ht="33" customHeight="1">
      <c r="A903" s="748" t="s">
        <v>4616</v>
      </c>
      <c r="B903" s="748"/>
      <c r="C903" s="749" t="s">
        <v>4916</v>
      </c>
      <c r="D903" s="748" t="s">
        <v>1127</v>
      </c>
      <c r="E903" s="748" t="s">
        <v>4917</v>
      </c>
      <c r="F903" s="748" t="s">
        <v>1187</v>
      </c>
      <c r="G903" s="750" t="s">
        <v>57</v>
      </c>
      <c r="H903" s="749" t="s">
        <v>3610</v>
      </c>
      <c r="I903" s="749" t="s">
        <v>4918</v>
      </c>
      <c r="J903" s="794">
        <v>9.7899999999999991</v>
      </c>
      <c r="K903" s="795"/>
    </row>
    <row r="904" spans="1:11" ht="21.95" customHeight="1">
      <c r="A904" s="748" t="s">
        <v>4616</v>
      </c>
      <c r="B904" s="748"/>
      <c r="C904" s="749" t="s">
        <v>4052</v>
      </c>
      <c r="D904" s="748" t="s">
        <v>1127</v>
      </c>
      <c r="E904" s="748" t="s">
        <v>1288</v>
      </c>
      <c r="F904" s="748" t="s">
        <v>1187</v>
      </c>
      <c r="G904" s="750" t="s">
        <v>57</v>
      </c>
      <c r="H904" s="749" t="s">
        <v>3749</v>
      </c>
      <c r="I904" s="749" t="s">
        <v>4053</v>
      </c>
      <c r="J904" s="794">
        <v>0.39</v>
      </c>
      <c r="K904" s="795"/>
    </row>
    <row r="905" spans="1:11" ht="21.95" customHeight="1" thickBot="1">
      <c r="A905" s="748" t="s">
        <v>4616</v>
      </c>
      <c r="B905" s="748"/>
      <c r="C905" s="749" t="s">
        <v>4093</v>
      </c>
      <c r="D905" s="748" t="s">
        <v>1127</v>
      </c>
      <c r="E905" s="748" t="s">
        <v>1289</v>
      </c>
      <c r="F905" s="748" t="s">
        <v>1187</v>
      </c>
      <c r="G905" s="750" t="s">
        <v>57</v>
      </c>
      <c r="H905" s="749" t="s">
        <v>4919</v>
      </c>
      <c r="I905" s="749" t="s">
        <v>4095</v>
      </c>
      <c r="J905" s="794">
        <v>0.01</v>
      </c>
      <c r="K905" s="795"/>
    </row>
    <row r="906" spans="1:11" ht="0.95" customHeight="1" thickTop="1">
      <c r="A906" s="747"/>
      <c r="B906" s="747"/>
      <c r="C906" s="747"/>
      <c r="D906" s="747"/>
      <c r="E906" s="747"/>
      <c r="F906" s="747"/>
      <c r="G906" s="747"/>
      <c r="H906" s="747"/>
      <c r="I906" s="747"/>
      <c r="J906" s="747"/>
      <c r="K906" s="747"/>
    </row>
    <row r="907" spans="1:11" ht="18" customHeight="1">
      <c r="A907" s="738"/>
      <c r="B907" s="738" t="s">
        <v>60</v>
      </c>
      <c r="C907" s="739" t="s">
        <v>3312</v>
      </c>
      <c r="D907" s="738" t="s">
        <v>3602</v>
      </c>
      <c r="E907" s="738" t="s">
        <v>3313</v>
      </c>
      <c r="F907" s="738" t="s">
        <v>3390</v>
      </c>
      <c r="G907" s="740" t="s">
        <v>70</v>
      </c>
      <c r="H907" s="739" t="s">
        <v>64</v>
      </c>
      <c r="I907" s="739" t="s">
        <v>3617</v>
      </c>
      <c r="J907" s="797" t="s">
        <v>474</v>
      </c>
      <c r="K907" s="795"/>
    </row>
    <row r="908" spans="1:11" ht="21.95" customHeight="1">
      <c r="A908" s="741" t="s">
        <v>4608</v>
      </c>
      <c r="B908" s="741" t="s">
        <v>4920</v>
      </c>
      <c r="C908" s="742" t="s">
        <v>4103</v>
      </c>
      <c r="D908" s="741" t="s">
        <v>3604</v>
      </c>
      <c r="E908" s="741" t="s">
        <v>3078</v>
      </c>
      <c r="F908" s="741" t="s">
        <v>3391</v>
      </c>
      <c r="G908" s="743" t="s">
        <v>70</v>
      </c>
      <c r="H908" s="742">
        <v>1</v>
      </c>
      <c r="I908" s="742" t="s">
        <v>4921</v>
      </c>
      <c r="J908" s="798" t="s">
        <v>4921</v>
      </c>
      <c r="K908" s="795"/>
    </row>
    <row r="909" spans="1:11" ht="21.95" customHeight="1">
      <c r="A909" s="744" t="s">
        <v>4611</v>
      </c>
      <c r="B909" s="744"/>
      <c r="C909" s="745" t="s">
        <v>3625</v>
      </c>
      <c r="D909" s="744" t="s">
        <v>1127</v>
      </c>
      <c r="E909" s="744" t="s">
        <v>1296</v>
      </c>
      <c r="F909" s="744" t="s">
        <v>3430</v>
      </c>
      <c r="G909" s="746" t="s">
        <v>1129</v>
      </c>
      <c r="H909" s="745" t="s">
        <v>4078</v>
      </c>
      <c r="I909" s="745" t="s">
        <v>3627</v>
      </c>
      <c r="J909" s="796">
        <v>0.64</v>
      </c>
      <c r="K909" s="795"/>
    </row>
    <row r="910" spans="1:11" ht="21.95" customHeight="1">
      <c r="A910" s="744" t="s">
        <v>4611</v>
      </c>
      <c r="B910" s="744"/>
      <c r="C910" s="745" t="s">
        <v>4922</v>
      </c>
      <c r="D910" s="744" t="s">
        <v>1127</v>
      </c>
      <c r="E910" s="744" t="s">
        <v>4923</v>
      </c>
      <c r="F910" s="744" t="s">
        <v>3430</v>
      </c>
      <c r="G910" s="746" t="s">
        <v>1129</v>
      </c>
      <c r="H910" s="745" t="s">
        <v>4078</v>
      </c>
      <c r="I910" s="745" t="s">
        <v>3832</v>
      </c>
      <c r="J910" s="796">
        <v>0</v>
      </c>
      <c r="K910" s="795"/>
    </row>
    <row r="911" spans="1:11" ht="21.95" customHeight="1">
      <c r="A911" s="748" t="s">
        <v>4616</v>
      </c>
      <c r="B911" s="748"/>
      <c r="C911" s="749" t="s">
        <v>4047</v>
      </c>
      <c r="D911" s="748" t="s">
        <v>1127</v>
      </c>
      <c r="E911" s="748" t="s">
        <v>1287</v>
      </c>
      <c r="F911" s="748" t="s">
        <v>1187</v>
      </c>
      <c r="G911" s="750" t="s">
        <v>57</v>
      </c>
      <c r="H911" s="749" t="s">
        <v>4924</v>
      </c>
      <c r="I911" s="749" t="s">
        <v>4049</v>
      </c>
      <c r="J911" s="794">
        <v>0.28000000000000003</v>
      </c>
      <c r="K911" s="795"/>
    </row>
    <row r="912" spans="1:11" ht="21.95" customHeight="1">
      <c r="A912" s="748" t="s">
        <v>4616</v>
      </c>
      <c r="B912" s="748"/>
      <c r="C912" s="749" t="s">
        <v>4052</v>
      </c>
      <c r="D912" s="748" t="s">
        <v>1127</v>
      </c>
      <c r="E912" s="748" t="s">
        <v>1288</v>
      </c>
      <c r="F912" s="748" t="s">
        <v>1187</v>
      </c>
      <c r="G912" s="750" t="s">
        <v>57</v>
      </c>
      <c r="H912" s="749" t="s">
        <v>4925</v>
      </c>
      <c r="I912" s="749" t="s">
        <v>4053</v>
      </c>
      <c r="J912" s="794">
        <v>0.21</v>
      </c>
      <c r="K912" s="795"/>
    </row>
    <row r="913" spans="1:11" ht="21.95" customHeight="1" thickBot="1">
      <c r="A913" s="748" t="s">
        <v>4616</v>
      </c>
      <c r="B913" s="748"/>
      <c r="C913" s="749" t="s">
        <v>4926</v>
      </c>
      <c r="D913" s="748" t="s">
        <v>1127</v>
      </c>
      <c r="E913" s="748" t="s">
        <v>4927</v>
      </c>
      <c r="F913" s="748" t="s">
        <v>1187</v>
      </c>
      <c r="G913" s="750" t="s">
        <v>57</v>
      </c>
      <c r="H913" s="749" t="s">
        <v>3610</v>
      </c>
      <c r="I913" s="749" t="s">
        <v>4928</v>
      </c>
      <c r="J913" s="794">
        <v>1.7</v>
      </c>
      <c r="K913" s="795"/>
    </row>
    <row r="914" spans="1:11" ht="0.95" customHeight="1" thickTop="1">
      <c r="A914" s="747"/>
      <c r="B914" s="747"/>
      <c r="C914" s="747"/>
      <c r="D914" s="747"/>
      <c r="E914" s="747"/>
      <c r="F914" s="747"/>
      <c r="G914" s="747"/>
      <c r="H914" s="747"/>
      <c r="I914" s="747"/>
      <c r="J914" s="747"/>
      <c r="K914" s="747"/>
    </row>
    <row r="915" spans="1:11" ht="18" customHeight="1">
      <c r="A915" s="738"/>
      <c r="B915" s="738" t="s">
        <v>60</v>
      </c>
      <c r="C915" s="739" t="s">
        <v>3312</v>
      </c>
      <c r="D915" s="738" t="s">
        <v>3602</v>
      </c>
      <c r="E915" s="738" t="s">
        <v>3313</v>
      </c>
      <c r="F915" s="738" t="s">
        <v>3390</v>
      </c>
      <c r="G915" s="740" t="s">
        <v>70</v>
      </c>
      <c r="H915" s="739" t="s">
        <v>64</v>
      </c>
      <c r="I915" s="739" t="s">
        <v>3617</v>
      </c>
      <c r="J915" s="797" t="s">
        <v>474</v>
      </c>
      <c r="K915" s="795"/>
    </row>
    <row r="916" spans="1:11" ht="44.1" customHeight="1">
      <c r="A916" s="741" t="s">
        <v>4608</v>
      </c>
      <c r="B916" s="741" t="s">
        <v>4929</v>
      </c>
      <c r="C916" s="742" t="s">
        <v>4080</v>
      </c>
      <c r="D916" s="741" t="s">
        <v>3604</v>
      </c>
      <c r="E916" s="741" t="s">
        <v>3088</v>
      </c>
      <c r="F916" s="741" t="s">
        <v>3391</v>
      </c>
      <c r="G916" s="743" t="s">
        <v>57</v>
      </c>
      <c r="H916" s="742">
        <v>1</v>
      </c>
      <c r="I916" s="742" t="s">
        <v>4081</v>
      </c>
      <c r="J916" s="798" t="s">
        <v>4081</v>
      </c>
      <c r="K916" s="795"/>
    </row>
    <row r="917" spans="1:11" ht="21.95" customHeight="1">
      <c r="A917" s="744" t="s">
        <v>4611</v>
      </c>
      <c r="B917" s="744"/>
      <c r="C917" s="745" t="s">
        <v>3633</v>
      </c>
      <c r="D917" s="744" t="s">
        <v>1127</v>
      </c>
      <c r="E917" s="744" t="s">
        <v>1146</v>
      </c>
      <c r="F917" s="744" t="s">
        <v>3430</v>
      </c>
      <c r="G917" s="746" t="s">
        <v>1129</v>
      </c>
      <c r="H917" s="745" t="s">
        <v>3832</v>
      </c>
      <c r="I917" s="745" t="s">
        <v>3635</v>
      </c>
      <c r="J917" s="796">
        <v>2.4900000000000002</v>
      </c>
      <c r="K917" s="795"/>
    </row>
    <row r="918" spans="1:11" ht="21.95" customHeight="1">
      <c r="A918" s="744" t="s">
        <v>4611</v>
      </c>
      <c r="B918" s="744"/>
      <c r="C918" s="745" t="s">
        <v>3628</v>
      </c>
      <c r="D918" s="744" t="s">
        <v>1127</v>
      </c>
      <c r="E918" s="744" t="s">
        <v>1286</v>
      </c>
      <c r="F918" s="744" t="s">
        <v>3430</v>
      </c>
      <c r="G918" s="746" t="s">
        <v>1129</v>
      </c>
      <c r="H918" s="745" t="s">
        <v>3832</v>
      </c>
      <c r="I918" s="745" t="s">
        <v>3630</v>
      </c>
      <c r="J918" s="796">
        <v>3.14</v>
      </c>
      <c r="K918" s="795"/>
    </row>
    <row r="919" spans="1:11" ht="21.95" customHeight="1">
      <c r="A919" s="748" t="s">
        <v>4616</v>
      </c>
      <c r="B919" s="748"/>
      <c r="C919" s="749" t="s">
        <v>4047</v>
      </c>
      <c r="D919" s="748" t="s">
        <v>1127</v>
      </c>
      <c r="E919" s="748" t="s">
        <v>1287</v>
      </c>
      <c r="F919" s="748" t="s">
        <v>1187</v>
      </c>
      <c r="G919" s="750" t="s">
        <v>57</v>
      </c>
      <c r="H919" s="749" t="s">
        <v>4065</v>
      </c>
      <c r="I919" s="749" t="s">
        <v>4049</v>
      </c>
      <c r="J919" s="794">
        <v>0.18</v>
      </c>
      <c r="K919" s="795"/>
    </row>
    <row r="920" spans="1:11" ht="21.95" customHeight="1">
      <c r="A920" s="748" t="s">
        <v>4616</v>
      </c>
      <c r="B920" s="748"/>
      <c r="C920" s="749" t="s">
        <v>4082</v>
      </c>
      <c r="D920" s="748" t="s">
        <v>1127</v>
      </c>
      <c r="E920" s="748" t="s">
        <v>4083</v>
      </c>
      <c r="F920" s="748" t="s">
        <v>1187</v>
      </c>
      <c r="G920" s="750" t="s">
        <v>57</v>
      </c>
      <c r="H920" s="749" t="s">
        <v>3610</v>
      </c>
      <c r="I920" s="749" t="s">
        <v>4084</v>
      </c>
      <c r="J920" s="794">
        <v>2.2400000000000002</v>
      </c>
      <c r="K920" s="795"/>
    </row>
    <row r="921" spans="1:11" ht="21.95" customHeight="1" thickBot="1">
      <c r="A921" s="748" t="s">
        <v>4616</v>
      </c>
      <c r="B921" s="748"/>
      <c r="C921" s="749" t="s">
        <v>4052</v>
      </c>
      <c r="D921" s="748" t="s">
        <v>1127</v>
      </c>
      <c r="E921" s="748" t="s">
        <v>1288</v>
      </c>
      <c r="F921" s="748" t="s">
        <v>1187</v>
      </c>
      <c r="G921" s="750" t="s">
        <v>57</v>
      </c>
      <c r="H921" s="749" t="s">
        <v>4069</v>
      </c>
      <c r="I921" s="749" t="s">
        <v>4053</v>
      </c>
      <c r="J921" s="794">
        <v>0.27</v>
      </c>
      <c r="K921" s="795"/>
    </row>
    <row r="922" spans="1:11" ht="0.95" customHeight="1" thickTop="1">
      <c r="A922" s="747"/>
      <c r="B922" s="747"/>
      <c r="C922" s="747"/>
      <c r="D922" s="747"/>
      <c r="E922" s="747"/>
      <c r="F922" s="747"/>
      <c r="G922" s="747"/>
      <c r="H922" s="747"/>
      <c r="I922" s="747"/>
      <c r="J922" s="747"/>
      <c r="K922" s="747"/>
    </row>
    <row r="923" spans="1:11" ht="18" customHeight="1">
      <c r="A923" s="738"/>
      <c r="B923" s="738" t="s">
        <v>60</v>
      </c>
      <c r="C923" s="739" t="s">
        <v>3312</v>
      </c>
      <c r="D923" s="738" t="s">
        <v>3602</v>
      </c>
      <c r="E923" s="738" t="s">
        <v>3313</v>
      </c>
      <c r="F923" s="738" t="s">
        <v>3390</v>
      </c>
      <c r="G923" s="740" t="s">
        <v>70</v>
      </c>
      <c r="H923" s="739" t="s">
        <v>64</v>
      </c>
      <c r="I923" s="739" t="s">
        <v>3617</v>
      </c>
      <c r="J923" s="797" t="s">
        <v>474</v>
      </c>
      <c r="K923" s="795"/>
    </row>
    <row r="924" spans="1:11" ht="21.95" customHeight="1">
      <c r="A924" s="741" t="s">
        <v>4608</v>
      </c>
      <c r="B924" s="741" t="s">
        <v>4930</v>
      </c>
      <c r="C924" s="742" t="s">
        <v>3404</v>
      </c>
      <c r="D924" s="741" t="s">
        <v>3604</v>
      </c>
      <c r="E924" s="741" t="s">
        <v>860</v>
      </c>
      <c r="F924" s="741" t="s">
        <v>3391</v>
      </c>
      <c r="G924" s="743" t="s">
        <v>57</v>
      </c>
      <c r="H924" s="742">
        <v>1</v>
      </c>
      <c r="I924" s="742" t="s">
        <v>4045</v>
      </c>
      <c r="J924" s="798" t="s">
        <v>4045</v>
      </c>
      <c r="K924" s="795"/>
    </row>
    <row r="925" spans="1:11" ht="21.95" customHeight="1">
      <c r="A925" s="744" t="s">
        <v>4611</v>
      </c>
      <c r="B925" s="744"/>
      <c r="C925" s="745" t="s">
        <v>3633</v>
      </c>
      <c r="D925" s="744" t="s">
        <v>1127</v>
      </c>
      <c r="E925" s="744" t="s">
        <v>1146</v>
      </c>
      <c r="F925" s="744" t="s">
        <v>3430</v>
      </c>
      <c r="G925" s="746" t="s">
        <v>1129</v>
      </c>
      <c r="H925" s="745" t="s">
        <v>4046</v>
      </c>
      <c r="I925" s="745" t="s">
        <v>3635</v>
      </c>
      <c r="J925" s="796">
        <v>1.94</v>
      </c>
      <c r="K925" s="795"/>
    </row>
    <row r="926" spans="1:11" ht="21.95" customHeight="1">
      <c r="A926" s="744" t="s">
        <v>4611</v>
      </c>
      <c r="B926" s="744"/>
      <c r="C926" s="745" t="s">
        <v>3628</v>
      </c>
      <c r="D926" s="744" t="s">
        <v>1127</v>
      </c>
      <c r="E926" s="744" t="s">
        <v>1286</v>
      </c>
      <c r="F926" s="744" t="s">
        <v>3430</v>
      </c>
      <c r="G926" s="746" t="s">
        <v>1129</v>
      </c>
      <c r="H926" s="745" t="s">
        <v>4046</v>
      </c>
      <c r="I926" s="745" t="s">
        <v>3630</v>
      </c>
      <c r="J926" s="796">
        <v>2.44</v>
      </c>
      <c r="K926" s="795"/>
    </row>
    <row r="927" spans="1:11" ht="21.95" customHeight="1">
      <c r="A927" s="748" t="s">
        <v>4616</v>
      </c>
      <c r="B927" s="748"/>
      <c r="C927" s="749" t="s">
        <v>4047</v>
      </c>
      <c r="D927" s="748" t="s">
        <v>1127</v>
      </c>
      <c r="E927" s="748" t="s">
        <v>1287</v>
      </c>
      <c r="F927" s="748" t="s">
        <v>1187</v>
      </c>
      <c r="G927" s="750" t="s">
        <v>57</v>
      </c>
      <c r="H927" s="749" t="s">
        <v>4048</v>
      </c>
      <c r="I927" s="749" t="s">
        <v>4049</v>
      </c>
      <c r="J927" s="794">
        <v>0.63</v>
      </c>
      <c r="K927" s="795"/>
    </row>
    <row r="928" spans="1:11" ht="21.95" customHeight="1">
      <c r="A928" s="748" t="s">
        <v>4616</v>
      </c>
      <c r="B928" s="748"/>
      <c r="C928" s="749" t="s">
        <v>4050</v>
      </c>
      <c r="D928" s="748" t="s">
        <v>1127</v>
      </c>
      <c r="E928" s="748" t="s">
        <v>1290</v>
      </c>
      <c r="F928" s="748" t="s">
        <v>1187</v>
      </c>
      <c r="G928" s="750" t="s">
        <v>57</v>
      </c>
      <c r="H928" s="749" t="s">
        <v>3610</v>
      </c>
      <c r="I928" s="749" t="s">
        <v>4051</v>
      </c>
      <c r="J928" s="794">
        <v>5.57</v>
      </c>
      <c r="K928" s="795"/>
    </row>
    <row r="929" spans="1:11" ht="21.95" customHeight="1" thickBot="1">
      <c r="A929" s="748" t="s">
        <v>4616</v>
      </c>
      <c r="B929" s="748"/>
      <c r="C929" s="749" t="s">
        <v>4052</v>
      </c>
      <c r="D929" s="748" t="s">
        <v>1127</v>
      </c>
      <c r="E929" s="748" t="s">
        <v>1288</v>
      </c>
      <c r="F929" s="748" t="s">
        <v>1187</v>
      </c>
      <c r="G929" s="750" t="s">
        <v>57</v>
      </c>
      <c r="H929" s="749" t="s">
        <v>3711</v>
      </c>
      <c r="I929" s="749" t="s">
        <v>4053</v>
      </c>
      <c r="J929" s="794">
        <v>0.78</v>
      </c>
      <c r="K929" s="795"/>
    </row>
    <row r="930" spans="1:11" ht="0.95" customHeight="1" thickTop="1">
      <c r="A930" s="747"/>
      <c r="B930" s="747"/>
      <c r="C930" s="747"/>
      <c r="D930" s="747"/>
      <c r="E930" s="747"/>
      <c r="F930" s="747"/>
      <c r="G930" s="747"/>
      <c r="H930" s="747"/>
      <c r="I930" s="747"/>
      <c r="J930" s="747"/>
      <c r="K930" s="747"/>
    </row>
    <row r="931" spans="1:11" ht="18" customHeight="1">
      <c r="A931" s="738"/>
      <c r="B931" s="738" t="s">
        <v>60</v>
      </c>
      <c r="C931" s="739" t="s">
        <v>3312</v>
      </c>
      <c r="D931" s="738" t="s">
        <v>3602</v>
      </c>
      <c r="E931" s="738" t="s">
        <v>3313</v>
      </c>
      <c r="F931" s="738" t="s">
        <v>3390</v>
      </c>
      <c r="G931" s="740" t="s">
        <v>70</v>
      </c>
      <c r="H931" s="739" t="s">
        <v>64</v>
      </c>
      <c r="I931" s="739" t="s">
        <v>3617</v>
      </c>
      <c r="J931" s="797" t="s">
        <v>474</v>
      </c>
      <c r="K931" s="795"/>
    </row>
    <row r="932" spans="1:11" ht="21.95" customHeight="1">
      <c r="A932" s="741" t="s">
        <v>4608</v>
      </c>
      <c r="B932" s="741" t="s">
        <v>4931</v>
      </c>
      <c r="C932" s="742" t="s">
        <v>3550</v>
      </c>
      <c r="D932" s="741" t="s">
        <v>3604</v>
      </c>
      <c r="E932" s="741" t="s">
        <v>862</v>
      </c>
      <c r="F932" s="741" t="s">
        <v>3391</v>
      </c>
      <c r="G932" s="743" t="s">
        <v>57</v>
      </c>
      <c r="H932" s="742">
        <v>1</v>
      </c>
      <c r="I932" s="742" t="s">
        <v>4054</v>
      </c>
      <c r="J932" s="798" t="s">
        <v>4054</v>
      </c>
      <c r="K932" s="795"/>
    </row>
    <row r="933" spans="1:11" ht="21.95" customHeight="1">
      <c r="A933" s="744" t="s">
        <v>4611</v>
      </c>
      <c r="B933" s="744"/>
      <c r="C933" s="745" t="s">
        <v>3633</v>
      </c>
      <c r="D933" s="744" t="s">
        <v>1127</v>
      </c>
      <c r="E933" s="744" t="s">
        <v>1146</v>
      </c>
      <c r="F933" s="744" t="s">
        <v>3430</v>
      </c>
      <c r="G933" s="746" t="s">
        <v>1129</v>
      </c>
      <c r="H933" s="745" t="s">
        <v>3700</v>
      </c>
      <c r="I933" s="745" t="s">
        <v>3635</v>
      </c>
      <c r="J933" s="796">
        <v>2.63</v>
      </c>
      <c r="K933" s="795"/>
    </row>
    <row r="934" spans="1:11" ht="21.95" customHeight="1">
      <c r="A934" s="744" t="s">
        <v>4611</v>
      </c>
      <c r="B934" s="744"/>
      <c r="C934" s="745" t="s">
        <v>3628</v>
      </c>
      <c r="D934" s="744" t="s">
        <v>1127</v>
      </c>
      <c r="E934" s="744" t="s">
        <v>1286</v>
      </c>
      <c r="F934" s="744" t="s">
        <v>3430</v>
      </c>
      <c r="G934" s="746" t="s">
        <v>1129</v>
      </c>
      <c r="H934" s="745" t="s">
        <v>3700</v>
      </c>
      <c r="I934" s="745" t="s">
        <v>3630</v>
      </c>
      <c r="J934" s="796">
        <v>3.32</v>
      </c>
      <c r="K934" s="795"/>
    </row>
    <row r="935" spans="1:11" ht="21.95" customHeight="1">
      <c r="A935" s="748" t="s">
        <v>4616</v>
      </c>
      <c r="B935" s="748"/>
      <c r="C935" s="749" t="s">
        <v>4047</v>
      </c>
      <c r="D935" s="748" t="s">
        <v>1127</v>
      </c>
      <c r="E935" s="748" t="s">
        <v>1287</v>
      </c>
      <c r="F935" s="748" t="s">
        <v>1187</v>
      </c>
      <c r="G935" s="750" t="s">
        <v>57</v>
      </c>
      <c r="H935" s="749" t="s">
        <v>4055</v>
      </c>
      <c r="I935" s="749" t="s">
        <v>4049</v>
      </c>
      <c r="J935" s="794">
        <v>1.67</v>
      </c>
      <c r="K935" s="795"/>
    </row>
    <row r="936" spans="1:11" ht="21.95" customHeight="1">
      <c r="A936" s="748" t="s">
        <v>4616</v>
      </c>
      <c r="B936" s="748"/>
      <c r="C936" s="749" t="s">
        <v>4056</v>
      </c>
      <c r="D936" s="748" t="s">
        <v>1127</v>
      </c>
      <c r="E936" s="748" t="s">
        <v>4057</v>
      </c>
      <c r="F936" s="748" t="s">
        <v>1187</v>
      </c>
      <c r="G936" s="750" t="s">
        <v>57</v>
      </c>
      <c r="H936" s="749" t="s">
        <v>3610</v>
      </c>
      <c r="I936" s="749" t="s">
        <v>4058</v>
      </c>
      <c r="J936" s="794">
        <v>11.11</v>
      </c>
      <c r="K936" s="795"/>
    </row>
    <row r="937" spans="1:11" ht="21.95" customHeight="1" thickBot="1">
      <c r="A937" s="748" t="s">
        <v>4616</v>
      </c>
      <c r="B937" s="748"/>
      <c r="C937" s="749" t="s">
        <v>4052</v>
      </c>
      <c r="D937" s="748" t="s">
        <v>1127</v>
      </c>
      <c r="E937" s="748" t="s">
        <v>1288</v>
      </c>
      <c r="F937" s="748" t="s">
        <v>1187</v>
      </c>
      <c r="G937" s="750" t="s">
        <v>57</v>
      </c>
      <c r="H937" s="749" t="s">
        <v>4059</v>
      </c>
      <c r="I937" s="749" t="s">
        <v>4053</v>
      </c>
      <c r="J937" s="794">
        <v>2.19</v>
      </c>
      <c r="K937" s="795"/>
    </row>
    <row r="938" spans="1:11" ht="0.95" customHeight="1" thickTop="1">
      <c r="A938" s="747"/>
      <c r="B938" s="747"/>
      <c r="C938" s="747"/>
      <c r="D938" s="747"/>
      <c r="E938" s="747"/>
      <c r="F938" s="747"/>
      <c r="G938" s="747"/>
      <c r="H938" s="747"/>
      <c r="I938" s="747"/>
      <c r="J938" s="747"/>
      <c r="K938" s="747"/>
    </row>
    <row r="939" spans="1:11" ht="18" customHeight="1">
      <c r="A939" s="738"/>
      <c r="B939" s="738" t="s">
        <v>60</v>
      </c>
      <c r="C939" s="739" t="s">
        <v>3312</v>
      </c>
      <c r="D939" s="738" t="s">
        <v>3602</v>
      </c>
      <c r="E939" s="738" t="s">
        <v>3313</v>
      </c>
      <c r="F939" s="738" t="s">
        <v>3390</v>
      </c>
      <c r="G939" s="740" t="s">
        <v>70</v>
      </c>
      <c r="H939" s="739" t="s">
        <v>64</v>
      </c>
      <c r="I939" s="739" t="s">
        <v>3617</v>
      </c>
      <c r="J939" s="797" t="s">
        <v>474</v>
      </c>
      <c r="K939" s="795"/>
    </row>
    <row r="940" spans="1:11" ht="21.95" customHeight="1">
      <c r="A940" s="741" t="s">
        <v>4608</v>
      </c>
      <c r="B940" s="741" t="s">
        <v>4932</v>
      </c>
      <c r="C940" s="742" t="s">
        <v>4933</v>
      </c>
      <c r="D940" s="741" t="s">
        <v>3604</v>
      </c>
      <c r="E940" s="741" t="s">
        <v>3091</v>
      </c>
      <c r="F940" s="741" t="s">
        <v>4934</v>
      </c>
      <c r="G940" s="743" t="s">
        <v>57</v>
      </c>
      <c r="H940" s="742">
        <v>1</v>
      </c>
      <c r="I940" s="742" t="s">
        <v>4935</v>
      </c>
      <c r="J940" s="798" t="s">
        <v>4935</v>
      </c>
      <c r="K940" s="795"/>
    </row>
    <row r="941" spans="1:11" ht="21.95" customHeight="1">
      <c r="A941" s="744" t="s">
        <v>4611</v>
      </c>
      <c r="B941" s="744"/>
      <c r="C941" s="745" t="s">
        <v>3633</v>
      </c>
      <c r="D941" s="744" t="s">
        <v>1127</v>
      </c>
      <c r="E941" s="744" t="s">
        <v>1146</v>
      </c>
      <c r="F941" s="744" t="s">
        <v>3430</v>
      </c>
      <c r="G941" s="746" t="s">
        <v>1129</v>
      </c>
      <c r="H941" s="745" t="s">
        <v>3713</v>
      </c>
      <c r="I941" s="745" t="s">
        <v>3635</v>
      </c>
      <c r="J941" s="796">
        <v>4.16</v>
      </c>
      <c r="K941" s="795"/>
    </row>
    <row r="942" spans="1:11" ht="21.95" customHeight="1">
      <c r="A942" s="744" t="s">
        <v>4611</v>
      </c>
      <c r="B942" s="744"/>
      <c r="C942" s="745" t="s">
        <v>3628</v>
      </c>
      <c r="D942" s="744" t="s">
        <v>1127</v>
      </c>
      <c r="E942" s="744" t="s">
        <v>1286</v>
      </c>
      <c r="F942" s="744" t="s">
        <v>3430</v>
      </c>
      <c r="G942" s="746" t="s">
        <v>1129</v>
      </c>
      <c r="H942" s="745" t="s">
        <v>3713</v>
      </c>
      <c r="I942" s="745" t="s">
        <v>3630</v>
      </c>
      <c r="J942" s="796">
        <v>5.24</v>
      </c>
      <c r="K942" s="795"/>
    </row>
    <row r="943" spans="1:11" ht="21.95" customHeight="1">
      <c r="A943" s="748" t="s">
        <v>4616</v>
      </c>
      <c r="B943" s="748"/>
      <c r="C943" s="749" t="s">
        <v>4047</v>
      </c>
      <c r="D943" s="748" t="s">
        <v>1127</v>
      </c>
      <c r="E943" s="748" t="s">
        <v>1287</v>
      </c>
      <c r="F943" s="748" t="s">
        <v>1187</v>
      </c>
      <c r="G943" s="750" t="s">
        <v>57</v>
      </c>
      <c r="H943" s="749" t="s">
        <v>4936</v>
      </c>
      <c r="I943" s="749" t="s">
        <v>4049</v>
      </c>
      <c r="J943" s="794">
        <v>0.85</v>
      </c>
      <c r="K943" s="795"/>
    </row>
    <row r="944" spans="1:11" ht="21.95" customHeight="1">
      <c r="A944" s="748" t="s">
        <v>4616</v>
      </c>
      <c r="B944" s="748"/>
      <c r="C944" s="749" t="s">
        <v>4937</v>
      </c>
      <c r="D944" s="748" t="s">
        <v>1127</v>
      </c>
      <c r="E944" s="748" t="s">
        <v>4938</v>
      </c>
      <c r="F944" s="748" t="s">
        <v>1187</v>
      </c>
      <c r="G944" s="750" t="s">
        <v>57</v>
      </c>
      <c r="H944" s="749" t="s">
        <v>3610</v>
      </c>
      <c r="I944" s="749" t="s">
        <v>4939</v>
      </c>
      <c r="J944" s="794">
        <v>8.75</v>
      </c>
      <c r="K944" s="795"/>
    </row>
    <row r="945" spans="1:11" ht="21.95" customHeight="1" thickBot="1">
      <c r="A945" s="748" t="s">
        <v>4616</v>
      </c>
      <c r="B945" s="748"/>
      <c r="C945" s="749" t="s">
        <v>4052</v>
      </c>
      <c r="D945" s="748" t="s">
        <v>1127</v>
      </c>
      <c r="E945" s="748" t="s">
        <v>1288</v>
      </c>
      <c r="F945" s="748" t="s">
        <v>1187</v>
      </c>
      <c r="G945" s="750" t="s">
        <v>57</v>
      </c>
      <c r="H945" s="749" t="s">
        <v>3828</v>
      </c>
      <c r="I945" s="749" t="s">
        <v>4053</v>
      </c>
      <c r="J945" s="794">
        <v>1.0900000000000001</v>
      </c>
      <c r="K945" s="795"/>
    </row>
    <row r="946" spans="1:11" ht="0.95" customHeight="1" thickTop="1">
      <c r="A946" s="747"/>
      <c r="B946" s="747"/>
      <c r="C946" s="747"/>
      <c r="D946" s="747"/>
      <c r="E946" s="747"/>
      <c r="F946" s="747"/>
      <c r="G946" s="747"/>
      <c r="H946" s="747"/>
      <c r="I946" s="747"/>
      <c r="J946" s="747"/>
      <c r="K946" s="747"/>
    </row>
    <row r="947" spans="1:11" ht="18" customHeight="1">
      <c r="A947" s="738"/>
      <c r="B947" s="738" t="s">
        <v>60</v>
      </c>
      <c r="C947" s="739" t="s">
        <v>3312</v>
      </c>
      <c r="D947" s="738" t="s">
        <v>3602</v>
      </c>
      <c r="E947" s="738" t="s">
        <v>3313</v>
      </c>
      <c r="F947" s="738" t="s">
        <v>3390</v>
      </c>
      <c r="G947" s="740" t="s">
        <v>70</v>
      </c>
      <c r="H947" s="739" t="s">
        <v>64</v>
      </c>
      <c r="I947" s="739" t="s">
        <v>3617</v>
      </c>
      <c r="J947" s="797" t="s">
        <v>474</v>
      </c>
      <c r="K947" s="795"/>
    </row>
    <row r="948" spans="1:11" ht="21.95" customHeight="1">
      <c r="A948" s="741" t="s">
        <v>4608</v>
      </c>
      <c r="B948" s="741" t="s">
        <v>4940</v>
      </c>
      <c r="C948" s="742" t="s">
        <v>3388</v>
      </c>
      <c r="D948" s="741" t="s">
        <v>3604</v>
      </c>
      <c r="E948" s="741" t="s">
        <v>2731</v>
      </c>
      <c r="F948" s="741" t="s">
        <v>3391</v>
      </c>
      <c r="G948" s="743" t="s">
        <v>57</v>
      </c>
      <c r="H948" s="742">
        <v>1</v>
      </c>
      <c r="I948" s="742" t="s">
        <v>4941</v>
      </c>
      <c r="J948" s="798" t="s">
        <v>4941</v>
      </c>
      <c r="K948" s="795"/>
    </row>
    <row r="949" spans="1:11" ht="21.95" customHeight="1">
      <c r="A949" s="744" t="s">
        <v>4611</v>
      </c>
      <c r="B949" s="744"/>
      <c r="C949" s="745" t="s">
        <v>3628</v>
      </c>
      <c r="D949" s="744" t="s">
        <v>1127</v>
      </c>
      <c r="E949" s="744" t="s">
        <v>1286</v>
      </c>
      <c r="F949" s="744" t="s">
        <v>3430</v>
      </c>
      <c r="G949" s="746" t="s">
        <v>1129</v>
      </c>
      <c r="H949" s="745" t="s">
        <v>4060</v>
      </c>
      <c r="I949" s="745" t="s">
        <v>3630</v>
      </c>
      <c r="J949" s="796">
        <v>4.1900000000000004</v>
      </c>
      <c r="K949" s="795"/>
    </row>
    <row r="950" spans="1:11" ht="21.95" customHeight="1">
      <c r="A950" s="744" t="s">
        <v>4611</v>
      </c>
      <c r="B950" s="744"/>
      <c r="C950" s="745" t="s">
        <v>3633</v>
      </c>
      <c r="D950" s="744" t="s">
        <v>1127</v>
      </c>
      <c r="E950" s="744" t="s">
        <v>1146</v>
      </c>
      <c r="F950" s="744" t="s">
        <v>3430</v>
      </c>
      <c r="G950" s="746" t="s">
        <v>1129</v>
      </c>
      <c r="H950" s="745" t="s">
        <v>4060</v>
      </c>
      <c r="I950" s="745" t="s">
        <v>3635</v>
      </c>
      <c r="J950" s="796">
        <v>3.33</v>
      </c>
      <c r="K950" s="795"/>
    </row>
    <row r="951" spans="1:11" ht="21.95" customHeight="1">
      <c r="A951" s="748" t="s">
        <v>4616</v>
      </c>
      <c r="B951" s="748"/>
      <c r="C951" s="749" t="s">
        <v>4047</v>
      </c>
      <c r="D951" s="748" t="s">
        <v>1127</v>
      </c>
      <c r="E951" s="748" t="s">
        <v>1287</v>
      </c>
      <c r="F951" s="748" t="s">
        <v>1187</v>
      </c>
      <c r="G951" s="750" t="s">
        <v>57</v>
      </c>
      <c r="H951" s="749" t="s">
        <v>3724</v>
      </c>
      <c r="I951" s="749" t="s">
        <v>4049</v>
      </c>
      <c r="J951" s="794">
        <v>0.13</v>
      </c>
      <c r="K951" s="795"/>
    </row>
    <row r="952" spans="1:11" ht="21.95" customHeight="1">
      <c r="A952" s="748" t="s">
        <v>4616</v>
      </c>
      <c r="B952" s="748"/>
      <c r="C952" s="749" t="s">
        <v>4061</v>
      </c>
      <c r="D952" s="748" t="s">
        <v>1127</v>
      </c>
      <c r="E952" s="748" t="s">
        <v>4062</v>
      </c>
      <c r="F952" s="748" t="s">
        <v>1187</v>
      </c>
      <c r="G952" s="750" t="s">
        <v>57</v>
      </c>
      <c r="H952" s="749" t="s">
        <v>3610</v>
      </c>
      <c r="I952" s="749" t="s">
        <v>4063</v>
      </c>
      <c r="J952" s="794">
        <v>3.77</v>
      </c>
      <c r="K952" s="795"/>
    </row>
    <row r="953" spans="1:11" ht="21.95" customHeight="1" thickBot="1">
      <c r="A953" s="748" t="s">
        <v>4616</v>
      </c>
      <c r="B953" s="748"/>
      <c r="C953" s="749" t="s">
        <v>4052</v>
      </c>
      <c r="D953" s="748" t="s">
        <v>1127</v>
      </c>
      <c r="E953" s="748" t="s">
        <v>1288</v>
      </c>
      <c r="F953" s="748" t="s">
        <v>1187</v>
      </c>
      <c r="G953" s="750" t="s">
        <v>57</v>
      </c>
      <c r="H953" s="749" t="s">
        <v>4064</v>
      </c>
      <c r="I953" s="749" t="s">
        <v>4053</v>
      </c>
      <c r="J953" s="794">
        <v>1.8</v>
      </c>
      <c r="K953" s="795"/>
    </row>
    <row r="954" spans="1:11" ht="0.95" customHeight="1" thickTop="1">
      <c r="A954" s="747"/>
      <c r="B954" s="747"/>
      <c r="C954" s="747"/>
      <c r="D954" s="747"/>
      <c r="E954" s="747"/>
      <c r="F954" s="747"/>
      <c r="G954" s="747"/>
      <c r="H954" s="747"/>
      <c r="I954" s="747"/>
      <c r="J954" s="747"/>
      <c r="K954" s="747"/>
    </row>
    <row r="955" spans="1:11" ht="18" customHeight="1">
      <c r="A955" s="738"/>
      <c r="B955" s="738" t="s">
        <v>60</v>
      </c>
      <c r="C955" s="739" t="s">
        <v>3312</v>
      </c>
      <c r="D955" s="738" t="s">
        <v>3602</v>
      </c>
      <c r="E955" s="738" t="s">
        <v>3313</v>
      </c>
      <c r="F955" s="738" t="s">
        <v>3390</v>
      </c>
      <c r="G955" s="740" t="s">
        <v>70</v>
      </c>
      <c r="H955" s="739" t="s">
        <v>64</v>
      </c>
      <c r="I955" s="739" t="s">
        <v>3617</v>
      </c>
      <c r="J955" s="797" t="s">
        <v>474</v>
      </c>
      <c r="K955" s="795"/>
    </row>
    <row r="956" spans="1:11" ht="21.95" customHeight="1">
      <c r="A956" s="741" t="s">
        <v>4608</v>
      </c>
      <c r="B956" s="741" t="s">
        <v>4942</v>
      </c>
      <c r="C956" s="742" t="s">
        <v>3393</v>
      </c>
      <c r="D956" s="741" t="s">
        <v>3604</v>
      </c>
      <c r="E956" s="741" t="s">
        <v>2733</v>
      </c>
      <c r="F956" s="741" t="s">
        <v>3391</v>
      </c>
      <c r="G956" s="743" t="s">
        <v>57</v>
      </c>
      <c r="H956" s="742">
        <v>1</v>
      </c>
      <c r="I956" s="742" t="s">
        <v>4943</v>
      </c>
      <c r="J956" s="798" t="s">
        <v>4943</v>
      </c>
      <c r="K956" s="795"/>
    </row>
    <row r="957" spans="1:11" ht="21.95" customHeight="1">
      <c r="A957" s="744" t="s">
        <v>4611</v>
      </c>
      <c r="B957" s="744"/>
      <c r="C957" s="745" t="s">
        <v>3628</v>
      </c>
      <c r="D957" s="744" t="s">
        <v>1127</v>
      </c>
      <c r="E957" s="744" t="s">
        <v>1286</v>
      </c>
      <c r="F957" s="744" t="s">
        <v>3430</v>
      </c>
      <c r="G957" s="746" t="s">
        <v>1129</v>
      </c>
      <c r="H957" s="745" t="s">
        <v>3822</v>
      </c>
      <c r="I957" s="745" t="s">
        <v>3630</v>
      </c>
      <c r="J957" s="796">
        <v>4.37</v>
      </c>
      <c r="K957" s="795"/>
    </row>
    <row r="958" spans="1:11" ht="21.95" customHeight="1">
      <c r="A958" s="744" t="s">
        <v>4611</v>
      </c>
      <c r="B958" s="744"/>
      <c r="C958" s="745" t="s">
        <v>3633</v>
      </c>
      <c r="D958" s="744" t="s">
        <v>1127</v>
      </c>
      <c r="E958" s="744" t="s">
        <v>1146</v>
      </c>
      <c r="F958" s="744" t="s">
        <v>3430</v>
      </c>
      <c r="G958" s="746" t="s">
        <v>1129</v>
      </c>
      <c r="H958" s="745" t="s">
        <v>3822</v>
      </c>
      <c r="I958" s="745" t="s">
        <v>3635</v>
      </c>
      <c r="J958" s="796">
        <v>3.47</v>
      </c>
      <c r="K958" s="795"/>
    </row>
    <row r="959" spans="1:11" ht="21.95" customHeight="1">
      <c r="A959" s="748" t="s">
        <v>4616</v>
      </c>
      <c r="B959" s="748"/>
      <c r="C959" s="749" t="s">
        <v>4047</v>
      </c>
      <c r="D959" s="748" t="s">
        <v>1127</v>
      </c>
      <c r="E959" s="748" t="s">
        <v>1287</v>
      </c>
      <c r="F959" s="748" t="s">
        <v>1187</v>
      </c>
      <c r="G959" s="750" t="s">
        <v>57</v>
      </c>
      <c r="H959" s="749" t="s">
        <v>4065</v>
      </c>
      <c r="I959" s="749" t="s">
        <v>4049</v>
      </c>
      <c r="J959" s="794">
        <v>0.18</v>
      </c>
      <c r="K959" s="795"/>
    </row>
    <row r="960" spans="1:11" ht="21.95" customHeight="1">
      <c r="A960" s="748" t="s">
        <v>4616</v>
      </c>
      <c r="B960" s="748"/>
      <c r="C960" s="749" t="s">
        <v>4066</v>
      </c>
      <c r="D960" s="748" t="s">
        <v>1127</v>
      </c>
      <c r="E960" s="748" t="s">
        <v>1293</v>
      </c>
      <c r="F960" s="748" t="s">
        <v>1187</v>
      </c>
      <c r="G960" s="750" t="s">
        <v>57</v>
      </c>
      <c r="H960" s="749" t="s">
        <v>3610</v>
      </c>
      <c r="I960" s="749" t="s">
        <v>4067</v>
      </c>
      <c r="J960" s="794">
        <v>7.06</v>
      </c>
      <c r="K960" s="795"/>
    </row>
    <row r="961" spans="1:11" ht="21.95" customHeight="1" thickBot="1">
      <c r="A961" s="748" t="s">
        <v>4616</v>
      </c>
      <c r="B961" s="748"/>
      <c r="C961" s="749" t="s">
        <v>4052</v>
      </c>
      <c r="D961" s="748" t="s">
        <v>1127</v>
      </c>
      <c r="E961" s="748" t="s">
        <v>1288</v>
      </c>
      <c r="F961" s="748" t="s">
        <v>1187</v>
      </c>
      <c r="G961" s="750" t="s">
        <v>57</v>
      </c>
      <c r="H961" s="749" t="s">
        <v>3704</v>
      </c>
      <c r="I961" s="749" t="s">
        <v>4053</v>
      </c>
      <c r="J961" s="794">
        <v>2.39</v>
      </c>
      <c r="K961" s="795"/>
    </row>
    <row r="962" spans="1:11" ht="0.95" customHeight="1" thickTop="1">
      <c r="A962" s="747"/>
      <c r="B962" s="747"/>
      <c r="C962" s="747"/>
      <c r="D962" s="747"/>
      <c r="E962" s="747"/>
      <c r="F962" s="747"/>
      <c r="G962" s="747"/>
      <c r="H962" s="747"/>
      <c r="I962" s="747"/>
      <c r="J962" s="747"/>
      <c r="K962" s="747"/>
    </row>
    <row r="963" spans="1:11" ht="18" customHeight="1">
      <c r="A963" s="738"/>
      <c r="B963" s="738" t="s">
        <v>60</v>
      </c>
      <c r="C963" s="739" t="s">
        <v>3312</v>
      </c>
      <c r="D963" s="738" t="s">
        <v>3602</v>
      </c>
      <c r="E963" s="738" t="s">
        <v>3313</v>
      </c>
      <c r="F963" s="738" t="s">
        <v>3390</v>
      </c>
      <c r="G963" s="740" t="s">
        <v>70</v>
      </c>
      <c r="H963" s="739" t="s">
        <v>64</v>
      </c>
      <c r="I963" s="739" t="s">
        <v>3617</v>
      </c>
      <c r="J963" s="797" t="s">
        <v>474</v>
      </c>
      <c r="K963" s="795"/>
    </row>
    <row r="964" spans="1:11" ht="33" customHeight="1">
      <c r="A964" s="741" t="s">
        <v>4608</v>
      </c>
      <c r="B964" s="741" t="s">
        <v>4944</v>
      </c>
      <c r="C964" s="742" t="s">
        <v>3475</v>
      </c>
      <c r="D964" s="741" t="s">
        <v>3604</v>
      </c>
      <c r="E964" s="741" t="s">
        <v>2014</v>
      </c>
      <c r="F964" s="741" t="s">
        <v>3391</v>
      </c>
      <c r="G964" s="743" t="s">
        <v>57</v>
      </c>
      <c r="H964" s="742">
        <v>1</v>
      </c>
      <c r="I964" s="742" t="s">
        <v>4945</v>
      </c>
      <c r="J964" s="798" t="s">
        <v>4945</v>
      </c>
      <c r="K964" s="795"/>
    </row>
    <row r="965" spans="1:11" ht="21.95" customHeight="1">
      <c r="A965" s="744" t="s">
        <v>4611</v>
      </c>
      <c r="B965" s="744"/>
      <c r="C965" s="745" t="s">
        <v>3633</v>
      </c>
      <c r="D965" s="744" t="s">
        <v>1127</v>
      </c>
      <c r="E965" s="744" t="s">
        <v>1146</v>
      </c>
      <c r="F965" s="744" t="s">
        <v>3430</v>
      </c>
      <c r="G965" s="746" t="s">
        <v>1129</v>
      </c>
      <c r="H965" s="745" t="s">
        <v>4068</v>
      </c>
      <c r="I965" s="745" t="s">
        <v>3635</v>
      </c>
      <c r="J965" s="796">
        <v>4.3</v>
      </c>
      <c r="K965" s="795"/>
    </row>
    <row r="966" spans="1:11" ht="21.95" customHeight="1">
      <c r="A966" s="744" t="s">
        <v>4611</v>
      </c>
      <c r="B966" s="744"/>
      <c r="C966" s="745" t="s">
        <v>3628</v>
      </c>
      <c r="D966" s="744" t="s">
        <v>1127</v>
      </c>
      <c r="E966" s="744" t="s">
        <v>1286</v>
      </c>
      <c r="F966" s="744" t="s">
        <v>3430</v>
      </c>
      <c r="G966" s="746" t="s">
        <v>1129</v>
      </c>
      <c r="H966" s="745" t="s">
        <v>4068</v>
      </c>
      <c r="I966" s="745" t="s">
        <v>3630</v>
      </c>
      <c r="J966" s="796">
        <v>5.41</v>
      </c>
      <c r="K966" s="795"/>
    </row>
    <row r="967" spans="1:11" ht="21.95" customHeight="1">
      <c r="A967" s="748" t="s">
        <v>4616</v>
      </c>
      <c r="B967" s="748"/>
      <c r="C967" s="749" t="s">
        <v>4047</v>
      </c>
      <c r="D967" s="748" t="s">
        <v>1127</v>
      </c>
      <c r="E967" s="748" t="s">
        <v>1287</v>
      </c>
      <c r="F967" s="748" t="s">
        <v>1187</v>
      </c>
      <c r="G967" s="750" t="s">
        <v>57</v>
      </c>
      <c r="H967" s="749" t="s">
        <v>4069</v>
      </c>
      <c r="I967" s="749" t="s">
        <v>4049</v>
      </c>
      <c r="J967" s="794">
        <v>0.31</v>
      </c>
      <c r="K967" s="795"/>
    </row>
    <row r="968" spans="1:11" ht="21.95" customHeight="1">
      <c r="A968" s="748" t="s">
        <v>4616</v>
      </c>
      <c r="B968" s="748"/>
      <c r="C968" s="749" t="s">
        <v>4052</v>
      </c>
      <c r="D968" s="748" t="s">
        <v>1127</v>
      </c>
      <c r="E968" s="748" t="s">
        <v>1288</v>
      </c>
      <c r="F968" s="748" t="s">
        <v>1187</v>
      </c>
      <c r="G968" s="750" t="s">
        <v>57</v>
      </c>
      <c r="H968" s="749" t="s">
        <v>4070</v>
      </c>
      <c r="I968" s="749" t="s">
        <v>4053</v>
      </c>
      <c r="J968" s="794">
        <v>3.05</v>
      </c>
      <c r="K968" s="795"/>
    </row>
    <row r="969" spans="1:11" ht="21.95" customHeight="1" thickBot="1">
      <c r="A969" s="748" t="s">
        <v>4616</v>
      </c>
      <c r="B969" s="748"/>
      <c r="C969" s="749" t="s">
        <v>4071</v>
      </c>
      <c r="D969" s="748" t="s">
        <v>1127</v>
      </c>
      <c r="E969" s="748" t="s">
        <v>2015</v>
      </c>
      <c r="F969" s="748" t="s">
        <v>1187</v>
      </c>
      <c r="G969" s="750" t="s">
        <v>57</v>
      </c>
      <c r="H969" s="749" t="s">
        <v>3610</v>
      </c>
      <c r="I969" s="749" t="s">
        <v>4072</v>
      </c>
      <c r="J969" s="794">
        <v>12.5</v>
      </c>
      <c r="K969" s="795"/>
    </row>
    <row r="970" spans="1:11" ht="0.95" customHeight="1" thickTop="1">
      <c r="A970" s="747"/>
      <c r="B970" s="747"/>
      <c r="C970" s="747"/>
      <c r="D970" s="747"/>
      <c r="E970" s="747"/>
      <c r="F970" s="747"/>
      <c r="G970" s="747"/>
      <c r="H970" s="747"/>
      <c r="I970" s="747"/>
      <c r="J970" s="747"/>
      <c r="K970" s="747"/>
    </row>
    <row r="971" spans="1:11" ht="18" customHeight="1">
      <c r="A971" s="738"/>
      <c r="B971" s="738" t="s">
        <v>60</v>
      </c>
      <c r="C971" s="739" t="s">
        <v>3312</v>
      </c>
      <c r="D971" s="738" t="s">
        <v>3602</v>
      </c>
      <c r="E971" s="738" t="s">
        <v>3313</v>
      </c>
      <c r="F971" s="738" t="s">
        <v>3390</v>
      </c>
      <c r="G971" s="740" t="s">
        <v>70</v>
      </c>
      <c r="H971" s="739" t="s">
        <v>64</v>
      </c>
      <c r="I971" s="739" t="s">
        <v>3617</v>
      </c>
      <c r="J971" s="797" t="s">
        <v>474</v>
      </c>
      <c r="K971" s="795"/>
    </row>
    <row r="972" spans="1:11" ht="21.95" customHeight="1">
      <c r="A972" s="741" t="s">
        <v>4608</v>
      </c>
      <c r="B972" s="741" t="s">
        <v>4946</v>
      </c>
      <c r="C972" s="742" t="s">
        <v>3406</v>
      </c>
      <c r="D972" s="741" t="s">
        <v>3604</v>
      </c>
      <c r="E972" s="741" t="s">
        <v>2734</v>
      </c>
      <c r="F972" s="741" t="s">
        <v>3391</v>
      </c>
      <c r="G972" s="743" t="s">
        <v>57</v>
      </c>
      <c r="H972" s="742">
        <v>1</v>
      </c>
      <c r="I972" s="742" t="s">
        <v>4947</v>
      </c>
      <c r="J972" s="798" t="s">
        <v>4947</v>
      </c>
      <c r="K972" s="795"/>
    </row>
    <row r="973" spans="1:11" ht="21.95" customHeight="1">
      <c r="A973" s="744" t="s">
        <v>4611</v>
      </c>
      <c r="B973" s="744"/>
      <c r="C973" s="745" t="s">
        <v>3633</v>
      </c>
      <c r="D973" s="744" t="s">
        <v>1127</v>
      </c>
      <c r="E973" s="744" t="s">
        <v>1146</v>
      </c>
      <c r="F973" s="744" t="s">
        <v>3430</v>
      </c>
      <c r="G973" s="746" t="s">
        <v>1129</v>
      </c>
      <c r="H973" s="745" t="s">
        <v>4073</v>
      </c>
      <c r="I973" s="745" t="s">
        <v>3635</v>
      </c>
      <c r="J973" s="796">
        <v>4.58</v>
      </c>
      <c r="K973" s="795"/>
    </row>
    <row r="974" spans="1:11" ht="21.95" customHeight="1">
      <c r="A974" s="744" t="s">
        <v>4611</v>
      </c>
      <c r="B974" s="744"/>
      <c r="C974" s="745" t="s">
        <v>3628</v>
      </c>
      <c r="D974" s="744" t="s">
        <v>1127</v>
      </c>
      <c r="E974" s="744" t="s">
        <v>1286</v>
      </c>
      <c r="F974" s="744" t="s">
        <v>3430</v>
      </c>
      <c r="G974" s="746" t="s">
        <v>1129</v>
      </c>
      <c r="H974" s="745" t="s">
        <v>4073</v>
      </c>
      <c r="I974" s="745" t="s">
        <v>3630</v>
      </c>
      <c r="J974" s="796">
        <v>5.76</v>
      </c>
      <c r="K974" s="795"/>
    </row>
    <row r="975" spans="1:11" ht="21.95" customHeight="1">
      <c r="A975" s="748" t="s">
        <v>4616</v>
      </c>
      <c r="B975" s="748"/>
      <c r="C975" s="749" t="s">
        <v>4047</v>
      </c>
      <c r="D975" s="748" t="s">
        <v>1127</v>
      </c>
      <c r="E975" s="748" t="s">
        <v>1287</v>
      </c>
      <c r="F975" s="748" t="s">
        <v>1187</v>
      </c>
      <c r="G975" s="750" t="s">
        <v>57</v>
      </c>
      <c r="H975" s="749" t="s">
        <v>3749</v>
      </c>
      <c r="I975" s="749" t="s">
        <v>4049</v>
      </c>
      <c r="J975" s="794">
        <v>0.45</v>
      </c>
      <c r="K975" s="795"/>
    </row>
    <row r="976" spans="1:11" ht="21.95" customHeight="1">
      <c r="A976" s="748" t="s">
        <v>4616</v>
      </c>
      <c r="B976" s="748"/>
      <c r="C976" s="749" t="s">
        <v>4052</v>
      </c>
      <c r="D976" s="748" t="s">
        <v>1127</v>
      </c>
      <c r="E976" s="748" t="s">
        <v>1288</v>
      </c>
      <c r="F976" s="748" t="s">
        <v>1187</v>
      </c>
      <c r="G976" s="750" t="s">
        <v>57</v>
      </c>
      <c r="H976" s="749" t="s">
        <v>4074</v>
      </c>
      <c r="I976" s="749" t="s">
        <v>4053</v>
      </c>
      <c r="J976" s="794">
        <v>3.01</v>
      </c>
      <c r="K976" s="795"/>
    </row>
    <row r="977" spans="1:11" ht="21.95" customHeight="1" thickBot="1">
      <c r="A977" s="748" t="s">
        <v>4616</v>
      </c>
      <c r="B977" s="748"/>
      <c r="C977" s="749" t="s">
        <v>4075</v>
      </c>
      <c r="D977" s="748" t="s">
        <v>1127</v>
      </c>
      <c r="E977" s="748" t="s">
        <v>1294</v>
      </c>
      <c r="F977" s="748" t="s">
        <v>1187</v>
      </c>
      <c r="G977" s="750" t="s">
        <v>57</v>
      </c>
      <c r="H977" s="749" t="s">
        <v>3610</v>
      </c>
      <c r="I977" s="749" t="s">
        <v>4076</v>
      </c>
      <c r="J977" s="794">
        <v>17.09</v>
      </c>
      <c r="K977" s="795"/>
    </row>
    <row r="978" spans="1:11" ht="0.95" customHeight="1" thickTop="1">
      <c r="A978" s="747"/>
      <c r="B978" s="747"/>
      <c r="C978" s="747"/>
      <c r="D978" s="747"/>
      <c r="E978" s="747"/>
      <c r="F978" s="747"/>
      <c r="G978" s="747"/>
      <c r="H978" s="747"/>
      <c r="I978" s="747"/>
      <c r="J978" s="747"/>
      <c r="K978" s="747"/>
    </row>
    <row r="979" spans="1:11" ht="18" customHeight="1">
      <c r="A979" s="738"/>
      <c r="B979" s="738" t="s">
        <v>60</v>
      </c>
      <c r="C979" s="739" t="s">
        <v>3312</v>
      </c>
      <c r="D979" s="738" t="s">
        <v>3602</v>
      </c>
      <c r="E979" s="738" t="s">
        <v>3313</v>
      </c>
      <c r="F979" s="738" t="s">
        <v>3390</v>
      </c>
      <c r="G979" s="740" t="s">
        <v>70</v>
      </c>
      <c r="H979" s="739" t="s">
        <v>64</v>
      </c>
      <c r="I979" s="739" t="s">
        <v>3617</v>
      </c>
      <c r="J979" s="797" t="s">
        <v>474</v>
      </c>
      <c r="K979" s="795"/>
    </row>
    <row r="980" spans="1:11" ht="21.95" customHeight="1">
      <c r="A980" s="741" t="s">
        <v>4608</v>
      </c>
      <c r="B980" s="741" t="s">
        <v>4948</v>
      </c>
      <c r="C980" s="742" t="s">
        <v>3481</v>
      </c>
      <c r="D980" s="741" t="s">
        <v>3604</v>
      </c>
      <c r="E980" s="741" t="s">
        <v>2000</v>
      </c>
      <c r="F980" s="741" t="s">
        <v>3391</v>
      </c>
      <c r="G980" s="743" t="s">
        <v>57</v>
      </c>
      <c r="H980" s="742">
        <v>1</v>
      </c>
      <c r="I980" s="742" t="s">
        <v>4077</v>
      </c>
      <c r="J980" s="798" t="s">
        <v>4077</v>
      </c>
      <c r="K980" s="795"/>
    </row>
    <row r="981" spans="1:11" ht="21.95" customHeight="1">
      <c r="A981" s="744" t="s">
        <v>4611</v>
      </c>
      <c r="B981" s="744"/>
      <c r="C981" s="745" t="s">
        <v>3625</v>
      </c>
      <c r="D981" s="744" t="s">
        <v>1127</v>
      </c>
      <c r="E981" s="744" t="s">
        <v>1296</v>
      </c>
      <c r="F981" s="744" t="s">
        <v>3430</v>
      </c>
      <c r="G981" s="746" t="s">
        <v>1129</v>
      </c>
      <c r="H981" s="745" t="s">
        <v>4078</v>
      </c>
      <c r="I981" s="745" t="s">
        <v>3627</v>
      </c>
      <c r="J981" s="796">
        <v>0.64</v>
      </c>
      <c r="K981" s="795"/>
    </row>
    <row r="982" spans="1:11" ht="21.95" customHeight="1">
      <c r="A982" s="744" t="s">
        <v>4611</v>
      </c>
      <c r="B982" s="744"/>
      <c r="C982" s="745" t="s">
        <v>3628</v>
      </c>
      <c r="D982" s="744" t="s">
        <v>1127</v>
      </c>
      <c r="E982" s="744" t="s">
        <v>1286</v>
      </c>
      <c r="F982" s="744" t="s">
        <v>3430</v>
      </c>
      <c r="G982" s="746" t="s">
        <v>1129</v>
      </c>
      <c r="H982" s="745" t="s">
        <v>4078</v>
      </c>
      <c r="I982" s="745" t="s">
        <v>3630</v>
      </c>
      <c r="J982" s="796">
        <v>0.78</v>
      </c>
      <c r="K982" s="795"/>
    </row>
    <row r="983" spans="1:11" ht="21.95" customHeight="1">
      <c r="A983" s="748" t="s">
        <v>4616</v>
      </c>
      <c r="B983" s="748"/>
      <c r="C983" s="749" t="s">
        <v>4047</v>
      </c>
      <c r="D983" s="748" t="s">
        <v>1127</v>
      </c>
      <c r="E983" s="748" t="s">
        <v>1287</v>
      </c>
      <c r="F983" s="748" t="s">
        <v>1187</v>
      </c>
      <c r="G983" s="750" t="s">
        <v>57</v>
      </c>
      <c r="H983" s="749" t="s">
        <v>3738</v>
      </c>
      <c r="I983" s="749" t="s">
        <v>4049</v>
      </c>
      <c r="J983" s="794">
        <v>0.11</v>
      </c>
      <c r="K983" s="795"/>
    </row>
    <row r="984" spans="1:11" ht="21.95" customHeight="1">
      <c r="A984" s="748" t="s">
        <v>4616</v>
      </c>
      <c r="B984" s="748"/>
      <c r="C984" s="749" t="s">
        <v>4052</v>
      </c>
      <c r="D984" s="748" t="s">
        <v>1127</v>
      </c>
      <c r="E984" s="748" t="s">
        <v>1288</v>
      </c>
      <c r="F984" s="748" t="s">
        <v>1187</v>
      </c>
      <c r="G984" s="750" t="s">
        <v>57</v>
      </c>
      <c r="H984" s="749" t="s">
        <v>4065</v>
      </c>
      <c r="I984" s="749" t="s">
        <v>4053</v>
      </c>
      <c r="J984" s="794">
        <v>0.15</v>
      </c>
      <c r="K984" s="795"/>
    </row>
    <row r="985" spans="1:11" ht="21.95" customHeight="1" thickBot="1">
      <c r="A985" s="748" t="s">
        <v>4616</v>
      </c>
      <c r="B985" s="748"/>
      <c r="C985" s="749" t="s">
        <v>4079</v>
      </c>
      <c r="D985" s="748" t="s">
        <v>1127</v>
      </c>
      <c r="E985" s="748" t="s">
        <v>2000</v>
      </c>
      <c r="F985" s="748" t="s">
        <v>1187</v>
      </c>
      <c r="G985" s="750" t="s">
        <v>57</v>
      </c>
      <c r="H985" s="749" t="s">
        <v>3610</v>
      </c>
      <c r="I985" s="749" t="s">
        <v>3673</v>
      </c>
      <c r="J985" s="794">
        <v>1.19</v>
      </c>
      <c r="K985" s="795"/>
    </row>
    <row r="986" spans="1:11" ht="0.95" customHeight="1" thickTop="1">
      <c r="A986" s="747"/>
      <c r="B986" s="747"/>
      <c r="C986" s="747"/>
      <c r="D986" s="747"/>
      <c r="E986" s="747"/>
      <c r="F986" s="747"/>
      <c r="G986" s="747"/>
      <c r="H986" s="747"/>
      <c r="I986" s="747"/>
      <c r="J986" s="747"/>
      <c r="K986" s="747"/>
    </row>
    <row r="987" spans="1:11" ht="18" customHeight="1">
      <c r="A987" s="738"/>
      <c r="B987" s="738" t="s">
        <v>60</v>
      </c>
      <c r="C987" s="739" t="s">
        <v>3312</v>
      </c>
      <c r="D987" s="738" t="s">
        <v>3602</v>
      </c>
      <c r="E987" s="738" t="s">
        <v>3313</v>
      </c>
      <c r="F987" s="738" t="s">
        <v>3390</v>
      </c>
      <c r="G987" s="740" t="s">
        <v>70</v>
      </c>
      <c r="H987" s="739" t="s">
        <v>64</v>
      </c>
      <c r="I987" s="739" t="s">
        <v>3617</v>
      </c>
      <c r="J987" s="797" t="s">
        <v>474</v>
      </c>
      <c r="K987" s="795"/>
    </row>
    <row r="988" spans="1:11" ht="21.95" customHeight="1">
      <c r="A988" s="741" t="s">
        <v>4608</v>
      </c>
      <c r="B988" s="741" t="s">
        <v>4949</v>
      </c>
      <c r="C988" s="742" t="s">
        <v>4087</v>
      </c>
      <c r="D988" s="741" t="s">
        <v>3604</v>
      </c>
      <c r="E988" s="741" t="s">
        <v>866</v>
      </c>
      <c r="F988" s="741" t="s">
        <v>3391</v>
      </c>
      <c r="G988" s="743" t="s">
        <v>57</v>
      </c>
      <c r="H988" s="742">
        <v>1</v>
      </c>
      <c r="I988" s="742" t="s">
        <v>4950</v>
      </c>
      <c r="J988" s="798" t="s">
        <v>4950</v>
      </c>
      <c r="K988" s="795"/>
    </row>
    <row r="989" spans="1:11" ht="21.95" customHeight="1">
      <c r="A989" s="744" t="s">
        <v>4611</v>
      </c>
      <c r="B989" s="744"/>
      <c r="C989" s="745" t="s">
        <v>3625</v>
      </c>
      <c r="D989" s="744" t="s">
        <v>1127</v>
      </c>
      <c r="E989" s="744" t="s">
        <v>1296</v>
      </c>
      <c r="F989" s="744" t="s">
        <v>3430</v>
      </c>
      <c r="G989" s="746" t="s">
        <v>1129</v>
      </c>
      <c r="H989" s="745" t="s">
        <v>4088</v>
      </c>
      <c r="I989" s="745" t="s">
        <v>3627</v>
      </c>
      <c r="J989" s="796">
        <v>2.0499999999999998</v>
      </c>
      <c r="K989" s="795"/>
    </row>
    <row r="990" spans="1:11" ht="21.95" customHeight="1">
      <c r="A990" s="744" t="s">
        <v>4611</v>
      </c>
      <c r="B990" s="744"/>
      <c r="C990" s="745" t="s">
        <v>3628</v>
      </c>
      <c r="D990" s="744" t="s">
        <v>1127</v>
      </c>
      <c r="E990" s="744" t="s">
        <v>1286</v>
      </c>
      <c r="F990" s="744" t="s">
        <v>3430</v>
      </c>
      <c r="G990" s="746" t="s">
        <v>1129</v>
      </c>
      <c r="H990" s="745" t="s">
        <v>4088</v>
      </c>
      <c r="I990" s="745" t="s">
        <v>3630</v>
      </c>
      <c r="J990" s="796">
        <v>2.5099999999999998</v>
      </c>
      <c r="K990" s="795"/>
    </row>
    <row r="991" spans="1:11" ht="21.95" customHeight="1">
      <c r="A991" s="748" t="s">
        <v>4616</v>
      </c>
      <c r="B991" s="748"/>
      <c r="C991" s="749" t="s">
        <v>4047</v>
      </c>
      <c r="D991" s="748" t="s">
        <v>1127</v>
      </c>
      <c r="E991" s="748" t="s">
        <v>1287</v>
      </c>
      <c r="F991" s="748" t="s">
        <v>1187</v>
      </c>
      <c r="G991" s="750" t="s">
        <v>57</v>
      </c>
      <c r="H991" s="749" t="s">
        <v>4089</v>
      </c>
      <c r="I991" s="749" t="s">
        <v>4049</v>
      </c>
      <c r="J991" s="794">
        <v>1.17</v>
      </c>
      <c r="K991" s="795"/>
    </row>
    <row r="992" spans="1:11" ht="21.95" customHeight="1">
      <c r="A992" s="748" t="s">
        <v>4616</v>
      </c>
      <c r="B992" s="748"/>
      <c r="C992" s="749" t="s">
        <v>4090</v>
      </c>
      <c r="D992" s="748" t="s">
        <v>1127</v>
      </c>
      <c r="E992" s="748" t="s">
        <v>2017</v>
      </c>
      <c r="F992" s="748" t="s">
        <v>1187</v>
      </c>
      <c r="G992" s="750" t="s">
        <v>57</v>
      </c>
      <c r="H992" s="749" t="s">
        <v>3610</v>
      </c>
      <c r="I992" s="749" t="s">
        <v>4091</v>
      </c>
      <c r="J992" s="794">
        <v>64.739999999999995</v>
      </c>
      <c r="K992" s="795"/>
    </row>
    <row r="993" spans="1:11" ht="21.95" customHeight="1">
      <c r="A993" s="748" t="s">
        <v>4616</v>
      </c>
      <c r="B993" s="748"/>
      <c r="C993" s="749" t="s">
        <v>4052</v>
      </c>
      <c r="D993" s="748" t="s">
        <v>1127</v>
      </c>
      <c r="E993" s="748" t="s">
        <v>1288</v>
      </c>
      <c r="F993" s="748" t="s">
        <v>1187</v>
      </c>
      <c r="G993" s="750" t="s">
        <v>57</v>
      </c>
      <c r="H993" s="749" t="s">
        <v>4092</v>
      </c>
      <c r="I993" s="749" t="s">
        <v>4053</v>
      </c>
      <c r="J993" s="794">
        <v>1.29</v>
      </c>
      <c r="K993" s="795"/>
    </row>
    <row r="994" spans="1:11" ht="21.95" customHeight="1" thickBot="1">
      <c r="A994" s="748" t="s">
        <v>4616</v>
      </c>
      <c r="B994" s="748"/>
      <c r="C994" s="749" t="s">
        <v>4093</v>
      </c>
      <c r="D994" s="748" t="s">
        <v>1127</v>
      </c>
      <c r="E994" s="748" t="s">
        <v>1289</v>
      </c>
      <c r="F994" s="748" t="s">
        <v>1187</v>
      </c>
      <c r="G994" s="750" t="s">
        <v>57</v>
      </c>
      <c r="H994" s="749" t="s">
        <v>4094</v>
      </c>
      <c r="I994" s="749" t="s">
        <v>4095</v>
      </c>
      <c r="J994" s="794">
        <v>0.05</v>
      </c>
      <c r="K994" s="795"/>
    </row>
    <row r="995" spans="1:11" ht="0.95" customHeight="1" thickTop="1">
      <c r="A995" s="747"/>
      <c r="B995" s="747"/>
      <c r="C995" s="747"/>
      <c r="D995" s="747"/>
      <c r="E995" s="747"/>
      <c r="F995" s="747"/>
      <c r="G995" s="747"/>
      <c r="H995" s="747"/>
      <c r="I995" s="747"/>
      <c r="J995" s="747"/>
      <c r="K995" s="747"/>
    </row>
    <row r="996" spans="1:11" ht="18" customHeight="1">
      <c r="A996" s="738"/>
      <c r="B996" s="738" t="s">
        <v>60</v>
      </c>
      <c r="C996" s="739" t="s">
        <v>3312</v>
      </c>
      <c r="D996" s="738" t="s">
        <v>3602</v>
      </c>
      <c r="E996" s="738" t="s">
        <v>3313</v>
      </c>
      <c r="F996" s="738" t="s">
        <v>3390</v>
      </c>
      <c r="G996" s="740" t="s">
        <v>70</v>
      </c>
      <c r="H996" s="739" t="s">
        <v>64</v>
      </c>
      <c r="I996" s="739" t="s">
        <v>3617</v>
      </c>
      <c r="J996" s="797" t="s">
        <v>474</v>
      </c>
      <c r="K996" s="795"/>
    </row>
    <row r="997" spans="1:11" ht="33" customHeight="1">
      <c r="A997" s="741" t="s">
        <v>4608</v>
      </c>
      <c r="B997" s="741" t="s">
        <v>4951</v>
      </c>
      <c r="C997" s="742" t="s">
        <v>3473</v>
      </c>
      <c r="D997" s="741" t="s">
        <v>3604</v>
      </c>
      <c r="E997" s="741" t="s">
        <v>2019</v>
      </c>
      <c r="F997" s="741" t="s">
        <v>3391</v>
      </c>
      <c r="G997" s="743" t="s">
        <v>57</v>
      </c>
      <c r="H997" s="742">
        <v>1</v>
      </c>
      <c r="I997" s="742" t="s">
        <v>4096</v>
      </c>
      <c r="J997" s="798" t="s">
        <v>4096</v>
      </c>
      <c r="K997" s="795"/>
    </row>
    <row r="998" spans="1:11" ht="21.95" customHeight="1">
      <c r="A998" s="744" t="s">
        <v>4611</v>
      </c>
      <c r="B998" s="744"/>
      <c r="C998" s="745" t="s">
        <v>3633</v>
      </c>
      <c r="D998" s="744" t="s">
        <v>1127</v>
      </c>
      <c r="E998" s="744" t="s">
        <v>1146</v>
      </c>
      <c r="F998" s="744" t="s">
        <v>3430</v>
      </c>
      <c r="G998" s="746" t="s">
        <v>1129</v>
      </c>
      <c r="H998" s="745" t="s">
        <v>4097</v>
      </c>
      <c r="I998" s="745" t="s">
        <v>3635</v>
      </c>
      <c r="J998" s="796">
        <v>3.05</v>
      </c>
      <c r="K998" s="795"/>
    </row>
    <row r="999" spans="1:11" ht="21.95" customHeight="1">
      <c r="A999" s="744" t="s">
        <v>4611</v>
      </c>
      <c r="B999" s="744"/>
      <c r="C999" s="745" t="s">
        <v>3628</v>
      </c>
      <c r="D999" s="744" t="s">
        <v>1127</v>
      </c>
      <c r="E999" s="744" t="s">
        <v>1286</v>
      </c>
      <c r="F999" s="744" t="s">
        <v>3430</v>
      </c>
      <c r="G999" s="746" t="s">
        <v>1129</v>
      </c>
      <c r="H999" s="745" t="s">
        <v>4097</v>
      </c>
      <c r="I999" s="745" t="s">
        <v>3630</v>
      </c>
      <c r="J999" s="796">
        <v>3.84</v>
      </c>
      <c r="K999" s="795"/>
    </row>
    <row r="1000" spans="1:11" ht="21.95" customHeight="1">
      <c r="A1000" s="748" t="s">
        <v>4616</v>
      </c>
      <c r="B1000" s="748"/>
      <c r="C1000" s="749" t="s">
        <v>4098</v>
      </c>
      <c r="D1000" s="748" t="s">
        <v>1127</v>
      </c>
      <c r="E1000" s="748" t="s">
        <v>1302</v>
      </c>
      <c r="F1000" s="748" t="s">
        <v>1187</v>
      </c>
      <c r="G1000" s="750" t="s">
        <v>57</v>
      </c>
      <c r="H1000" s="749" t="s">
        <v>4099</v>
      </c>
      <c r="I1000" s="749" t="s">
        <v>4100</v>
      </c>
      <c r="J1000" s="794">
        <v>0.12</v>
      </c>
      <c r="K1000" s="795"/>
    </row>
    <row r="1001" spans="1:11" ht="21.95" customHeight="1" thickBot="1">
      <c r="A1001" s="748" t="s">
        <v>4616</v>
      </c>
      <c r="B1001" s="748"/>
      <c r="C1001" s="749" t="s">
        <v>4101</v>
      </c>
      <c r="D1001" s="748" t="s">
        <v>1127</v>
      </c>
      <c r="E1001" s="748" t="s">
        <v>2020</v>
      </c>
      <c r="F1001" s="748" t="s">
        <v>1187</v>
      </c>
      <c r="G1001" s="750" t="s">
        <v>57</v>
      </c>
      <c r="H1001" s="749" t="s">
        <v>3610</v>
      </c>
      <c r="I1001" s="749" t="s">
        <v>4102</v>
      </c>
      <c r="J1001" s="794">
        <v>5.59</v>
      </c>
      <c r="K1001" s="795"/>
    </row>
    <row r="1002" spans="1:11" ht="0.95" customHeight="1" thickTop="1">
      <c r="A1002" s="747"/>
      <c r="B1002" s="747"/>
      <c r="C1002" s="747"/>
      <c r="D1002" s="747"/>
      <c r="E1002" s="747"/>
      <c r="F1002" s="747"/>
      <c r="G1002" s="747"/>
      <c r="H1002" s="747"/>
      <c r="I1002" s="747"/>
      <c r="J1002" s="747"/>
      <c r="K1002" s="747"/>
    </row>
    <row r="1003" spans="1:11" ht="18" customHeight="1">
      <c r="A1003" s="761"/>
      <c r="B1003" s="761" t="s">
        <v>60</v>
      </c>
      <c r="C1003" s="762" t="s">
        <v>3312</v>
      </c>
      <c r="D1003" s="761" t="s">
        <v>3602</v>
      </c>
      <c r="E1003" s="761" t="s">
        <v>3313</v>
      </c>
      <c r="F1003" s="761" t="s">
        <v>3390</v>
      </c>
      <c r="G1003" s="763" t="s">
        <v>70</v>
      </c>
      <c r="H1003" s="762" t="s">
        <v>64</v>
      </c>
      <c r="I1003" s="762" t="s">
        <v>3617</v>
      </c>
      <c r="J1003" s="803" t="s">
        <v>474</v>
      </c>
      <c r="K1003" s="801"/>
    </row>
    <row r="1004" spans="1:11" ht="33" customHeight="1">
      <c r="A1004" s="764" t="s">
        <v>4608</v>
      </c>
      <c r="B1004" s="764" t="s">
        <v>4952</v>
      </c>
      <c r="C1004" s="765" t="s">
        <v>5241</v>
      </c>
      <c r="D1004" s="764" t="s">
        <v>3604</v>
      </c>
      <c r="E1004" s="764" t="s">
        <v>5242</v>
      </c>
      <c r="F1004" s="764" t="s">
        <v>3410</v>
      </c>
      <c r="G1004" s="766" t="s">
        <v>4104</v>
      </c>
      <c r="H1004" s="765">
        <v>1</v>
      </c>
      <c r="I1004" s="765" t="s">
        <v>5243</v>
      </c>
      <c r="J1004" s="802" t="s">
        <v>5243</v>
      </c>
      <c r="K1004" s="801"/>
    </row>
    <row r="1005" spans="1:11" ht="33" customHeight="1">
      <c r="A1005" s="767" t="s">
        <v>4611</v>
      </c>
      <c r="B1005" s="767"/>
      <c r="C1005" s="768" t="s">
        <v>5244</v>
      </c>
      <c r="D1005" s="767" t="s">
        <v>1127</v>
      </c>
      <c r="E1005" s="767" t="s">
        <v>5245</v>
      </c>
      <c r="F1005" s="767" t="s">
        <v>3426</v>
      </c>
      <c r="G1005" s="769" t="s">
        <v>284</v>
      </c>
      <c r="H1005" s="768" t="s">
        <v>5246</v>
      </c>
      <c r="I1005" s="768" t="s">
        <v>4178</v>
      </c>
      <c r="J1005" s="800">
        <v>251.2</v>
      </c>
      <c r="K1005" s="801"/>
    </row>
    <row r="1006" spans="1:11" ht="21.95" customHeight="1">
      <c r="A1006" s="767" t="s">
        <v>4611</v>
      </c>
      <c r="B1006" s="767"/>
      <c r="C1006" s="768" t="s">
        <v>4108</v>
      </c>
      <c r="D1006" s="767" t="s">
        <v>1127</v>
      </c>
      <c r="E1006" s="767" t="s">
        <v>527</v>
      </c>
      <c r="F1006" s="767" t="s">
        <v>3426</v>
      </c>
      <c r="G1006" s="769" t="s">
        <v>284</v>
      </c>
      <c r="H1006" s="768" t="s">
        <v>5247</v>
      </c>
      <c r="I1006" s="768" t="s">
        <v>4955</v>
      </c>
      <c r="J1006" s="800">
        <v>2434.27</v>
      </c>
      <c r="K1006" s="801"/>
    </row>
    <row r="1007" spans="1:11" ht="21.95" customHeight="1">
      <c r="A1007" s="767" t="s">
        <v>4611</v>
      </c>
      <c r="B1007" s="767"/>
      <c r="C1007" s="768" t="s">
        <v>5248</v>
      </c>
      <c r="D1007" s="767" t="s">
        <v>1127</v>
      </c>
      <c r="E1007" s="767" t="s">
        <v>962</v>
      </c>
      <c r="F1007" s="767" t="s">
        <v>3426</v>
      </c>
      <c r="G1007" s="769" t="s">
        <v>284</v>
      </c>
      <c r="H1007" s="768" t="s">
        <v>5249</v>
      </c>
      <c r="I1007" s="768" t="s">
        <v>5250</v>
      </c>
      <c r="J1007" s="800">
        <v>1405.63</v>
      </c>
      <c r="K1007" s="801"/>
    </row>
    <row r="1008" spans="1:11" ht="21.95" customHeight="1">
      <c r="A1008" s="767" t="s">
        <v>4611</v>
      </c>
      <c r="B1008" s="767"/>
      <c r="C1008" s="768" t="s">
        <v>4117</v>
      </c>
      <c r="D1008" s="767" t="s">
        <v>1127</v>
      </c>
      <c r="E1008" s="767" t="s">
        <v>530</v>
      </c>
      <c r="F1008" s="767" t="s">
        <v>3426</v>
      </c>
      <c r="G1008" s="769" t="s">
        <v>2621</v>
      </c>
      <c r="H1008" s="768" t="s">
        <v>5251</v>
      </c>
      <c r="I1008" s="768" t="s">
        <v>4118</v>
      </c>
      <c r="J1008" s="800">
        <v>971.64</v>
      </c>
      <c r="K1008" s="801"/>
    </row>
    <row r="1009" spans="1:11" ht="44.1" customHeight="1">
      <c r="A1009" s="767" t="s">
        <v>4611</v>
      </c>
      <c r="B1009" s="767"/>
      <c r="C1009" s="768" t="s">
        <v>5252</v>
      </c>
      <c r="D1009" s="767" t="s">
        <v>1127</v>
      </c>
      <c r="E1009" s="767" t="s">
        <v>5253</v>
      </c>
      <c r="F1009" s="767" t="s">
        <v>3426</v>
      </c>
      <c r="G1009" s="769" t="s">
        <v>108</v>
      </c>
      <c r="H1009" s="768" t="s">
        <v>5254</v>
      </c>
      <c r="I1009" s="768" t="s">
        <v>5255</v>
      </c>
      <c r="J1009" s="800">
        <v>76.05</v>
      </c>
      <c r="K1009" s="801"/>
    </row>
    <row r="1010" spans="1:11" ht="54.95" customHeight="1">
      <c r="A1010" s="767" t="s">
        <v>4611</v>
      </c>
      <c r="B1010" s="767"/>
      <c r="C1010" s="768" t="s">
        <v>5256</v>
      </c>
      <c r="D1010" s="767" t="s">
        <v>1127</v>
      </c>
      <c r="E1010" s="767" t="s">
        <v>5257</v>
      </c>
      <c r="F1010" s="767" t="s">
        <v>3410</v>
      </c>
      <c r="G1010" s="769" t="s">
        <v>108</v>
      </c>
      <c r="H1010" s="768" t="s">
        <v>5258</v>
      </c>
      <c r="I1010" s="768" t="s">
        <v>5259</v>
      </c>
      <c r="J1010" s="800">
        <v>489.85</v>
      </c>
      <c r="K1010" s="801"/>
    </row>
    <row r="1011" spans="1:11" ht="33" customHeight="1">
      <c r="A1011" s="767" t="s">
        <v>4611</v>
      </c>
      <c r="B1011" s="767"/>
      <c r="C1011" s="768" t="s">
        <v>5260</v>
      </c>
      <c r="D1011" s="767" t="s">
        <v>3604</v>
      </c>
      <c r="E1011" s="767" t="s">
        <v>5261</v>
      </c>
      <c r="F1011" s="767" t="s">
        <v>3391</v>
      </c>
      <c r="G1011" s="769" t="s">
        <v>108</v>
      </c>
      <c r="H1011" s="768" t="s">
        <v>4121</v>
      </c>
      <c r="I1011" s="768" t="s">
        <v>5262</v>
      </c>
      <c r="J1011" s="800">
        <v>761.74</v>
      </c>
      <c r="K1011" s="801"/>
    </row>
    <row r="1012" spans="1:11" ht="54.95" customHeight="1">
      <c r="A1012" s="767" t="s">
        <v>4611</v>
      </c>
      <c r="B1012" s="767"/>
      <c r="C1012" s="768" t="s">
        <v>5263</v>
      </c>
      <c r="D1012" s="767" t="s">
        <v>1127</v>
      </c>
      <c r="E1012" s="767" t="s">
        <v>534</v>
      </c>
      <c r="F1012" s="767" t="s">
        <v>3410</v>
      </c>
      <c r="G1012" s="769" t="s">
        <v>108</v>
      </c>
      <c r="H1012" s="768" t="s">
        <v>5264</v>
      </c>
      <c r="I1012" s="768" t="s">
        <v>5265</v>
      </c>
      <c r="J1012" s="800">
        <v>6480.07</v>
      </c>
      <c r="K1012" s="801"/>
    </row>
    <row r="1013" spans="1:11" ht="21.95" customHeight="1">
      <c r="A1013" s="767" t="s">
        <v>4611</v>
      </c>
      <c r="B1013" s="767"/>
      <c r="C1013" s="768" t="s">
        <v>5266</v>
      </c>
      <c r="D1013" s="767" t="s">
        <v>3604</v>
      </c>
      <c r="E1013" s="767" t="s">
        <v>5267</v>
      </c>
      <c r="F1013" s="767" t="s">
        <v>3410</v>
      </c>
      <c r="G1013" s="769" t="s">
        <v>284</v>
      </c>
      <c r="H1013" s="768" t="s">
        <v>5268</v>
      </c>
      <c r="I1013" s="768" t="s">
        <v>5269</v>
      </c>
      <c r="J1013" s="800">
        <v>7045.88</v>
      </c>
      <c r="K1013" s="801"/>
    </row>
    <row r="1014" spans="1:11" ht="21.95" customHeight="1">
      <c r="A1014" s="767" t="s">
        <v>4611</v>
      </c>
      <c r="B1014" s="767"/>
      <c r="C1014" s="768" t="s">
        <v>3703</v>
      </c>
      <c r="D1014" s="767" t="s">
        <v>1127</v>
      </c>
      <c r="E1014" s="767" t="s">
        <v>535</v>
      </c>
      <c r="F1014" s="767" t="s">
        <v>3410</v>
      </c>
      <c r="G1014" s="769" t="s">
        <v>284</v>
      </c>
      <c r="H1014" s="768" t="s">
        <v>5268</v>
      </c>
      <c r="I1014" s="768" t="s">
        <v>4636</v>
      </c>
      <c r="J1014" s="800">
        <v>427.36</v>
      </c>
      <c r="K1014" s="801"/>
    </row>
    <row r="1015" spans="1:11" ht="21.95" customHeight="1">
      <c r="A1015" s="767" t="s">
        <v>4611</v>
      </c>
      <c r="B1015" s="767"/>
      <c r="C1015" s="768" t="s">
        <v>3413</v>
      </c>
      <c r="D1015" s="767" t="s">
        <v>3604</v>
      </c>
      <c r="E1015" s="767" t="s">
        <v>541</v>
      </c>
      <c r="F1015" s="767" t="s">
        <v>3410</v>
      </c>
      <c r="G1015" s="769" t="s">
        <v>94</v>
      </c>
      <c r="H1015" s="768" t="s">
        <v>5270</v>
      </c>
      <c r="I1015" s="768" t="s">
        <v>4625</v>
      </c>
      <c r="J1015" s="800">
        <v>1181.03</v>
      </c>
      <c r="K1015" s="801"/>
    </row>
    <row r="1016" spans="1:11" ht="44.1" customHeight="1">
      <c r="A1016" s="767" t="s">
        <v>4611</v>
      </c>
      <c r="B1016" s="767"/>
      <c r="C1016" s="768" t="s">
        <v>3414</v>
      </c>
      <c r="D1016" s="767" t="s">
        <v>3604</v>
      </c>
      <c r="E1016" s="767" t="s">
        <v>543</v>
      </c>
      <c r="F1016" s="767" t="s">
        <v>3410</v>
      </c>
      <c r="G1016" s="769" t="s">
        <v>94</v>
      </c>
      <c r="H1016" s="768" t="s">
        <v>5271</v>
      </c>
      <c r="I1016" s="768" t="s">
        <v>3675</v>
      </c>
      <c r="J1016" s="800">
        <v>2858.52</v>
      </c>
      <c r="K1016" s="801"/>
    </row>
    <row r="1017" spans="1:11" ht="44.1" customHeight="1">
      <c r="A1017" s="767" t="s">
        <v>4611</v>
      </c>
      <c r="B1017" s="767"/>
      <c r="C1017" s="768" t="s">
        <v>3415</v>
      </c>
      <c r="D1017" s="767" t="s">
        <v>3604</v>
      </c>
      <c r="E1017" s="767" t="s">
        <v>545</v>
      </c>
      <c r="F1017" s="767" t="s">
        <v>3410</v>
      </c>
      <c r="G1017" s="769" t="s">
        <v>94</v>
      </c>
      <c r="H1017" s="768" t="s">
        <v>5272</v>
      </c>
      <c r="I1017" s="768" t="s">
        <v>3681</v>
      </c>
      <c r="J1017" s="800">
        <v>2436.62</v>
      </c>
      <c r="K1017" s="801"/>
    </row>
    <row r="1018" spans="1:11" ht="44.1" customHeight="1">
      <c r="A1018" s="767" t="s">
        <v>4611</v>
      </c>
      <c r="B1018" s="767"/>
      <c r="C1018" s="768" t="s">
        <v>3411</v>
      </c>
      <c r="D1018" s="767" t="s">
        <v>3604</v>
      </c>
      <c r="E1018" s="767" t="s">
        <v>537</v>
      </c>
      <c r="F1018" s="767" t="s">
        <v>3410</v>
      </c>
      <c r="G1018" s="769" t="s">
        <v>94</v>
      </c>
      <c r="H1018" s="768" t="s">
        <v>5273</v>
      </c>
      <c r="I1018" s="768" t="s">
        <v>3687</v>
      </c>
      <c r="J1018" s="800">
        <v>5458.95</v>
      </c>
      <c r="K1018" s="801"/>
    </row>
    <row r="1019" spans="1:11" ht="44.1" customHeight="1">
      <c r="A1019" s="767" t="s">
        <v>4611</v>
      </c>
      <c r="B1019" s="767"/>
      <c r="C1019" s="768" t="s">
        <v>3412</v>
      </c>
      <c r="D1019" s="767" t="s">
        <v>3604</v>
      </c>
      <c r="E1019" s="767" t="s">
        <v>539</v>
      </c>
      <c r="F1019" s="767" t="s">
        <v>3410</v>
      </c>
      <c r="G1019" s="769" t="s">
        <v>94</v>
      </c>
      <c r="H1019" s="768" t="s">
        <v>5274</v>
      </c>
      <c r="I1019" s="768" t="s">
        <v>3692</v>
      </c>
      <c r="J1019" s="800">
        <v>5977.86</v>
      </c>
      <c r="K1019" s="801"/>
    </row>
    <row r="1020" spans="1:11" ht="33" customHeight="1">
      <c r="A1020" s="767" t="s">
        <v>4611</v>
      </c>
      <c r="B1020" s="767"/>
      <c r="C1020" s="768" t="s">
        <v>3462</v>
      </c>
      <c r="D1020" s="767" t="s">
        <v>3604</v>
      </c>
      <c r="E1020" s="767" t="s">
        <v>2688</v>
      </c>
      <c r="F1020" s="767" t="s">
        <v>3410</v>
      </c>
      <c r="G1020" s="769" t="s">
        <v>94</v>
      </c>
      <c r="H1020" s="768" t="s">
        <v>5275</v>
      </c>
      <c r="I1020" s="768" t="s">
        <v>4116</v>
      </c>
      <c r="J1020" s="800">
        <v>1157.53</v>
      </c>
      <c r="K1020" s="801"/>
    </row>
    <row r="1021" spans="1:11" ht="21.95" customHeight="1">
      <c r="A1021" s="767" t="s">
        <v>4611</v>
      </c>
      <c r="B1021" s="767"/>
      <c r="C1021" s="768" t="s">
        <v>5276</v>
      </c>
      <c r="D1021" s="767" t="s">
        <v>1127</v>
      </c>
      <c r="E1021" s="767" t="s">
        <v>647</v>
      </c>
      <c r="F1021" s="767" t="s">
        <v>3410</v>
      </c>
      <c r="G1021" s="769" t="s">
        <v>101</v>
      </c>
      <c r="H1021" s="768" t="s">
        <v>5277</v>
      </c>
      <c r="I1021" s="768" t="s">
        <v>5278</v>
      </c>
      <c r="J1021" s="800">
        <v>5270.46</v>
      </c>
      <c r="K1021" s="801"/>
    </row>
    <row r="1022" spans="1:11" ht="44.1" customHeight="1">
      <c r="A1022" s="767" t="s">
        <v>4611</v>
      </c>
      <c r="B1022" s="767"/>
      <c r="C1022" s="768" t="s">
        <v>5279</v>
      </c>
      <c r="D1022" s="767" t="s">
        <v>1127</v>
      </c>
      <c r="E1022" s="767" t="s">
        <v>5280</v>
      </c>
      <c r="F1022" s="767" t="s">
        <v>3410</v>
      </c>
      <c r="G1022" s="769" t="s">
        <v>108</v>
      </c>
      <c r="H1022" s="768" t="s">
        <v>4123</v>
      </c>
      <c r="I1022" s="768" t="s">
        <v>5281</v>
      </c>
      <c r="J1022" s="800">
        <v>453.26</v>
      </c>
      <c r="K1022" s="801"/>
    </row>
    <row r="1023" spans="1:11" ht="21.95" customHeight="1">
      <c r="A1023" s="767" t="s">
        <v>4611</v>
      </c>
      <c r="B1023" s="767"/>
      <c r="C1023" s="768" t="s">
        <v>5282</v>
      </c>
      <c r="D1023" s="767" t="s">
        <v>1127</v>
      </c>
      <c r="E1023" s="767" t="s">
        <v>5283</v>
      </c>
      <c r="F1023" s="767" t="s">
        <v>3410</v>
      </c>
      <c r="G1023" s="769" t="s">
        <v>284</v>
      </c>
      <c r="H1023" s="768" t="s">
        <v>5284</v>
      </c>
      <c r="I1023" s="768" t="s">
        <v>5285</v>
      </c>
      <c r="J1023" s="800">
        <v>804.14</v>
      </c>
      <c r="K1023" s="801"/>
    </row>
    <row r="1024" spans="1:11" ht="33" customHeight="1">
      <c r="A1024" s="767" t="s">
        <v>4611</v>
      </c>
      <c r="B1024" s="767"/>
      <c r="C1024" s="768" t="s">
        <v>3974</v>
      </c>
      <c r="D1024" s="767" t="s">
        <v>1127</v>
      </c>
      <c r="E1024" s="767" t="s">
        <v>561</v>
      </c>
      <c r="F1024" s="767" t="s">
        <v>3410</v>
      </c>
      <c r="G1024" s="769" t="s">
        <v>284</v>
      </c>
      <c r="H1024" s="768" t="s">
        <v>5284</v>
      </c>
      <c r="I1024" s="768" t="s">
        <v>4891</v>
      </c>
      <c r="J1024" s="800">
        <v>378.47</v>
      </c>
      <c r="K1024" s="801"/>
    </row>
    <row r="1025" spans="1:11" ht="33" customHeight="1">
      <c r="A1025" s="767" t="s">
        <v>4611</v>
      </c>
      <c r="B1025" s="767"/>
      <c r="C1025" s="768" t="s">
        <v>3961</v>
      </c>
      <c r="D1025" s="767" t="s">
        <v>1127</v>
      </c>
      <c r="E1025" s="767" t="s">
        <v>4705</v>
      </c>
      <c r="F1025" s="767" t="s">
        <v>3410</v>
      </c>
      <c r="G1025" s="769" t="s">
        <v>94</v>
      </c>
      <c r="H1025" s="768" t="s">
        <v>4125</v>
      </c>
      <c r="I1025" s="768" t="s">
        <v>3963</v>
      </c>
      <c r="J1025" s="800">
        <v>915.79</v>
      </c>
      <c r="K1025" s="801"/>
    </row>
    <row r="1026" spans="1:11" ht="33" customHeight="1">
      <c r="A1026" s="767" t="s">
        <v>4611</v>
      </c>
      <c r="B1026" s="767"/>
      <c r="C1026" s="768" t="s">
        <v>4128</v>
      </c>
      <c r="D1026" s="767" t="s">
        <v>1127</v>
      </c>
      <c r="E1026" s="767" t="s">
        <v>4959</v>
      </c>
      <c r="F1026" s="767" t="s">
        <v>3410</v>
      </c>
      <c r="G1026" s="769" t="s">
        <v>94</v>
      </c>
      <c r="H1026" s="768" t="s">
        <v>4129</v>
      </c>
      <c r="I1026" s="768" t="s">
        <v>3712</v>
      </c>
      <c r="J1026" s="800">
        <v>362.5</v>
      </c>
      <c r="K1026" s="801"/>
    </row>
    <row r="1027" spans="1:11" ht="44.1" customHeight="1">
      <c r="A1027" s="767" t="s">
        <v>4611</v>
      </c>
      <c r="B1027" s="767"/>
      <c r="C1027" s="768" t="s">
        <v>4126</v>
      </c>
      <c r="D1027" s="767" t="s">
        <v>1127</v>
      </c>
      <c r="E1027" s="767" t="s">
        <v>4958</v>
      </c>
      <c r="F1027" s="767" t="s">
        <v>3410</v>
      </c>
      <c r="G1027" s="769" t="s">
        <v>94</v>
      </c>
      <c r="H1027" s="768" t="s">
        <v>5286</v>
      </c>
      <c r="I1027" s="768" t="s">
        <v>4127</v>
      </c>
      <c r="J1027" s="800">
        <v>2045.84</v>
      </c>
      <c r="K1027" s="801"/>
    </row>
    <row r="1028" spans="1:11" ht="21.95" customHeight="1">
      <c r="A1028" s="767" t="s">
        <v>4611</v>
      </c>
      <c r="B1028" s="767"/>
      <c r="C1028" s="768" t="s">
        <v>5287</v>
      </c>
      <c r="D1028" s="767" t="s">
        <v>1127</v>
      </c>
      <c r="E1028" s="767" t="s">
        <v>560</v>
      </c>
      <c r="F1028" s="767" t="s">
        <v>3410</v>
      </c>
      <c r="G1028" s="769" t="s">
        <v>108</v>
      </c>
      <c r="H1028" s="768" t="s">
        <v>4124</v>
      </c>
      <c r="I1028" s="768" t="s">
        <v>5288</v>
      </c>
      <c r="J1028" s="800">
        <v>1170.6300000000001</v>
      </c>
      <c r="K1028" s="801"/>
    </row>
    <row r="1029" spans="1:11" ht="33" customHeight="1">
      <c r="A1029" s="767" t="s">
        <v>4611</v>
      </c>
      <c r="B1029" s="767"/>
      <c r="C1029" s="768" t="s">
        <v>5289</v>
      </c>
      <c r="D1029" s="767" t="s">
        <v>1127</v>
      </c>
      <c r="E1029" s="767" t="s">
        <v>5290</v>
      </c>
      <c r="F1029" s="767" t="s">
        <v>3410</v>
      </c>
      <c r="G1029" s="769" t="s">
        <v>108</v>
      </c>
      <c r="H1029" s="768" t="s">
        <v>4130</v>
      </c>
      <c r="I1029" s="768" t="s">
        <v>5291</v>
      </c>
      <c r="J1029" s="800">
        <v>1117.42</v>
      </c>
      <c r="K1029" s="801"/>
    </row>
    <row r="1030" spans="1:11" ht="21.95" customHeight="1">
      <c r="A1030" s="767" t="s">
        <v>4611</v>
      </c>
      <c r="B1030" s="767"/>
      <c r="C1030" s="768" t="s">
        <v>3419</v>
      </c>
      <c r="D1030" s="767" t="s">
        <v>3604</v>
      </c>
      <c r="E1030" s="767" t="s">
        <v>606</v>
      </c>
      <c r="F1030" s="767" t="s">
        <v>3410</v>
      </c>
      <c r="G1030" s="769" t="s">
        <v>94</v>
      </c>
      <c r="H1030" s="768" t="s">
        <v>5292</v>
      </c>
      <c r="I1030" s="768" t="s">
        <v>3718</v>
      </c>
      <c r="J1030" s="800">
        <v>2147.75</v>
      </c>
      <c r="K1030" s="801"/>
    </row>
    <row r="1031" spans="1:11" ht="44.1" customHeight="1">
      <c r="A1031" s="767" t="s">
        <v>4611</v>
      </c>
      <c r="B1031" s="767"/>
      <c r="C1031" s="768" t="s">
        <v>3420</v>
      </c>
      <c r="D1031" s="767" t="s">
        <v>3604</v>
      </c>
      <c r="E1031" s="767" t="s">
        <v>608</v>
      </c>
      <c r="F1031" s="767" t="s">
        <v>3410</v>
      </c>
      <c r="G1031" s="769" t="s">
        <v>94</v>
      </c>
      <c r="H1031" s="768" t="s">
        <v>5292</v>
      </c>
      <c r="I1031" s="768" t="s">
        <v>4643</v>
      </c>
      <c r="J1031" s="800">
        <v>692.01</v>
      </c>
      <c r="K1031" s="801"/>
    </row>
    <row r="1032" spans="1:11" ht="44.1" customHeight="1" thickBot="1">
      <c r="A1032" s="767" t="s">
        <v>4611</v>
      </c>
      <c r="B1032" s="767"/>
      <c r="C1032" s="768" t="s">
        <v>4131</v>
      </c>
      <c r="D1032" s="767" t="s">
        <v>1127</v>
      </c>
      <c r="E1032" s="767" t="s">
        <v>2806</v>
      </c>
      <c r="F1032" s="767" t="s">
        <v>3423</v>
      </c>
      <c r="G1032" s="769" t="s">
        <v>108</v>
      </c>
      <c r="H1032" s="768" t="s">
        <v>5293</v>
      </c>
      <c r="I1032" s="768" t="s">
        <v>4132</v>
      </c>
      <c r="J1032" s="800">
        <v>519.54999999999995</v>
      </c>
      <c r="K1032" s="801"/>
    </row>
    <row r="1033" spans="1:11" ht="0.95" customHeight="1" thickTop="1">
      <c r="A1033" s="747"/>
      <c r="B1033" s="747"/>
      <c r="C1033" s="747"/>
      <c r="D1033" s="747"/>
      <c r="E1033" s="747"/>
      <c r="F1033" s="747"/>
      <c r="G1033" s="747"/>
      <c r="H1033" s="747"/>
      <c r="I1033" s="747"/>
      <c r="J1033" s="747"/>
      <c r="K1033" s="747"/>
    </row>
    <row r="1034" spans="1:11" ht="18" customHeight="1">
      <c r="A1034" s="738"/>
      <c r="B1034" s="738" t="s">
        <v>60</v>
      </c>
      <c r="C1034" s="739" t="s">
        <v>3312</v>
      </c>
      <c r="D1034" s="738" t="s">
        <v>3602</v>
      </c>
      <c r="E1034" s="738" t="s">
        <v>3313</v>
      </c>
      <c r="F1034" s="738" t="s">
        <v>3390</v>
      </c>
      <c r="G1034" s="740" t="s">
        <v>70</v>
      </c>
      <c r="H1034" s="739" t="s">
        <v>64</v>
      </c>
      <c r="I1034" s="739" t="s">
        <v>3617</v>
      </c>
      <c r="J1034" s="797" t="s">
        <v>474</v>
      </c>
      <c r="K1034" s="795"/>
    </row>
    <row r="1035" spans="1:11" ht="21.95" customHeight="1">
      <c r="A1035" s="741" t="s">
        <v>4608</v>
      </c>
      <c r="B1035" s="741" t="s">
        <v>4960</v>
      </c>
      <c r="C1035" s="742" t="s">
        <v>4961</v>
      </c>
      <c r="D1035" s="741" t="s">
        <v>3604</v>
      </c>
      <c r="E1035" s="741" t="s">
        <v>3093</v>
      </c>
      <c r="F1035" s="741" t="s">
        <v>3391</v>
      </c>
      <c r="G1035" s="743" t="s">
        <v>57</v>
      </c>
      <c r="H1035" s="742">
        <v>1</v>
      </c>
      <c r="I1035" s="742" t="s">
        <v>4962</v>
      </c>
      <c r="J1035" s="798" t="s">
        <v>4962</v>
      </c>
      <c r="K1035" s="795"/>
    </row>
    <row r="1036" spans="1:11" ht="21.95" customHeight="1">
      <c r="A1036" s="744" t="s">
        <v>4611</v>
      </c>
      <c r="B1036" s="744"/>
      <c r="C1036" s="745" t="s">
        <v>3968</v>
      </c>
      <c r="D1036" s="744" t="s">
        <v>1127</v>
      </c>
      <c r="E1036" s="744" t="s">
        <v>524</v>
      </c>
      <c r="F1036" s="744" t="s">
        <v>3426</v>
      </c>
      <c r="G1036" s="746" t="s">
        <v>284</v>
      </c>
      <c r="H1036" s="745" t="s">
        <v>4133</v>
      </c>
      <c r="I1036" s="745" t="s">
        <v>4888</v>
      </c>
      <c r="J1036" s="796">
        <v>124.07</v>
      </c>
      <c r="K1036" s="795"/>
    </row>
    <row r="1037" spans="1:11" ht="44.1" customHeight="1">
      <c r="A1037" s="744" t="s">
        <v>4611</v>
      </c>
      <c r="B1037" s="744"/>
      <c r="C1037" s="745" t="s">
        <v>3411</v>
      </c>
      <c r="D1037" s="744" t="s">
        <v>3604</v>
      </c>
      <c r="E1037" s="744" t="s">
        <v>537</v>
      </c>
      <c r="F1037" s="744" t="s">
        <v>3410</v>
      </c>
      <c r="G1037" s="746" t="s">
        <v>94</v>
      </c>
      <c r="H1037" s="745" t="s">
        <v>4134</v>
      </c>
      <c r="I1037" s="745" t="s">
        <v>3687</v>
      </c>
      <c r="J1037" s="796">
        <v>237.52</v>
      </c>
      <c r="K1037" s="795"/>
    </row>
    <row r="1038" spans="1:11" ht="44.1" customHeight="1">
      <c r="A1038" s="744" t="s">
        <v>4611</v>
      </c>
      <c r="B1038" s="744"/>
      <c r="C1038" s="745" t="s">
        <v>3413</v>
      </c>
      <c r="D1038" s="744" t="s">
        <v>3604</v>
      </c>
      <c r="E1038" s="744" t="s">
        <v>541</v>
      </c>
      <c r="F1038" s="744" t="s">
        <v>3410</v>
      </c>
      <c r="G1038" s="746" t="s">
        <v>94</v>
      </c>
      <c r="H1038" s="745" t="s">
        <v>4135</v>
      </c>
      <c r="I1038" s="745" t="s">
        <v>4625</v>
      </c>
      <c r="J1038" s="796">
        <v>93.46</v>
      </c>
      <c r="K1038" s="795"/>
    </row>
    <row r="1039" spans="1:11" ht="33" customHeight="1">
      <c r="A1039" s="744" t="s">
        <v>4611</v>
      </c>
      <c r="B1039" s="744"/>
      <c r="C1039" s="745" t="s">
        <v>4105</v>
      </c>
      <c r="D1039" s="744" t="s">
        <v>1127</v>
      </c>
      <c r="E1039" s="744" t="s">
        <v>4106</v>
      </c>
      <c r="F1039" s="744" t="s">
        <v>3410</v>
      </c>
      <c r="G1039" s="746" t="s">
        <v>284</v>
      </c>
      <c r="H1039" s="745" t="s">
        <v>4133</v>
      </c>
      <c r="I1039" s="745" t="s">
        <v>4953</v>
      </c>
      <c r="J1039" s="796">
        <v>679.6</v>
      </c>
      <c r="K1039" s="795"/>
    </row>
    <row r="1040" spans="1:11" ht="21.95" customHeight="1">
      <c r="A1040" s="744" t="s">
        <v>4611</v>
      </c>
      <c r="B1040" s="744"/>
      <c r="C1040" s="745" t="s">
        <v>4107</v>
      </c>
      <c r="D1040" s="744" t="s">
        <v>1127</v>
      </c>
      <c r="E1040" s="744" t="s">
        <v>2023</v>
      </c>
      <c r="F1040" s="744" t="s">
        <v>3410</v>
      </c>
      <c r="G1040" s="746" t="s">
        <v>284</v>
      </c>
      <c r="H1040" s="745" t="s">
        <v>4133</v>
      </c>
      <c r="I1040" s="745" t="s">
        <v>4954</v>
      </c>
      <c r="J1040" s="796">
        <v>206.45</v>
      </c>
      <c r="K1040" s="795"/>
    </row>
    <row r="1041" spans="1:11" ht="21.95" customHeight="1" thickBot="1">
      <c r="A1041" s="748" t="s">
        <v>4616</v>
      </c>
      <c r="B1041" s="748"/>
      <c r="C1041" s="749" t="s">
        <v>4963</v>
      </c>
      <c r="D1041" s="748" t="s">
        <v>3604</v>
      </c>
      <c r="E1041" s="748" t="s">
        <v>4557</v>
      </c>
      <c r="F1041" s="748" t="s">
        <v>1187</v>
      </c>
      <c r="G1041" s="750" t="s">
        <v>57</v>
      </c>
      <c r="H1041" s="749" t="s">
        <v>3610</v>
      </c>
      <c r="I1041" s="749" t="s">
        <v>4964</v>
      </c>
      <c r="J1041" s="794">
        <v>11300</v>
      </c>
      <c r="K1041" s="795"/>
    </row>
    <row r="1042" spans="1:11" ht="0.95" customHeight="1" thickTop="1">
      <c r="A1042" s="747"/>
      <c r="B1042" s="747"/>
      <c r="C1042" s="747"/>
      <c r="D1042" s="747"/>
      <c r="E1042" s="747"/>
      <c r="F1042" s="747"/>
      <c r="G1042" s="747"/>
      <c r="H1042" s="747"/>
      <c r="I1042" s="747"/>
      <c r="J1042" s="747"/>
      <c r="K1042" s="747"/>
    </row>
    <row r="1043" spans="1:11" ht="18" customHeight="1">
      <c r="A1043" s="738"/>
      <c r="B1043" s="738" t="s">
        <v>60</v>
      </c>
      <c r="C1043" s="739" t="s">
        <v>3312</v>
      </c>
      <c r="D1043" s="738" t="s">
        <v>3602</v>
      </c>
      <c r="E1043" s="738" t="s">
        <v>3313</v>
      </c>
      <c r="F1043" s="738" t="s">
        <v>3390</v>
      </c>
      <c r="G1043" s="740" t="s">
        <v>70</v>
      </c>
      <c r="H1043" s="739" t="s">
        <v>64</v>
      </c>
      <c r="I1043" s="739" t="s">
        <v>3617</v>
      </c>
      <c r="J1043" s="797" t="s">
        <v>474</v>
      </c>
      <c r="K1043" s="795"/>
    </row>
    <row r="1044" spans="1:11" ht="21.95" customHeight="1">
      <c r="A1044" s="741" t="s">
        <v>4608</v>
      </c>
      <c r="B1044" s="741" t="s">
        <v>4965</v>
      </c>
      <c r="C1044" s="742" t="s">
        <v>3477</v>
      </c>
      <c r="D1044" s="741" t="s">
        <v>3604</v>
      </c>
      <c r="E1044" s="741" t="s">
        <v>2022</v>
      </c>
      <c r="F1044" s="741" t="s">
        <v>3391</v>
      </c>
      <c r="G1044" s="743" t="s">
        <v>57</v>
      </c>
      <c r="H1044" s="742">
        <v>1</v>
      </c>
      <c r="I1044" s="742" t="s">
        <v>4966</v>
      </c>
      <c r="J1044" s="798" t="s">
        <v>4966</v>
      </c>
      <c r="K1044" s="795"/>
    </row>
    <row r="1045" spans="1:11" ht="21.95" customHeight="1">
      <c r="A1045" s="744" t="s">
        <v>4611</v>
      </c>
      <c r="B1045" s="744"/>
      <c r="C1045" s="745" t="s">
        <v>3968</v>
      </c>
      <c r="D1045" s="744" t="s">
        <v>1127</v>
      </c>
      <c r="E1045" s="744" t="s">
        <v>524</v>
      </c>
      <c r="F1045" s="744" t="s">
        <v>3426</v>
      </c>
      <c r="G1045" s="746" t="s">
        <v>284</v>
      </c>
      <c r="H1045" s="745" t="s">
        <v>4133</v>
      </c>
      <c r="I1045" s="745" t="s">
        <v>4888</v>
      </c>
      <c r="J1045" s="796">
        <v>124.07</v>
      </c>
      <c r="K1045" s="795"/>
    </row>
    <row r="1046" spans="1:11" ht="33" customHeight="1">
      <c r="A1046" s="744" t="s">
        <v>4611</v>
      </c>
      <c r="B1046" s="744"/>
      <c r="C1046" s="745" t="s">
        <v>4105</v>
      </c>
      <c r="D1046" s="744" t="s">
        <v>1127</v>
      </c>
      <c r="E1046" s="744" t="s">
        <v>4106</v>
      </c>
      <c r="F1046" s="744" t="s">
        <v>3410</v>
      </c>
      <c r="G1046" s="746" t="s">
        <v>284</v>
      </c>
      <c r="H1046" s="745" t="s">
        <v>4133</v>
      </c>
      <c r="I1046" s="745" t="s">
        <v>4953</v>
      </c>
      <c r="J1046" s="796">
        <v>679.6</v>
      </c>
      <c r="K1046" s="795"/>
    </row>
    <row r="1047" spans="1:11" ht="21.95" customHeight="1">
      <c r="A1047" s="744" t="s">
        <v>4611</v>
      </c>
      <c r="B1047" s="744"/>
      <c r="C1047" s="745" t="s">
        <v>4107</v>
      </c>
      <c r="D1047" s="744" t="s">
        <v>1127</v>
      </c>
      <c r="E1047" s="744" t="s">
        <v>2023</v>
      </c>
      <c r="F1047" s="744" t="s">
        <v>3410</v>
      </c>
      <c r="G1047" s="746" t="s">
        <v>284</v>
      </c>
      <c r="H1047" s="745" t="s">
        <v>4133</v>
      </c>
      <c r="I1047" s="745" t="s">
        <v>4954</v>
      </c>
      <c r="J1047" s="796">
        <v>206.45</v>
      </c>
      <c r="K1047" s="795"/>
    </row>
    <row r="1048" spans="1:11" ht="54.95" customHeight="1">
      <c r="A1048" s="744" t="s">
        <v>4611</v>
      </c>
      <c r="B1048" s="744"/>
      <c r="C1048" s="745" t="s">
        <v>4967</v>
      </c>
      <c r="D1048" s="744" t="s">
        <v>1127</v>
      </c>
      <c r="E1048" s="744" t="s">
        <v>4968</v>
      </c>
      <c r="F1048" s="744" t="s">
        <v>3410</v>
      </c>
      <c r="G1048" s="746" t="s">
        <v>94</v>
      </c>
      <c r="H1048" s="745" t="s">
        <v>4135</v>
      </c>
      <c r="I1048" s="745" t="s">
        <v>4625</v>
      </c>
      <c r="J1048" s="796">
        <v>93.46</v>
      </c>
      <c r="K1048" s="795"/>
    </row>
    <row r="1049" spans="1:11" ht="54.95" customHeight="1">
      <c r="A1049" s="744" t="s">
        <v>4611</v>
      </c>
      <c r="B1049" s="744"/>
      <c r="C1049" s="745" t="s">
        <v>4969</v>
      </c>
      <c r="D1049" s="744" t="s">
        <v>1127</v>
      </c>
      <c r="E1049" s="744" t="s">
        <v>4970</v>
      </c>
      <c r="F1049" s="744" t="s">
        <v>3410</v>
      </c>
      <c r="G1049" s="746" t="s">
        <v>94</v>
      </c>
      <c r="H1049" s="745" t="s">
        <v>4134</v>
      </c>
      <c r="I1049" s="745" t="s">
        <v>4971</v>
      </c>
      <c r="J1049" s="796">
        <v>239.41</v>
      </c>
      <c r="K1049" s="795"/>
    </row>
    <row r="1050" spans="1:11" ht="21.95" customHeight="1" thickBot="1">
      <c r="A1050" s="748" t="s">
        <v>4616</v>
      </c>
      <c r="B1050" s="748"/>
      <c r="C1050" s="749" t="s">
        <v>4136</v>
      </c>
      <c r="D1050" s="748" t="s">
        <v>3604</v>
      </c>
      <c r="E1050" s="748" t="s">
        <v>3342</v>
      </c>
      <c r="F1050" s="748" t="s">
        <v>1187</v>
      </c>
      <c r="G1050" s="750" t="s">
        <v>57</v>
      </c>
      <c r="H1050" s="749" t="s">
        <v>3610</v>
      </c>
      <c r="I1050" s="749" t="s">
        <v>4137</v>
      </c>
      <c r="J1050" s="794">
        <v>16900</v>
      </c>
      <c r="K1050" s="795"/>
    </row>
    <row r="1051" spans="1:11" ht="0.95" customHeight="1" thickTop="1">
      <c r="A1051" s="747"/>
      <c r="B1051" s="747"/>
      <c r="C1051" s="747"/>
      <c r="D1051" s="747"/>
      <c r="E1051" s="747"/>
      <c r="F1051" s="747"/>
      <c r="G1051" s="747"/>
      <c r="H1051" s="747"/>
      <c r="I1051" s="747"/>
      <c r="J1051" s="747"/>
      <c r="K1051" s="747"/>
    </row>
    <row r="1052" spans="1:11" ht="18" customHeight="1">
      <c r="A1052" s="738"/>
      <c r="B1052" s="738" t="s">
        <v>60</v>
      </c>
      <c r="C1052" s="739" t="s">
        <v>3312</v>
      </c>
      <c r="D1052" s="738" t="s">
        <v>3602</v>
      </c>
      <c r="E1052" s="738" t="s">
        <v>3313</v>
      </c>
      <c r="F1052" s="738" t="s">
        <v>3390</v>
      </c>
      <c r="G1052" s="740" t="s">
        <v>70</v>
      </c>
      <c r="H1052" s="739" t="s">
        <v>64</v>
      </c>
      <c r="I1052" s="739" t="s">
        <v>3617</v>
      </c>
      <c r="J1052" s="797" t="s">
        <v>474</v>
      </c>
      <c r="K1052" s="795"/>
    </row>
    <row r="1053" spans="1:11" ht="21.95" customHeight="1">
      <c r="A1053" s="741" t="s">
        <v>4608</v>
      </c>
      <c r="B1053" s="741" t="s">
        <v>4972</v>
      </c>
      <c r="C1053" s="742" t="s">
        <v>3494</v>
      </c>
      <c r="D1053" s="741" t="s">
        <v>3604</v>
      </c>
      <c r="E1053" s="741" t="s">
        <v>832</v>
      </c>
      <c r="F1053" s="741" t="s">
        <v>3430</v>
      </c>
      <c r="G1053" s="743" t="s">
        <v>57</v>
      </c>
      <c r="H1053" s="742">
        <v>1</v>
      </c>
      <c r="I1053" s="742" t="s">
        <v>4138</v>
      </c>
      <c r="J1053" s="798" t="s">
        <v>4138</v>
      </c>
      <c r="K1053" s="795"/>
    </row>
    <row r="1054" spans="1:11" ht="21.95" customHeight="1">
      <c r="A1054" s="744" t="s">
        <v>4611</v>
      </c>
      <c r="B1054" s="744"/>
      <c r="C1054" s="745" t="s">
        <v>3631</v>
      </c>
      <c r="D1054" s="744" t="s">
        <v>1127</v>
      </c>
      <c r="E1054" s="744" t="s">
        <v>1145</v>
      </c>
      <c r="F1054" s="744" t="s">
        <v>3430</v>
      </c>
      <c r="G1054" s="746" t="s">
        <v>1129</v>
      </c>
      <c r="H1054" s="745" t="s">
        <v>3784</v>
      </c>
      <c r="I1054" s="745" t="s">
        <v>3632</v>
      </c>
      <c r="J1054" s="796">
        <v>10.24</v>
      </c>
      <c r="K1054" s="795"/>
    </row>
    <row r="1055" spans="1:11" ht="21.95" customHeight="1" thickBot="1">
      <c r="A1055" s="748" t="s">
        <v>4616</v>
      </c>
      <c r="B1055" s="748"/>
      <c r="C1055" s="749" t="s">
        <v>4139</v>
      </c>
      <c r="D1055" s="748" t="s">
        <v>1127</v>
      </c>
      <c r="E1055" s="748" t="s">
        <v>832</v>
      </c>
      <c r="F1055" s="748" t="s">
        <v>1187</v>
      </c>
      <c r="G1055" s="750" t="s">
        <v>57</v>
      </c>
      <c r="H1055" s="749" t="s">
        <v>3610</v>
      </c>
      <c r="I1055" s="749" t="s">
        <v>4140</v>
      </c>
      <c r="J1055" s="794">
        <v>37.840000000000003</v>
      </c>
      <c r="K1055" s="795"/>
    </row>
    <row r="1056" spans="1:11" ht="0.95" customHeight="1" thickTop="1">
      <c r="A1056" s="747"/>
      <c r="B1056" s="747"/>
      <c r="C1056" s="747"/>
      <c r="D1056" s="747"/>
      <c r="E1056" s="747"/>
      <c r="F1056" s="747"/>
      <c r="G1056" s="747"/>
      <c r="H1056" s="747"/>
      <c r="I1056" s="747"/>
      <c r="J1056" s="747"/>
      <c r="K1056" s="747"/>
    </row>
    <row r="1057" spans="1:11" ht="18" customHeight="1">
      <c r="A1057" s="738"/>
      <c r="B1057" s="738" t="s">
        <v>60</v>
      </c>
      <c r="C1057" s="739" t="s">
        <v>3312</v>
      </c>
      <c r="D1057" s="738" t="s">
        <v>3602</v>
      </c>
      <c r="E1057" s="738" t="s">
        <v>3313</v>
      </c>
      <c r="F1057" s="738" t="s">
        <v>3390</v>
      </c>
      <c r="G1057" s="740" t="s">
        <v>70</v>
      </c>
      <c r="H1057" s="739" t="s">
        <v>64</v>
      </c>
      <c r="I1057" s="739" t="s">
        <v>3617</v>
      </c>
      <c r="J1057" s="797" t="s">
        <v>474</v>
      </c>
      <c r="K1057" s="795"/>
    </row>
    <row r="1058" spans="1:11" ht="21.95" customHeight="1">
      <c r="A1058" s="741" t="s">
        <v>4608</v>
      </c>
      <c r="B1058" s="741" t="s">
        <v>4973</v>
      </c>
      <c r="C1058" s="742" t="s">
        <v>3494</v>
      </c>
      <c r="D1058" s="741" t="s">
        <v>3604</v>
      </c>
      <c r="E1058" s="741" t="s">
        <v>832</v>
      </c>
      <c r="F1058" s="741" t="s">
        <v>3430</v>
      </c>
      <c r="G1058" s="743" t="s">
        <v>57</v>
      </c>
      <c r="H1058" s="742">
        <v>1</v>
      </c>
      <c r="I1058" s="742" t="s">
        <v>4138</v>
      </c>
      <c r="J1058" s="798" t="s">
        <v>4138</v>
      </c>
      <c r="K1058" s="795"/>
    </row>
    <row r="1059" spans="1:11" ht="21.95" customHeight="1">
      <c r="A1059" s="744" t="s">
        <v>4611</v>
      </c>
      <c r="B1059" s="744"/>
      <c r="C1059" s="745" t="s">
        <v>3631</v>
      </c>
      <c r="D1059" s="744" t="s">
        <v>1127</v>
      </c>
      <c r="E1059" s="744" t="s">
        <v>1145</v>
      </c>
      <c r="F1059" s="744" t="s">
        <v>3430</v>
      </c>
      <c r="G1059" s="746" t="s">
        <v>1129</v>
      </c>
      <c r="H1059" s="745" t="s">
        <v>3784</v>
      </c>
      <c r="I1059" s="745" t="s">
        <v>3632</v>
      </c>
      <c r="J1059" s="796">
        <v>10.24</v>
      </c>
      <c r="K1059" s="795"/>
    </row>
    <row r="1060" spans="1:11" ht="21.95" customHeight="1" thickBot="1">
      <c r="A1060" s="748" t="s">
        <v>4616</v>
      </c>
      <c r="B1060" s="748"/>
      <c r="C1060" s="749" t="s">
        <v>4139</v>
      </c>
      <c r="D1060" s="748" t="s">
        <v>1127</v>
      </c>
      <c r="E1060" s="748" t="s">
        <v>832</v>
      </c>
      <c r="F1060" s="748" t="s">
        <v>1187</v>
      </c>
      <c r="G1060" s="750" t="s">
        <v>57</v>
      </c>
      <c r="H1060" s="749" t="s">
        <v>3610</v>
      </c>
      <c r="I1060" s="749" t="s">
        <v>4140</v>
      </c>
      <c r="J1060" s="794">
        <v>37.840000000000003</v>
      </c>
      <c r="K1060" s="795"/>
    </row>
    <row r="1061" spans="1:11" ht="0.95" customHeight="1" thickTop="1">
      <c r="A1061" s="747"/>
      <c r="B1061" s="747"/>
      <c r="C1061" s="747"/>
      <c r="D1061" s="747"/>
      <c r="E1061" s="747"/>
      <c r="F1061" s="747"/>
      <c r="G1061" s="747"/>
      <c r="H1061" s="747"/>
      <c r="I1061" s="747"/>
      <c r="J1061" s="747"/>
      <c r="K1061" s="747"/>
    </row>
    <row r="1062" spans="1:11" ht="18" customHeight="1">
      <c r="A1062" s="738"/>
      <c r="B1062" s="738" t="s">
        <v>60</v>
      </c>
      <c r="C1062" s="739" t="s">
        <v>3312</v>
      </c>
      <c r="D1062" s="738" t="s">
        <v>3602</v>
      </c>
      <c r="E1062" s="738" t="s">
        <v>3313</v>
      </c>
      <c r="F1062" s="738" t="s">
        <v>3390</v>
      </c>
      <c r="G1062" s="740" t="s">
        <v>70</v>
      </c>
      <c r="H1062" s="739" t="s">
        <v>64</v>
      </c>
      <c r="I1062" s="739" t="s">
        <v>3617</v>
      </c>
      <c r="J1062" s="797" t="s">
        <v>474</v>
      </c>
      <c r="K1062" s="795"/>
    </row>
    <row r="1063" spans="1:11" ht="21.95" customHeight="1">
      <c r="A1063" s="741" t="s">
        <v>4608</v>
      </c>
      <c r="B1063" s="741" t="s">
        <v>4974</v>
      </c>
      <c r="C1063" s="742" t="s">
        <v>3494</v>
      </c>
      <c r="D1063" s="741" t="s">
        <v>3604</v>
      </c>
      <c r="E1063" s="741" t="s">
        <v>832</v>
      </c>
      <c r="F1063" s="741" t="s">
        <v>3430</v>
      </c>
      <c r="G1063" s="743" t="s">
        <v>57</v>
      </c>
      <c r="H1063" s="742">
        <v>1</v>
      </c>
      <c r="I1063" s="742" t="s">
        <v>4138</v>
      </c>
      <c r="J1063" s="798" t="s">
        <v>4138</v>
      </c>
      <c r="K1063" s="795"/>
    </row>
    <row r="1064" spans="1:11" ht="21.95" customHeight="1">
      <c r="A1064" s="744" t="s">
        <v>4611</v>
      </c>
      <c r="B1064" s="744"/>
      <c r="C1064" s="745" t="s">
        <v>3631</v>
      </c>
      <c r="D1064" s="744" t="s">
        <v>1127</v>
      </c>
      <c r="E1064" s="744" t="s">
        <v>1145</v>
      </c>
      <c r="F1064" s="744" t="s">
        <v>3430</v>
      </c>
      <c r="G1064" s="746" t="s">
        <v>1129</v>
      </c>
      <c r="H1064" s="745" t="s">
        <v>3784</v>
      </c>
      <c r="I1064" s="745" t="s">
        <v>3632</v>
      </c>
      <c r="J1064" s="796">
        <v>10.24</v>
      </c>
      <c r="K1064" s="795"/>
    </row>
    <row r="1065" spans="1:11" ht="21.95" customHeight="1" thickBot="1">
      <c r="A1065" s="748" t="s">
        <v>4616</v>
      </c>
      <c r="B1065" s="748"/>
      <c r="C1065" s="749" t="s">
        <v>4139</v>
      </c>
      <c r="D1065" s="748" t="s">
        <v>1127</v>
      </c>
      <c r="E1065" s="748" t="s">
        <v>832</v>
      </c>
      <c r="F1065" s="748" t="s">
        <v>1187</v>
      </c>
      <c r="G1065" s="750" t="s">
        <v>57</v>
      </c>
      <c r="H1065" s="749" t="s">
        <v>3610</v>
      </c>
      <c r="I1065" s="749" t="s">
        <v>4140</v>
      </c>
      <c r="J1065" s="794">
        <v>37.840000000000003</v>
      </c>
      <c r="K1065" s="795"/>
    </row>
    <row r="1066" spans="1:11" ht="0.95" customHeight="1" thickTop="1">
      <c r="A1066" s="747"/>
      <c r="B1066" s="747"/>
      <c r="C1066" s="747"/>
      <c r="D1066" s="747"/>
      <c r="E1066" s="747"/>
      <c r="F1066" s="747"/>
      <c r="G1066" s="747"/>
      <c r="H1066" s="747"/>
      <c r="I1066" s="747"/>
      <c r="J1066" s="747"/>
      <c r="K1066" s="747"/>
    </row>
    <row r="1067" spans="1:11" ht="18" customHeight="1">
      <c r="A1067" s="738"/>
      <c r="B1067" s="738" t="s">
        <v>60</v>
      </c>
      <c r="C1067" s="739" t="s">
        <v>3312</v>
      </c>
      <c r="D1067" s="738" t="s">
        <v>3602</v>
      </c>
      <c r="E1067" s="738" t="s">
        <v>3313</v>
      </c>
      <c r="F1067" s="738" t="s">
        <v>3390</v>
      </c>
      <c r="G1067" s="740" t="s">
        <v>70</v>
      </c>
      <c r="H1067" s="739" t="s">
        <v>64</v>
      </c>
      <c r="I1067" s="739" t="s">
        <v>3617</v>
      </c>
      <c r="J1067" s="797" t="s">
        <v>474</v>
      </c>
      <c r="K1067" s="795"/>
    </row>
    <row r="1068" spans="1:11" ht="21.95" customHeight="1">
      <c r="A1068" s="741" t="s">
        <v>4608</v>
      </c>
      <c r="B1068" s="741" t="s">
        <v>4975</v>
      </c>
      <c r="C1068" s="742" t="s">
        <v>3467</v>
      </c>
      <c r="D1068" s="741" t="s">
        <v>3604</v>
      </c>
      <c r="E1068" s="741" t="s">
        <v>870</v>
      </c>
      <c r="F1068" s="741" t="s">
        <v>3391</v>
      </c>
      <c r="G1068" s="743" t="s">
        <v>57</v>
      </c>
      <c r="H1068" s="742">
        <v>1</v>
      </c>
      <c r="I1068" s="742" t="s">
        <v>4976</v>
      </c>
      <c r="J1068" s="798" t="s">
        <v>4976</v>
      </c>
      <c r="K1068" s="795"/>
    </row>
    <row r="1069" spans="1:11" ht="21.95" customHeight="1">
      <c r="A1069" s="744" t="s">
        <v>4611</v>
      </c>
      <c r="B1069" s="744"/>
      <c r="C1069" s="745" t="s">
        <v>3625</v>
      </c>
      <c r="D1069" s="744" t="s">
        <v>1127</v>
      </c>
      <c r="E1069" s="744" t="s">
        <v>1296</v>
      </c>
      <c r="F1069" s="744" t="s">
        <v>3430</v>
      </c>
      <c r="G1069" s="746" t="s">
        <v>1129</v>
      </c>
      <c r="H1069" s="745" t="s">
        <v>3626</v>
      </c>
      <c r="I1069" s="745" t="s">
        <v>3627</v>
      </c>
      <c r="J1069" s="796">
        <v>57</v>
      </c>
      <c r="K1069" s="795"/>
    </row>
    <row r="1070" spans="1:11" ht="21.95" customHeight="1">
      <c r="A1070" s="744" t="s">
        <v>4611</v>
      </c>
      <c r="B1070" s="744"/>
      <c r="C1070" s="745" t="s">
        <v>3628</v>
      </c>
      <c r="D1070" s="744" t="s">
        <v>1127</v>
      </c>
      <c r="E1070" s="744" t="s">
        <v>1286</v>
      </c>
      <c r="F1070" s="744" t="s">
        <v>3430</v>
      </c>
      <c r="G1070" s="746" t="s">
        <v>1129</v>
      </c>
      <c r="H1070" s="745" t="s">
        <v>3626</v>
      </c>
      <c r="I1070" s="745" t="s">
        <v>3630</v>
      </c>
      <c r="J1070" s="796">
        <v>69.92</v>
      </c>
      <c r="K1070" s="795"/>
    </row>
    <row r="1071" spans="1:11" ht="21.95" customHeight="1">
      <c r="A1071" s="748" t="s">
        <v>4616</v>
      </c>
      <c r="B1071" s="748"/>
      <c r="C1071" s="749" t="s">
        <v>4098</v>
      </c>
      <c r="D1071" s="748" t="s">
        <v>1127</v>
      </c>
      <c r="E1071" s="748" t="s">
        <v>1302</v>
      </c>
      <c r="F1071" s="748" t="s">
        <v>1187</v>
      </c>
      <c r="G1071" s="750" t="s">
        <v>57</v>
      </c>
      <c r="H1071" s="749" t="s">
        <v>4141</v>
      </c>
      <c r="I1071" s="749" t="s">
        <v>4100</v>
      </c>
      <c r="J1071" s="794">
        <v>0.51</v>
      </c>
      <c r="K1071" s="795"/>
    </row>
    <row r="1072" spans="1:11" ht="21.95" customHeight="1">
      <c r="A1072" s="748" t="s">
        <v>4616</v>
      </c>
      <c r="B1072" s="748"/>
      <c r="C1072" s="749" t="s">
        <v>4142</v>
      </c>
      <c r="D1072" s="748" t="s">
        <v>1127</v>
      </c>
      <c r="E1072" s="748" t="s">
        <v>1303</v>
      </c>
      <c r="F1072" s="748" t="s">
        <v>1187</v>
      </c>
      <c r="G1072" s="750" t="s">
        <v>57</v>
      </c>
      <c r="H1072" s="749" t="s">
        <v>3714</v>
      </c>
      <c r="I1072" s="749" t="s">
        <v>4143</v>
      </c>
      <c r="J1072" s="794">
        <v>322.39999999999998</v>
      </c>
      <c r="K1072" s="795"/>
    </row>
    <row r="1073" spans="1:11" ht="33" customHeight="1" thickBot="1">
      <c r="A1073" s="748" t="s">
        <v>4616</v>
      </c>
      <c r="B1073" s="748"/>
      <c r="C1073" s="749" t="s">
        <v>4144</v>
      </c>
      <c r="D1073" s="748" t="s">
        <v>1127</v>
      </c>
      <c r="E1073" s="748" t="s">
        <v>4977</v>
      </c>
      <c r="F1073" s="748" t="s">
        <v>1187</v>
      </c>
      <c r="G1073" s="750" t="s">
        <v>57</v>
      </c>
      <c r="H1073" s="749" t="s">
        <v>3610</v>
      </c>
      <c r="I1073" s="749" t="s">
        <v>4145</v>
      </c>
      <c r="J1073" s="794">
        <v>426.94</v>
      </c>
      <c r="K1073" s="795"/>
    </row>
    <row r="1074" spans="1:11" ht="0.95" customHeight="1" thickTop="1">
      <c r="A1074" s="747"/>
      <c r="B1074" s="747"/>
      <c r="C1074" s="747"/>
      <c r="D1074" s="747"/>
      <c r="E1074" s="747"/>
      <c r="F1074" s="747"/>
      <c r="G1074" s="747"/>
      <c r="H1074" s="747"/>
      <c r="I1074" s="747"/>
      <c r="J1074" s="747"/>
      <c r="K1074" s="747"/>
    </row>
    <row r="1075" spans="1:11" ht="18" customHeight="1">
      <c r="A1075" s="738"/>
      <c r="B1075" s="738" t="s">
        <v>60</v>
      </c>
      <c r="C1075" s="739" t="s">
        <v>3312</v>
      </c>
      <c r="D1075" s="738" t="s">
        <v>3602</v>
      </c>
      <c r="E1075" s="738" t="s">
        <v>3313</v>
      </c>
      <c r="F1075" s="738" t="s">
        <v>3390</v>
      </c>
      <c r="G1075" s="740" t="s">
        <v>70</v>
      </c>
      <c r="H1075" s="739" t="s">
        <v>64</v>
      </c>
      <c r="I1075" s="739" t="s">
        <v>3617</v>
      </c>
      <c r="J1075" s="797" t="s">
        <v>474</v>
      </c>
      <c r="K1075" s="795"/>
    </row>
    <row r="1076" spans="1:11" ht="33" customHeight="1">
      <c r="A1076" s="741" t="s">
        <v>4608</v>
      </c>
      <c r="B1076" s="741" t="s">
        <v>4978</v>
      </c>
      <c r="C1076" s="742" t="s">
        <v>3508</v>
      </c>
      <c r="D1076" s="741" t="s">
        <v>3604</v>
      </c>
      <c r="E1076" s="741" t="s">
        <v>871</v>
      </c>
      <c r="F1076" s="741" t="s">
        <v>3430</v>
      </c>
      <c r="G1076" s="743" t="s">
        <v>57</v>
      </c>
      <c r="H1076" s="742">
        <v>1</v>
      </c>
      <c r="I1076" s="742" t="s">
        <v>4146</v>
      </c>
      <c r="J1076" s="798" t="s">
        <v>4146</v>
      </c>
      <c r="K1076" s="795"/>
    </row>
    <row r="1077" spans="1:11" ht="21.95" customHeight="1">
      <c r="A1077" s="744" t="s">
        <v>4611</v>
      </c>
      <c r="B1077" s="744"/>
      <c r="C1077" s="745" t="s">
        <v>3628</v>
      </c>
      <c r="D1077" s="744" t="s">
        <v>1127</v>
      </c>
      <c r="E1077" s="744" t="s">
        <v>1286</v>
      </c>
      <c r="F1077" s="744" t="s">
        <v>3430</v>
      </c>
      <c r="G1077" s="746" t="s">
        <v>1129</v>
      </c>
      <c r="H1077" s="745" t="s">
        <v>3610</v>
      </c>
      <c r="I1077" s="745" t="s">
        <v>3630</v>
      </c>
      <c r="J1077" s="796">
        <v>17.48</v>
      </c>
      <c r="K1077" s="795"/>
    </row>
    <row r="1078" spans="1:11" ht="21.95" customHeight="1">
      <c r="A1078" s="748" t="s">
        <v>4616</v>
      </c>
      <c r="B1078" s="748"/>
      <c r="C1078" s="749" t="s">
        <v>4098</v>
      </c>
      <c r="D1078" s="748" t="s">
        <v>1127</v>
      </c>
      <c r="E1078" s="748" t="s">
        <v>1302</v>
      </c>
      <c r="F1078" s="748" t="s">
        <v>1187</v>
      </c>
      <c r="G1078" s="750" t="s">
        <v>57</v>
      </c>
      <c r="H1078" s="749" t="s">
        <v>3711</v>
      </c>
      <c r="I1078" s="749" t="s">
        <v>4100</v>
      </c>
      <c r="J1078" s="794">
        <v>0.2</v>
      </c>
      <c r="K1078" s="795"/>
    </row>
    <row r="1079" spans="1:11" ht="33" customHeight="1" thickBot="1">
      <c r="A1079" s="748" t="s">
        <v>4616</v>
      </c>
      <c r="B1079" s="748"/>
      <c r="C1079" s="749" t="s">
        <v>4147</v>
      </c>
      <c r="D1079" s="748" t="s">
        <v>3604</v>
      </c>
      <c r="E1079" s="748" t="s">
        <v>4148</v>
      </c>
      <c r="F1079" s="748" t="s">
        <v>1187</v>
      </c>
      <c r="G1079" s="750" t="s">
        <v>57</v>
      </c>
      <c r="H1079" s="749" t="s">
        <v>3610</v>
      </c>
      <c r="I1079" s="749" t="s">
        <v>4149</v>
      </c>
      <c r="J1079" s="794">
        <v>1630</v>
      </c>
      <c r="K1079" s="795"/>
    </row>
    <row r="1080" spans="1:11" ht="0.95" customHeight="1" thickTop="1">
      <c r="A1080" s="747"/>
      <c r="B1080" s="747"/>
      <c r="C1080" s="747"/>
      <c r="D1080" s="747"/>
      <c r="E1080" s="747"/>
      <c r="F1080" s="747"/>
      <c r="G1080" s="747"/>
      <c r="H1080" s="747"/>
      <c r="I1080" s="747"/>
      <c r="J1080" s="747"/>
      <c r="K1080" s="747"/>
    </row>
    <row r="1081" spans="1:11" ht="18" customHeight="1">
      <c r="A1081" s="738"/>
      <c r="B1081" s="738" t="s">
        <v>60</v>
      </c>
      <c r="C1081" s="739" t="s">
        <v>3312</v>
      </c>
      <c r="D1081" s="738" t="s">
        <v>3602</v>
      </c>
      <c r="E1081" s="738" t="s">
        <v>3313</v>
      </c>
      <c r="F1081" s="738" t="s">
        <v>3390</v>
      </c>
      <c r="G1081" s="740" t="s">
        <v>70</v>
      </c>
      <c r="H1081" s="739" t="s">
        <v>64</v>
      </c>
      <c r="I1081" s="739" t="s">
        <v>3617</v>
      </c>
      <c r="J1081" s="797" t="s">
        <v>474</v>
      </c>
      <c r="K1081" s="795"/>
    </row>
    <row r="1082" spans="1:11" ht="99" customHeight="1">
      <c r="A1082" s="741" t="s">
        <v>4608</v>
      </c>
      <c r="B1082" s="741" t="s">
        <v>4979</v>
      </c>
      <c r="C1082" s="742" t="s">
        <v>3484</v>
      </c>
      <c r="D1082" s="741" t="s">
        <v>3604</v>
      </c>
      <c r="E1082" s="741" t="s">
        <v>872</v>
      </c>
      <c r="F1082" s="741" t="s">
        <v>3391</v>
      </c>
      <c r="G1082" s="743" t="s">
        <v>57</v>
      </c>
      <c r="H1082" s="742">
        <v>1</v>
      </c>
      <c r="I1082" s="742" t="s">
        <v>4980</v>
      </c>
      <c r="J1082" s="798" t="s">
        <v>4980</v>
      </c>
      <c r="K1082" s="795"/>
    </row>
    <row r="1083" spans="1:11" ht="54.95" customHeight="1">
      <c r="A1083" s="744" t="s">
        <v>4611</v>
      </c>
      <c r="B1083" s="744"/>
      <c r="C1083" s="745" t="s">
        <v>4150</v>
      </c>
      <c r="D1083" s="744" t="s">
        <v>1127</v>
      </c>
      <c r="E1083" s="744" t="s">
        <v>4151</v>
      </c>
      <c r="F1083" s="744" t="s">
        <v>3490</v>
      </c>
      <c r="G1083" s="746" t="s">
        <v>108</v>
      </c>
      <c r="H1083" s="745" t="s">
        <v>4029</v>
      </c>
      <c r="I1083" s="745" t="s">
        <v>4981</v>
      </c>
      <c r="J1083" s="796">
        <v>84.88</v>
      </c>
      <c r="K1083" s="795"/>
    </row>
    <row r="1084" spans="1:11" ht="33" customHeight="1">
      <c r="A1084" s="744" t="s">
        <v>4611</v>
      </c>
      <c r="B1084" s="744"/>
      <c r="C1084" s="745" t="s">
        <v>4153</v>
      </c>
      <c r="D1084" s="744" t="s">
        <v>1127</v>
      </c>
      <c r="E1084" s="744" t="s">
        <v>4154</v>
      </c>
      <c r="F1084" s="744" t="s">
        <v>3417</v>
      </c>
      <c r="G1084" s="746" t="s">
        <v>108</v>
      </c>
      <c r="H1084" s="745" t="s">
        <v>4155</v>
      </c>
      <c r="I1084" s="745" t="s">
        <v>4156</v>
      </c>
      <c r="J1084" s="796">
        <v>9.0500000000000007</v>
      </c>
      <c r="K1084" s="795"/>
    </row>
    <row r="1085" spans="1:11" ht="54.95" customHeight="1">
      <c r="A1085" s="744" t="s">
        <v>4611</v>
      </c>
      <c r="B1085" s="744"/>
      <c r="C1085" s="745" t="s">
        <v>4157</v>
      </c>
      <c r="D1085" s="744" t="s">
        <v>1127</v>
      </c>
      <c r="E1085" s="744" t="s">
        <v>4158</v>
      </c>
      <c r="F1085" s="744" t="s">
        <v>3417</v>
      </c>
      <c r="G1085" s="746" t="s">
        <v>108</v>
      </c>
      <c r="H1085" s="745" t="s">
        <v>4155</v>
      </c>
      <c r="I1085" s="745" t="s">
        <v>4159</v>
      </c>
      <c r="J1085" s="796">
        <v>88.25</v>
      </c>
      <c r="K1085" s="795"/>
    </row>
    <row r="1086" spans="1:11" ht="44.1" customHeight="1">
      <c r="A1086" s="744" t="s">
        <v>4611</v>
      </c>
      <c r="B1086" s="744"/>
      <c r="C1086" s="745" t="s">
        <v>4160</v>
      </c>
      <c r="D1086" s="744" t="s">
        <v>1127</v>
      </c>
      <c r="E1086" s="744" t="s">
        <v>4982</v>
      </c>
      <c r="F1086" s="744" t="s">
        <v>3417</v>
      </c>
      <c r="G1086" s="746" t="s">
        <v>108</v>
      </c>
      <c r="H1086" s="745" t="s">
        <v>4155</v>
      </c>
      <c r="I1086" s="745" t="s">
        <v>4161</v>
      </c>
      <c r="J1086" s="796">
        <v>150.28</v>
      </c>
      <c r="K1086" s="795"/>
    </row>
    <row r="1087" spans="1:11" ht="21.95" customHeight="1">
      <c r="A1087" s="744" t="s">
        <v>4611</v>
      </c>
      <c r="B1087" s="744"/>
      <c r="C1087" s="745" t="s">
        <v>4162</v>
      </c>
      <c r="D1087" s="744" t="s">
        <v>1127</v>
      </c>
      <c r="E1087" s="744" t="s">
        <v>1310</v>
      </c>
      <c r="F1087" s="744" t="s">
        <v>3391</v>
      </c>
      <c r="G1087" s="746" t="s">
        <v>57</v>
      </c>
      <c r="H1087" s="745" t="s">
        <v>3714</v>
      </c>
      <c r="I1087" s="745" t="s">
        <v>4983</v>
      </c>
      <c r="J1087" s="796">
        <v>16.579999999999998</v>
      </c>
      <c r="K1087" s="795"/>
    </row>
    <row r="1088" spans="1:11" ht="33" customHeight="1">
      <c r="A1088" s="744" t="s">
        <v>4611</v>
      </c>
      <c r="B1088" s="744"/>
      <c r="C1088" s="745" t="s">
        <v>4163</v>
      </c>
      <c r="D1088" s="744" t="s">
        <v>1127</v>
      </c>
      <c r="E1088" s="744" t="s">
        <v>1311</v>
      </c>
      <c r="F1088" s="744" t="s">
        <v>3391</v>
      </c>
      <c r="G1088" s="746" t="s">
        <v>57</v>
      </c>
      <c r="H1088" s="745" t="s">
        <v>3714</v>
      </c>
      <c r="I1088" s="745" t="s">
        <v>4033</v>
      </c>
      <c r="J1088" s="796">
        <v>94.08</v>
      </c>
      <c r="K1088" s="795"/>
    </row>
    <row r="1089" spans="1:11" ht="33" customHeight="1">
      <c r="A1089" s="744" t="s">
        <v>4611</v>
      </c>
      <c r="B1089" s="744"/>
      <c r="C1089" s="745" t="s">
        <v>4164</v>
      </c>
      <c r="D1089" s="744" t="s">
        <v>1127</v>
      </c>
      <c r="E1089" s="744" t="s">
        <v>1312</v>
      </c>
      <c r="F1089" s="744" t="s">
        <v>3391</v>
      </c>
      <c r="G1089" s="746" t="s">
        <v>57</v>
      </c>
      <c r="H1089" s="745" t="s">
        <v>3714</v>
      </c>
      <c r="I1089" s="745" t="s">
        <v>4165</v>
      </c>
      <c r="J1089" s="796">
        <v>79.8</v>
      </c>
      <c r="K1089" s="795"/>
    </row>
    <row r="1090" spans="1:11" ht="21.95" customHeight="1" thickBot="1">
      <c r="A1090" s="748" t="s">
        <v>4616</v>
      </c>
      <c r="B1090" s="748"/>
      <c r="C1090" s="749" t="s">
        <v>4166</v>
      </c>
      <c r="D1090" s="748" t="s">
        <v>3604</v>
      </c>
      <c r="E1090" s="748" t="s">
        <v>1313</v>
      </c>
      <c r="F1090" s="748" t="s">
        <v>1187</v>
      </c>
      <c r="G1090" s="750" t="s">
        <v>57</v>
      </c>
      <c r="H1090" s="749" t="s">
        <v>3610</v>
      </c>
      <c r="I1090" s="749" t="s">
        <v>4167</v>
      </c>
      <c r="J1090" s="794">
        <v>4100</v>
      </c>
      <c r="K1090" s="795"/>
    </row>
    <row r="1091" spans="1:11" ht="0.95" customHeight="1" thickTop="1">
      <c r="A1091" s="747"/>
      <c r="B1091" s="747"/>
      <c r="C1091" s="747"/>
      <c r="D1091" s="747"/>
      <c r="E1091" s="747"/>
      <c r="F1091" s="747"/>
      <c r="G1091" s="747"/>
      <c r="H1091" s="747"/>
      <c r="I1091" s="747"/>
      <c r="J1091" s="747"/>
      <c r="K1091" s="747"/>
    </row>
    <row r="1092" spans="1:11" ht="18" customHeight="1">
      <c r="A1092" s="738"/>
      <c r="B1092" s="738" t="s">
        <v>60</v>
      </c>
      <c r="C1092" s="739" t="s">
        <v>3312</v>
      </c>
      <c r="D1092" s="738" t="s">
        <v>3602</v>
      </c>
      <c r="E1092" s="738" t="s">
        <v>3313</v>
      </c>
      <c r="F1092" s="738" t="s">
        <v>3390</v>
      </c>
      <c r="G1092" s="740" t="s">
        <v>70</v>
      </c>
      <c r="H1092" s="739" t="s">
        <v>64</v>
      </c>
      <c r="I1092" s="739" t="s">
        <v>3617</v>
      </c>
      <c r="J1092" s="797" t="s">
        <v>474</v>
      </c>
      <c r="K1092" s="795"/>
    </row>
    <row r="1093" spans="1:11" ht="87.95" customHeight="1">
      <c r="A1093" s="741" t="s">
        <v>4608</v>
      </c>
      <c r="B1093" s="741" t="s">
        <v>4984</v>
      </c>
      <c r="C1093" s="742" t="s">
        <v>4985</v>
      </c>
      <c r="D1093" s="741" t="s">
        <v>3604</v>
      </c>
      <c r="E1093" s="741" t="s">
        <v>2037</v>
      </c>
      <c r="F1093" s="741" t="s">
        <v>3391</v>
      </c>
      <c r="G1093" s="743" t="s">
        <v>57</v>
      </c>
      <c r="H1093" s="742">
        <v>1</v>
      </c>
      <c r="I1093" s="742" t="s">
        <v>4986</v>
      </c>
      <c r="J1093" s="798" t="s">
        <v>4986</v>
      </c>
      <c r="K1093" s="795"/>
    </row>
    <row r="1094" spans="1:11" ht="54.95" customHeight="1">
      <c r="A1094" s="744" t="s">
        <v>4611</v>
      </c>
      <c r="B1094" s="744"/>
      <c r="C1094" s="745" t="s">
        <v>4150</v>
      </c>
      <c r="D1094" s="744" t="s">
        <v>1127</v>
      </c>
      <c r="E1094" s="744" t="s">
        <v>4151</v>
      </c>
      <c r="F1094" s="744" t="s">
        <v>3490</v>
      </c>
      <c r="G1094" s="746" t="s">
        <v>108</v>
      </c>
      <c r="H1094" s="745" t="s">
        <v>4029</v>
      </c>
      <c r="I1094" s="745" t="s">
        <v>4981</v>
      </c>
      <c r="J1094" s="796">
        <v>84.88</v>
      </c>
      <c r="K1094" s="795"/>
    </row>
    <row r="1095" spans="1:11" ht="33" customHeight="1">
      <c r="A1095" s="744" t="s">
        <v>4611</v>
      </c>
      <c r="B1095" s="744"/>
      <c r="C1095" s="745" t="s">
        <v>4153</v>
      </c>
      <c r="D1095" s="744" t="s">
        <v>1127</v>
      </c>
      <c r="E1095" s="744" t="s">
        <v>4154</v>
      </c>
      <c r="F1095" s="744" t="s">
        <v>3417</v>
      </c>
      <c r="G1095" s="746" t="s">
        <v>108</v>
      </c>
      <c r="H1095" s="745" t="s">
        <v>4155</v>
      </c>
      <c r="I1095" s="745" t="s">
        <v>4156</v>
      </c>
      <c r="J1095" s="796">
        <v>9.0500000000000007</v>
      </c>
      <c r="K1095" s="795"/>
    </row>
    <row r="1096" spans="1:11" ht="54.95" customHeight="1">
      <c r="A1096" s="744" t="s">
        <v>4611</v>
      </c>
      <c r="B1096" s="744"/>
      <c r="C1096" s="745" t="s">
        <v>4157</v>
      </c>
      <c r="D1096" s="744" t="s">
        <v>1127</v>
      </c>
      <c r="E1096" s="744" t="s">
        <v>4158</v>
      </c>
      <c r="F1096" s="744" t="s">
        <v>3417</v>
      </c>
      <c r="G1096" s="746" t="s">
        <v>108</v>
      </c>
      <c r="H1096" s="745" t="s">
        <v>4155</v>
      </c>
      <c r="I1096" s="745" t="s">
        <v>4159</v>
      </c>
      <c r="J1096" s="796">
        <v>88.25</v>
      </c>
      <c r="K1096" s="795"/>
    </row>
    <row r="1097" spans="1:11" ht="44.1" customHeight="1">
      <c r="A1097" s="744" t="s">
        <v>4611</v>
      </c>
      <c r="B1097" s="744"/>
      <c r="C1097" s="745" t="s">
        <v>4160</v>
      </c>
      <c r="D1097" s="744" t="s">
        <v>1127</v>
      </c>
      <c r="E1097" s="744" t="s">
        <v>4982</v>
      </c>
      <c r="F1097" s="744" t="s">
        <v>3417</v>
      </c>
      <c r="G1097" s="746" t="s">
        <v>108</v>
      </c>
      <c r="H1097" s="745" t="s">
        <v>4155</v>
      </c>
      <c r="I1097" s="745" t="s">
        <v>4161</v>
      </c>
      <c r="J1097" s="796">
        <v>150.28</v>
      </c>
      <c r="K1097" s="795"/>
    </row>
    <row r="1098" spans="1:11" ht="21.95" customHeight="1">
      <c r="A1098" s="744" t="s">
        <v>4611</v>
      </c>
      <c r="B1098" s="744"/>
      <c r="C1098" s="745" t="s">
        <v>4162</v>
      </c>
      <c r="D1098" s="744" t="s">
        <v>1127</v>
      </c>
      <c r="E1098" s="744" t="s">
        <v>1310</v>
      </c>
      <c r="F1098" s="744" t="s">
        <v>3391</v>
      </c>
      <c r="G1098" s="746" t="s">
        <v>57</v>
      </c>
      <c r="H1098" s="745" t="s">
        <v>3610</v>
      </c>
      <c r="I1098" s="745" t="s">
        <v>4983</v>
      </c>
      <c r="J1098" s="796">
        <v>8.2899999999999991</v>
      </c>
      <c r="K1098" s="795"/>
    </row>
    <row r="1099" spans="1:11" ht="33" customHeight="1">
      <c r="A1099" s="744" t="s">
        <v>4611</v>
      </c>
      <c r="B1099" s="744"/>
      <c r="C1099" s="745" t="s">
        <v>4163</v>
      </c>
      <c r="D1099" s="744" t="s">
        <v>1127</v>
      </c>
      <c r="E1099" s="744" t="s">
        <v>1311</v>
      </c>
      <c r="F1099" s="744" t="s">
        <v>3391</v>
      </c>
      <c r="G1099" s="746" t="s">
        <v>57</v>
      </c>
      <c r="H1099" s="745" t="s">
        <v>3610</v>
      </c>
      <c r="I1099" s="745" t="s">
        <v>4033</v>
      </c>
      <c r="J1099" s="796">
        <v>47.04</v>
      </c>
      <c r="K1099" s="795"/>
    </row>
    <row r="1100" spans="1:11" ht="33" customHeight="1">
      <c r="A1100" s="744" t="s">
        <v>4611</v>
      </c>
      <c r="B1100" s="744"/>
      <c r="C1100" s="745" t="s">
        <v>4164</v>
      </c>
      <c r="D1100" s="744" t="s">
        <v>1127</v>
      </c>
      <c r="E1100" s="744" t="s">
        <v>1312</v>
      </c>
      <c r="F1100" s="744" t="s">
        <v>3391</v>
      </c>
      <c r="G1100" s="746" t="s">
        <v>57</v>
      </c>
      <c r="H1100" s="745" t="s">
        <v>3610</v>
      </c>
      <c r="I1100" s="745" t="s">
        <v>4165</v>
      </c>
      <c r="J1100" s="796">
        <v>39.9</v>
      </c>
      <c r="K1100" s="795"/>
    </row>
    <row r="1101" spans="1:11" ht="21.95" customHeight="1" thickBot="1">
      <c r="A1101" s="748" t="s">
        <v>4616</v>
      </c>
      <c r="B1101" s="748"/>
      <c r="C1101" s="749" t="s">
        <v>4987</v>
      </c>
      <c r="D1101" s="748" t="s">
        <v>3604</v>
      </c>
      <c r="E1101" s="748" t="s">
        <v>4558</v>
      </c>
      <c r="F1101" s="748" t="s">
        <v>1187</v>
      </c>
      <c r="G1101" s="750" t="s">
        <v>57</v>
      </c>
      <c r="H1101" s="749" t="s">
        <v>3610</v>
      </c>
      <c r="I1101" s="749" t="s">
        <v>4988</v>
      </c>
      <c r="J1101" s="794">
        <v>3300</v>
      </c>
      <c r="K1101" s="795"/>
    </row>
    <row r="1102" spans="1:11" ht="0.95" customHeight="1" thickTop="1">
      <c r="A1102" s="747"/>
      <c r="B1102" s="747"/>
      <c r="C1102" s="747"/>
      <c r="D1102" s="747"/>
      <c r="E1102" s="747"/>
      <c r="F1102" s="747"/>
      <c r="G1102" s="747"/>
      <c r="H1102" s="747"/>
      <c r="I1102" s="747"/>
      <c r="J1102" s="747"/>
      <c r="K1102" s="747"/>
    </row>
    <row r="1103" spans="1:11" ht="18" customHeight="1">
      <c r="A1103" s="738"/>
      <c r="B1103" s="738" t="s">
        <v>60</v>
      </c>
      <c r="C1103" s="739" t="s">
        <v>3312</v>
      </c>
      <c r="D1103" s="738" t="s">
        <v>3602</v>
      </c>
      <c r="E1103" s="738" t="s">
        <v>3313</v>
      </c>
      <c r="F1103" s="738" t="s">
        <v>3390</v>
      </c>
      <c r="G1103" s="740" t="s">
        <v>70</v>
      </c>
      <c r="H1103" s="739" t="s">
        <v>64</v>
      </c>
      <c r="I1103" s="739" t="s">
        <v>3617</v>
      </c>
      <c r="J1103" s="797" t="s">
        <v>474</v>
      </c>
      <c r="K1103" s="795"/>
    </row>
    <row r="1104" spans="1:11" ht="87.95" customHeight="1">
      <c r="A1104" s="741" t="s">
        <v>4608</v>
      </c>
      <c r="B1104" s="741" t="s">
        <v>4989</v>
      </c>
      <c r="C1104" s="742" t="s">
        <v>4168</v>
      </c>
      <c r="D1104" s="741" t="s">
        <v>3604</v>
      </c>
      <c r="E1104" s="741" t="s">
        <v>2041</v>
      </c>
      <c r="F1104" s="741" t="s">
        <v>3391</v>
      </c>
      <c r="G1104" s="743" t="s">
        <v>57</v>
      </c>
      <c r="H1104" s="742">
        <v>1</v>
      </c>
      <c r="I1104" s="742" t="s">
        <v>4990</v>
      </c>
      <c r="J1104" s="798" t="s">
        <v>4990</v>
      </c>
      <c r="K1104" s="795"/>
    </row>
    <row r="1105" spans="1:11" ht="54.95" customHeight="1">
      <c r="A1105" s="744" t="s">
        <v>4611</v>
      </c>
      <c r="B1105" s="744"/>
      <c r="C1105" s="745" t="s">
        <v>4150</v>
      </c>
      <c r="D1105" s="744" t="s">
        <v>1127</v>
      </c>
      <c r="E1105" s="744" t="s">
        <v>4151</v>
      </c>
      <c r="F1105" s="744" t="s">
        <v>3490</v>
      </c>
      <c r="G1105" s="746" t="s">
        <v>108</v>
      </c>
      <c r="H1105" s="745" t="s">
        <v>4029</v>
      </c>
      <c r="I1105" s="745" t="s">
        <v>4981</v>
      </c>
      <c r="J1105" s="796">
        <v>84.88</v>
      </c>
      <c r="K1105" s="795"/>
    </row>
    <row r="1106" spans="1:11" ht="33" customHeight="1">
      <c r="A1106" s="744" t="s">
        <v>4611</v>
      </c>
      <c r="B1106" s="744"/>
      <c r="C1106" s="745" t="s">
        <v>4153</v>
      </c>
      <c r="D1106" s="744" t="s">
        <v>1127</v>
      </c>
      <c r="E1106" s="744" t="s">
        <v>4154</v>
      </c>
      <c r="F1106" s="744" t="s">
        <v>3417</v>
      </c>
      <c r="G1106" s="746" t="s">
        <v>108</v>
      </c>
      <c r="H1106" s="745" t="s">
        <v>4155</v>
      </c>
      <c r="I1106" s="745" t="s">
        <v>4156</v>
      </c>
      <c r="J1106" s="796">
        <v>9.0500000000000007</v>
      </c>
      <c r="K1106" s="795"/>
    </row>
    <row r="1107" spans="1:11" ht="54.95" customHeight="1">
      <c r="A1107" s="744" t="s">
        <v>4611</v>
      </c>
      <c r="B1107" s="744"/>
      <c r="C1107" s="745" t="s">
        <v>4157</v>
      </c>
      <c r="D1107" s="744" t="s">
        <v>1127</v>
      </c>
      <c r="E1107" s="744" t="s">
        <v>4158</v>
      </c>
      <c r="F1107" s="744" t="s">
        <v>3417</v>
      </c>
      <c r="G1107" s="746" t="s">
        <v>108</v>
      </c>
      <c r="H1107" s="745" t="s">
        <v>4155</v>
      </c>
      <c r="I1107" s="745" t="s">
        <v>4159</v>
      </c>
      <c r="J1107" s="796">
        <v>88.25</v>
      </c>
      <c r="K1107" s="795"/>
    </row>
    <row r="1108" spans="1:11" ht="44.1" customHeight="1">
      <c r="A1108" s="744" t="s">
        <v>4611</v>
      </c>
      <c r="B1108" s="744"/>
      <c r="C1108" s="745" t="s">
        <v>4160</v>
      </c>
      <c r="D1108" s="744" t="s">
        <v>1127</v>
      </c>
      <c r="E1108" s="744" t="s">
        <v>4982</v>
      </c>
      <c r="F1108" s="744" t="s">
        <v>3417</v>
      </c>
      <c r="G1108" s="746" t="s">
        <v>108</v>
      </c>
      <c r="H1108" s="745" t="s">
        <v>4155</v>
      </c>
      <c r="I1108" s="745" t="s">
        <v>4161</v>
      </c>
      <c r="J1108" s="796">
        <v>150.28</v>
      </c>
      <c r="K1108" s="795"/>
    </row>
    <row r="1109" spans="1:11" ht="21.95" customHeight="1">
      <c r="A1109" s="744" t="s">
        <v>4611</v>
      </c>
      <c r="B1109" s="744"/>
      <c r="C1109" s="745" t="s">
        <v>4162</v>
      </c>
      <c r="D1109" s="744" t="s">
        <v>1127</v>
      </c>
      <c r="E1109" s="744" t="s">
        <v>1310</v>
      </c>
      <c r="F1109" s="744" t="s">
        <v>3391</v>
      </c>
      <c r="G1109" s="746" t="s">
        <v>57</v>
      </c>
      <c r="H1109" s="745" t="s">
        <v>3610</v>
      </c>
      <c r="I1109" s="745" t="s">
        <v>4983</v>
      </c>
      <c r="J1109" s="796">
        <v>8.2899999999999991</v>
      </c>
      <c r="K1109" s="795"/>
    </row>
    <row r="1110" spans="1:11" ht="33" customHeight="1">
      <c r="A1110" s="744" t="s">
        <v>4611</v>
      </c>
      <c r="B1110" s="744"/>
      <c r="C1110" s="745" t="s">
        <v>4163</v>
      </c>
      <c r="D1110" s="744" t="s">
        <v>1127</v>
      </c>
      <c r="E1110" s="744" t="s">
        <v>1311</v>
      </c>
      <c r="F1110" s="744" t="s">
        <v>3391</v>
      </c>
      <c r="G1110" s="746" t="s">
        <v>57</v>
      </c>
      <c r="H1110" s="745" t="s">
        <v>3610</v>
      </c>
      <c r="I1110" s="745" t="s">
        <v>4033</v>
      </c>
      <c r="J1110" s="796">
        <v>47.04</v>
      </c>
      <c r="K1110" s="795"/>
    </row>
    <row r="1111" spans="1:11" ht="33" customHeight="1">
      <c r="A1111" s="744" t="s">
        <v>4611</v>
      </c>
      <c r="B1111" s="744"/>
      <c r="C1111" s="745" t="s">
        <v>4164</v>
      </c>
      <c r="D1111" s="744" t="s">
        <v>1127</v>
      </c>
      <c r="E1111" s="744" t="s">
        <v>1312</v>
      </c>
      <c r="F1111" s="744" t="s">
        <v>3391</v>
      </c>
      <c r="G1111" s="746" t="s">
        <v>57</v>
      </c>
      <c r="H1111" s="745" t="s">
        <v>3610</v>
      </c>
      <c r="I1111" s="745" t="s">
        <v>4165</v>
      </c>
      <c r="J1111" s="796">
        <v>39.9</v>
      </c>
      <c r="K1111" s="795"/>
    </row>
    <row r="1112" spans="1:11" ht="21.95" customHeight="1" thickBot="1">
      <c r="A1112" s="748" t="s">
        <v>4616</v>
      </c>
      <c r="B1112" s="748"/>
      <c r="C1112" s="749" t="s">
        <v>4169</v>
      </c>
      <c r="D1112" s="748" t="s">
        <v>3604</v>
      </c>
      <c r="E1112" s="748" t="s">
        <v>2038</v>
      </c>
      <c r="F1112" s="748" t="s">
        <v>1187</v>
      </c>
      <c r="G1112" s="750" t="s">
        <v>57</v>
      </c>
      <c r="H1112" s="749" t="s">
        <v>3610</v>
      </c>
      <c r="I1112" s="749" t="s">
        <v>4170</v>
      </c>
      <c r="J1112" s="794">
        <v>3160</v>
      </c>
      <c r="K1112" s="795"/>
    </row>
    <row r="1113" spans="1:11" ht="0.95" customHeight="1" thickTop="1">
      <c r="A1113" s="747"/>
      <c r="B1113" s="747"/>
      <c r="C1113" s="747"/>
      <c r="D1113" s="747"/>
      <c r="E1113" s="747"/>
      <c r="F1113" s="747"/>
      <c r="G1113" s="747"/>
      <c r="H1113" s="747"/>
      <c r="I1113" s="747"/>
      <c r="J1113" s="747"/>
      <c r="K1113" s="747"/>
    </row>
    <row r="1114" spans="1:11" ht="18" customHeight="1">
      <c r="A1114" s="738"/>
      <c r="B1114" s="738" t="s">
        <v>60</v>
      </c>
      <c r="C1114" s="739" t="s">
        <v>3312</v>
      </c>
      <c r="D1114" s="738" t="s">
        <v>3602</v>
      </c>
      <c r="E1114" s="738" t="s">
        <v>3313</v>
      </c>
      <c r="F1114" s="738" t="s">
        <v>3390</v>
      </c>
      <c r="G1114" s="740" t="s">
        <v>70</v>
      </c>
      <c r="H1114" s="739" t="s">
        <v>64</v>
      </c>
      <c r="I1114" s="739" t="s">
        <v>3617</v>
      </c>
      <c r="J1114" s="797" t="s">
        <v>474</v>
      </c>
      <c r="K1114" s="795"/>
    </row>
    <row r="1115" spans="1:11" ht="21.95" customHeight="1">
      <c r="A1115" s="741" t="s">
        <v>4608</v>
      </c>
      <c r="B1115" s="741" t="s">
        <v>4991</v>
      </c>
      <c r="C1115" s="742" t="s">
        <v>3463</v>
      </c>
      <c r="D1115" s="741" t="s">
        <v>3604</v>
      </c>
      <c r="E1115" s="741" t="s">
        <v>868</v>
      </c>
      <c r="F1115" s="741" t="s">
        <v>3391</v>
      </c>
      <c r="G1115" s="743" t="s">
        <v>57</v>
      </c>
      <c r="H1115" s="742">
        <v>1</v>
      </c>
      <c r="I1115" s="742" t="s">
        <v>4992</v>
      </c>
      <c r="J1115" s="798" t="s">
        <v>4992</v>
      </c>
      <c r="K1115" s="795"/>
    </row>
    <row r="1116" spans="1:11" ht="21.95" customHeight="1">
      <c r="A1116" s="744" t="s">
        <v>4611</v>
      </c>
      <c r="B1116" s="744"/>
      <c r="C1116" s="745" t="s">
        <v>3628</v>
      </c>
      <c r="D1116" s="744" t="s">
        <v>1127</v>
      </c>
      <c r="E1116" s="744" t="s">
        <v>1286</v>
      </c>
      <c r="F1116" s="744" t="s">
        <v>3430</v>
      </c>
      <c r="G1116" s="746" t="s">
        <v>1129</v>
      </c>
      <c r="H1116" s="745" t="s">
        <v>4171</v>
      </c>
      <c r="I1116" s="745" t="s">
        <v>3630</v>
      </c>
      <c r="J1116" s="796">
        <v>5.94</v>
      </c>
      <c r="K1116" s="795"/>
    </row>
    <row r="1117" spans="1:11" ht="21.95" customHeight="1">
      <c r="A1117" s="744" t="s">
        <v>4611</v>
      </c>
      <c r="B1117" s="744"/>
      <c r="C1117" s="745" t="s">
        <v>3633</v>
      </c>
      <c r="D1117" s="744" t="s">
        <v>1127</v>
      </c>
      <c r="E1117" s="744" t="s">
        <v>1146</v>
      </c>
      <c r="F1117" s="744" t="s">
        <v>3430</v>
      </c>
      <c r="G1117" s="746" t="s">
        <v>1129</v>
      </c>
      <c r="H1117" s="745" t="s">
        <v>4171</v>
      </c>
      <c r="I1117" s="745" t="s">
        <v>3635</v>
      </c>
      <c r="J1117" s="796">
        <v>4.71</v>
      </c>
      <c r="K1117" s="795"/>
    </row>
    <row r="1118" spans="1:11" ht="21.95" customHeight="1">
      <c r="A1118" s="748" t="s">
        <v>4616</v>
      </c>
      <c r="B1118" s="748"/>
      <c r="C1118" s="749" t="s">
        <v>4172</v>
      </c>
      <c r="D1118" s="748" t="s">
        <v>1127</v>
      </c>
      <c r="E1118" s="748" t="s">
        <v>1297</v>
      </c>
      <c r="F1118" s="748" t="s">
        <v>1187</v>
      </c>
      <c r="G1118" s="750" t="s">
        <v>57</v>
      </c>
      <c r="H1118" s="749" t="s">
        <v>3713</v>
      </c>
      <c r="I1118" s="749" t="s">
        <v>4173</v>
      </c>
      <c r="J1118" s="794">
        <v>0.83</v>
      </c>
      <c r="K1118" s="795"/>
    </row>
    <row r="1119" spans="1:11" ht="21.95" customHeight="1" thickBot="1">
      <c r="A1119" s="748" t="s">
        <v>4616</v>
      </c>
      <c r="B1119" s="748"/>
      <c r="C1119" s="749" t="s">
        <v>4174</v>
      </c>
      <c r="D1119" s="748" t="s">
        <v>1127</v>
      </c>
      <c r="E1119" s="748" t="s">
        <v>1300</v>
      </c>
      <c r="F1119" s="748" t="s">
        <v>1187</v>
      </c>
      <c r="G1119" s="750" t="s">
        <v>57</v>
      </c>
      <c r="H1119" s="749" t="s">
        <v>3610</v>
      </c>
      <c r="I1119" s="749" t="s">
        <v>4175</v>
      </c>
      <c r="J1119" s="794">
        <v>149.91999999999999</v>
      </c>
      <c r="K1119" s="795"/>
    </row>
    <row r="1120" spans="1:11" ht="0.95" customHeight="1" thickTop="1">
      <c r="A1120" s="747"/>
      <c r="B1120" s="747"/>
      <c r="C1120" s="747"/>
      <c r="D1120" s="747"/>
      <c r="E1120" s="747"/>
      <c r="F1120" s="747"/>
      <c r="G1120" s="747"/>
      <c r="H1120" s="747"/>
      <c r="I1120" s="747"/>
      <c r="J1120" s="747"/>
      <c r="K1120" s="747"/>
    </row>
    <row r="1121" spans="1:11" ht="18" customHeight="1">
      <c r="A1121" s="738"/>
      <c r="B1121" s="738" t="s">
        <v>60</v>
      </c>
      <c r="C1121" s="739" t="s">
        <v>3312</v>
      </c>
      <c r="D1121" s="738" t="s">
        <v>3602</v>
      </c>
      <c r="E1121" s="738" t="s">
        <v>3313</v>
      </c>
      <c r="F1121" s="738" t="s">
        <v>3390</v>
      </c>
      <c r="G1121" s="740" t="s">
        <v>70</v>
      </c>
      <c r="H1121" s="739" t="s">
        <v>64</v>
      </c>
      <c r="I1121" s="739" t="s">
        <v>3617</v>
      </c>
      <c r="J1121" s="797" t="s">
        <v>474</v>
      </c>
      <c r="K1121" s="795"/>
    </row>
    <row r="1122" spans="1:11" ht="33" customHeight="1">
      <c r="A1122" s="741" t="s">
        <v>4608</v>
      </c>
      <c r="B1122" s="741" t="s">
        <v>4993</v>
      </c>
      <c r="C1122" s="742" t="s">
        <v>3465</v>
      </c>
      <c r="D1122" s="741" t="s">
        <v>3604</v>
      </c>
      <c r="E1122" s="741" t="s">
        <v>874</v>
      </c>
      <c r="F1122" s="741" t="s">
        <v>3391</v>
      </c>
      <c r="G1122" s="743" t="s">
        <v>57</v>
      </c>
      <c r="H1122" s="742">
        <v>1</v>
      </c>
      <c r="I1122" s="742" t="s">
        <v>4994</v>
      </c>
      <c r="J1122" s="798" t="s">
        <v>4994</v>
      </c>
      <c r="K1122" s="795"/>
    </row>
    <row r="1123" spans="1:11" ht="44.1" customHeight="1">
      <c r="A1123" s="744" t="s">
        <v>4611</v>
      </c>
      <c r="B1123" s="744"/>
      <c r="C1123" s="745" t="s">
        <v>4176</v>
      </c>
      <c r="D1123" s="744" t="s">
        <v>1127</v>
      </c>
      <c r="E1123" s="744" t="s">
        <v>1314</v>
      </c>
      <c r="F1123" s="744" t="s">
        <v>3490</v>
      </c>
      <c r="G1123" s="746" t="s">
        <v>108</v>
      </c>
      <c r="H1123" s="745" t="s">
        <v>4177</v>
      </c>
      <c r="I1123" s="745" t="s">
        <v>4995</v>
      </c>
      <c r="J1123" s="796">
        <v>60.58</v>
      </c>
      <c r="K1123" s="795"/>
    </row>
    <row r="1124" spans="1:11" ht="44.1" customHeight="1">
      <c r="A1124" s="744" t="s">
        <v>4611</v>
      </c>
      <c r="B1124" s="744"/>
      <c r="C1124" s="745" t="s">
        <v>3959</v>
      </c>
      <c r="D1124" s="744" t="s">
        <v>1127</v>
      </c>
      <c r="E1124" s="744" t="s">
        <v>2662</v>
      </c>
      <c r="F1124" s="744" t="s">
        <v>3417</v>
      </c>
      <c r="G1124" s="746" t="s">
        <v>108</v>
      </c>
      <c r="H1124" s="745" t="s">
        <v>4178</v>
      </c>
      <c r="I1124" s="745" t="s">
        <v>3960</v>
      </c>
      <c r="J1124" s="796">
        <v>5.52</v>
      </c>
      <c r="K1124" s="795"/>
    </row>
    <row r="1125" spans="1:11" ht="54.95" customHeight="1">
      <c r="A1125" s="744" t="s">
        <v>4611</v>
      </c>
      <c r="B1125" s="744"/>
      <c r="C1125" s="745" t="s">
        <v>3989</v>
      </c>
      <c r="D1125" s="744" t="s">
        <v>1127</v>
      </c>
      <c r="E1125" s="744" t="s">
        <v>785</v>
      </c>
      <c r="F1125" s="744" t="s">
        <v>3417</v>
      </c>
      <c r="G1125" s="746" t="s">
        <v>108</v>
      </c>
      <c r="H1125" s="745" t="s">
        <v>4178</v>
      </c>
      <c r="I1125" s="745" t="s">
        <v>3991</v>
      </c>
      <c r="J1125" s="796">
        <v>49.87</v>
      </c>
      <c r="K1125" s="795"/>
    </row>
    <row r="1126" spans="1:11" ht="21.95" customHeight="1">
      <c r="A1126" s="744" t="s">
        <v>4611</v>
      </c>
      <c r="B1126" s="744"/>
      <c r="C1126" s="745" t="s">
        <v>4162</v>
      </c>
      <c r="D1126" s="744" t="s">
        <v>1127</v>
      </c>
      <c r="E1126" s="744" t="s">
        <v>1310</v>
      </c>
      <c r="F1126" s="744" t="s">
        <v>3391</v>
      </c>
      <c r="G1126" s="746" t="s">
        <v>57</v>
      </c>
      <c r="H1126" s="745" t="s">
        <v>3714</v>
      </c>
      <c r="I1126" s="745" t="s">
        <v>4983</v>
      </c>
      <c r="J1126" s="796">
        <v>16.579999999999998</v>
      </c>
      <c r="K1126" s="795"/>
    </row>
    <row r="1127" spans="1:11" ht="21.95" customHeight="1">
      <c r="A1127" s="744" t="s">
        <v>4611</v>
      </c>
      <c r="B1127" s="744"/>
      <c r="C1127" s="745" t="s">
        <v>4179</v>
      </c>
      <c r="D1127" s="744" t="s">
        <v>1127</v>
      </c>
      <c r="E1127" s="744" t="s">
        <v>1315</v>
      </c>
      <c r="F1127" s="744" t="s">
        <v>3391</v>
      </c>
      <c r="G1127" s="746" t="s">
        <v>57</v>
      </c>
      <c r="H1127" s="745" t="s">
        <v>3714</v>
      </c>
      <c r="I1127" s="745" t="s">
        <v>4996</v>
      </c>
      <c r="J1127" s="796">
        <v>72.38</v>
      </c>
      <c r="K1127" s="795"/>
    </row>
    <row r="1128" spans="1:11" ht="33" customHeight="1">
      <c r="A1128" s="744" t="s">
        <v>4611</v>
      </c>
      <c r="B1128" s="744"/>
      <c r="C1128" s="745" t="s">
        <v>4180</v>
      </c>
      <c r="D1128" s="744" t="s">
        <v>1127</v>
      </c>
      <c r="E1128" s="744" t="s">
        <v>1316</v>
      </c>
      <c r="F1128" s="744" t="s">
        <v>3391</v>
      </c>
      <c r="G1128" s="746" t="s">
        <v>57</v>
      </c>
      <c r="H1128" s="745" t="s">
        <v>3714</v>
      </c>
      <c r="I1128" s="745" t="s">
        <v>4032</v>
      </c>
      <c r="J1128" s="796">
        <v>10.08</v>
      </c>
      <c r="K1128" s="795"/>
    </row>
    <row r="1129" spans="1:11" ht="21.95" customHeight="1">
      <c r="A1129" s="744" t="s">
        <v>4611</v>
      </c>
      <c r="B1129" s="744"/>
      <c r="C1129" s="745" t="s">
        <v>4112</v>
      </c>
      <c r="D1129" s="744" t="s">
        <v>1127</v>
      </c>
      <c r="E1129" s="744" t="s">
        <v>839</v>
      </c>
      <c r="F1129" s="744" t="s">
        <v>3423</v>
      </c>
      <c r="G1129" s="746" t="s">
        <v>108</v>
      </c>
      <c r="H1129" s="745" t="s">
        <v>4178</v>
      </c>
      <c r="I1129" s="745" t="s">
        <v>4113</v>
      </c>
      <c r="J1129" s="796">
        <v>3.36</v>
      </c>
      <c r="K1129" s="795"/>
    </row>
    <row r="1130" spans="1:11" ht="21.95" customHeight="1">
      <c r="A1130" s="744" t="s">
        <v>4611</v>
      </c>
      <c r="B1130" s="744"/>
      <c r="C1130" s="745" t="s">
        <v>4114</v>
      </c>
      <c r="D1130" s="744" t="s">
        <v>1127</v>
      </c>
      <c r="E1130" s="744" t="s">
        <v>794</v>
      </c>
      <c r="F1130" s="744" t="s">
        <v>3423</v>
      </c>
      <c r="G1130" s="746" t="s">
        <v>108</v>
      </c>
      <c r="H1130" s="745" t="s">
        <v>4178</v>
      </c>
      <c r="I1130" s="745" t="s">
        <v>4115</v>
      </c>
      <c r="J1130" s="796">
        <v>22.52</v>
      </c>
      <c r="K1130" s="795"/>
    </row>
    <row r="1131" spans="1:11" ht="21.95" customHeight="1" thickBot="1">
      <c r="A1131" s="748" t="s">
        <v>4616</v>
      </c>
      <c r="B1131" s="748"/>
      <c r="C1131" s="749" t="s">
        <v>4181</v>
      </c>
      <c r="D1131" s="748" t="s">
        <v>1127</v>
      </c>
      <c r="E1131" s="748" t="s">
        <v>4182</v>
      </c>
      <c r="F1131" s="748" t="s">
        <v>1187</v>
      </c>
      <c r="G1131" s="750" t="s">
        <v>57</v>
      </c>
      <c r="H1131" s="749" t="s">
        <v>3610</v>
      </c>
      <c r="I1131" s="749" t="s">
        <v>4183</v>
      </c>
      <c r="J1131" s="794">
        <v>145.88999999999999</v>
      </c>
      <c r="K1131" s="795"/>
    </row>
    <row r="1132" spans="1:11" ht="0.95" customHeight="1" thickTop="1">
      <c r="A1132" s="747"/>
      <c r="B1132" s="747"/>
      <c r="C1132" s="747"/>
      <c r="D1132" s="747"/>
      <c r="E1132" s="747"/>
      <c r="F1132" s="747"/>
      <c r="G1132" s="747"/>
      <c r="H1132" s="747"/>
      <c r="I1132" s="747"/>
      <c r="J1132" s="747"/>
      <c r="K1132" s="747"/>
    </row>
    <row r="1133" spans="1:11" ht="18" customHeight="1">
      <c r="A1133" s="738"/>
      <c r="B1133" s="738" t="s">
        <v>60</v>
      </c>
      <c r="C1133" s="739" t="s">
        <v>3312</v>
      </c>
      <c r="D1133" s="738" t="s">
        <v>3602</v>
      </c>
      <c r="E1133" s="738" t="s">
        <v>3313</v>
      </c>
      <c r="F1133" s="738" t="s">
        <v>3390</v>
      </c>
      <c r="G1133" s="740" t="s">
        <v>70</v>
      </c>
      <c r="H1133" s="739" t="s">
        <v>64</v>
      </c>
      <c r="I1133" s="739" t="s">
        <v>3617</v>
      </c>
      <c r="J1133" s="797" t="s">
        <v>474</v>
      </c>
      <c r="K1133" s="795"/>
    </row>
    <row r="1134" spans="1:11" ht="21.95" customHeight="1">
      <c r="A1134" s="741" t="s">
        <v>4608</v>
      </c>
      <c r="B1134" s="741" t="s">
        <v>4997</v>
      </c>
      <c r="C1134" s="742" t="s">
        <v>3494</v>
      </c>
      <c r="D1134" s="741" t="s">
        <v>3604</v>
      </c>
      <c r="E1134" s="741" t="s">
        <v>832</v>
      </c>
      <c r="F1134" s="741" t="s">
        <v>3430</v>
      </c>
      <c r="G1134" s="743" t="s">
        <v>57</v>
      </c>
      <c r="H1134" s="742">
        <v>1</v>
      </c>
      <c r="I1134" s="742" t="s">
        <v>4138</v>
      </c>
      <c r="J1134" s="798" t="s">
        <v>4138</v>
      </c>
      <c r="K1134" s="795"/>
    </row>
    <row r="1135" spans="1:11" ht="21.95" customHeight="1">
      <c r="A1135" s="744" t="s">
        <v>4611</v>
      </c>
      <c r="B1135" s="744"/>
      <c r="C1135" s="745" t="s">
        <v>3631</v>
      </c>
      <c r="D1135" s="744" t="s">
        <v>1127</v>
      </c>
      <c r="E1135" s="744" t="s">
        <v>1145</v>
      </c>
      <c r="F1135" s="744" t="s">
        <v>3430</v>
      </c>
      <c r="G1135" s="746" t="s">
        <v>1129</v>
      </c>
      <c r="H1135" s="745" t="s">
        <v>3784</v>
      </c>
      <c r="I1135" s="745" t="s">
        <v>3632</v>
      </c>
      <c r="J1135" s="796">
        <v>10.24</v>
      </c>
      <c r="K1135" s="795"/>
    </row>
    <row r="1136" spans="1:11" ht="21.95" customHeight="1" thickBot="1">
      <c r="A1136" s="748" t="s">
        <v>4616</v>
      </c>
      <c r="B1136" s="748"/>
      <c r="C1136" s="749" t="s">
        <v>4139</v>
      </c>
      <c r="D1136" s="748" t="s">
        <v>1127</v>
      </c>
      <c r="E1136" s="748" t="s">
        <v>832</v>
      </c>
      <c r="F1136" s="748" t="s">
        <v>1187</v>
      </c>
      <c r="G1136" s="750" t="s">
        <v>57</v>
      </c>
      <c r="H1136" s="749" t="s">
        <v>3610</v>
      </c>
      <c r="I1136" s="749" t="s">
        <v>4140</v>
      </c>
      <c r="J1136" s="794">
        <v>37.840000000000003</v>
      </c>
      <c r="K1136" s="795"/>
    </row>
    <row r="1137" spans="1:11" ht="0.95" customHeight="1" thickTop="1">
      <c r="A1137" s="747"/>
      <c r="B1137" s="747"/>
      <c r="C1137" s="747"/>
      <c r="D1137" s="747"/>
      <c r="E1137" s="747"/>
      <c r="F1137" s="747"/>
      <c r="G1137" s="747"/>
      <c r="H1137" s="747"/>
      <c r="I1137" s="747"/>
      <c r="J1137" s="747"/>
      <c r="K1137" s="747"/>
    </row>
    <row r="1138" spans="1:11" ht="18" customHeight="1">
      <c r="A1138" s="738"/>
      <c r="B1138" s="738" t="s">
        <v>60</v>
      </c>
      <c r="C1138" s="739" t="s">
        <v>3312</v>
      </c>
      <c r="D1138" s="738" t="s">
        <v>3602</v>
      </c>
      <c r="E1138" s="738" t="s">
        <v>3313</v>
      </c>
      <c r="F1138" s="738" t="s">
        <v>3390</v>
      </c>
      <c r="G1138" s="740" t="s">
        <v>70</v>
      </c>
      <c r="H1138" s="739" t="s">
        <v>64</v>
      </c>
      <c r="I1138" s="739" t="s">
        <v>3617</v>
      </c>
      <c r="J1138" s="797" t="s">
        <v>474</v>
      </c>
      <c r="K1138" s="795"/>
    </row>
    <row r="1139" spans="1:11" ht="66" customHeight="1">
      <c r="A1139" s="741" t="s">
        <v>4608</v>
      </c>
      <c r="B1139" s="741" t="s">
        <v>4998</v>
      </c>
      <c r="C1139" s="742" t="s">
        <v>3488</v>
      </c>
      <c r="D1139" s="741" t="s">
        <v>3604</v>
      </c>
      <c r="E1139" s="741" t="s">
        <v>2775</v>
      </c>
      <c r="F1139" s="741" t="s">
        <v>3391</v>
      </c>
      <c r="G1139" s="743" t="s">
        <v>57</v>
      </c>
      <c r="H1139" s="742">
        <v>1</v>
      </c>
      <c r="I1139" s="742" t="s">
        <v>4999</v>
      </c>
      <c r="J1139" s="798" t="s">
        <v>4999</v>
      </c>
      <c r="K1139" s="795"/>
    </row>
    <row r="1140" spans="1:11" ht="33" customHeight="1">
      <c r="A1140" s="744" t="s">
        <v>4611</v>
      </c>
      <c r="B1140" s="744"/>
      <c r="C1140" s="745" t="s">
        <v>4180</v>
      </c>
      <c r="D1140" s="744" t="s">
        <v>1127</v>
      </c>
      <c r="E1140" s="744" t="s">
        <v>1316</v>
      </c>
      <c r="F1140" s="744" t="s">
        <v>3391</v>
      </c>
      <c r="G1140" s="746" t="s">
        <v>57</v>
      </c>
      <c r="H1140" s="745" t="s">
        <v>3610</v>
      </c>
      <c r="I1140" s="745" t="s">
        <v>4032</v>
      </c>
      <c r="J1140" s="796">
        <v>5.04</v>
      </c>
      <c r="K1140" s="795"/>
    </row>
    <row r="1141" spans="1:11" ht="21.95" customHeight="1">
      <c r="A1141" s="744" t="s">
        <v>4611</v>
      </c>
      <c r="B1141" s="744"/>
      <c r="C1141" s="745" t="s">
        <v>4162</v>
      </c>
      <c r="D1141" s="744" t="s">
        <v>1127</v>
      </c>
      <c r="E1141" s="744" t="s">
        <v>1310</v>
      </c>
      <c r="F1141" s="744" t="s">
        <v>3391</v>
      </c>
      <c r="G1141" s="746" t="s">
        <v>57</v>
      </c>
      <c r="H1141" s="745" t="s">
        <v>3610</v>
      </c>
      <c r="I1141" s="745" t="s">
        <v>4983</v>
      </c>
      <c r="J1141" s="796">
        <v>8.2899999999999991</v>
      </c>
      <c r="K1141" s="795"/>
    </row>
    <row r="1142" spans="1:11" ht="21.95" customHeight="1">
      <c r="A1142" s="744" t="s">
        <v>4611</v>
      </c>
      <c r="B1142" s="744"/>
      <c r="C1142" s="745" t="s">
        <v>4184</v>
      </c>
      <c r="D1142" s="744" t="s">
        <v>1127</v>
      </c>
      <c r="E1142" s="744" t="s">
        <v>1317</v>
      </c>
      <c r="F1142" s="744" t="s">
        <v>3391</v>
      </c>
      <c r="G1142" s="746" t="s">
        <v>57</v>
      </c>
      <c r="H1142" s="745" t="s">
        <v>3610</v>
      </c>
      <c r="I1142" s="745" t="s">
        <v>4185</v>
      </c>
      <c r="J1142" s="796">
        <v>6.21</v>
      </c>
      <c r="K1142" s="795"/>
    </row>
    <row r="1143" spans="1:11" ht="33" customHeight="1">
      <c r="A1143" s="744" t="s">
        <v>4611</v>
      </c>
      <c r="B1143" s="744"/>
      <c r="C1143" s="745" t="s">
        <v>4186</v>
      </c>
      <c r="D1143" s="744" t="s">
        <v>1127</v>
      </c>
      <c r="E1143" s="744" t="s">
        <v>2617</v>
      </c>
      <c r="F1143" s="744" t="s">
        <v>3391</v>
      </c>
      <c r="G1143" s="746" t="s">
        <v>57</v>
      </c>
      <c r="H1143" s="745" t="s">
        <v>3610</v>
      </c>
      <c r="I1143" s="745" t="s">
        <v>4187</v>
      </c>
      <c r="J1143" s="796">
        <v>97.66</v>
      </c>
      <c r="K1143" s="795"/>
    </row>
    <row r="1144" spans="1:11" ht="33" customHeight="1" thickBot="1">
      <c r="A1144" s="744" t="s">
        <v>4611</v>
      </c>
      <c r="B1144" s="744"/>
      <c r="C1144" s="745" t="s">
        <v>3468</v>
      </c>
      <c r="D1144" s="744" t="s">
        <v>3604</v>
      </c>
      <c r="E1144" s="744" t="s">
        <v>877</v>
      </c>
      <c r="F1144" s="744" t="s">
        <v>3391</v>
      </c>
      <c r="G1144" s="746" t="s">
        <v>57</v>
      </c>
      <c r="H1144" s="745" t="s">
        <v>3610</v>
      </c>
      <c r="I1144" s="745" t="s">
        <v>5000</v>
      </c>
      <c r="J1144" s="796">
        <v>550.98</v>
      </c>
      <c r="K1144" s="795"/>
    </row>
    <row r="1145" spans="1:11" ht="0.95" customHeight="1" thickTop="1">
      <c r="A1145" s="747"/>
      <c r="B1145" s="747"/>
      <c r="C1145" s="747"/>
      <c r="D1145" s="747"/>
      <c r="E1145" s="747"/>
      <c r="F1145" s="747"/>
      <c r="G1145" s="747"/>
      <c r="H1145" s="747"/>
      <c r="I1145" s="747"/>
      <c r="J1145" s="747"/>
      <c r="K1145" s="747"/>
    </row>
    <row r="1146" spans="1:11" ht="18" customHeight="1">
      <c r="A1146" s="738"/>
      <c r="B1146" s="738" t="s">
        <v>60</v>
      </c>
      <c r="C1146" s="739" t="s">
        <v>3312</v>
      </c>
      <c r="D1146" s="738" t="s">
        <v>3602</v>
      </c>
      <c r="E1146" s="738" t="s">
        <v>3313</v>
      </c>
      <c r="F1146" s="738" t="s">
        <v>3390</v>
      </c>
      <c r="G1146" s="740" t="s">
        <v>70</v>
      </c>
      <c r="H1146" s="739" t="s">
        <v>64</v>
      </c>
      <c r="I1146" s="739" t="s">
        <v>3617</v>
      </c>
      <c r="J1146" s="797" t="s">
        <v>474</v>
      </c>
      <c r="K1146" s="795"/>
    </row>
    <row r="1147" spans="1:11" ht="33" customHeight="1">
      <c r="A1147" s="741" t="s">
        <v>4608</v>
      </c>
      <c r="B1147" s="741" t="s">
        <v>5001</v>
      </c>
      <c r="C1147" s="742" t="s">
        <v>3468</v>
      </c>
      <c r="D1147" s="741" t="s">
        <v>3604</v>
      </c>
      <c r="E1147" s="741" t="s">
        <v>877</v>
      </c>
      <c r="F1147" s="741" t="s">
        <v>3391</v>
      </c>
      <c r="G1147" s="743" t="s">
        <v>57</v>
      </c>
      <c r="H1147" s="742">
        <v>1</v>
      </c>
      <c r="I1147" s="742" t="s">
        <v>5000</v>
      </c>
      <c r="J1147" s="798" t="s">
        <v>5000</v>
      </c>
      <c r="K1147" s="795"/>
    </row>
    <row r="1148" spans="1:11" ht="21.95" customHeight="1">
      <c r="A1148" s="744" t="s">
        <v>4611</v>
      </c>
      <c r="B1148" s="744"/>
      <c r="C1148" s="745" t="s">
        <v>3633</v>
      </c>
      <c r="D1148" s="744" t="s">
        <v>1127</v>
      </c>
      <c r="E1148" s="744" t="s">
        <v>1146</v>
      </c>
      <c r="F1148" s="744" t="s">
        <v>3430</v>
      </c>
      <c r="G1148" s="746" t="s">
        <v>1129</v>
      </c>
      <c r="H1148" s="745" t="s">
        <v>4188</v>
      </c>
      <c r="I1148" s="745" t="s">
        <v>3635</v>
      </c>
      <c r="J1148" s="796">
        <v>24.29</v>
      </c>
      <c r="K1148" s="795"/>
    </row>
    <row r="1149" spans="1:11" ht="21.95" customHeight="1">
      <c r="A1149" s="744" t="s">
        <v>4611</v>
      </c>
      <c r="B1149" s="744"/>
      <c r="C1149" s="745" t="s">
        <v>3628</v>
      </c>
      <c r="D1149" s="744" t="s">
        <v>1127</v>
      </c>
      <c r="E1149" s="744" t="s">
        <v>1286</v>
      </c>
      <c r="F1149" s="744" t="s">
        <v>3430</v>
      </c>
      <c r="G1149" s="746" t="s">
        <v>1129</v>
      </c>
      <c r="H1149" s="745" t="s">
        <v>4188</v>
      </c>
      <c r="I1149" s="745" t="s">
        <v>3630</v>
      </c>
      <c r="J1149" s="796">
        <v>30.59</v>
      </c>
      <c r="K1149" s="795"/>
    </row>
    <row r="1150" spans="1:11" ht="21.95" customHeight="1">
      <c r="A1150" s="748" t="s">
        <v>4616</v>
      </c>
      <c r="B1150" s="748"/>
      <c r="C1150" s="749" t="s">
        <v>4172</v>
      </c>
      <c r="D1150" s="748" t="s">
        <v>1127</v>
      </c>
      <c r="E1150" s="748" t="s">
        <v>1297</v>
      </c>
      <c r="F1150" s="748" t="s">
        <v>1187</v>
      </c>
      <c r="G1150" s="750" t="s">
        <v>57</v>
      </c>
      <c r="H1150" s="749" t="s">
        <v>4189</v>
      </c>
      <c r="I1150" s="749" t="s">
        <v>4173</v>
      </c>
      <c r="J1150" s="794">
        <v>0.08</v>
      </c>
      <c r="K1150" s="795"/>
    </row>
    <row r="1151" spans="1:11" ht="21.95" customHeight="1" thickBot="1">
      <c r="A1151" s="748" t="s">
        <v>4616</v>
      </c>
      <c r="B1151" s="748"/>
      <c r="C1151" s="749" t="s">
        <v>4190</v>
      </c>
      <c r="D1151" s="748" t="s">
        <v>3604</v>
      </c>
      <c r="E1151" s="748" t="s">
        <v>1322</v>
      </c>
      <c r="F1151" s="748" t="s">
        <v>1187</v>
      </c>
      <c r="G1151" s="750" t="s">
        <v>57</v>
      </c>
      <c r="H1151" s="749" t="s">
        <v>3610</v>
      </c>
      <c r="I1151" s="749" t="s">
        <v>4191</v>
      </c>
      <c r="J1151" s="794">
        <v>496.02</v>
      </c>
      <c r="K1151" s="795"/>
    </row>
    <row r="1152" spans="1:11" ht="0.95" customHeight="1" thickTop="1">
      <c r="A1152" s="747"/>
      <c r="B1152" s="747"/>
      <c r="C1152" s="747"/>
      <c r="D1152" s="747"/>
      <c r="E1152" s="747"/>
      <c r="F1152" s="747"/>
      <c r="G1152" s="747"/>
      <c r="H1152" s="747"/>
      <c r="I1152" s="747"/>
      <c r="J1152" s="747"/>
      <c r="K1152" s="747"/>
    </row>
    <row r="1153" spans="1:11" ht="18" customHeight="1">
      <c r="A1153" s="738"/>
      <c r="B1153" s="738" t="s">
        <v>60</v>
      </c>
      <c r="C1153" s="739" t="s">
        <v>3312</v>
      </c>
      <c r="D1153" s="738" t="s">
        <v>3602</v>
      </c>
      <c r="E1153" s="738" t="s">
        <v>3313</v>
      </c>
      <c r="F1153" s="738" t="s">
        <v>3390</v>
      </c>
      <c r="G1153" s="740" t="s">
        <v>70</v>
      </c>
      <c r="H1153" s="739" t="s">
        <v>64</v>
      </c>
      <c r="I1153" s="739" t="s">
        <v>3617</v>
      </c>
      <c r="J1153" s="797" t="s">
        <v>474</v>
      </c>
      <c r="K1153" s="795"/>
    </row>
    <row r="1154" spans="1:11" ht="33" customHeight="1">
      <c r="A1154" s="741" t="s">
        <v>4608</v>
      </c>
      <c r="B1154" s="741" t="s">
        <v>5002</v>
      </c>
      <c r="C1154" s="742" t="s">
        <v>3478</v>
      </c>
      <c r="D1154" s="741" t="s">
        <v>3604</v>
      </c>
      <c r="E1154" s="741" t="s">
        <v>2043</v>
      </c>
      <c r="F1154" s="741" t="s">
        <v>3391</v>
      </c>
      <c r="G1154" s="743" t="s">
        <v>57</v>
      </c>
      <c r="H1154" s="742">
        <v>1</v>
      </c>
      <c r="I1154" s="742" t="s">
        <v>5003</v>
      </c>
      <c r="J1154" s="798" t="s">
        <v>5003</v>
      </c>
      <c r="K1154" s="795"/>
    </row>
    <row r="1155" spans="1:11" ht="21.95" customHeight="1">
      <c r="A1155" s="744" t="s">
        <v>4611</v>
      </c>
      <c r="B1155" s="744"/>
      <c r="C1155" s="745" t="s">
        <v>4192</v>
      </c>
      <c r="D1155" s="744" t="s">
        <v>1127</v>
      </c>
      <c r="E1155" s="744" t="s">
        <v>1275</v>
      </c>
      <c r="F1155" s="744" t="s">
        <v>3430</v>
      </c>
      <c r="G1155" s="746" t="s">
        <v>1129</v>
      </c>
      <c r="H1155" s="745" t="s">
        <v>3863</v>
      </c>
      <c r="I1155" s="745" t="s">
        <v>4193</v>
      </c>
      <c r="J1155" s="796">
        <v>9.5399999999999991</v>
      </c>
      <c r="K1155" s="795"/>
    </row>
    <row r="1156" spans="1:11" ht="21.95" customHeight="1">
      <c r="A1156" s="744" t="s">
        <v>4611</v>
      </c>
      <c r="B1156" s="744"/>
      <c r="C1156" s="745" t="s">
        <v>3628</v>
      </c>
      <c r="D1156" s="744" t="s">
        <v>1127</v>
      </c>
      <c r="E1156" s="744" t="s">
        <v>1286</v>
      </c>
      <c r="F1156" s="744" t="s">
        <v>3430</v>
      </c>
      <c r="G1156" s="746" t="s">
        <v>1129</v>
      </c>
      <c r="H1156" s="745" t="s">
        <v>3702</v>
      </c>
      <c r="I1156" s="745" t="s">
        <v>3630</v>
      </c>
      <c r="J1156" s="796">
        <v>14.85</v>
      </c>
      <c r="K1156" s="795"/>
    </row>
    <row r="1157" spans="1:11" ht="21.95" customHeight="1">
      <c r="A1157" s="748" t="s">
        <v>4616</v>
      </c>
      <c r="B1157" s="748"/>
      <c r="C1157" s="749" t="s">
        <v>4194</v>
      </c>
      <c r="D1157" s="748" t="s">
        <v>1127</v>
      </c>
      <c r="E1157" s="748" t="s">
        <v>2045</v>
      </c>
      <c r="F1157" s="748" t="s">
        <v>1187</v>
      </c>
      <c r="G1157" s="750" t="s">
        <v>94</v>
      </c>
      <c r="H1157" s="749" t="s">
        <v>3674</v>
      </c>
      <c r="I1157" s="749" t="s">
        <v>4195</v>
      </c>
      <c r="J1157" s="794">
        <v>1.84</v>
      </c>
      <c r="K1157" s="795"/>
    </row>
    <row r="1158" spans="1:11" ht="21.95" customHeight="1">
      <c r="A1158" s="748" t="s">
        <v>4616</v>
      </c>
      <c r="B1158" s="748"/>
      <c r="C1158" s="749" t="s">
        <v>3737</v>
      </c>
      <c r="D1158" s="748" t="s">
        <v>1127</v>
      </c>
      <c r="E1158" s="748" t="s">
        <v>1162</v>
      </c>
      <c r="F1158" s="748" t="s">
        <v>1187</v>
      </c>
      <c r="G1158" s="750" t="s">
        <v>1163</v>
      </c>
      <c r="H1158" s="749" t="s">
        <v>3798</v>
      </c>
      <c r="I1158" s="749" t="s">
        <v>3739</v>
      </c>
      <c r="J1158" s="794">
        <v>1.51</v>
      </c>
      <c r="K1158" s="795"/>
    </row>
    <row r="1159" spans="1:11" ht="21.95" customHeight="1">
      <c r="A1159" s="748" t="s">
        <v>4616</v>
      </c>
      <c r="B1159" s="748"/>
      <c r="C1159" s="749" t="s">
        <v>4196</v>
      </c>
      <c r="D1159" s="748" t="s">
        <v>3604</v>
      </c>
      <c r="E1159" s="748" t="s">
        <v>2046</v>
      </c>
      <c r="F1159" s="748" t="s">
        <v>1187</v>
      </c>
      <c r="G1159" s="750" t="s">
        <v>57</v>
      </c>
      <c r="H1159" s="749" t="s">
        <v>3610</v>
      </c>
      <c r="I1159" s="749" t="s">
        <v>4197</v>
      </c>
      <c r="J1159" s="794">
        <v>83.1</v>
      </c>
      <c r="K1159" s="795"/>
    </row>
    <row r="1160" spans="1:11" ht="21.95" customHeight="1" thickBot="1">
      <c r="A1160" s="748" t="s">
        <v>4616</v>
      </c>
      <c r="B1160" s="748"/>
      <c r="C1160" s="749" t="s">
        <v>4198</v>
      </c>
      <c r="D1160" s="748" t="s">
        <v>3604</v>
      </c>
      <c r="E1160" s="748" t="s">
        <v>2047</v>
      </c>
      <c r="F1160" s="748" t="s">
        <v>1187</v>
      </c>
      <c r="G1160" s="750" t="s">
        <v>57</v>
      </c>
      <c r="H1160" s="749" t="s">
        <v>3610</v>
      </c>
      <c r="I1160" s="749" t="s">
        <v>5004</v>
      </c>
      <c r="J1160" s="794">
        <v>455.89</v>
      </c>
      <c r="K1160" s="795"/>
    </row>
    <row r="1161" spans="1:11" ht="0.95" customHeight="1" thickTop="1">
      <c r="A1161" s="747"/>
      <c r="B1161" s="747"/>
      <c r="C1161" s="747"/>
      <c r="D1161" s="747"/>
      <c r="E1161" s="747"/>
      <c r="F1161" s="747"/>
      <c r="G1161" s="747"/>
      <c r="H1161" s="747"/>
      <c r="I1161" s="747"/>
      <c r="J1161" s="747"/>
      <c r="K1161" s="747"/>
    </row>
    <row r="1162" spans="1:11" ht="18" customHeight="1">
      <c r="A1162" s="738"/>
      <c r="B1162" s="738" t="s">
        <v>60</v>
      </c>
      <c r="C1162" s="739" t="s">
        <v>3312</v>
      </c>
      <c r="D1162" s="738" t="s">
        <v>3602</v>
      </c>
      <c r="E1162" s="738" t="s">
        <v>3313</v>
      </c>
      <c r="F1162" s="738" t="s">
        <v>3390</v>
      </c>
      <c r="G1162" s="740" t="s">
        <v>70</v>
      </c>
      <c r="H1162" s="739" t="s">
        <v>64</v>
      </c>
      <c r="I1162" s="739" t="s">
        <v>3617</v>
      </c>
      <c r="J1162" s="797" t="s">
        <v>474</v>
      </c>
      <c r="K1162" s="795"/>
    </row>
    <row r="1163" spans="1:11" ht="21.95" customHeight="1">
      <c r="A1163" s="741" t="s">
        <v>4608</v>
      </c>
      <c r="B1163" s="741" t="s">
        <v>5005</v>
      </c>
      <c r="C1163" s="742" t="s">
        <v>3466</v>
      </c>
      <c r="D1163" s="741" t="s">
        <v>3604</v>
      </c>
      <c r="E1163" s="741" t="s">
        <v>2777</v>
      </c>
      <c r="F1163" s="741" t="s">
        <v>3391</v>
      </c>
      <c r="G1163" s="743" t="s">
        <v>57</v>
      </c>
      <c r="H1163" s="742">
        <v>1</v>
      </c>
      <c r="I1163" s="742" t="s">
        <v>4199</v>
      </c>
      <c r="J1163" s="798" t="s">
        <v>4199</v>
      </c>
      <c r="K1163" s="795"/>
    </row>
    <row r="1164" spans="1:11" ht="21.95" customHeight="1">
      <c r="A1164" s="744" t="s">
        <v>4611</v>
      </c>
      <c r="B1164" s="744"/>
      <c r="C1164" s="745" t="s">
        <v>3628</v>
      </c>
      <c r="D1164" s="744" t="s">
        <v>1127</v>
      </c>
      <c r="E1164" s="744" t="s">
        <v>1286</v>
      </c>
      <c r="F1164" s="744" t="s">
        <v>3430</v>
      </c>
      <c r="G1164" s="746" t="s">
        <v>1129</v>
      </c>
      <c r="H1164" s="745" t="s">
        <v>3781</v>
      </c>
      <c r="I1164" s="745" t="s">
        <v>3630</v>
      </c>
      <c r="J1164" s="796">
        <v>8.74</v>
      </c>
      <c r="K1164" s="795"/>
    </row>
    <row r="1165" spans="1:11" ht="21.95" customHeight="1">
      <c r="A1165" s="748" t="s">
        <v>4616</v>
      </c>
      <c r="B1165" s="748"/>
      <c r="C1165" s="749" t="s">
        <v>4172</v>
      </c>
      <c r="D1165" s="748" t="s">
        <v>1127</v>
      </c>
      <c r="E1165" s="748" t="s">
        <v>1297</v>
      </c>
      <c r="F1165" s="748" t="s">
        <v>1187</v>
      </c>
      <c r="G1165" s="750" t="s">
        <v>57</v>
      </c>
      <c r="H1165" s="749" t="s">
        <v>4086</v>
      </c>
      <c r="I1165" s="749" t="s">
        <v>4173</v>
      </c>
      <c r="J1165" s="794">
        <v>0.11</v>
      </c>
      <c r="K1165" s="795"/>
    </row>
    <row r="1166" spans="1:11" ht="21.95" customHeight="1" thickBot="1">
      <c r="A1166" s="748" t="s">
        <v>4616</v>
      </c>
      <c r="B1166" s="748"/>
      <c r="C1166" s="749" t="s">
        <v>4200</v>
      </c>
      <c r="D1166" s="748" t="s">
        <v>1127</v>
      </c>
      <c r="E1166" s="748" t="s">
        <v>1328</v>
      </c>
      <c r="F1166" s="748" t="s">
        <v>1187</v>
      </c>
      <c r="G1166" s="750" t="s">
        <v>57</v>
      </c>
      <c r="H1166" s="749" t="s">
        <v>3610</v>
      </c>
      <c r="I1166" s="749" t="s">
        <v>4201</v>
      </c>
      <c r="J1166" s="794">
        <v>70.06</v>
      </c>
      <c r="K1166" s="795"/>
    </row>
    <row r="1167" spans="1:11" ht="0.95" customHeight="1" thickTop="1">
      <c r="A1167" s="747"/>
      <c r="B1167" s="747"/>
      <c r="C1167" s="747"/>
      <c r="D1167" s="747"/>
      <c r="E1167" s="747"/>
      <c r="F1167" s="747"/>
      <c r="G1167" s="747"/>
      <c r="H1167" s="747"/>
      <c r="I1167" s="747"/>
      <c r="J1167" s="747"/>
      <c r="K1167" s="747"/>
    </row>
    <row r="1168" spans="1:11" ht="18" customHeight="1">
      <c r="A1168" s="738"/>
      <c r="B1168" s="738" t="s">
        <v>60</v>
      </c>
      <c r="C1168" s="739" t="s">
        <v>3312</v>
      </c>
      <c r="D1168" s="738" t="s">
        <v>3602</v>
      </c>
      <c r="E1168" s="738" t="s">
        <v>3313</v>
      </c>
      <c r="F1168" s="738" t="s">
        <v>3390</v>
      </c>
      <c r="G1168" s="740" t="s">
        <v>70</v>
      </c>
      <c r="H1168" s="739" t="s">
        <v>64</v>
      </c>
      <c r="I1168" s="739" t="s">
        <v>3617</v>
      </c>
      <c r="J1168" s="797" t="s">
        <v>474</v>
      </c>
      <c r="K1168" s="795"/>
    </row>
    <row r="1169" spans="1:11" ht="21.95" customHeight="1">
      <c r="A1169" s="741" t="s">
        <v>4608</v>
      </c>
      <c r="B1169" s="741" t="s">
        <v>5006</v>
      </c>
      <c r="C1169" s="742" t="s">
        <v>3494</v>
      </c>
      <c r="D1169" s="741" t="s">
        <v>3604</v>
      </c>
      <c r="E1169" s="741" t="s">
        <v>832</v>
      </c>
      <c r="F1169" s="741" t="s">
        <v>3430</v>
      </c>
      <c r="G1169" s="743" t="s">
        <v>57</v>
      </c>
      <c r="H1169" s="742">
        <v>1</v>
      </c>
      <c r="I1169" s="742" t="s">
        <v>4138</v>
      </c>
      <c r="J1169" s="798" t="s">
        <v>4138</v>
      </c>
      <c r="K1169" s="795"/>
    </row>
    <row r="1170" spans="1:11" ht="21.95" customHeight="1">
      <c r="A1170" s="744" t="s">
        <v>4611</v>
      </c>
      <c r="B1170" s="744"/>
      <c r="C1170" s="745" t="s">
        <v>3631</v>
      </c>
      <c r="D1170" s="744" t="s">
        <v>1127</v>
      </c>
      <c r="E1170" s="744" t="s">
        <v>1145</v>
      </c>
      <c r="F1170" s="744" t="s">
        <v>3430</v>
      </c>
      <c r="G1170" s="746" t="s">
        <v>1129</v>
      </c>
      <c r="H1170" s="745" t="s">
        <v>3784</v>
      </c>
      <c r="I1170" s="745" t="s">
        <v>3632</v>
      </c>
      <c r="J1170" s="796">
        <v>10.24</v>
      </c>
      <c r="K1170" s="795"/>
    </row>
    <row r="1171" spans="1:11" ht="21.95" customHeight="1" thickBot="1">
      <c r="A1171" s="748" t="s">
        <v>4616</v>
      </c>
      <c r="B1171" s="748"/>
      <c r="C1171" s="749" t="s">
        <v>4139</v>
      </c>
      <c r="D1171" s="748" t="s">
        <v>1127</v>
      </c>
      <c r="E1171" s="748" t="s">
        <v>832</v>
      </c>
      <c r="F1171" s="748" t="s">
        <v>1187</v>
      </c>
      <c r="G1171" s="750" t="s">
        <v>57</v>
      </c>
      <c r="H1171" s="749" t="s">
        <v>3610</v>
      </c>
      <c r="I1171" s="749" t="s">
        <v>4140</v>
      </c>
      <c r="J1171" s="794">
        <v>37.840000000000003</v>
      </c>
      <c r="K1171" s="795"/>
    </row>
    <row r="1172" spans="1:11" ht="0.95" customHeight="1" thickTop="1">
      <c r="A1172" s="747"/>
      <c r="B1172" s="747"/>
      <c r="C1172" s="747"/>
      <c r="D1172" s="747"/>
      <c r="E1172" s="747"/>
      <c r="F1172" s="747"/>
      <c r="G1172" s="747"/>
      <c r="H1172" s="747"/>
      <c r="I1172" s="747"/>
      <c r="J1172" s="747"/>
      <c r="K1172" s="747"/>
    </row>
    <row r="1173" spans="1:11" ht="18" customHeight="1">
      <c r="A1173" s="738"/>
      <c r="B1173" s="738" t="s">
        <v>60</v>
      </c>
      <c r="C1173" s="739" t="s">
        <v>3312</v>
      </c>
      <c r="D1173" s="738" t="s">
        <v>3602</v>
      </c>
      <c r="E1173" s="738" t="s">
        <v>3313</v>
      </c>
      <c r="F1173" s="738" t="s">
        <v>3390</v>
      </c>
      <c r="G1173" s="740" t="s">
        <v>70</v>
      </c>
      <c r="H1173" s="739" t="s">
        <v>64</v>
      </c>
      <c r="I1173" s="739" t="s">
        <v>3617</v>
      </c>
      <c r="J1173" s="797" t="s">
        <v>474</v>
      </c>
      <c r="K1173" s="795"/>
    </row>
    <row r="1174" spans="1:11" ht="21.95" customHeight="1">
      <c r="A1174" s="741" t="s">
        <v>4608</v>
      </c>
      <c r="B1174" s="741" t="s">
        <v>5007</v>
      </c>
      <c r="C1174" s="742" t="s">
        <v>3395</v>
      </c>
      <c r="D1174" s="741" t="s">
        <v>3604</v>
      </c>
      <c r="E1174" s="741" t="s">
        <v>879</v>
      </c>
      <c r="F1174" s="741" t="s">
        <v>3391</v>
      </c>
      <c r="G1174" s="743" t="s">
        <v>57</v>
      </c>
      <c r="H1174" s="742">
        <v>1</v>
      </c>
      <c r="I1174" s="742" t="s">
        <v>4202</v>
      </c>
      <c r="J1174" s="798" t="s">
        <v>4202</v>
      </c>
      <c r="K1174" s="795"/>
    </row>
    <row r="1175" spans="1:11" ht="21.95" customHeight="1">
      <c r="A1175" s="744" t="s">
        <v>4611</v>
      </c>
      <c r="B1175" s="744"/>
      <c r="C1175" s="745" t="s">
        <v>3625</v>
      </c>
      <c r="D1175" s="744" t="s">
        <v>1127</v>
      </c>
      <c r="E1175" s="744" t="s">
        <v>1296</v>
      </c>
      <c r="F1175" s="744" t="s">
        <v>3430</v>
      </c>
      <c r="G1175" s="746" t="s">
        <v>1129</v>
      </c>
      <c r="H1175" s="745" t="s">
        <v>3781</v>
      </c>
      <c r="I1175" s="745" t="s">
        <v>3627</v>
      </c>
      <c r="J1175" s="796">
        <v>7.12</v>
      </c>
      <c r="K1175" s="795"/>
    </row>
    <row r="1176" spans="1:11" ht="21.95" customHeight="1">
      <c r="A1176" s="744" t="s">
        <v>4611</v>
      </c>
      <c r="B1176" s="744"/>
      <c r="C1176" s="745" t="s">
        <v>3628</v>
      </c>
      <c r="D1176" s="744" t="s">
        <v>1127</v>
      </c>
      <c r="E1176" s="744" t="s">
        <v>1286</v>
      </c>
      <c r="F1176" s="744" t="s">
        <v>3430</v>
      </c>
      <c r="G1176" s="746" t="s">
        <v>1129</v>
      </c>
      <c r="H1176" s="745" t="s">
        <v>3781</v>
      </c>
      <c r="I1176" s="745" t="s">
        <v>3630</v>
      </c>
      <c r="J1176" s="796">
        <v>8.74</v>
      </c>
      <c r="K1176" s="795"/>
    </row>
    <row r="1177" spans="1:11" ht="21.95" customHeight="1" thickBot="1">
      <c r="A1177" s="748" t="s">
        <v>4616</v>
      </c>
      <c r="B1177" s="748"/>
      <c r="C1177" s="749" t="s">
        <v>4203</v>
      </c>
      <c r="D1177" s="748" t="s">
        <v>1127</v>
      </c>
      <c r="E1177" s="748" t="s">
        <v>1329</v>
      </c>
      <c r="F1177" s="748" t="s">
        <v>1187</v>
      </c>
      <c r="G1177" s="750" t="s">
        <v>57</v>
      </c>
      <c r="H1177" s="749" t="s">
        <v>3610</v>
      </c>
      <c r="I1177" s="749" t="s">
        <v>4204</v>
      </c>
      <c r="J1177" s="794">
        <v>21.1</v>
      </c>
      <c r="K1177" s="795"/>
    </row>
    <row r="1178" spans="1:11" ht="0.95" customHeight="1" thickTop="1">
      <c r="A1178" s="747"/>
      <c r="B1178" s="747"/>
      <c r="C1178" s="747"/>
      <c r="D1178" s="747"/>
      <c r="E1178" s="747"/>
      <c r="F1178" s="747"/>
      <c r="G1178" s="747"/>
      <c r="H1178" s="747"/>
      <c r="I1178" s="747"/>
      <c r="J1178" s="747"/>
      <c r="K1178" s="747"/>
    </row>
    <row r="1179" spans="1:11" ht="18" customHeight="1">
      <c r="A1179" s="738"/>
      <c r="B1179" s="738" t="s">
        <v>60</v>
      </c>
      <c r="C1179" s="739" t="s">
        <v>3312</v>
      </c>
      <c r="D1179" s="738" t="s">
        <v>3602</v>
      </c>
      <c r="E1179" s="738" t="s">
        <v>3313</v>
      </c>
      <c r="F1179" s="738" t="s">
        <v>3390</v>
      </c>
      <c r="G1179" s="740" t="s">
        <v>70</v>
      </c>
      <c r="H1179" s="739" t="s">
        <v>64</v>
      </c>
      <c r="I1179" s="739" t="s">
        <v>3617</v>
      </c>
      <c r="J1179" s="797" t="s">
        <v>474</v>
      </c>
      <c r="K1179" s="795"/>
    </row>
    <row r="1180" spans="1:11" ht="21.95" customHeight="1">
      <c r="A1180" s="741" t="s">
        <v>4608</v>
      </c>
      <c r="B1180" s="741" t="s">
        <v>5008</v>
      </c>
      <c r="C1180" s="742" t="s">
        <v>3401</v>
      </c>
      <c r="D1180" s="741" t="s">
        <v>3604</v>
      </c>
      <c r="E1180" s="741" t="s">
        <v>834</v>
      </c>
      <c r="F1180" s="741" t="s">
        <v>3391</v>
      </c>
      <c r="G1180" s="743" t="s">
        <v>57</v>
      </c>
      <c r="H1180" s="742">
        <v>1</v>
      </c>
      <c r="I1180" s="742" t="s">
        <v>4205</v>
      </c>
      <c r="J1180" s="798" t="s">
        <v>4205</v>
      </c>
      <c r="K1180" s="795"/>
    </row>
    <row r="1181" spans="1:11" ht="21.95" customHeight="1">
      <c r="A1181" s="744" t="s">
        <v>4611</v>
      </c>
      <c r="B1181" s="744"/>
      <c r="C1181" s="745" t="s">
        <v>3625</v>
      </c>
      <c r="D1181" s="744" t="s">
        <v>1127</v>
      </c>
      <c r="E1181" s="744" t="s">
        <v>1296</v>
      </c>
      <c r="F1181" s="744" t="s">
        <v>3430</v>
      </c>
      <c r="G1181" s="746" t="s">
        <v>1129</v>
      </c>
      <c r="H1181" s="745" t="s">
        <v>4206</v>
      </c>
      <c r="I1181" s="745" t="s">
        <v>3627</v>
      </c>
      <c r="J1181" s="796">
        <v>6.55</v>
      </c>
      <c r="K1181" s="795"/>
    </row>
    <row r="1182" spans="1:11" ht="21.95" customHeight="1">
      <c r="A1182" s="744" t="s">
        <v>4611</v>
      </c>
      <c r="B1182" s="744"/>
      <c r="C1182" s="745" t="s">
        <v>3628</v>
      </c>
      <c r="D1182" s="744" t="s">
        <v>1127</v>
      </c>
      <c r="E1182" s="744" t="s">
        <v>1286</v>
      </c>
      <c r="F1182" s="744" t="s">
        <v>3430</v>
      </c>
      <c r="G1182" s="746" t="s">
        <v>1129</v>
      </c>
      <c r="H1182" s="745" t="s">
        <v>4206</v>
      </c>
      <c r="I1182" s="745" t="s">
        <v>3630</v>
      </c>
      <c r="J1182" s="796">
        <v>8.0399999999999991</v>
      </c>
      <c r="K1182" s="795"/>
    </row>
    <row r="1183" spans="1:11" ht="21.95" customHeight="1">
      <c r="A1183" s="748" t="s">
        <v>4616</v>
      </c>
      <c r="B1183" s="748"/>
      <c r="C1183" s="749" t="s">
        <v>4207</v>
      </c>
      <c r="D1183" s="748" t="s">
        <v>1127</v>
      </c>
      <c r="E1183" s="748" t="s">
        <v>1330</v>
      </c>
      <c r="F1183" s="748" t="s">
        <v>1187</v>
      </c>
      <c r="G1183" s="750" t="s">
        <v>57</v>
      </c>
      <c r="H1183" s="749" t="s">
        <v>3610</v>
      </c>
      <c r="I1183" s="749" t="s">
        <v>4208</v>
      </c>
      <c r="J1183" s="794">
        <v>1.98</v>
      </c>
      <c r="K1183" s="795"/>
    </row>
    <row r="1184" spans="1:11" ht="21.95" customHeight="1">
      <c r="A1184" s="748" t="s">
        <v>4616</v>
      </c>
      <c r="B1184" s="748"/>
      <c r="C1184" s="749" t="s">
        <v>4209</v>
      </c>
      <c r="D1184" s="748" t="s">
        <v>1127</v>
      </c>
      <c r="E1184" s="748" t="s">
        <v>1292</v>
      </c>
      <c r="F1184" s="748" t="s">
        <v>1187</v>
      </c>
      <c r="G1184" s="750" t="s">
        <v>57</v>
      </c>
      <c r="H1184" s="749" t="s">
        <v>3610</v>
      </c>
      <c r="I1184" s="749" t="s">
        <v>3768</v>
      </c>
      <c r="J1184" s="794">
        <v>1.1100000000000001</v>
      </c>
      <c r="K1184" s="795"/>
    </row>
    <row r="1185" spans="1:11" ht="21.95" customHeight="1">
      <c r="A1185" s="748" t="s">
        <v>4616</v>
      </c>
      <c r="B1185" s="748"/>
      <c r="C1185" s="749" t="s">
        <v>4210</v>
      </c>
      <c r="D1185" s="748" t="s">
        <v>1127</v>
      </c>
      <c r="E1185" s="748" t="s">
        <v>4211</v>
      </c>
      <c r="F1185" s="748" t="s">
        <v>1187</v>
      </c>
      <c r="G1185" s="750" t="s">
        <v>57</v>
      </c>
      <c r="H1185" s="749" t="s">
        <v>3610</v>
      </c>
      <c r="I1185" s="749" t="s">
        <v>4212</v>
      </c>
      <c r="J1185" s="794">
        <v>14.34</v>
      </c>
      <c r="K1185" s="795"/>
    </row>
    <row r="1186" spans="1:11" ht="33" customHeight="1" thickBot="1">
      <c r="A1186" s="748" t="s">
        <v>4616</v>
      </c>
      <c r="B1186" s="748"/>
      <c r="C1186" s="749" t="s">
        <v>4213</v>
      </c>
      <c r="D1186" s="748" t="s">
        <v>1127</v>
      </c>
      <c r="E1186" s="748" t="s">
        <v>1291</v>
      </c>
      <c r="F1186" s="748" t="s">
        <v>1187</v>
      </c>
      <c r="G1186" s="750" t="s">
        <v>57</v>
      </c>
      <c r="H1186" s="749" t="s">
        <v>3727</v>
      </c>
      <c r="I1186" s="749" t="s">
        <v>4214</v>
      </c>
      <c r="J1186" s="794">
        <v>0.66</v>
      </c>
      <c r="K1186" s="795"/>
    </row>
    <row r="1187" spans="1:11" ht="0.95" customHeight="1" thickTop="1">
      <c r="A1187" s="747"/>
      <c r="B1187" s="747"/>
      <c r="C1187" s="747"/>
      <c r="D1187" s="747"/>
      <c r="E1187" s="747"/>
      <c r="F1187" s="747"/>
      <c r="G1187" s="747"/>
      <c r="H1187" s="747"/>
      <c r="I1187" s="747"/>
      <c r="J1187" s="747"/>
      <c r="K1187" s="747"/>
    </row>
    <row r="1188" spans="1:11" ht="18" customHeight="1">
      <c r="A1188" s="738"/>
      <c r="B1188" s="738" t="s">
        <v>60</v>
      </c>
      <c r="C1188" s="739" t="s">
        <v>3312</v>
      </c>
      <c r="D1188" s="738" t="s">
        <v>3602</v>
      </c>
      <c r="E1188" s="738" t="s">
        <v>3313</v>
      </c>
      <c r="F1188" s="738" t="s">
        <v>3390</v>
      </c>
      <c r="G1188" s="740" t="s">
        <v>70</v>
      </c>
      <c r="H1188" s="739" t="s">
        <v>64</v>
      </c>
      <c r="I1188" s="739" t="s">
        <v>3617</v>
      </c>
      <c r="J1188" s="797" t="s">
        <v>474</v>
      </c>
      <c r="K1188" s="795"/>
    </row>
    <row r="1189" spans="1:11" ht="21.95" customHeight="1">
      <c r="A1189" s="741" t="s">
        <v>4608</v>
      </c>
      <c r="B1189" s="741" t="s">
        <v>5009</v>
      </c>
      <c r="C1189" s="742" t="s">
        <v>3397</v>
      </c>
      <c r="D1189" s="741" t="s">
        <v>3604</v>
      </c>
      <c r="E1189" s="741" t="s">
        <v>5010</v>
      </c>
      <c r="F1189" s="741" t="s">
        <v>3391</v>
      </c>
      <c r="G1189" s="743" t="s">
        <v>57</v>
      </c>
      <c r="H1189" s="742">
        <v>1</v>
      </c>
      <c r="I1189" s="742" t="s">
        <v>4215</v>
      </c>
      <c r="J1189" s="798" t="s">
        <v>4215</v>
      </c>
      <c r="K1189" s="795"/>
    </row>
    <row r="1190" spans="1:11" ht="21.95" customHeight="1">
      <c r="A1190" s="744" t="s">
        <v>4611</v>
      </c>
      <c r="B1190" s="744"/>
      <c r="C1190" s="745" t="s">
        <v>3625</v>
      </c>
      <c r="D1190" s="744" t="s">
        <v>1127</v>
      </c>
      <c r="E1190" s="744" t="s">
        <v>1296</v>
      </c>
      <c r="F1190" s="744" t="s">
        <v>3430</v>
      </c>
      <c r="G1190" s="746" t="s">
        <v>1129</v>
      </c>
      <c r="H1190" s="745" t="s">
        <v>4216</v>
      </c>
      <c r="I1190" s="745" t="s">
        <v>3627</v>
      </c>
      <c r="J1190" s="796">
        <v>5.27</v>
      </c>
      <c r="K1190" s="795"/>
    </row>
    <row r="1191" spans="1:11" ht="21.95" customHeight="1">
      <c r="A1191" s="744" t="s">
        <v>4611</v>
      </c>
      <c r="B1191" s="744"/>
      <c r="C1191" s="745" t="s">
        <v>3628</v>
      </c>
      <c r="D1191" s="744" t="s">
        <v>1127</v>
      </c>
      <c r="E1191" s="744" t="s">
        <v>1286</v>
      </c>
      <c r="F1191" s="744" t="s">
        <v>3430</v>
      </c>
      <c r="G1191" s="746" t="s">
        <v>1129</v>
      </c>
      <c r="H1191" s="745" t="s">
        <v>4216</v>
      </c>
      <c r="I1191" s="745" t="s">
        <v>3630</v>
      </c>
      <c r="J1191" s="796">
        <v>6.46</v>
      </c>
      <c r="K1191" s="795"/>
    </row>
    <row r="1192" spans="1:11" ht="21.95" customHeight="1">
      <c r="A1192" s="748" t="s">
        <v>4616</v>
      </c>
      <c r="B1192" s="748"/>
      <c r="C1192" s="749" t="s">
        <v>4217</v>
      </c>
      <c r="D1192" s="748" t="s">
        <v>1127</v>
      </c>
      <c r="E1192" s="748" t="s">
        <v>1331</v>
      </c>
      <c r="F1192" s="748" t="s">
        <v>1187</v>
      </c>
      <c r="G1192" s="750" t="s">
        <v>57</v>
      </c>
      <c r="H1192" s="749" t="s">
        <v>3610</v>
      </c>
      <c r="I1192" s="749" t="s">
        <v>4218</v>
      </c>
      <c r="J1192" s="794">
        <v>1.57</v>
      </c>
      <c r="K1192" s="795"/>
    </row>
    <row r="1193" spans="1:11" ht="21.95" customHeight="1">
      <c r="A1193" s="748" t="s">
        <v>4616</v>
      </c>
      <c r="B1193" s="748"/>
      <c r="C1193" s="749" t="s">
        <v>4209</v>
      </c>
      <c r="D1193" s="748" t="s">
        <v>1127</v>
      </c>
      <c r="E1193" s="748" t="s">
        <v>1292</v>
      </c>
      <c r="F1193" s="748" t="s">
        <v>1187</v>
      </c>
      <c r="G1193" s="750" t="s">
        <v>57</v>
      </c>
      <c r="H1193" s="749" t="s">
        <v>3610</v>
      </c>
      <c r="I1193" s="749" t="s">
        <v>3768</v>
      </c>
      <c r="J1193" s="794">
        <v>1.1100000000000001</v>
      </c>
      <c r="K1193" s="795"/>
    </row>
    <row r="1194" spans="1:11" ht="21.95" customHeight="1">
      <c r="A1194" s="748" t="s">
        <v>4616</v>
      </c>
      <c r="B1194" s="748"/>
      <c r="C1194" s="749" t="s">
        <v>4219</v>
      </c>
      <c r="D1194" s="748" t="s">
        <v>1127</v>
      </c>
      <c r="E1194" s="748" t="s">
        <v>4220</v>
      </c>
      <c r="F1194" s="748" t="s">
        <v>1187</v>
      </c>
      <c r="G1194" s="750" t="s">
        <v>57</v>
      </c>
      <c r="H1194" s="749" t="s">
        <v>3610</v>
      </c>
      <c r="I1194" s="749" t="s">
        <v>4221</v>
      </c>
      <c r="J1194" s="794">
        <v>10.49</v>
      </c>
      <c r="K1194" s="795"/>
    </row>
    <row r="1195" spans="1:11" ht="33" customHeight="1" thickBot="1">
      <c r="A1195" s="748" t="s">
        <v>4616</v>
      </c>
      <c r="B1195" s="748"/>
      <c r="C1195" s="749" t="s">
        <v>4213</v>
      </c>
      <c r="D1195" s="748" t="s">
        <v>1127</v>
      </c>
      <c r="E1195" s="748" t="s">
        <v>1291</v>
      </c>
      <c r="F1195" s="748" t="s">
        <v>1187</v>
      </c>
      <c r="G1195" s="750" t="s">
        <v>57</v>
      </c>
      <c r="H1195" s="749" t="s">
        <v>4189</v>
      </c>
      <c r="I1195" s="749" t="s">
        <v>4214</v>
      </c>
      <c r="J1195" s="794">
        <v>0.49</v>
      </c>
      <c r="K1195" s="795"/>
    </row>
    <row r="1196" spans="1:11" ht="0.95" customHeight="1" thickTop="1">
      <c r="A1196" s="747"/>
      <c r="B1196" s="747"/>
      <c r="C1196" s="747"/>
      <c r="D1196" s="747"/>
      <c r="E1196" s="747"/>
      <c r="F1196" s="747"/>
      <c r="G1196" s="747"/>
      <c r="H1196" s="747"/>
      <c r="I1196" s="747"/>
      <c r="J1196" s="747"/>
      <c r="K1196" s="747"/>
    </row>
    <row r="1197" spans="1:11" ht="18" customHeight="1">
      <c r="A1197" s="738"/>
      <c r="B1197" s="738" t="s">
        <v>60</v>
      </c>
      <c r="C1197" s="739" t="s">
        <v>3312</v>
      </c>
      <c r="D1197" s="738" t="s">
        <v>3602</v>
      </c>
      <c r="E1197" s="738" t="s">
        <v>3313</v>
      </c>
      <c r="F1197" s="738" t="s">
        <v>3390</v>
      </c>
      <c r="G1197" s="740" t="s">
        <v>70</v>
      </c>
      <c r="H1197" s="739" t="s">
        <v>64</v>
      </c>
      <c r="I1197" s="739" t="s">
        <v>3617</v>
      </c>
      <c r="J1197" s="797" t="s">
        <v>474</v>
      </c>
      <c r="K1197" s="795"/>
    </row>
    <row r="1198" spans="1:11" ht="21.95" customHeight="1">
      <c r="A1198" s="741" t="s">
        <v>4608</v>
      </c>
      <c r="B1198" s="741" t="s">
        <v>5011</v>
      </c>
      <c r="C1198" s="742" t="s">
        <v>3399</v>
      </c>
      <c r="D1198" s="741" t="s">
        <v>3604</v>
      </c>
      <c r="E1198" s="741" t="s">
        <v>2794</v>
      </c>
      <c r="F1198" s="741" t="s">
        <v>3391</v>
      </c>
      <c r="G1198" s="743" t="s">
        <v>57</v>
      </c>
      <c r="H1198" s="742">
        <v>1</v>
      </c>
      <c r="I1198" s="742" t="s">
        <v>4222</v>
      </c>
      <c r="J1198" s="798" t="s">
        <v>4222</v>
      </c>
      <c r="K1198" s="795"/>
    </row>
    <row r="1199" spans="1:11" ht="21.95" customHeight="1">
      <c r="A1199" s="744" t="s">
        <v>4611</v>
      </c>
      <c r="B1199" s="744"/>
      <c r="C1199" s="745" t="s">
        <v>3633</v>
      </c>
      <c r="D1199" s="744" t="s">
        <v>1127</v>
      </c>
      <c r="E1199" s="744" t="s">
        <v>1146</v>
      </c>
      <c r="F1199" s="744" t="s">
        <v>3430</v>
      </c>
      <c r="G1199" s="746" t="s">
        <v>1129</v>
      </c>
      <c r="H1199" s="745" t="s">
        <v>4085</v>
      </c>
      <c r="I1199" s="745" t="s">
        <v>3635</v>
      </c>
      <c r="J1199" s="796">
        <v>3.19</v>
      </c>
      <c r="K1199" s="795"/>
    </row>
    <row r="1200" spans="1:11" ht="21.95" customHeight="1">
      <c r="A1200" s="744" t="s">
        <v>4611</v>
      </c>
      <c r="B1200" s="744"/>
      <c r="C1200" s="745" t="s">
        <v>3628</v>
      </c>
      <c r="D1200" s="744" t="s">
        <v>1127</v>
      </c>
      <c r="E1200" s="744" t="s">
        <v>1286</v>
      </c>
      <c r="F1200" s="744" t="s">
        <v>3430</v>
      </c>
      <c r="G1200" s="746" t="s">
        <v>1129</v>
      </c>
      <c r="H1200" s="745" t="s">
        <v>4085</v>
      </c>
      <c r="I1200" s="745" t="s">
        <v>3630</v>
      </c>
      <c r="J1200" s="796">
        <v>4.0199999999999996</v>
      </c>
      <c r="K1200" s="795"/>
    </row>
    <row r="1201" spans="1:11" ht="21.95" customHeight="1">
      <c r="A1201" s="748" t="s">
        <v>4616</v>
      </c>
      <c r="B1201" s="748"/>
      <c r="C1201" s="749" t="s">
        <v>4047</v>
      </c>
      <c r="D1201" s="748" t="s">
        <v>1127</v>
      </c>
      <c r="E1201" s="748" t="s">
        <v>1287</v>
      </c>
      <c r="F1201" s="748" t="s">
        <v>1187</v>
      </c>
      <c r="G1201" s="750" t="s">
        <v>57</v>
      </c>
      <c r="H1201" s="749" t="s">
        <v>4092</v>
      </c>
      <c r="I1201" s="749" t="s">
        <v>4049</v>
      </c>
      <c r="J1201" s="794">
        <v>1.49</v>
      </c>
      <c r="K1201" s="795"/>
    </row>
    <row r="1202" spans="1:11" ht="21.95" customHeight="1">
      <c r="A1202" s="748" t="s">
        <v>4616</v>
      </c>
      <c r="B1202" s="748"/>
      <c r="C1202" s="749" t="s">
        <v>4052</v>
      </c>
      <c r="D1202" s="748" t="s">
        <v>1127</v>
      </c>
      <c r="E1202" s="748" t="s">
        <v>1288</v>
      </c>
      <c r="F1202" s="748" t="s">
        <v>1187</v>
      </c>
      <c r="G1202" s="750" t="s">
        <v>57</v>
      </c>
      <c r="H1202" s="749" t="s">
        <v>4223</v>
      </c>
      <c r="I1202" s="749" t="s">
        <v>4053</v>
      </c>
      <c r="J1202" s="794">
        <v>2</v>
      </c>
      <c r="K1202" s="795"/>
    </row>
    <row r="1203" spans="1:11" ht="21.95" customHeight="1" thickBot="1">
      <c r="A1203" s="748" t="s">
        <v>4616</v>
      </c>
      <c r="B1203" s="748"/>
      <c r="C1203" s="749" t="s">
        <v>4224</v>
      </c>
      <c r="D1203" s="748" t="s">
        <v>1127</v>
      </c>
      <c r="E1203" s="748" t="s">
        <v>1332</v>
      </c>
      <c r="F1203" s="748" t="s">
        <v>1187</v>
      </c>
      <c r="G1203" s="750" t="s">
        <v>57</v>
      </c>
      <c r="H1203" s="749" t="s">
        <v>3610</v>
      </c>
      <c r="I1203" s="749" t="s">
        <v>4225</v>
      </c>
      <c r="J1203" s="794">
        <v>1.88</v>
      </c>
      <c r="K1203" s="795"/>
    </row>
    <row r="1204" spans="1:11" ht="0.95" customHeight="1" thickTop="1">
      <c r="A1204" s="747"/>
      <c r="B1204" s="747"/>
      <c r="C1204" s="747"/>
      <c r="D1204" s="747"/>
      <c r="E1204" s="747"/>
      <c r="F1204" s="747"/>
      <c r="G1204" s="747"/>
      <c r="H1204" s="747"/>
      <c r="I1204" s="747"/>
      <c r="J1204" s="747"/>
      <c r="K1204" s="747"/>
    </row>
    <row r="1205" spans="1:11" ht="18" customHeight="1">
      <c r="A1205" s="738"/>
      <c r="B1205" s="738" t="s">
        <v>60</v>
      </c>
      <c r="C1205" s="739" t="s">
        <v>3312</v>
      </c>
      <c r="D1205" s="738" t="s">
        <v>3602</v>
      </c>
      <c r="E1205" s="738" t="s">
        <v>3313</v>
      </c>
      <c r="F1205" s="738" t="s">
        <v>3390</v>
      </c>
      <c r="G1205" s="740" t="s">
        <v>70</v>
      </c>
      <c r="H1205" s="739" t="s">
        <v>64</v>
      </c>
      <c r="I1205" s="739" t="s">
        <v>3617</v>
      </c>
      <c r="J1205" s="797" t="s">
        <v>474</v>
      </c>
      <c r="K1205" s="795"/>
    </row>
    <row r="1206" spans="1:11" ht="21.95" customHeight="1">
      <c r="A1206" s="741" t="s">
        <v>4608</v>
      </c>
      <c r="B1206" s="741" t="s">
        <v>5012</v>
      </c>
      <c r="C1206" s="742" t="s">
        <v>3403</v>
      </c>
      <c r="D1206" s="741" t="s">
        <v>3604</v>
      </c>
      <c r="E1206" s="741" t="s">
        <v>887</v>
      </c>
      <c r="F1206" s="741" t="s">
        <v>3391</v>
      </c>
      <c r="G1206" s="743" t="s">
        <v>57</v>
      </c>
      <c r="H1206" s="742">
        <v>1</v>
      </c>
      <c r="I1206" s="742" t="s">
        <v>4226</v>
      </c>
      <c r="J1206" s="798" t="s">
        <v>4226</v>
      </c>
      <c r="K1206" s="795"/>
    </row>
    <row r="1207" spans="1:11" ht="21.95" customHeight="1">
      <c r="A1207" s="744" t="s">
        <v>4611</v>
      </c>
      <c r="B1207" s="744"/>
      <c r="C1207" s="745" t="s">
        <v>3628</v>
      </c>
      <c r="D1207" s="744" t="s">
        <v>1127</v>
      </c>
      <c r="E1207" s="744" t="s">
        <v>1286</v>
      </c>
      <c r="F1207" s="744" t="s">
        <v>3430</v>
      </c>
      <c r="G1207" s="746" t="s">
        <v>1129</v>
      </c>
      <c r="H1207" s="745" t="s">
        <v>4017</v>
      </c>
      <c r="I1207" s="745" t="s">
        <v>3630</v>
      </c>
      <c r="J1207" s="796">
        <v>1.22</v>
      </c>
      <c r="K1207" s="795"/>
    </row>
    <row r="1208" spans="1:11" ht="21.95" customHeight="1">
      <c r="A1208" s="744" t="s">
        <v>4611</v>
      </c>
      <c r="B1208" s="744"/>
      <c r="C1208" s="745" t="s">
        <v>3633</v>
      </c>
      <c r="D1208" s="744" t="s">
        <v>1127</v>
      </c>
      <c r="E1208" s="744" t="s">
        <v>1146</v>
      </c>
      <c r="F1208" s="744" t="s">
        <v>3430</v>
      </c>
      <c r="G1208" s="746" t="s">
        <v>1129</v>
      </c>
      <c r="H1208" s="745" t="s">
        <v>4017</v>
      </c>
      <c r="I1208" s="745" t="s">
        <v>3635</v>
      </c>
      <c r="J1208" s="796">
        <v>0.97</v>
      </c>
      <c r="K1208" s="795"/>
    </row>
    <row r="1209" spans="1:11" ht="21.95" customHeight="1">
      <c r="A1209" s="748" t="s">
        <v>4616</v>
      </c>
      <c r="B1209" s="748"/>
      <c r="C1209" s="749" t="s">
        <v>4227</v>
      </c>
      <c r="D1209" s="748" t="s">
        <v>1127</v>
      </c>
      <c r="E1209" s="748" t="s">
        <v>1334</v>
      </c>
      <c r="F1209" s="748" t="s">
        <v>1187</v>
      </c>
      <c r="G1209" s="750" t="s">
        <v>57</v>
      </c>
      <c r="H1209" s="749" t="s">
        <v>3610</v>
      </c>
      <c r="I1209" s="749" t="s">
        <v>4228</v>
      </c>
      <c r="J1209" s="794">
        <v>5.42</v>
      </c>
      <c r="K1209" s="795"/>
    </row>
    <row r="1210" spans="1:11" ht="21.95" customHeight="1">
      <c r="A1210" s="748" t="s">
        <v>4616</v>
      </c>
      <c r="B1210" s="748"/>
      <c r="C1210" s="749" t="s">
        <v>4209</v>
      </c>
      <c r="D1210" s="748" t="s">
        <v>1127</v>
      </c>
      <c r="E1210" s="748" t="s">
        <v>1292</v>
      </c>
      <c r="F1210" s="748" t="s">
        <v>1187</v>
      </c>
      <c r="G1210" s="750" t="s">
        <v>57</v>
      </c>
      <c r="H1210" s="749" t="s">
        <v>3610</v>
      </c>
      <c r="I1210" s="749" t="s">
        <v>3768</v>
      </c>
      <c r="J1210" s="794">
        <v>1.1100000000000001</v>
      </c>
      <c r="K1210" s="795"/>
    </row>
    <row r="1211" spans="1:11" ht="33" customHeight="1" thickBot="1">
      <c r="A1211" s="748" t="s">
        <v>4616</v>
      </c>
      <c r="B1211" s="748"/>
      <c r="C1211" s="749" t="s">
        <v>4213</v>
      </c>
      <c r="D1211" s="748" t="s">
        <v>1127</v>
      </c>
      <c r="E1211" s="748" t="s">
        <v>1291</v>
      </c>
      <c r="F1211" s="748" t="s">
        <v>1187</v>
      </c>
      <c r="G1211" s="750" t="s">
        <v>57</v>
      </c>
      <c r="H1211" s="749" t="s">
        <v>4229</v>
      </c>
      <c r="I1211" s="749" t="s">
        <v>4214</v>
      </c>
      <c r="J1211" s="794">
        <v>0.13</v>
      </c>
      <c r="K1211" s="795"/>
    </row>
    <row r="1212" spans="1:11" ht="0.95" customHeight="1" thickTop="1">
      <c r="A1212" s="747"/>
      <c r="B1212" s="747"/>
      <c r="C1212" s="747"/>
      <c r="D1212" s="747"/>
      <c r="E1212" s="747"/>
      <c r="F1212" s="747"/>
      <c r="G1212" s="747"/>
      <c r="H1212" s="747"/>
      <c r="I1212" s="747"/>
      <c r="J1212" s="747"/>
      <c r="K1212" s="747"/>
    </row>
    <row r="1213" spans="1:11" ht="18" customHeight="1">
      <c r="A1213" s="738"/>
      <c r="B1213" s="738" t="s">
        <v>60</v>
      </c>
      <c r="C1213" s="739" t="s">
        <v>3312</v>
      </c>
      <c r="D1213" s="738" t="s">
        <v>3602</v>
      </c>
      <c r="E1213" s="738" t="s">
        <v>3313</v>
      </c>
      <c r="F1213" s="738" t="s">
        <v>3390</v>
      </c>
      <c r="G1213" s="740" t="s">
        <v>70</v>
      </c>
      <c r="H1213" s="739" t="s">
        <v>64</v>
      </c>
      <c r="I1213" s="739" t="s">
        <v>3617</v>
      </c>
      <c r="J1213" s="797" t="s">
        <v>474</v>
      </c>
      <c r="K1213" s="795"/>
    </row>
    <row r="1214" spans="1:11" ht="21.95" customHeight="1">
      <c r="A1214" s="741" t="s">
        <v>4608</v>
      </c>
      <c r="B1214" s="741" t="s">
        <v>5013</v>
      </c>
      <c r="C1214" s="742" t="s">
        <v>5014</v>
      </c>
      <c r="D1214" s="741" t="s">
        <v>3604</v>
      </c>
      <c r="E1214" s="741" t="s">
        <v>890</v>
      </c>
      <c r="F1214" s="741" t="s">
        <v>3391</v>
      </c>
      <c r="G1214" s="743" t="s">
        <v>57</v>
      </c>
      <c r="H1214" s="742">
        <v>1</v>
      </c>
      <c r="I1214" s="742" t="s">
        <v>5015</v>
      </c>
      <c r="J1214" s="798" t="s">
        <v>5015</v>
      </c>
      <c r="K1214" s="795"/>
    </row>
    <row r="1215" spans="1:11" ht="33" customHeight="1">
      <c r="A1215" s="744" t="s">
        <v>4611</v>
      </c>
      <c r="B1215" s="744"/>
      <c r="C1215" s="745" t="s">
        <v>4105</v>
      </c>
      <c r="D1215" s="744" t="s">
        <v>1127</v>
      </c>
      <c r="E1215" s="744" t="s">
        <v>4106</v>
      </c>
      <c r="F1215" s="744" t="s">
        <v>3410</v>
      </c>
      <c r="G1215" s="746" t="s">
        <v>284</v>
      </c>
      <c r="H1215" s="745" t="s">
        <v>5016</v>
      </c>
      <c r="I1215" s="745" t="s">
        <v>4953</v>
      </c>
      <c r="J1215" s="796">
        <v>848</v>
      </c>
      <c r="K1215" s="795"/>
    </row>
    <row r="1216" spans="1:11" ht="44.1" customHeight="1">
      <c r="A1216" s="744" t="s">
        <v>4611</v>
      </c>
      <c r="B1216" s="744"/>
      <c r="C1216" s="745" t="s">
        <v>4231</v>
      </c>
      <c r="D1216" s="744" t="s">
        <v>1127</v>
      </c>
      <c r="E1216" s="744" t="s">
        <v>1335</v>
      </c>
      <c r="F1216" s="744" t="s">
        <v>3426</v>
      </c>
      <c r="G1216" s="746" t="s">
        <v>284</v>
      </c>
      <c r="H1216" s="745" t="s">
        <v>3926</v>
      </c>
      <c r="I1216" s="745" t="s">
        <v>5017</v>
      </c>
      <c r="J1216" s="796">
        <v>90.01</v>
      </c>
      <c r="K1216" s="795"/>
    </row>
    <row r="1217" spans="1:11" ht="21.95" customHeight="1">
      <c r="A1217" s="744" t="s">
        <v>4611</v>
      </c>
      <c r="B1217" s="744"/>
      <c r="C1217" s="745" t="s">
        <v>4232</v>
      </c>
      <c r="D1217" s="744" t="s">
        <v>1127</v>
      </c>
      <c r="E1217" s="744" t="s">
        <v>1295</v>
      </c>
      <c r="F1217" s="744" t="s">
        <v>3426</v>
      </c>
      <c r="G1217" s="746" t="s">
        <v>284</v>
      </c>
      <c r="H1217" s="745" t="s">
        <v>5018</v>
      </c>
      <c r="I1217" s="745" t="s">
        <v>4234</v>
      </c>
      <c r="J1217" s="796">
        <v>114.27</v>
      </c>
      <c r="K1217" s="795"/>
    </row>
    <row r="1218" spans="1:11" ht="21.95" customHeight="1">
      <c r="A1218" s="744" t="s">
        <v>4611</v>
      </c>
      <c r="B1218" s="744"/>
      <c r="C1218" s="745" t="s">
        <v>4107</v>
      </c>
      <c r="D1218" s="744" t="s">
        <v>1127</v>
      </c>
      <c r="E1218" s="744" t="s">
        <v>2023</v>
      </c>
      <c r="F1218" s="744" t="s">
        <v>3410</v>
      </c>
      <c r="G1218" s="746" t="s">
        <v>284</v>
      </c>
      <c r="H1218" s="745" t="s">
        <v>5016</v>
      </c>
      <c r="I1218" s="745" t="s">
        <v>4954</v>
      </c>
      <c r="J1218" s="796">
        <v>257.60000000000002</v>
      </c>
      <c r="K1218" s="795"/>
    </row>
    <row r="1219" spans="1:11" ht="21.95" customHeight="1">
      <c r="A1219" s="744" t="s">
        <v>4611</v>
      </c>
      <c r="B1219" s="744"/>
      <c r="C1219" s="745" t="s">
        <v>3968</v>
      </c>
      <c r="D1219" s="744" t="s">
        <v>1127</v>
      </c>
      <c r="E1219" s="744" t="s">
        <v>524</v>
      </c>
      <c r="F1219" s="744" t="s">
        <v>3426</v>
      </c>
      <c r="G1219" s="746" t="s">
        <v>284</v>
      </c>
      <c r="H1219" s="745" t="s">
        <v>5019</v>
      </c>
      <c r="I1219" s="745" t="s">
        <v>4888</v>
      </c>
      <c r="J1219" s="796">
        <v>978.31</v>
      </c>
      <c r="K1219" s="795"/>
    </row>
    <row r="1220" spans="1:11" ht="21.95" customHeight="1">
      <c r="A1220" s="744" t="s">
        <v>4611</v>
      </c>
      <c r="B1220" s="744"/>
      <c r="C1220" s="745" t="s">
        <v>4109</v>
      </c>
      <c r="D1220" s="744" t="s">
        <v>1127</v>
      </c>
      <c r="E1220" s="744" t="s">
        <v>4110</v>
      </c>
      <c r="F1220" s="744" t="s">
        <v>3410</v>
      </c>
      <c r="G1220" s="746" t="s">
        <v>108</v>
      </c>
      <c r="H1220" s="745" t="s">
        <v>5020</v>
      </c>
      <c r="I1220" s="745" t="s">
        <v>4956</v>
      </c>
      <c r="J1220" s="796">
        <v>423.57</v>
      </c>
      <c r="K1220" s="795"/>
    </row>
    <row r="1221" spans="1:11" ht="21.95" customHeight="1">
      <c r="A1221" s="744" t="s">
        <v>4611</v>
      </c>
      <c r="B1221" s="744"/>
      <c r="C1221" s="745" t="s">
        <v>4237</v>
      </c>
      <c r="D1221" s="744" t="s">
        <v>1127</v>
      </c>
      <c r="E1221" s="744" t="s">
        <v>1336</v>
      </c>
      <c r="F1221" s="744" t="s">
        <v>3410</v>
      </c>
      <c r="G1221" s="746" t="s">
        <v>94</v>
      </c>
      <c r="H1221" s="745" t="s">
        <v>3895</v>
      </c>
      <c r="I1221" s="745" t="s">
        <v>4239</v>
      </c>
      <c r="J1221" s="796">
        <v>185.33</v>
      </c>
      <c r="K1221" s="795"/>
    </row>
    <row r="1222" spans="1:11" ht="44.1" customHeight="1">
      <c r="A1222" s="744" t="s">
        <v>4611</v>
      </c>
      <c r="B1222" s="744"/>
      <c r="C1222" s="745" t="s">
        <v>4128</v>
      </c>
      <c r="D1222" s="744" t="s">
        <v>1127</v>
      </c>
      <c r="E1222" s="744" t="s">
        <v>4959</v>
      </c>
      <c r="F1222" s="744" t="s">
        <v>3410</v>
      </c>
      <c r="G1222" s="746" t="s">
        <v>94</v>
      </c>
      <c r="H1222" s="745" t="s">
        <v>5021</v>
      </c>
      <c r="I1222" s="745" t="s">
        <v>3712</v>
      </c>
      <c r="J1222" s="796">
        <v>657.07</v>
      </c>
      <c r="K1222" s="795"/>
    </row>
    <row r="1223" spans="1:11" ht="44.1" customHeight="1">
      <c r="A1223" s="744" t="s">
        <v>4611</v>
      </c>
      <c r="B1223" s="744"/>
      <c r="C1223" s="745" t="s">
        <v>3961</v>
      </c>
      <c r="D1223" s="744" t="s">
        <v>1127</v>
      </c>
      <c r="E1223" s="744" t="s">
        <v>4705</v>
      </c>
      <c r="F1223" s="744" t="s">
        <v>3410</v>
      </c>
      <c r="G1223" s="746" t="s">
        <v>94</v>
      </c>
      <c r="H1223" s="745" t="s">
        <v>5022</v>
      </c>
      <c r="I1223" s="745" t="s">
        <v>3963</v>
      </c>
      <c r="J1223" s="796">
        <v>261.36</v>
      </c>
      <c r="K1223" s="795"/>
    </row>
    <row r="1224" spans="1:11" ht="44.1" customHeight="1">
      <c r="A1224" s="744" t="s">
        <v>4611</v>
      </c>
      <c r="B1224" s="744"/>
      <c r="C1224" s="745" t="s">
        <v>4242</v>
      </c>
      <c r="D1224" s="744" t="s">
        <v>1127</v>
      </c>
      <c r="E1224" s="744" t="s">
        <v>1337</v>
      </c>
      <c r="F1224" s="744" t="s">
        <v>3438</v>
      </c>
      <c r="G1224" s="746" t="s">
        <v>57</v>
      </c>
      <c r="H1224" s="745" t="s">
        <v>3714</v>
      </c>
      <c r="I1224" s="745" t="s">
        <v>5023</v>
      </c>
      <c r="J1224" s="796">
        <v>798.06</v>
      </c>
      <c r="K1224" s="795"/>
    </row>
    <row r="1225" spans="1:11" ht="33" customHeight="1">
      <c r="A1225" s="744" t="s">
        <v>4611</v>
      </c>
      <c r="B1225" s="744"/>
      <c r="C1225" s="745" t="s">
        <v>4243</v>
      </c>
      <c r="D1225" s="744" t="s">
        <v>1127</v>
      </c>
      <c r="E1225" s="744" t="s">
        <v>4244</v>
      </c>
      <c r="F1225" s="744" t="s">
        <v>4120</v>
      </c>
      <c r="G1225" s="746" t="s">
        <v>108</v>
      </c>
      <c r="H1225" s="745" t="s">
        <v>5020</v>
      </c>
      <c r="I1225" s="745" t="s">
        <v>5024</v>
      </c>
      <c r="J1225" s="796">
        <v>445.83</v>
      </c>
      <c r="K1225" s="795"/>
    </row>
    <row r="1226" spans="1:11" ht="44.1" customHeight="1">
      <c r="A1226" s="744" t="s">
        <v>4611</v>
      </c>
      <c r="B1226" s="744"/>
      <c r="C1226" s="745" t="s">
        <v>3959</v>
      </c>
      <c r="D1226" s="744" t="s">
        <v>1127</v>
      </c>
      <c r="E1226" s="744" t="s">
        <v>2662</v>
      </c>
      <c r="F1226" s="744" t="s">
        <v>3417</v>
      </c>
      <c r="G1226" s="746" t="s">
        <v>108</v>
      </c>
      <c r="H1226" s="745" t="s">
        <v>5025</v>
      </c>
      <c r="I1226" s="745" t="s">
        <v>3960</v>
      </c>
      <c r="J1226" s="796">
        <v>81.400000000000006</v>
      </c>
      <c r="K1226" s="795"/>
    </row>
    <row r="1227" spans="1:11" ht="54.95" customHeight="1">
      <c r="A1227" s="744" t="s">
        <v>4611</v>
      </c>
      <c r="B1227" s="744"/>
      <c r="C1227" s="745" t="s">
        <v>3989</v>
      </c>
      <c r="D1227" s="744" t="s">
        <v>1127</v>
      </c>
      <c r="E1227" s="744" t="s">
        <v>785</v>
      </c>
      <c r="F1227" s="744" t="s">
        <v>3417</v>
      </c>
      <c r="G1227" s="746" t="s">
        <v>108</v>
      </c>
      <c r="H1227" s="745" t="s">
        <v>5020</v>
      </c>
      <c r="I1227" s="745" t="s">
        <v>3991</v>
      </c>
      <c r="J1227" s="796">
        <v>367.13</v>
      </c>
      <c r="K1227" s="795"/>
    </row>
    <row r="1228" spans="1:11" ht="33" customHeight="1">
      <c r="A1228" s="744" t="s">
        <v>4611</v>
      </c>
      <c r="B1228" s="744"/>
      <c r="C1228" s="745" t="s">
        <v>4035</v>
      </c>
      <c r="D1228" s="744" t="s">
        <v>1127</v>
      </c>
      <c r="E1228" s="744" t="s">
        <v>1283</v>
      </c>
      <c r="F1228" s="744" t="s">
        <v>3410</v>
      </c>
      <c r="G1228" s="746" t="s">
        <v>108</v>
      </c>
      <c r="H1228" s="745" t="s">
        <v>5026</v>
      </c>
      <c r="I1228" s="745" t="s">
        <v>4906</v>
      </c>
      <c r="J1228" s="796">
        <v>521.51</v>
      </c>
      <c r="K1228" s="795"/>
    </row>
    <row r="1229" spans="1:11" ht="33" customHeight="1" thickBot="1">
      <c r="A1229" s="744" t="s">
        <v>4611</v>
      </c>
      <c r="B1229" s="744"/>
      <c r="C1229" s="745" t="s">
        <v>4246</v>
      </c>
      <c r="D1229" s="744" t="s">
        <v>1127</v>
      </c>
      <c r="E1229" s="744" t="s">
        <v>1338</v>
      </c>
      <c r="F1229" s="744" t="s">
        <v>3490</v>
      </c>
      <c r="G1229" s="746" t="s">
        <v>108</v>
      </c>
      <c r="H1229" s="745" t="s">
        <v>5027</v>
      </c>
      <c r="I1229" s="745" t="s">
        <v>5028</v>
      </c>
      <c r="J1229" s="796">
        <v>1146.04</v>
      </c>
      <c r="K1229" s="795"/>
    </row>
    <row r="1230" spans="1:11" ht="0.95" customHeight="1" thickTop="1">
      <c r="A1230" s="747"/>
      <c r="B1230" s="747"/>
      <c r="C1230" s="747"/>
      <c r="D1230" s="747"/>
      <c r="E1230" s="747"/>
      <c r="F1230" s="747"/>
      <c r="G1230" s="747"/>
      <c r="H1230" s="747"/>
      <c r="I1230" s="747"/>
      <c r="J1230" s="747"/>
      <c r="K1230" s="747"/>
    </row>
    <row r="1231" spans="1:11" ht="18" customHeight="1">
      <c r="A1231" s="738"/>
      <c r="B1231" s="738" t="s">
        <v>60</v>
      </c>
      <c r="C1231" s="739" t="s">
        <v>3312</v>
      </c>
      <c r="D1231" s="738" t="s">
        <v>3602</v>
      </c>
      <c r="E1231" s="738" t="s">
        <v>3313</v>
      </c>
      <c r="F1231" s="738" t="s">
        <v>3390</v>
      </c>
      <c r="G1231" s="740" t="s">
        <v>70</v>
      </c>
      <c r="H1231" s="739" t="s">
        <v>64</v>
      </c>
      <c r="I1231" s="739" t="s">
        <v>3617</v>
      </c>
      <c r="J1231" s="797" t="s">
        <v>474</v>
      </c>
      <c r="K1231" s="795"/>
    </row>
    <row r="1232" spans="1:11" ht="21.95" customHeight="1">
      <c r="A1232" s="741" t="s">
        <v>4608</v>
      </c>
      <c r="B1232" s="741" t="s">
        <v>5029</v>
      </c>
      <c r="C1232" s="742" t="s">
        <v>3485</v>
      </c>
      <c r="D1232" s="741" t="s">
        <v>3604</v>
      </c>
      <c r="E1232" s="741" t="s">
        <v>2231</v>
      </c>
      <c r="F1232" s="741" t="s">
        <v>3391</v>
      </c>
      <c r="G1232" s="743" t="s">
        <v>57</v>
      </c>
      <c r="H1232" s="742">
        <v>1</v>
      </c>
      <c r="I1232" s="742" t="s">
        <v>5030</v>
      </c>
      <c r="J1232" s="798" t="s">
        <v>5030</v>
      </c>
      <c r="K1232" s="795"/>
    </row>
    <row r="1233" spans="1:11" ht="33" customHeight="1">
      <c r="A1233" s="744" t="s">
        <v>4611</v>
      </c>
      <c r="B1233" s="744"/>
      <c r="C1233" s="745" t="s">
        <v>4105</v>
      </c>
      <c r="D1233" s="744" t="s">
        <v>1127</v>
      </c>
      <c r="E1233" s="744" t="s">
        <v>4106</v>
      </c>
      <c r="F1233" s="744" t="s">
        <v>3410</v>
      </c>
      <c r="G1233" s="746" t="s">
        <v>284</v>
      </c>
      <c r="H1233" s="745" t="s">
        <v>4230</v>
      </c>
      <c r="I1233" s="745" t="s">
        <v>4953</v>
      </c>
      <c r="J1233" s="796">
        <v>1344.17</v>
      </c>
      <c r="K1233" s="795"/>
    </row>
    <row r="1234" spans="1:11" ht="44.1" customHeight="1">
      <c r="A1234" s="744" t="s">
        <v>4611</v>
      </c>
      <c r="B1234" s="744"/>
      <c r="C1234" s="745" t="s">
        <v>4231</v>
      </c>
      <c r="D1234" s="744" t="s">
        <v>1127</v>
      </c>
      <c r="E1234" s="744" t="s">
        <v>1335</v>
      </c>
      <c r="F1234" s="744" t="s">
        <v>3426</v>
      </c>
      <c r="G1234" s="746" t="s">
        <v>284</v>
      </c>
      <c r="H1234" s="745" t="s">
        <v>4084</v>
      </c>
      <c r="I1234" s="745" t="s">
        <v>5017</v>
      </c>
      <c r="J1234" s="796">
        <v>341.75</v>
      </c>
      <c r="K1234" s="795"/>
    </row>
    <row r="1235" spans="1:11" ht="21.95" customHeight="1">
      <c r="A1235" s="744" t="s">
        <v>4611</v>
      </c>
      <c r="B1235" s="744"/>
      <c r="C1235" s="745" t="s">
        <v>4232</v>
      </c>
      <c r="D1235" s="744" t="s">
        <v>1127</v>
      </c>
      <c r="E1235" s="744" t="s">
        <v>1295</v>
      </c>
      <c r="F1235" s="744" t="s">
        <v>3426</v>
      </c>
      <c r="G1235" s="746" t="s">
        <v>284</v>
      </c>
      <c r="H1235" s="745" t="s">
        <v>4233</v>
      </c>
      <c r="I1235" s="745" t="s">
        <v>4234</v>
      </c>
      <c r="J1235" s="796">
        <v>345.15</v>
      </c>
      <c r="K1235" s="795"/>
    </row>
    <row r="1236" spans="1:11" ht="21.95" customHeight="1">
      <c r="A1236" s="744" t="s">
        <v>4611</v>
      </c>
      <c r="B1236" s="744"/>
      <c r="C1236" s="745" t="s">
        <v>4107</v>
      </c>
      <c r="D1236" s="744" t="s">
        <v>1127</v>
      </c>
      <c r="E1236" s="744" t="s">
        <v>2023</v>
      </c>
      <c r="F1236" s="744" t="s">
        <v>3410</v>
      </c>
      <c r="G1236" s="746" t="s">
        <v>284</v>
      </c>
      <c r="H1236" s="745" t="s">
        <v>4230</v>
      </c>
      <c r="I1236" s="745" t="s">
        <v>4954</v>
      </c>
      <c r="J1236" s="796">
        <v>408.33</v>
      </c>
      <c r="K1236" s="795"/>
    </row>
    <row r="1237" spans="1:11" ht="21.95" customHeight="1">
      <c r="A1237" s="744" t="s">
        <v>4611</v>
      </c>
      <c r="B1237" s="744"/>
      <c r="C1237" s="745" t="s">
        <v>3968</v>
      </c>
      <c r="D1237" s="744" t="s">
        <v>1127</v>
      </c>
      <c r="E1237" s="744" t="s">
        <v>524</v>
      </c>
      <c r="F1237" s="744" t="s">
        <v>3426</v>
      </c>
      <c r="G1237" s="746" t="s">
        <v>284</v>
      </c>
      <c r="H1237" s="745" t="s">
        <v>4235</v>
      </c>
      <c r="I1237" s="745" t="s">
        <v>4888</v>
      </c>
      <c r="J1237" s="796">
        <v>2456.77</v>
      </c>
      <c r="K1237" s="795"/>
    </row>
    <row r="1238" spans="1:11" ht="44.1" customHeight="1">
      <c r="A1238" s="744" t="s">
        <v>4611</v>
      </c>
      <c r="B1238" s="744"/>
      <c r="C1238" s="745" t="s">
        <v>4122</v>
      </c>
      <c r="D1238" s="744" t="s">
        <v>1127</v>
      </c>
      <c r="E1238" s="744" t="s">
        <v>553</v>
      </c>
      <c r="F1238" s="744" t="s">
        <v>3410</v>
      </c>
      <c r="G1238" s="746" t="s">
        <v>108</v>
      </c>
      <c r="H1238" s="745" t="s">
        <v>4236</v>
      </c>
      <c r="I1238" s="745" t="s">
        <v>4957</v>
      </c>
      <c r="J1238" s="796">
        <v>2689.33</v>
      </c>
      <c r="K1238" s="795"/>
    </row>
    <row r="1239" spans="1:11" ht="21.95" customHeight="1">
      <c r="A1239" s="744" t="s">
        <v>4611</v>
      </c>
      <c r="B1239" s="744"/>
      <c r="C1239" s="745" t="s">
        <v>4237</v>
      </c>
      <c r="D1239" s="744" t="s">
        <v>1127</v>
      </c>
      <c r="E1239" s="744" t="s">
        <v>1336</v>
      </c>
      <c r="F1239" s="744" t="s">
        <v>3410</v>
      </c>
      <c r="G1239" s="746" t="s">
        <v>94</v>
      </c>
      <c r="H1239" s="745" t="s">
        <v>4238</v>
      </c>
      <c r="I1239" s="745" t="s">
        <v>4239</v>
      </c>
      <c r="J1239" s="796">
        <v>301.11</v>
      </c>
      <c r="K1239" s="795"/>
    </row>
    <row r="1240" spans="1:11" ht="44.1" customHeight="1">
      <c r="A1240" s="744" t="s">
        <v>4611</v>
      </c>
      <c r="B1240" s="744"/>
      <c r="C1240" s="745" t="s">
        <v>4128</v>
      </c>
      <c r="D1240" s="744" t="s">
        <v>1127</v>
      </c>
      <c r="E1240" s="744" t="s">
        <v>4959</v>
      </c>
      <c r="F1240" s="744" t="s">
        <v>3410</v>
      </c>
      <c r="G1240" s="746" t="s">
        <v>94</v>
      </c>
      <c r="H1240" s="745" t="s">
        <v>4240</v>
      </c>
      <c r="I1240" s="745" t="s">
        <v>3712</v>
      </c>
      <c r="J1240" s="796">
        <v>862.95</v>
      </c>
      <c r="K1240" s="795"/>
    </row>
    <row r="1241" spans="1:11" ht="44.1" customHeight="1">
      <c r="A1241" s="744" t="s">
        <v>4611</v>
      </c>
      <c r="B1241" s="744"/>
      <c r="C1241" s="745" t="s">
        <v>3961</v>
      </c>
      <c r="D1241" s="744" t="s">
        <v>1127</v>
      </c>
      <c r="E1241" s="744" t="s">
        <v>4705</v>
      </c>
      <c r="F1241" s="744" t="s">
        <v>3410</v>
      </c>
      <c r="G1241" s="746" t="s">
        <v>94</v>
      </c>
      <c r="H1241" s="745" t="s">
        <v>4241</v>
      </c>
      <c r="I1241" s="745" t="s">
        <v>3963</v>
      </c>
      <c r="J1241" s="796">
        <v>303.02999999999997</v>
      </c>
      <c r="K1241" s="795"/>
    </row>
    <row r="1242" spans="1:11" ht="44.1" customHeight="1">
      <c r="A1242" s="744" t="s">
        <v>4611</v>
      </c>
      <c r="B1242" s="744"/>
      <c r="C1242" s="745" t="s">
        <v>4242</v>
      </c>
      <c r="D1242" s="744" t="s">
        <v>1127</v>
      </c>
      <c r="E1242" s="744" t="s">
        <v>1337</v>
      </c>
      <c r="F1242" s="744" t="s">
        <v>3438</v>
      </c>
      <c r="G1242" s="746" t="s">
        <v>57</v>
      </c>
      <c r="H1242" s="745" t="s">
        <v>3714</v>
      </c>
      <c r="I1242" s="745" t="s">
        <v>5023</v>
      </c>
      <c r="J1242" s="796">
        <v>798.06</v>
      </c>
      <c r="K1242" s="795"/>
    </row>
    <row r="1243" spans="1:11" ht="33" customHeight="1">
      <c r="A1243" s="744" t="s">
        <v>4611</v>
      </c>
      <c r="B1243" s="744"/>
      <c r="C1243" s="745" t="s">
        <v>4243</v>
      </c>
      <c r="D1243" s="744" t="s">
        <v>1127</v>
      </c>
      <c r="E1243" s="744" t="s">
        <v>4244</v>
      </c>
      <c r="F1243" s="744" t="s">
        <v>4120</v>
      </c>
      <c r="G1243" s="746" t="s">
        <v>108</v>
      </c>
      <c r="H1243" s="745" t="s">
        <v>4245</v>
      </c>
      <c r="I1243" s="745" t="s">
        <v>5024</v>
      </c>
      <c r="J1243" s="796">
        <v>721.74</v>
      </c>
      <c r="K1243" s="795"/>
    </row>
    <row r="1244" spans="1:11" ht="44.1" customHeight="1">
      <c r="A1244" s="744" t="s">
        <v>4611</v>
      </c>
      <c r="B1244" s="744"/>
      <c r="C1244" s="745" t="s">
        <v>3959</v>
      </c>
      <c r="D1244" s="744" t="s">
        <v>1127</v>
      </c>
      <c r="E1244" s="744" t="s">
        <v>2662</v>
      </c>
      <c r="F1244" s="744" t="s">
        <v>3417</v>
      </c>
      <c r="G1244" s="746" t="s">
        <v>108</v>
      </c>
      <c r="H1244" s="745" t="s">
        <v>4245</v>
      </c>
      <c r="I1244" s="745" t="s">
        <v>3960</v>
      </c>
      <c r="J1244" s="796">
        <v>65.89</v>
      </c>
      <c r="K1244" s="795"/>
    </row>
    <row r="1245" spans="1:11" ht="54.95" customHeight="1">
      <c r="A1245" s="744" t="s">
        <v>4611</v>
      </c>
      <c r="B1245" s="744"/>
      <c r="C1245" s="745" t="s">
        <v>3989</v>
      </c>
      <c r="D1245" s="744" t="s">
        <v>1127</v>
      </c>
      <c r="E1245" s="744" t="s">
        <v>785</v>
      </c>
      <c r="F1245" s="744" t="s">
        <v>3417</v>
      </c>
      <c r="G1245" s="746" t="s">
        <v>108</v>
      </c>
      <c r="H1245" s="745" t="s">
        <v>4245</v>
      </c>
      <c r="I1245" s="745" t="s">
        <v>3991</v>
      </c>
      <c r="J1245" s="796">
        <v>594.33000000000004</v>
      </c>
      <c r="K1245" s="795"/>
    </row>
    <row r="1246" spans="1:11" ht="33" customHeight="1">
      <c r="A1246" s="744" t="s">
        <v>4611</v>
      </c>
      <c r="B1246" s="744"/>
      <c r="C1246" s="745" t="s">
        <v>4035</v>
      </c>
      <c r="D1246" s="744" t="s">
        <v>1127</v>
      </c>
      <c r="E1246" s="744" t="s">
        <v>1283</v>
      </c>
      <c r="F1246" s="744" t="s">
        <v>3410</v>
      </c>
      <c r="G1246" s="746" t="s">
        <v>108</v>
      </c>
      <c r="H1246" s="745" t="s">
        <v>4193</v>
      </c>
      <c r="I1246" s="745" t="s">
        <v>4906</v>
      </c>
      <c r="J1246" s="796">
        <v>1129.1099999999999</v>
      </c>
      <c r="K1246" s="795"/>
    </row>
    <row r="1247" spans="1:11" ht="33" customHeight="1" thickBot="1">
      <c r="A1247" s="744" t="s">
        <v>4611</v>
      </c>
      <c r="B1247" s="744"/>
      <c r="C1247" s="745" t="s">
        <v>4246</v>
      </c>
      <c r="D1247" s="744" t="s">
        <v>1127</v>
      </c>
      <c r="E1247" s="744" t="s">
        <v>1338</v>
      </c>
      <c r="F1247" s="744" t="s">
        <v>3490</v>
      </c>
      <c r="G1247" s="746" t="s">
        <v>108</v>
      </c>
      <c r="H1247" s="745" t="s">
        <v>4247</v>
      </c>
      <c r="I1247" s="745" t="s">
        <v>5028</v>
      </c>
      <c r="J1247" s="796">
        <v>1187.6400000000001</v>
      </c>
      <c r="K1247" s="795"/>
    </row>
    <row r="1248" spans="1:11" ht="0.95" customHeight="1" thickTop="1">
      <c r="A1248" s="747"/>
      <c r="B1248" s="747"/>
      <c r="C1248" s="747"/>
      <c r="D1248" s="747"/>
      <c r="E1248" s="747"/>
      <c r="F1248" s="747"/>
      <c r="G1248" s="747"/>
      <c r="H1248" s="747"/>
      <c r="I1248" s="747"/>
      <c r="J1248" s="747"/>
      <c r="K1248" s="747"/>
    </row>
    <row r="1249" spans="1:11" ht="18" customHeight="1">
      <c r="A1249" s="738"/>
      <c r="B1249" s="738" t="s">
        <v>60</v>
      </c>
      <c r="C1249" s="739" t="s">
        <v>3312</v>
      </c>
      <c r="D1249" s="738" t="s">
        <v>3602</v>
      </c>
      <c r="E1249" s="738" t="s">
        <v>3313</v>
      </c>
      <c r="F1249" s="738" t="s">
        <v>3390</v>
      </c>
      <c r="G1249" s="740" t="s">
        <v>70</v>
      </c>
      <c r="H1249" s="739" t="s">
        <v>64</v>
      </c>
      <c r="I1249" s="739" t="s">
        <v>3617</v>
      </c>
      <c r="J1249" s="797" t="s">
        <v>474</v>
      </c>
      <c r="K1249" s="795"/>
    </row>
    <row r="1250" spans="1:11" ht="21.95" customHeight="1">
      <c r="A1250" s="741" t="s">
        <v>4608</v>
      </c>
      <c r="B1250" s="741" t="s">
        <v>5031</v>
      </c>
      <c r="C1250" s="742" t="s">
        <v>3470</v>
      </c>
      <c r="D1250" s="741" t="s">
        <v>3604</v>
      </c>
      <c r="E1250" s="741" t="s">
        <v>937</v>
      </c>
      <c r="F1250" s="741" t="s">
        <v>3391</v>
      </c>
      <c r="G1250" s="743" t="s">
        <v>57</v>
      </c>
      <c r="H1250" s="742">
        <v>1</v>
      </c>
      <c r="I1250" s="742" t="s">
        <v>5032</v>
      </c>
      <c r="J1250" s="798" t="s">
        <v>5032</v>
      </c>
      <c r="K1250" s="795"/>
    </row>
    <row r="1251" spans="1:11" ht="44.1" customHeight="1">
      <c r="A1251" s="744" t="s">
        <v>4611</v>
      </c>
      <c r="B1251" s="744"/>
      <c r="C1251" s="745" t="s">
        <v>4248</v>
      </c>
      <c r="D1251" s="744" t="s">
        <v>1127</v>
      </c>
      <c r="E1251" s="744" t="s">
        <v>1339</v>
      </c>
      <c r="F1251" s="744" t="s">
        <v>3426</v>
      </c>
      <c r="G1251" s="746" t="s">
        <v>284</v>
      </c>
      <c r="H1251" s="745" t="s">
        <v>4249</v>
      </c>
      <c r="I1251" s="745" t="s">
        <v>5033</v>
      </c>
      <c r="J1251" s="796">
        <v>973.5</v>
      </c>
      <c r="K1251" s="795"/>
    </row>
    <row r="1252" spans="1:11" ht="21.95" customHeight="1">
      <c r="A1252" s="744" t="s">
        <v>4611</v>
      </c>
      <c r="B1252" s="744"/>
      <c r="C1252" s="745" t="s">
        <v>3968</v>
      </c>
      <c r="D1252" s="744" t="s">
        <v>1127</v>
      </c>
      <c r="E1252" s="744" t="s">
        <v>524</v>
      </c>
      <c r="F1252" s="744" t="s">
        <v>3426</v>
      </c>
      <c r="G1252" s="746" t="s">
        <v>284</v>
      </c>
      <c r="H1252" s="745" t="s">
        <v>4250</v>
      </c>
      <c r="I1252" s="745" t="s">
        <v>4888</v>
      </c>
      <c r="J1252" s="796">
        <v>673.62</v>
      </c>
      <c r="K1252" s="795"/>
    </row>
    <row r="1253" spans="1:11" ht="21.95" customHeight="1">
      <c r="A1253" s="744" t="s">
        <v>4611</v>
      </c>
      <c r="B1253" s="744"/>
      <c r="C1253" s="745" t="s">
        <v>4108</v>
      </c>
      <c r="D1253" s="744" t="s">
        <v>1127</v>
      </c>
      <c r="E1253" s="744" t="s">
        <v>527</v>
      </c>
      <c r="F1253" s="744" t="s">
        <v>3426</v>
      </c>
      <c r="G1253" s="746" t="s">
        <v>284</v>
      </c>
      <c r="H1253" s="745" t="s">
        <v>4251</v>
      </c>
      <c r="I1253" s="745" t="s">
        <v>4955</v>
      </c>
      <c r="J1253" s="796">
        <v>184.04</v>
      </c>
      <c r="K1253" s="795"/>
    </row>
    <row r="1254" spans="1:11" ht="21.95" customHeight="1">
      <c r="A1254" s="744" t="s">
        <v>4611</v>
      </c>
      <c r="B1254" s="744"/>
      <c r="C1254" s="745" t="s">
        <v>3436</v>
      </c>
      <c r="D1254" s="744" t="s">
        <v>3604</v>
      </c>
      <c r="E1254" s="744" t="s">
        <v>1340</v>
      </c>
      <c r="F1254" s="744" t="s">
        <v>3410</v>
      </c>
      <c r="G1254" s="746" t="s">
        <v>108</v>
      </c>
      <c r="H1254" s="745" t="s">
        <v>4252</v>
      </c>
      <c r="I1254" s="745" t="s">
        <v>5034</v>
      </c>
      <c r="J1254" s="796">
        <v>187.36</v>
      </c>
      <c r="K1254" s="795"/>
    </row>
    <row r="1255" spans="1:11" ht="44.1" customHeight="1">
      <c r="A1255" s="744" t="s">
        <v>4611</v>
      </c>
      <c r="B1255" s="744"/>
      <c r="C1255" s="745" t="s">
        <v>4242</v>
      </c>
      <c r="D1255" s="744" t="s">
        <v>1127</v>
      </c>
      <c r="E1255" s="744" t="s">
        <v>1337</v>
      </c>
      <c r="F1255" s="744" t="s">
        <v>3438</v>
      </c>
      <c r="G1255" s="746" t="s">
        <v>57</v>
      </c>
      <c r="H1255" s="745" t="s">
        <v>3610</v>
      </c>
      <c r="I1255" s="745" t="s">
        <v>5023</v>
      </c>
      <c r="J1255" s="796">
        <v>399.03</v>
      </c>
      <c r="K1255" s="795"/>
    </row>
    <row r="1256" spans="1:11" ht="33" customHeight="1">
      <c r="A1256" s="744" t="s">
        <v>4611</v>
      </c>
      <c r="B1256" s="744"/>
      <c r="C1256" s="745" t="s">
        <v>4035</v>
      </c>
      <c r="D1256" s="744" t="s">
        <v>1127</v>
      </c>
      <c r="E1256" s="744" t="s">
        <v>1283</v>
      </c>
      <c r="F1256" s="744" t="s">
        <v>3410</v>
      </c>
      <c r="G1256" s="746" t="s">
        <v>108</v>
      </c>
      <c r="H1256" s="745" t="s">
        <v>4253</v>
      </c>
      <c r="I1256" s="745" t="s">
        <v>4906</v>
      </c>
      <c r="J1256" s="796">
        <v>259.92</v>
      </c>
      <c r="K1256" s="795"/>
    </row>
    <row r="1257" spans="1:11" ht="21.95" customHeight="1">
      <c r="A1257" s="744" t="s">
        <v>4611</v>
      </c>
      <c r="B1257" s="744"/>
      <c r="C1257" s="745" t="s">
        <v>3437</v>
      </c>
      <c r="D1257" s="744" t="s">
        <v>3604</v>
      </c>
      <c r="E1257" s="744" t="s">
        <v>1341</v>
      </c>
      <c r="F1257" s="744" t="s">
        <v>3438</v>
      </c>
      <c r="G1257" s="746" t="s">
        <v>101</v>
      </c>
      <c r="H1257" s="745" t="s">
        <v>4254</v>
      </c>
      <c r="I1257" s="745" t="s">
        <v>5035</v>
      </c>
      <c r="J1257" s="796">
        <v>3100.1</v>
      </c>
      <c r="K1257" s="795"/>
    </row>
    <row r="1258" spans="1:11" ht="21.95" customHeight="1">
      <c r="A1258" s="744" t="s">
        <v>4611</v>
      </c>
      <c r="B1258" s="744"/>
      <c r="C1258" s="745" t="s">
        <v>4255</v>
      </c>
      <c r="D1258" s="744" t="s">
        <v>1127</v>
      </c>
      <c r="E1258" s="744" t="s">
        <v>1342</v>
      </c>
      <c r="F1258" s="744" t="s">
        <v>4256</v>
      </c>
      <c r="G1258" s="746" t="s">
        <v>284</v>
      </c>
      <c r="H1258" s="745" t="s">
        <v>4063</v>
      </c>
      <c r="I1258" s="745" t="s">
        <v>5036</v>
      </c>
      <c r="J1258" s="796">
        <v>506.42</v>
      </c>
      <c r="K1258" s="795"/>
    </row>
    <row r="1259" spans="1:11" ht="33" customHeight="1">
      <c r="A1259" s="744" t="s">
        <v>4611</v>
      </c>
      <c r="B1259" s="744"/>
      <c r="C1259" s="745" t="s">
        <v>4243</v>
      </c>
      <c r="D1259" s="744" t="s">
        <v>1127</v>
      </c>
      <c r="E1259" s="744" t="s">
        <v>4244</v>
      </c>
      <c r="F1259" s="744" t="s">
        <v>4120</v>
      </c>
      <c r="G1259" s="746" t="s">
        <v>108</v>
      </c>
      <c r="H1259" s="745" t="s">
        <v>4257</v>
      </c>
      <c r="I1259" s="745" t="s">
        <v>5024</v>
      </c>
      <c r="J1259" s="796">
        <v>174.96</v>
      </c>
      <c r="K1259" s="795"/>
    </row>
    <row r="1260" spans="1:11" ht="33" customHeight="1">
      <c r="A1260" s="744" t="s">
        <v>4611</v>
      </c>
      <c r="B1260" s="744"/>
      <c r="C1260" s="745" t="s">
        <v>4105</v>
      </c>
      <c r="D1260" s="744" t="s">
        <v>1127</v>
      </c>
      <c r="E1260" s="744" t="s">
        <v>4106</v>
      </c>
      <c r="F1260" s="744" t="s">
        <v>3410</v>
      </c>
      <c r="G1260" s="746" t="s">
        <v>284</v>
      </c>
      <c r="H1260" s="745" t="s">
        <v>3921</v>
      </c>
      <c r="I1260" s="745" t="s">
        <v>4953</v>
      </c>
      <c r="J1260" s="796">
        <v>114.26</v>
      </c>
      <c r="K1260" s="795"/>
    </row>
    <row r="1261" spans="1:11" ht="21.95" customHeight="1" thickBot="1">
      <c r="A1261" s="744" t="s">
        <v>4611</v>
      </c>
      <c r="B1261" s="744"/>
      <c r="C1261" s="745" t="s">
        <v>4258</v>
      </c>
      <c r="D1261" s="744" t="s">
        <v>1127</v>
      </c>
      <c r="E1261" s="744" t="s">
        <v>1343</v>
      </c>
      <c r="F1261" s="744" t="s">
        <v>3410</v>
      </c>
      <c r="G1261" s="746" t="s">
        <v>108</v>
      </c>
      <c r="H1261" s="745" t="s">
        <v>4253</v>
      </c>
      <c r="I1261" s="745" t="s">
        <v>4140</v>
      </c>
      <c r="J1261" s="796">
        <v>118.81</v>
      </c>
      <c r="K1261" s="795"/>
    </row>
    <row r="1262" spans="1:11" ht="0.95" customHeight="1" thickTop="1">
      <c r="A1262" s="747"/>
      <c r="B1262" s="747"/>
      <c r="C1262" s="747"/>
      <c r="D1262" s="747"/>
      <c r="E1262" s="747"/>
      <c r="F1262" s="747"/>
      <c r="G1262" s="747"/>
      <c r="H1262" s="747"/>
      <c r="I1262" s="747"/>
      <c r="J1262" s="747"/>
      <c r="K1262" s="747"/>
    </row>
    <row r="1263" spans="1:11" ht="18" customHeight="1">
      <c r="A1263" s="738"/>
      <c r="B1263" s="738" t="s">
        <v>60</v>
      </c>
      <c r="C1263" s="739" t="s">
        <v>3312</v>
      </c>
      <c r="D1263" s="738" t="s">
        <v>3602</v>
      </c>
      <c r="E1263" s="738" t="s">
        <v>3313</v>
      </c>
      <c r="F1263" s="738" t="s">
        <v>3390</v>
      </c>
      <c r="G1263" s="740" t="s">
        <v>70</v>
      </c>
      <c r="H1263" s="739" t="s">
        <v>64</v>
      </c>
      <c r="I1263" s="739" t="s">
        <v>3617</v>
      </c>
      <c r="J1263" s="797" t="s">
        <v>474</v>
      </c>
      <c r="K1263" s="795"/>
    </row>
    <row r="1264" spans="1:11" ht="33" customHeight="1">
      <c r="A1264" s="741" t="s">
        <v>4608</v>
      </c>
      <c r="B1264" s="741" t="s">
        <v>5037</v>
      </c>
      <c r="C1264" s="742" t="s">
        <v>3469</v>
      </c>
      <c r="D1264" s="741" t="s">
        <v>3604</v>
      </c>
      <c r="E1264" s="741" t="s">
        <v>2804</v>
      </c>
      <c r="F1264" s="741" t="s">
        <v>3391</v>
      </c>
      <c r="G1264" s="743" t="s">
        <v>57</v>
      </c>
      <c r="H1264" s="742">
        <v>1</v>
      </c>
      <c r="I1264" s="742" t="s">
        <v>5038</v>
      </c>
      <c r="J1264" s="798" t="s">
        <v>5038</v>
      </c>
      <c r="K1264" s="795"/>
    </row>
    <row r="1265" spans="1:11" ht="33" customHeight="1">
      <c r="A1265" s="744" t="s">
        <v>4611</v>
      </c>
      <c r="B1265" s="744"/>
      <c r="C1265" s="745" t="s">
        <v>4246</v>
      </c>
      <c r="D1265" s="744" t="s">
        <v>1127</v>
      </c>
      <c r="E1265" s="744" t="s">
        <v>1338</v>
      </c>
      <c r="F1265" s="744" t="s">
        <v>3490</v>
      </c>
      <c r="G1265" s="746" t="s">
        <v>108</v>
      </c>
      <c r="H1265" s="745" t="s">
        <v>4259</v>
      </c>
      <c r="I1265" s="745" t="s">
        <v>5028</v>
      </c>
      <c r="J1265" s="796">
        <v>1778.72</v>
      </c>
      <c r="K1265" s="795"/>
    </row>
    <row r="1266" spans="1:11" ht="21.95" customHeight="1">
      <c r="A1266" s="744" t="s">
        <v>4611</v>
      </c>
      <c r="B1266" s="744"/>
      <c r="C1266" s="745" t="s">
        <v>3968</v>
      </c>
      <c r="D1266" s="744" t="s">
        <v>1127</v>
      </c>
      <c r="E1266" s="744" t="s">
        <v>524</v>
      </c>
      <c r="F1266" s="744" t="s">
        <v>3426</v>
      </c>
      <c r="G1266" s="746" t="s">
        <v>284</v>
      </c>
      <c r="H1266" s="745" t="s">
        <v>4260</v>
      </c>
      <c r="I1266" s="745" t="s">
        <v>4888</v>
      </c>
      <c r="J1266" s="796">
        <v>1337.91</v>
      </c>
      <c r="K1266" s="795"/>
    </row>
    <row r="1267" spans="1:11" ht="21.95" customHeight="1">
      <c r="A1267" s="744" t="s">
        <v>4611</v>
      </c>
      <c r="B1267" s="744"/>
      <c r="C1267" s="745" t="s">
        <v>4261</v>
      </c>
      <c r="D1267" s="744" t="s">
        <v>1127</v>
      </c>
      <c r="E1267" s="744" t="s">
        <v>1450</v>
      </c>
      <c r="F1267" s="744" t="s">
        <v>3391</v>
      </c>
      <c r="G1267" s="746" t="s">
        <v>57</v>
      </c>
      <c r="H1267" s="745" t="s">
        <v>3610</v>
      </c>
      <c r="I1267" s="745" t="s">
        <v>5039</v>
      </c>
      <c r="J1267" s="796">
        <v>19.829999999999998</v>
      </c>
      <c r="K1267" s="795"/>
    </row>
    <row r="1268" spans="1:11" ht="33" customHeight="1" thickBot="1">
      <c r="A1268" s="744" t="s">
        <v>4611</v>
      </c>
      <c r="B1268" s="744"/>
      <c r="C1268" s="745" t="s">
        <v>4035</v>
      </c>
      <c r="D1268" s="744" t="s">
        <v>1127</v>
      </c>
      <c r="E1268" s="744" t="s">
        <v>1283</v>
      </c>
      <c r="F1268" s="744" t="s">
        <v>3410</v>
      </c>
      <c r="G1268" s="746" t="s">
        <v>108</v>
      </c>
      <c r="H1268" s="745" t="s">
        <v>4252</v>
      </c>
      <c r="I1268" s="745" t="s">
        <v>4906</v>
      </c>
      <c r="J1268" s="796">
        <v>779.78</v>
      </c>
      <c r="K1268" s="795"/>
    </row>
    <row r="1269" spans="1:11" ht="0.95" customHeight="1" thickTop="1">
      <c r="A1269" s="747"/>
      <c r="B1269" s="747"/>
      <c r="C1269" s="747"/>
      <c r="D1269" s="747"/>
      <c r="E1269" s="747"/>
      <c r="F1269" s="747"/>
      <c r="G1269" s="747"/>
      <c r="H1269" s="747"/>
      <c r="I1269" s="747"/>
      <c r="J1269" s="747"/>
      <c r="K1269" s="747"/>
    </row>
    <row r="1270" spans="1:11" ht="18" customHeight="1">
      <c r="A1270" s="738"/>
      <c r="B1270" s="738" t="s">
        <v>60</v>
      </c>
      <c r="C1270" s="739" t="s">
        <v>3312</v>
      </c>
      <c r="D1270" s="738" t="s">
        <v>3602</v>
      </c>
      <c r="E1270" s="738" t="s">
        <v>3313</v>
      </c>
      <c r="F1270" s="738" t="s">
        <v>3390</v>
      </c>
      <c r="G1270" s="740" t="s">
        <v>70</v>
      </c>
      <c r="H1270" s="739" t="s">
        <v>64</v>
      </c>
      <c r="I1270" s="739" t="s">
        <v>3617</v>
      </c>
      <c r="J1270" s="797" t="s">
        <v>474</v>
      </c>
      <c r="K1270" s="795"/>
    </row>
    <row r="1271" spans="1:11" ht="21.95" customHeight="1">
      <c r="A1271" s="741" t="s">
        <v>4608</v>
      </c>
      <c r="B1271" s="741" t="s">
        <v>5040</v>
      </c>
      <c r="C1271" s="742" t="s">
        <v>4262</v>
      </c>
      <c r="D1271" s="741" t="s">
        <v>3604</v>
      </c>
      <c r="E1271" s="741" t="s">
        <v>3114</v>
      </c>
      <c r="F1271" s="741" t="s">
        <v>3391</v>
      </c>
      <c r="G1271" s="743" t="s">
        <v>57</v>
      </c>
      <c r="H1271" s="742">
        <v>1</v>
      </c>
      <c r="I1271" s="742" t="s">
        <v>5041</v>
      </c>
      <c r="J1271" s="798" t="s">
        <v>5041</v>
      </c>
      <c r="K1271" s="795"/>
    </row>
    <row r="1272" spans="1:11" ht="21.95" customHeight="1">
      <c r="A1272" s="744" t="s">
        <v>4611</v>
      </c>
      <c r="B1272" s="744"/>
      <c r="C1272" s="745" t="s">
        <v>3628</v>
      </c>
      <c r="D1272" s="744" t="s">
        <v>1127</v>
      </c>
      <c r="E1272" s="744" t="s">
        <v>1286</v>
      </c>
      <c r="F1272" s="744" t="s">
        <v>3430</v>
      </c>
      <c r="G1272" s="746" t="s">
        <v>1129</v>
      </c>
      <c r="H1272" s="745" t="s">
        <v>3781</v>
      </c>
      <c r="I1272" s="745" t="s">
        <v>3630</v>
      </c>
      <c r="J1272" s="796">
        <v>8.74</v>
      </c>
      <c r="K1272" s="795"/>
    </row>
    <row r="1273" spans="1:11" ht="21.95" customHeight="1">
      <c r="A1273" s="744" t="s">
        <v>4611</v>
      </c>
      <c r="B1273" s="744"/>
      <c r="C1273" s="745" t="s">
        <v>3633</v>
      </c>
      <c r="D1273" s="744" t="s">
        <v>1127</v>
      </c>
      <c r="E1273" s="744" t="s">
        <v>1146</v>
      </c>
      <c r="F1273" s="744" t="s">
        <v>3430</v>
      </c>
      <c r="G1273" s="746" t="s">
        <v>1129</v>
      </c>
      <c r="H1273" s="745" t="s">
        <v>3781</v>
      </c>
      <c r="I1273" s="745" t="s">
        <v>3635</v>
      </c>
      <c r="J1273" s="796">
        <v>6.94</v>
      </c>
      <c r="K1273" s="795"/>
    </row>
    <row r="1274" spans="1:11" ht="21.95" customHeight="1" thickBot="1">
      <c r="A1274" s="748" t="s">
        <v>4616</v>
      </c>
      <c r="B1274" s="748"/>
      <c r="C1274" s="749" t="s">
        <v>4263</v>
      </c>
      <c r="D1274" s="748" t="s">
        <v>1127</v>
      </c>
      <c r="E1274" s="748" t="s">
        <v>4264</v>
      </c>
      <c r="F1274" s="748" t="s">
        <v>1187</v>
      </c>
      <c r="G1274" s="750" t="s">
        <v>57</v>
      </c>
      <c r="H1274" s="749" t="s">
        <v>3610</v>
      </c>
      <c r="I1274" s="749" t="s">
        <v>4265</v>
      </c>
      <c r="J1274" s="794">
        <v>13</v>
      </c>
      <c r="K1274" s="795"/>
    </row>
    <row r="1275" spans="1:11" ht="0.95" customHeight="1" thickTop="1">
      <c r="A1275" s="747"/>
      <c r="B1275" s="747"/>
      <c r="C1275" s="747"/>
      <c r="D1275" s="747"/>
      <c r="E1275" s="747"/>
      <c r="F1275" s="747"/>
      <c r="G1275" s="747"/>
      <c r="H1275" s="747"/>
      <c r="I1275" s="747"/>
      <c r="J1275" s="747"/>
      <c r="K1275" s="747"/>
    </row>
    <row r="1276" spans="1:11" ht="18" customHeight="1">
      <c r="A1276" s="738"/>
      <c r="B1276" s="738" t="s">
        <v>60</v>
      </c>
      <c r="C1276" s="739" t="s">
        <v>3312</v>
      </c>
      <c r="D1276" s="738" t="s">
        <v>3602</v>
      </c>
      <c r="E1276" s="738" t="s">
        <v>3313</v>
      </c>
      <c r="F1276" s="738" t="s">
        <v>3390</v>
      </c>
      <c r="G1276" s="740" t="s">
        <v>70</v>
      </c>
      <c r="H1276" s="739" t="s">
        <v>64</v>
      </c>
      <c r="I1276" s="739" t="s">
        <v>3617</v>
      </c>
      <c r="J1276" s="797" t="s">
        <v>474</v>
      </c>
      <c r="K1276" s="795"/>
    </row>
    <row r="1277" spans="1:11" ht="33" customHeight="1">
      <c r="A1277" s="741" t="s">
        <v>4608</v>
      </c>
      <c r="B1277" s="741" t="s">
        <v>5042</v>
      </c>
      <c r="C1277" s="742" t="s">
        <v>3513</v>
      </c>
      <c r="D1277" s="741" t="s">
        <v>3604</v>
      </c>
      <c r="E1277" s="741" t="s">
        <v>969</v>
      </c>
      <c r="F1277" s="741" t="s">
        <v>3430</v>
      </c>
      <c r="G1277" s="743" t="s">
        <v>57</v>
      </c>
      <c r="H1277" s="742">
        <v>1</v>
      </c>
      <c r="I1277" s="742" t="s">
        <v>5043</v>
      </c>
      <c r="J1277" s="798" t="s">
        <v>5043</v>
      </c>
      <c r="K1277" s="795"/>
    </row>
    <row r="1278" spans="1:11" ht="54.95" customHeight="1">
      <c r="A1278" s="744" t="s">
        <v>4611</v>
      </c>
      <c r="B1278" s="744"/>
      <c r="C1278" s="745" t="s">
        <v>3957</v>
      </c>
      <c r="D1278" s="744" t="s">
        <v>1127</v>
      </c>
      <c r="E1278" s="744" t="s">
        <v>1256</v>
      </c>
      <c r="F1278" s="744" t="s">
        <v>3490</v>
      </c>
      <c r="G1278" s="746" t="s">
        <v>108</v>
      </c>
      <c r="H1278" s="745" t="s">
        <v>4266</v>
      </c>
      <c r="I1278" s="745" t="s">
        <v>4703</v>
      </c>
      <c r="J1278" s="796">
        <v>531.48</v>
      </c>
      <c r="K1278" s="795"/>
    </row>
    <row r="1279" spans="1:11" ht="44.1" customHeight="1">
      <c r="A1279" s="744" t="s">
        <v>4611</v>
      </c>
      <c r="B1279" s="744"/>
      <c r="C1279" s="745" t="s">
        <v>3959</v>
      </c>
      <c r="D1279" s="744" t="s">
        <v>1127</v>
      </c>
      <c r="E1279" s="744" t="s">
        <v>2662</v>
      </c>
      <c r="F1279" s="744" t="s">
        <v>3417</v>
      </c>
      <c r="G1279" s="746" t="s">
        <v>108</v>
      </c>
      <c r="H1279" s="745" t="s">
        <v>4267</v>
      </c>
      <c r="I1279" s="745" t="s">
        <v>3960</v>
      </c>
      <c r="J1279" s="796">
        <v>34.4</v>
      </c>
      <c r="K1279" s="795"/>
    </row>
    <row r="1280" spans="1:11" ht="54.95" customHeight="1">
      <c r="A1280" s="744" t="s">
        <v>4611</v>
      </c>
      <c r="B1280" s="744"/>
      <c r="C1280" s="745" t="s">
        <v>3964</v>
      </c>
      <c r="D1280" s="744" t="s">
        <v>1127</v>
      </c>
      <c r="E1280" s="744" t="s">
        <v>3965</v>
      </c>
      <c r="F1280" s="744" t="s">
        <v>3417</v>
      </c>
      <c r="G1280" s="746" t="s">
        <v>108</v>
      </c>
      <c r="H1280" s="745" t="s">
        <v>4267</v>
      </c>
      <c r="I1280" s="745" t="s">
        <v>3966</v>
      </c>
      <c r="J1280" s="796">
        <v>305.62</v>
      </c>
      <c r="K1280" s="795"/>
    </row>
    <row r="1281" spans="1:11" ht="33" customHeight="1">
      <c r="A1281" s="744" t="s">
        <v>4611</v>
      </c>
      <c r="B1281" s="744"/>
      <c r="C1281" s="745" t="s">
        <v>4035</v>
      </c>
      <c r="D1281" s="744" t="s">
        <v>1127</v>
      </c>
      <c r="E1281" s="744" t="s">
        <v>1283</v>
      </c>
      <c r="F1281" s="744" t="s">
        <v>3410</v>
      </c>
      <c r="G1281" s="746" t="s">
        <v>108</v>
      </c>
      <c r="H1281" s="745" t="s">
        <v>4268</v>
      </c>
      <c r="I1281" s="745" t="s">
        <v>4906</v>
      </c>
      <c r="J1281" s="796">
        <v>156.44999999999999</v>
      </c>
      <c r="K1281" s="795"/>
    </row>
    <row r="1282" spans="1:11" ht="33" customHeight="1">
      <c r="A1282" s="744" t="s">
        <v>4611</v>
      </c>
      <c r="B1282" s="744"/>
      <c r="C1282" s="745" t="s">
        <v>4269</v>
      </c>
      <c r="D1282" s="744" t="s">
        <v>1127</v>
      </c>
      <c r="E1282" s="744" t="s">
        <v>4270</v>
      </c>
      <c r="F1282" s="744" t="s">
        <v>3410</v>
      </c>
      <c r="G1282" s="746" t="s">
        <v>284</v>
      </c>
      <c r="H1282" s="745" t="s">
        <v>3700</v>
      </c>
      <c r="I1282" s="745" t="s">
        <v>5044</v>
      </c>
      <c r="J1282" s="796">
        <v>45.47</v>
      </c>
      <c r="K1282" s="795"/>
    </row>
    <row r="1283" spans="1:11" ht="33" customHeight="1">
      <c r="A1283" s="744" t="s">
        <v>4611</v>
      </c>
      <c r="B1283" s="744"/>
      <c r="C1283" s="745" t="s">
        <v>4040</v>
      </c>
      <c r="D1283" s="744" t="s">
        <v>1127</v>
      </c>
      <c r="E1283" s="744" t="s">
        <v>798</v>
      </c>
      <c r="F1283" s="744" t="s">
        <v>3428</v>
      </c>
      <c r="G1283" s="746" t="s">
        <v>108</v>
      </c>
      <c r="H1283" s="745" t="s">
        <v>3797</v>
      </c>
      <c r="I1283" s="745" t="s">
        <v>4909</v>
      </c>
      <c r="J1283" s="796">
        <v>2591.5</v>
      </c>
      <c r="K1283" s="795"/>
    </row>
    <row r="1284" spans="1:11" ht="33" customHeight="1">
      <c r="A1284" s="744" t="s">
        <v>4611</v>
      </c>
      <c r="B1284" s="744"/>
      <c r="C1284" s="745" t="s">
        <v>4271</v>
      </c>
      <c r="D1284" s="744" t="s">
        <v>1127</v>
      </c>
      <c r="E1284" s="744" t="s">
        <v>1344</v>
      </c>
      <c r="F1284" s="744" t="s">
        <v>3480</v>
      </c>
      <c r="G1284" s="746" t="s">
        <v>101</v>
      </c>
      <c r="H1284" s="745" t="s">
        <v>4272</v>
      </c>
      <c r="I1284" s="745" t="s">
        <v>5045</v>
      </c>
      <c r="J1284" s="796">
        <v>539.66</v>
      </c>
      <c r="K1284" s="795"/>
    </row>
    <row r="1285" spans="1:11" ht="21.95" customHeight="1">
      <c r="A1285" s="744" t="s">
        <v>4611</v>
      </c>
      <c r="B1285" s="744"/>
      <c r="C1285" s="745" t="s">
        <v>4273</v>
      </c>
      <c r="D1285" s="744" t="s">
        <v>1127</v>
      </c>
      <c r="E1285" s="744" t="s">
        <v>1345</v>
      </c>
      <c r="F1285" s="744" t="s">
        <v>3428</v>
      </c>
      <c r="G1285" s="746" t="s">
        <v>108</v>
      </c>
      <c r="H1285" s="745" t="s">
        <v>3626</v>
      </c>
      <c r="I1285" s="745" t="s">
        <v>5046</v>
      </c>
      <c r="J1285" s="796">
        <v>1467.04</v>
      </c>
      <c r="K1285" s="795"/>
    </row>
    <row r="1286" spans="1:11" ht="21.95" customHeight="1">
      <c r="A1286" s="744" t="s">
        <v>4611</v>
      </c>
      <c r="B1286" s="744"/>
      <c r="C1286" s="745" t="s">
        <v>4112</v>
      </c>
      <c r="D1286" s="744" t="s">
        <v>1127</v>
      </c>
      <c r="E1286" s="744" t="s">
        <v>839</v>
      </c>
      <c r="F1286" s="744" t="s">
        <v>3423</v>
      </c>
      <c r="G1286" s="746" t="s">
        <v>108</v>
      </c>
      <c r="H1286" s="745" t="s">
        <v>4267</v>
      </c>
      <c r="I1286" s="745" t="s">
        <v>4113</v>
      </c>
      <c r="J1286" s="796">
        <v>20.96</v>
      </c>
      <c r="K1286" s="795"/>
    </row>
    <row r="1287" spans="1:11" ht="21.95" customHeight="1">
      <c r="A1287" s="744" t="s">
        <v>4611</v>
      </c>
      <c r="B1287" s="744"/>
      <c r="C1287" s="745" t="s">
        <v>4274</v>
      </c>
      <c r="D1287" s="744" t="s">
        <v>1127</v>
      </c>
      <c r="E1287" s="744" t="s">
        <v>1346</v>
      </c>
      <c r="F1287" s="744" t="s">
        <v>3423</v>
      </c>
      <c r="G1287" s="746" t="s">
        <v>108</v>
      </c>
      <c r="H1287" s="745" t="s">
        <v>3774</v>
      </c>
      <c r="I1287" s="745" t="s">
        <v>4275</v>
      </c>
      <c r="J1287" s="796">
        <v>6.91</v>
      </c>
      <c r="K1287" s="795"/>
    </row>
    <row r="1288" spans="1:11" ht="21.95" customHeight="1">
      <c r="A1288" s="744" t="s">
        <v>4611</v>
      </c>
      <c r="B1288" s="744"/>
      <c r="C1288" s="745" t="s">
        <v>4114</v>
      </c>
      <c r="D1288" s="744" t="s">
        <v>1127</v>
      </c>
      <c r="E1288" s="744" t="s">
        <v>794</v>
      </c>
      <c r="F1288" s="744" t="s">
        <v>3423</v>
      </c>
      <c r="G1288" s="746" t="s">
        <v>108</v>
      </c>
      <c r="H1288" s="745" t="s">
        <v>4267</v>
      </c>
      <c r="I1288" s="745" t="s">
        <v>4115</v>
      </c>
      <c r="J1288" s="796">
        <v>140.16999999999999</v>
      </c>
      <c r="K1288" s="795"/>
    </row>
    <row r="1289" spans="1:11" ht="21.95" customHeight="1">
      <c r="A1289" s="744" t="s">
        <v>4611</v>
      </c>
      <c r="B1289" s="744"/>
      <c r="C1289" s="745" t="s">
        <v>4276</v>
      </c>
      <c r="D1289" s="744" t="s">
        <v>1127</v>
      </c>
      <c r="E1289" s="744" t="s">
        <v>1789</v>
      </c>
      <c r="F1289" s="744" t="s">
        <v>3423</v>
      </c>
      <c r="G1289" s="746" t="s">
        <v>108</v>
      </c>
      <c r="H1289" s="745" t="s">
        <v>3774</v>
      </c>
      <c r="I1289" s="745" t="s">
        <v>4277</v>
      </c>
      <c r="J1289" s="796">
        <v>44.15</v>
      </c>
      <c r="K1289" s="795"/>
    </row>
    <row r="1290" spans="1:11" ht="21.95" customHeight="1">
      <c r="A1290" s="744" t="s">
        <v>4611</v>
      </c>
      <c r="B1290" s="744"/>
      <c r="C1290" s="745" t="s">
        <v>4278</v>
      </c>
      <c r="D1290" s="744" t="s">
        <v>1127</v>
      </c>
      <c r="E1290" s="744" t="s">
        <v>1347</v>
      </c>
      <c r="F1290" s="744" t="s">
        <v>3423</v>
      </c>
      <c r="G1290" s="746" t="s">
        <v>108</v>
      </c>
      <c r="H1290" s="745" t="s">
        <v>4279</v>
      </c>
      <c r="I1290" s="745" t="s">
        <v>5027</v>
      </c>
      <c r="J1290" s="796">
        <v>538.57000000000005</v>
      </c>
      <c r="K1290" s="795"/>
    </row>
    <row r="1291" spans="1:11" ht="44.1" customHeight="1">
      <c r="A1291" s="744" t="s">
        <v>4611</v>
      </c>
      <c r="B1291" s="744"/>
      <c r="C1291" s="745" t="s">
        <v>4280</v>
      </c>
      <c r="D1291" s="744" t="s">
        <v>1127</v>
      </c>
      <c r="E1291" s="744" t="s">
        <v>974</v>
      </c>
      <c r="F1291" s="744" t="s">
        <v>3391</v>
      </c>
      <c r="G1291" s="746" t="s">
        <v>57</v>
      </c>
      <c r="H1291" s="745" t="s">
        <v>4281</v>
      </c>
      <c r="I1291" s="745" t="s">
        <v>4282</v>
      </c>
      <c r="J1291" s="796">
        <v>213.6</v>
      </c>
      <c r="K1291" s="795"/>
    </row>
    <row r="1292" spans="1:11" ht="33" customHeight="1">
      <c r="A1292" s="744" t="s">
        <v>4611</v>
      </c>
      <c r="B1292" s="744"/>
      <c r="C1292" s="745" t="s">
        <v>4283</v>
      </c>
      <c r="D1292" s="744" t="s">
        <v>1127</v>
      </c>
      <c r="E1292" s="744" t="s">
        <v>2858</v>
      </c>
      <c r="F1292" s="744" t="s">
        <v>3516</v>
      </c>
      <c r="G1292" s="746" t="s">
        <v>57</v>
      </c>
      <c r="H1292" s="745" t="s">
        <v>3610</v>
      </c>
      <c r="I1292" s="745" t="s">
        <v>5047</v>
      </c>
      <c r="J1292" s="796">
        <v>170.6</v>
      </c>
      <c r="K1292" s="795"/>
    </row>
    <row r="1293" spans="1:11" ht="21.95" customHeight="1">
      <c r="A1293" s="744" t="s">
        <v>4611</v>
      </c>
      <c r="B1293" s="744"/>
      <c r="C1293" s="745" t="s">
        <v>3471</v>
      </c>
      <c r="D1293" s="744" t="s">
        <v>3604</v>
      </c>
      <c r="E1293" s="744" t="s">
        <v>3472</v>
      </c>
      <c r="F1293" s="744" t="s">
        <v>3391</v>
      </c>
      <c r="G1293" s="746" t="s">
        <v>57</v>
      </c>
      <c r="H1293" s="745" t="s">
        <v>3629</v>
      </c>
      <c r="I1293" s="745" t="s">
        <v>3646</v>
      </c>
      <c r="J1293" s="796">
        <v>502</v>
      </c>
      <c r="K1293" s="795"/>
    </row>
    <row r="1294" spans="1:11" ht="21.95" customHeight="1">
      <c r="A1294" s="744" t="s">
        <v>4611</v>
      </c>
      <c r="B1294" s="744"/>
      <c r="C1294" s="745" t="s">
        <v>3514</v>
      </c>
      <c r="D1294" s="744" t="s">
        <v>3604</v>
      </c>
      <c r="E1294" s="744" t="s">
        <v>3515</v>
      </c>
      <c r="F1294" s="744" t="s">
        <v>3516</v>
      </c>
      <c r="G1294" s="746" t="s">
        <v>57</v>
      </c>
      <c r="H1294" s="745" t="s">
        <v>3610</v>
      </c>
      <c r="I1294" s="745" t="s">
        <v>4284</v>
      </c>
      <c r="J1294" s="796">
        <v>42.33</v>
      </c>
      <c r="K1294" s="795"/>
    </row>
    <row r="1295" spans="1:11" ht="21.95" customHeight="1" thickBot="1">
      <c r="A1295" s="748" t="s">
        <v>4616</v>
      </c>
      <c r="B1295" s="748"/>
      <c r="C1295" s="749" t="s">
        <v>4285</v>
      </c>
      <c r="D1295" s="748" t="s">
        <v>3604</v>
      </c>
      <c r="E1295" s="748" t="s">
        <v>1348</v>
      </c>
      <c r="F1295" s="748" t="s">
        <v>1187</v>
      </c>
      <c r="G1295" s="750" t="s">
        <v>57</v>
      </c>
      <c r="H1295" s="749" t="s">
        <v>3610</v>
      </c>
      <c r="I1295" s="749" t="s">
        <v>4286</v>
      </c>
      <c r="J1295" s="794">
        <v>941</v>
      </c>
      <c r="K1295" s="795"/>
    </row>
    <row r="1296" spans="1:11" ht="0.95" customHeight="1" thickTop="1">
      <c r="A1296" s="747"/>
      <c r="B1296" s="747"/>
      <c r="C1296" s="747"/>
      <c r="D1296" s="747"/>
      <c r="E1296" s="747"/>
      <c r="F1296" s="747"/>
      <c r="G1296" s="747"/>
      <c r="H1296" s="747"/>
      <c r="I1296" s="747"/>
      <c r="J1296" s="747"/>
      <c r="K1296" s="747"/>
    </row>
    <row r="1297" spans="1:11" ht="18" customHeight="1">
      <c r="A1297" s="738"/>
      <c r="B1297" s="738" t="s">
        <v>60</v>
      </c>
      <c r="C1297" s="739" t="s">
        <v>3312</v>
      </c>
      <c r="D1297" s="738" t="s">
        <v>3602</v>
      </c>
      <c r="E1297" s="738" t="s">
        <v>3313</v>
      </c>
      <c r="F1297" s="738" t="s">
        <v>3390</v>
      </c>
      <c r="G1297" s="740" t="s">
        <v>70</v>
      </c>
      <c r="H1297" s="739" t="s">
        <v>64</v>
      </c>
      <c r="I1297" s="739" t="s">
        <v>3617</v>
      </c>
      <c r="J1297" s="797" t="s">
        <v>474</v>
      </c>
      <c r="K1297" s="795"/>
    </row>
    <row r="1298" spans="1:11" ht="21.95" customHeight="1">
      <c r="A1298" s="741" t="s">
        <v>4608</v>
      </c>
      <c r="B1298" s="741" t="s">
        <v>5048</v>
      </c>
      <c r="C1298" s="742" t="s">
        <v>3525</v>
      </c>
      <c r="D1298" s="741" t="s">
        <v>3604</v>
      </c>
      <c r="E1298" s="741" t="s">
        <v>1533</v>
      </c>
      <c r="F1298" s="741" t="s">
        <v>3442</v>
      </c>
      <c r="G1298" s="743" t="s">
        <v>101</v>
      </c>
      <c r="H1298" s="742">
        <v>1</v>
      </c>
      <c r="I1298" s="742" t="s">
        <v>4292</v>
      </c>
      <c r="J1298" s="798" t="s">
        <v>4292</v>
      </c>
      <c r="K1298" s="795"/>
    </row>
    <row r="1299" spans="1:11" ht="21.95" customHeight="1">
      <c r="A1299" s="744" t="s">
        <v>4611</v>
      </c>
      <c r="B1299" s="744"/>
      <c r="C1299" s="745" t="s">
        <v>4004</v>
      </c>
      <c r="D1299" s="744" t="s">
        <v>1127</v>
      </c>
      <c r="E1299" s="744" t="s">
        <v>1265</v>
      </c>
      <c r="F1299" s="744" t="s">
        <v>3430</v>
      </c>
      <c r="G1299" s="746" t="s">
        <v>1129</v>
      </c>
      <c r="H1299" s="745" t="s">
        <v>4046</v>
      </c>
      <c r="I1299" s="745" t="s">
        <v>4005</v>
      </c>
      <c r="J1299" s="796">
        <v>2.4700000000000002</v>
      </c>
      <c r="K1299" s="795"/>
    </row>
    <row r="1300" spans="1:11" ht="21.95" customHeight="1">
      <c r="A1300" s="744" t="s">
        <v>4611</v>
      </c>
      <c r="B1300" s="744"/>
      <c r="C1300" s="745" t="s">
        <v>3633</v>
      </c>
      <c r="D1300" s="744" t="s">
        <v>1127</v>
      </c>
      <c r="E1300" s="744" t="s">
        <v>1146</v>
      </c>
      <c r="F1300" s="744" t="s">
        <v>3430</v>
      </c>
      <c r="G1300" s="746" t="s">
        <v>1129</v>
      </c>
      <c r="H1300" s="745" t="s">
        <v>4046</v>
      </c>
      <c r="I1300" s="745" t="s">
        <v>3635</v>
      </c>
      <c r="J1300" s="796">
        <v>1.94</v>
      </c>
      <c r="K1300" s="795"/>
    </row>
    <row r="1301" spans="1:11" ht="21.95" customHeight="1" thickBot="1">
      <c r="A1301" s="748" t="s">
        <v>4616</v>
      </c>
      <c r="B1301" s="748"/>
      <c r="C1301" s="749" t="s">
        <v>4293</v>
      </c>
      <c r="D1301" s="748" t="s">
        <v>3604</v>
      </c>
      <c r="E1301" s="748" t="s">
        <v>1533</v>
      </c>
      <c r="F1301" s="748" t="s">
        <v>1187</v>
      </c>
      <c r="G1301" s="750" t="s">
        <v>101</v>
      </c>
      <c r="H1301" s="749" t="s">
        <v>4294</v>
      </c>
      <c r="I1301" s="749" t="s">
        <v>4295</v>
      </c>
      <c r="J1301" s="794">
        <v>4.6399999999999997</v>
      </c>
      <c r="K1301" s="795"/>
    </row>
    <row r="1302" spans="1:11" ht="0.95" customHeight="1" thickTop="1">
      <c r="A1302" s="747"/>
      <c r="B1302" s="747"/>
      <c r="C1302" s="747"/>
      <c r="D1302" s="747"/>
      <c r="E1302" s="747"/>
      <c r="F1302" s="747"/>
      <c r="G1302" s="747"/>
      <c r="H1302" s="747"/>
      <c r="I1302" s="747"/>
      <c r="J1302" s="747"/>
      <c r="K1302" s="747"/>
    </row>
    <row r="1303" spans="1:11" ht="18" customHeight="1">
      <c r="A1303" s="738"/>
      <c r="B1303" s="738" t="s">
        <v>60</v>
      </c>
      <c r="C1303" s="739" t="s">
        <v>3312</v>
      </c>
      <c r="D1303" s="738" t="s">
        <v>3602</v>
      </c>
      <c r="E1303" s="738" t="s">
        <v>3313</v>
      </c>
      <c r="F1303" s="738" t="s">
        <v>3390</v>
      </c>
      <c r="G1303" s="740" t="s">
        <v>70</v>
      </c>
      <c r="H1303" s="739" t="s">
        <v>64</v>
      </c>
      <c r="I1303" s="739" t="s">
        <v>3617</v>
      </c>
      <c r="J1303" s="797" t="s">
        <v>474</v>
      </c>
      <c r="K1303" s="795"/>
    </row>
    <row r="1304" spans="1:11" ht="21.95" customHeight="1">
      <c r="A1304" s="741" t="s">
        <v>4608</v>
      </c>
      <c r="B1304" s="741" t="s">
        <v>5049</v>
      </c>
      <c r="C1304" s="742" t="s">
        <v>3568</v>
      </c>
      <c r="D1304" s="741" t="s">
        <v>3604</v>
      </c>
      <c r="E1304" s="741" t="s">
        <v>3147</v>
      </c>
      <c r="F1304" s="741" t="s">
        <v>3442</v>
      </c>
      <c r="G1304" s="743" t="s">
        <v>101</v>
      </c>
      <c r="H1304" s="742">
        <v>1</v>
      </c>
      <c r="I1304" s="742" t="s">
        <v>5050</v>
      </c>
      <c r="J1304" s="798" t="s">
        <v>5050</v>
      </c>
      <c r="K1304" s="795"/>
    </row>
    <row r="1305" spans="1:11" ht="21.95" customHeight="1">
      <c r="A1305" s="744" t="s">
        <v>4611</v>
      </c>
      <c r="B1305" s="744"/>
      <c r="C1305" s="745" t="s">
        <v>4004</v>
      </c>
      <c r="D1305" s="744" t="s">
        <v>1127</v>
      </c>
      <c r="E1305" s="744" t="s">
        <v>1265</v>
      </c>
      <c r="F1305" s="744" t="s">
        <v>3430</v>
      </c>
      <c r="G1305" s="746" t="s">
        <v>1129</v>
      </c>
      <c r="H1305" s="745" t="s">
        <v>3913</v>
      </c>
      <c r="I1305" s="745" t="s">
        <v>4005</v>
      </c>
      <c r="J1305" s="796">
        <v>2.82</v>
      </c>
      <c r="K1305" s="795"/>
    </row>
    <row r="1306" spans="1:11" ht="21.95" customHeight="1">
      <c r="A1306" s="744" t="s">
        <v>4611</v>
      </c>
      <c r="B1306" s="744"/>
      <c r="C1306" s="745" t="s">
        <v>3633</v>
      </c>
      <c r="D1306" s="744" t="s">
        <v>1127</v>
      </c>
      <c r="E1306" s="744" t="s">
        <v>1146</v>
      </c>
      <c r="F1306" s="744" t="s">
        <v>3430</v>
      </c>
      <c r="G1306" s="746" t="s">
        <v>1129</v>
      </c>
      <c r="H1306" s="745" t="s">
        <v>3913</v>
      </c>
      <c r="I1306" s="745" t="s">
        <v>3635</v>
      </c>
      <c r="J1306" s="796">
        <v>2.2200000000000002</v>
      </c>
      <c r="K1306" s="795"/>
    </row>
    <row r="1307" spans="1:11" ht="21.95" customHeight="1" thickBot="1">
      <c r="A1307" s="748" t="s">
        <v>4616</v>
      </c>
      <c r="B1307" s="748"/>
      <c r="C1307" s="749" t="s">
        <v>4296</v>
      </c>
      <c r="D1307" s="748" t="s">
        <v>3604</v>
      </c>
      <c r="E1307" s="748" t="s">
        <v>3147</v>
      </c>
      <c r="F1307" s="748" t="s">
        <v>1187</v>
      </c>
      <c r="G1307" s="750" t="s">
        <v>101</v>
      </c>
      <c r="H1307" s="749" t="s">
        <v>4294</v>
      </c>
      <c r="I1307" s="749" t="s">
        <v>4297</v>
      </c>
      <c r="J1307" s="794">
        <v>6.98</v>
      </c>
      <c r="K1307" s="795"/>
    </row>
    <row r="1308" spans="1:11" ht="0.95" customHeight="1" thickTop="1">
      <c r="A1308" s="747"/>
      <c r="B1308" s="747"/>
      <c r="C1308" s="747"/>
      <c r="D1308" s="747"/>
      <c r="E1308" s="747"/>
      <c r="F1308" s="747"/>
      <c r="G1308" s="747"/>
      <c r="H1308" s="747"/>
      <c r="I1308" s="747"/>
      <c r="J1308" s="747"/>
      <c r="K1308" s="747"/>
    </row>
    <row r="1309" spans="1:11" ht="18" customHeight="1">
      <c r="A1309" s="738"/>
      <c r="B1309" s="738" t="s">
        <v>60</v>
      </c>
      <c r="C1309" s="739" t="s">
        <v>3312</v>
      </c>
      <c r="D1309" s="738" t="s">
        <v>3602</v>
      </c>
      <c r="E1309" s="738" t="s">
        <v>3313</v>
      </c>
      <c r="F1309" s="738" t="s">
        <v>3390</v>
      </c>
      <c r="G1309" s="740" t="s">
        <v>70</v>
      </c>
      <c r="H1309" s="739" t="s">
        <v>64</v>
      </c>
      <c r="I1309" s="739" t="s">
        <v>3617</v>
      </c>
      <c r="J1309" s="797" t="s">
        <v>474</v>
      </c>
      <c r="K1309" s="795"/>
    </row>
    <row r="1310" spans="1:11" ht="21.95" customHeight="1">
      <c r="A1310" s="741" t="s">
        <v>4608</v>
      </c>
      <c r="B1310" s="741" t="s">
        <v>5051</v>
      </c>
      <c r="C1310" s="742" t="s">
        <v>3571</v>
      </c>
      <c r="D1310" s="741" t="s">
        <v>3604</v>
      </c>
      <c r="E1310" s="741" t="s">
        <v>3149</v>
      </c>
      <c r="F1310" s="741" t="s">
        <v>3442</v>
      </c>
      <c r="G1310" s="743" t="s">
        <v>101</v>
      </c>
      <c r="H1310" s="742">
        <v>1</v>
      </c>
      <c r="I1310" s="742" t="s">
        <v>4298</v>
      </c>
      <c r="J1310" s="798" t="s">
        <v>4298</v>
      </c>
      <c r="K1310" s="795"/>
    </row>
    <row r="1311" spans="1:11" ht="21.95" customHeight="1">
      <c r="A1311" s="744" t="s">
        <v>4611</v>
      </c>
      <c r="B1311" s="744"/>
      <c r="C1311" s="745" t="s">
        <v>4004</v>
      </c>
      <c r="D1311" s="744" t="s">
        <v>1127</v>
      </c>
      <c r="E1311" s="744" t="s">
        <v>1265</v>
      </c>
      <c r="F1311" s="744" t="s">
        <v>3430</v>
      </c>
      <c r="G1311" s="746" t="s">
        <v>1129</v>
      </c>
      <c r="H1311" s="745" t="s">
        <v>4299</v>
      </c>
      <c r="I1311" s="745" t="s">
        <v>4005</v>
      </c>
      <c r="J1311" s="796">
        <v>3</v>
      </c>
      <c r="K1311" s="795"/>
    </row>
    <row r="1312" spans="1:11" ht="21.95" customHeight="1">
      <c r="A1312" s="744" t="s">
        <v>4611</v>
      </c>
      <c r="B1312" s="744"/>
      <c r="C1312" s="745" t="s">
        <v>3633</v>
      </c>
      <c r="D1312" s="744" t="s">
        <v>1127</v>
      </c>
      <c r="E1312" s="744" t="s">
        <v>1146</v>
      </c>
      <c r="F1312" s="744" t="s">
        <v>3430</v>
      </c>
      <c r="G1312" s="746" t="s">
        <v>1129</v>
      </c>
      <c r="H1312" s="745" t="s">
        <v>4299</v>
      </c>
      <c r="I1312" s="745" t="s">
        <v>3635</v>
      </c>
      <c r="J1312" s="796">
        <v>2.35</v>
      </c>
      <c r="K1312" s="795"/>
    </row>
    <row r="1313" spans="1:11" ht="21.95" customHeight="1" thickBot="1">
      <c r="A1313" s="748" t="s">
        <v>4616</v>
      </c>
      <c r="B1313" s="748"/>
      <c r="C1313" s="749" t="s">
        <v>4300</v>
      </c>
      <c r="D1313" s="748" t="s">
        <v>3604</v>
      </c>
      <c r="E1313" s="748" t="s">
        <v>3149</v>
      </c>
      <c r="F1313" s="748" t="s">
        <v>1187</v>
      </c>
      <c r="G1313" s="750" t="s">
        <v>101</v>
      </c>
      <c r="H1313" s="749" t="s">
        <v>4294</v>
      </c>
      <c r="I1313" s="749" t="s">
        <v>4301</v>
      </c>
      <c r="J1313" s="794">
        <v>10.55</v>
      </c>
      <c r="K1313" s="795"/>
    </row>
    <row r="1314" spans="1:11" ht="0.95" customHeight="1" thickTop="1">
      <c r="A1314" s="747"/>
      <c r="B1314" s="747"/>
      <c r="C1314" s="747"/>
      <c r="D1314" s="747"/>
      <c r="E1314" s="747"/>
      <c r="F1314" s="747"/>
      <c r="G1314" s="747"/>
      <c r="H1314" s="747"/>
      <c r="I1314" s="747"/>
      <c r="J1314" s="747"/>
      <c r="K1314" s="747"/>
    </row>
    <row r="1315" spans="1:11" ht="18" customHeight="1">
      <c r="A1315" s="738"/>
      <c r="B1315" s="738" t="s">
        <v>60</v>
      </c>
      <c r="C1315" s="739" t="s">
        <v>3312</v>
      </c>
      <c r="D1315" s="738" t="s">
        <v>3602</v>
      </c>
      <c r="E1315" s="738" t="s">
        <v>3313</v>
      </c>
      <c r="F1315" s="738" t="s">
        <v>3390</v>
      </c>
      <c r="G1315" s="740" t="s">
        <v>70</v>
      </c>
      <c r="H1315" s="739" t="s">
        <v>64</v>
      </c>
      <c r="I1315" s="739" t="s">
        <v>3617</v>
      </c>
      <c r="J1315" s="797" t="s">
        <v>474</v>
      </c>
      <c r="K1315" s="795"/>
    </row>
    <row r="1316" spans="1:11" ht="21.95" customHeight="1">
      <c r="A1316" s="741" t="s">
        <v>4608</v>
      </c>
      <c r="B1316" s="741" t="s">
        <v>5052</v>
      </c>
      <c r="C1316" s="742" t="s">
        <v>3574</v>
      </c>
      <c r="D1316" s="741" t="s">
        <v>3604</v>
      </c>
      <c r="E1316" s="741" t="s">
        <v>3151</v>
      </c>
      <c r="F1316" s="741" t="s">
        <v>3442</v>
      </c>
      <c r="G1316" s="743" t="s">
        <v>101</v>
      </c>
      <c r="H1316" s="742">
        <v>1</v>
      </c>
      <c r="I1316" s="742" t="s">
        <v>4302</v>
      </c>
      <c r="J1316" s="798" t="s">
        <v>4302</v>
      </c>
      <c r="K1316" s="795"/>
    </row>
    <row r="1317" spans="1:11" ht="21.95" customHeight="1">
      <c r="A1317" s="744" t="s">
        <v>4611</v>
      </c>
      <c r="B1317" s="744"/>
      <c r="C1317" s="745" t="s">
        <v>4004</v>
      </c>
      <c r="D1317" s="744" t="s">
        <v>1127</v>
      </c>
      <c r="E1317" s="744" t="s">
        <v>1265</v>
      </c>
      <c r="F1317" s="744" t="s">
        <v>3430</v>
      </c>
      <c r="G1317" s="746" t="s">
        <v>1129</v>
      </c>
      <c r="H1317" s="745" t="s">
        <v>4303</v>
      </c>
      <c r="I1317" s="745" t="s">
        <v>4005</v>
      </c>
      <c r="J1317" s="796">
        <v>3.71</v>
      </c>
      <c r="K1317" s="795"/>
    </row>
    <row r="1318" spans="1:11" ht="21.95" customHeight="1">
      <c r="A1318" s="744" t="s">
        <v>4611</v>
      </c>
      <c r="B1318" s="744"/>
      <c r="C1318" s="745" t="s">
        <v>3633</v>
      </c>
      <c r="D1318" s="744" t="s">
        <v>1127</v>
      </c>
      <c r="E1318" s="744" t="s">
        <v>1146</v>
      </c>
      <c r="F1318" s="744" t="s">
        <v>3430</v>
      </c>
      <c r="G1318" s="746" t="s">
        <v>1129</v>
      </c>
      <c r="H1318" s="745" t="s">
        <v>4303</v>
      </c>
      <c r="I1318" s="745" t="s">
        <v>3635</v>
      </c>
      <c r="J1318" s="796">
        <v>2.91</v>
      </c>
      <c r="K1318" s="795"/>
    </row>
    <row r="1319" spans="1:11" ht="21.95" customHeight="1" thickBot="1">
      <c r="A1319" s="748" t="s">
        <v>4616</v>
      </c>
      <c r="B1319" s="748"/>
      <c r="C1319" s="749" t="s">
        <v>4304</v>
      </c>
      <c r="D1319" s="748" t="s">
        <v>3604</v>
      </c>
      <c r="E1319" s="748" t="s">
        <v>3151</v>
      </c>
      <c r="F1319" s="748" t="s">
        <v>1187</v>
      </c>
      <c r="G1319" s="750" t="s">
        <v>101</v>
      </c>
      <c r="H1319" s="749" t="s">
        <v>4294</v>
      </c>
      <c r="I1319" s="749" t="s">
        <v>4305</v>
      </c>
      <c r="J1319" s="794">
        <v>14.64</v>
      </c>
      <c r="K1319" s="795"/>
    </row>
    <row r="1320" spans="1:11" ht="0.95" customHeight="1" thickTop="1">
      <c r="A1320" s="747"/>
      <c r="B1320" s="747"/>
      <c r="C1320" s="747"/>
      <c r="D1320" s="747"/>
      <c r="E1320" s="747"/>
      <c r="F1320" s="747"/>
      <c r="G1320" s="747"/>
      <c r="H1320" s="747"/>
      <c r="I1320" s="747"/>
      <c r="J1320" s="747"/>
      <c r="K1320" s="747"/>
    </row>
    <row r="1321" spans="1:11" ht="18" customHeight="1">
      <c r="A1321" s="738"/>
      <c r="B1321" s="738" t="s">
        <v>60</v>
      </c>
      <c r="C1321" s="739" t="s">
        <v>3312</v>
      </c>
      <c r="D1321" s="738" t="s">
        <v>3602</v>
      </c>
      <c r="E1321" s="738" t="s">
        <v>3313</v>
      </c>
      <c r="F1321" s="738" t="s">
        <v>3390</v>
      </c>
      <c r="G1321" s="740" t="s">
        <v>70</v>
      </c>
      <c r="H1321" s="739" t="s">
        <v>64</v>
      </c>
      <c r="I1321" s="739" t="s">
        <v>3617</v>
      </c>
      <c r="J1321" s="797" t="s">
        <v>474</v>
      </c>
      <c r="K1321" s="795"/>
    </row>
    <row r="1322" spans="1:11" ht="21.95" customHeight="1">
      <c r="A1322" s="741" t="s">
        <v>4608</v>
      </c>
      <c r="B1322" s="741" t="s">
        <v>5053</v>
      </c>
      <c r="C1322" s="742" t="s">
        <v>3577</v>
      </c>
      <c r="D1322" s="741" t="s">
        <v>3604</v>
      </c>
      <c r="E1322" s="741" t="s">
        <v>3153</v>
      </c>
      <c r="F1322" s="741" t="s">
        <v>3442</v>
      </c>
      <c r="G1322" s="743" t="s">
        <v>101</v>
      </c>
      <c r="H1322" s="742">
        <v>1</v>
      </c>
      <c r="I1322" s="742" t="s">
        <v>4306</v>
      </c>
      <c r="J1322" s="798" t="s">
        <v>4306</v>
      </c>
      <c r="K1322" s="795"/>
    </row>
    <row r="1323" spans="1:11" ht="21.95" customHeight="1">
      <c r="A1323" s="744" t="s">
        <v>4611</v>
      </c>
      <c r="B1323" s="744"/>
      <c r="C1323" s="745" t="s">
        <v>4004</v>
      </c>
      <c r="D1323" s="744" t="s">
        <v>1127</v>
      </c>
      <c r="E1323" s="744" t="s">
        <v>1265</v>
      </c>
      <c r="F1323" s="744" t="s">
        <v>3430</v>
      </c>
      <c r="G1323" s="746" t="s">
        <v>1129</v>
      </c>
      <c r="H1323" s="745" t="s">
        <v>4171</v>
      </c>
      <c r="I1323" s="745" t="s">
        <v>4005</v>
      </c>
      <c r="J1323" s="796">
        <v>6.01</v>
      </c>
      <c r="K1323" s="795"/>
    </row>
    <row r="1324" spans="1:11" ht="21.95" customHeight="1">
      <c r="A1324" s="744" t="s">
        <v>4611</v>
      </c>
      <c r="B1324" s="744"/>
      <c r="C1324" s="745" t="s">
        <v>3633</v>
      </c>
      <c r="D1324" s="744" t="s">
        <v>1127</v>
      </c>
      <c r="E1324" s="744" t="s">
        <v>1146</v>
      </c>
      <c r="F1324" s="744" t="s">
        <v>3430</v>
      </c>
      <c r="G1324" s="746" t="s">
        <v>1129</v>
      </c>
      <c r="H1324" s="745" t="s">
        <v>4171</v>
      </c>
      <c r="I1324" s="745" t="s">
        <v>3635</v>
      </c>
      <c r="J1324" s="796">
        <v>4.71</v>
      </c>
      <c r="K1324" s="795"/>
    </row>
    <row r="1325" spans="1:11" ht="21.95" customHeight="1" thickBot="1">
      <c r="A1325" s="748" t="s">
        <v>4616</v>
      </c>
      <c r="B1325" s="748"/>
      <c r="C1325" s="749" t="s">
        <v>4307</v>
      </c>
      <c r="D1325" s="748" t="s">
        <v>3604</v>
      </c>
      <c r="E1325" s="748" t="s">
        <v>3153</v>
      </c>
      <c r="F1325" s="748" t="s">
        <v>1187</v>
      </c>
      <c r="G1325" s="750" t="s">
        <v>101</v>
      </c>
      <c r="H1325" s="749" t="s">
        <v>4294</v>
      </c>
      <c r="I1325" s="749" t="s">
        <v>4308</v>
      </c>
      <c r="J1325" s="794">
        <v>28.27</v>
      </c>
      <c r="K1325" s="795"/>
    </row>
    <row r="1326" spans="1:11" ht="0.95" customHeight="1" thickTop="1">
      <c r="A1326" s="747"/>
      <c r="B1326" s="747"/>
      <c r="C1326" s="747"/>
      <c r="D1326" s="747"/>
      <c r="E1326" s="747"/>
      <c r="F1326" s="747"/>
      <c r="G1326" s="747"/>
      <c r="H1326" s="747"/>
      <c r="I1326" s="747"/>
      <c r="J1326" s="747"/>
      <c r="K1326" s="747"/>
    </row>
    <row r="1327" spans="1:11" ht="18" customHeight="1">
      <c r="A1327" s="738"/>
      <c r="B1327" s="738" t="s">
        <v>60</v>
      </c>
      <c r="C1327" s="739" t="s">
        <v>3312</v>
      </c>
      <c r="D1327" s="738" t="s">
        <v>3602</v>
      </c>
      <c r="E1327" s="738" t="s">
        <v>3313</v>
      </c>
      <c r="F1327" s="738" t="s">
        <v>3390</v>
      </c>
      <c r="G1327" s="740" t="s">
        <v>70</v>
      </c>
      <c r="H1327" s="739" t="s">
        <v>64</v>
      </c>
      <c r="I1327" s="739" t="s">
        <v>3617</v>
      </c>
      <c r="J1327" s="797" t="s">
        <v>474</v>
      </c>
      <c r="K1327" s="795"/>
    </row>
    <row r="1328" spans="1:11" ht="21.95" customHeight="1">
      <c r="A1328" s="741" t="s">
        <v>4608</v>
      </c>
      <c r="B1328" s="741" t="s">
        <v>5054</v>
      </c>
      <c r="C1328" s="742" t="s">
        <v>4309</v>
      </c>
      <c r="D1328" s="741" t="s">
        <v>3604</v>
      </c>
      <c r="E1328" s="741" t="s">
        <v>3155</v>
      </c>
      <c r="F1328" s="741" t="s">
        <v>3442</v>
      </c>
      <c r="G1328" s="743" t="s">
        <v>101</v>
      </c>
      <c r="H1328" s="742">
        <v>1</v>
      </c>
      <c r="I1328" s="742" t="s">
        <v>4310</v>
      </c>
      <c r="J1328" s="798" t="s">
        <v>4310</v>
      </c>
      <c r="K1328" s="795"/>
    </row>
    <row r="1329" spans="1:11" ht="21.95" customHeight="1">
      <c r="A1329" s="744" t="s">
        <v>4611</v>
      </c>
      <c r="B1329" s="744"/>
      <c r="C1329" s="745" t="s">
        <v>4004</v>
      </c>
      <c r="D1329" s="744" t="s">
        <v>1127</v>
      </c>
      <c r="E1329" s="744" t="s">
        <v>1265</v>
      </c>
      <c r="F1329" s="744" t="s">
        <v>3430</v>
      </c>
      <c r="G1329" s="746" t="s">
        <v>1129</v>
      </c>
      <c r="H1329" s="745" t="s">
        <v>4206</v>
      </c>
      <c r="I1329" s="745" t="s">
        <v>4005</v>
      </c>
      <c r="J1329" s="796">
        <v>8.1300000000000008</v>
      </c>
      <c r="K1329" s="795"/>
    </row>
    <row r="1330" spans="1:11" ht="21.95" customHeight="1">
      <c r="A1330" s="744" t="s">
        <v>4611</v>
      </c>
      <c r="B1330" s="744"/>
      <c r="C1330" s="745" t="s">
        <v>3633</v>
      </c>
      <c r="D1330" s="744" t="s">
        <v>1127</v>
      </c>
      <c r="E1330" s="744" t="s">
        <v>1146</v>
      </c>
      <c r="F1330" s="744" t="s">
        <v>3430</v>
      </c>
      <c r="G1330" s="746" t="s">
        <v>1129</v>
      </c>
      <c r="H1330" s="745" t="s">
        <v>4206</v>
      </c>
      <c r="I1330" s="745" t="s">
        <v>3635</v>
      </c>
      <c r="J1330" s="796">
        <v>6.38</v>
      </c>
      <c r="K1330" s="795"/>
    </row>
    <row r="1331" spans="1:11" ht="21.95" customHeight="1" thickBot="1">
      <c r="A1331" s="748" t="s">
        <v>4616</v>
      </c>
      <c r="B1331" s="748"/>
      <c r="C1331" s="749" t="s">
        <v>4346</v>
      </c>
      <c r="D1331" s="748" t="s">
        <v>3604</v>
      </c>
      <c r="E1331" s="748" t="s">
        <v>3155</v>
      </c>
      <c r="F1331" s="748" t="s">
        <v>1187</v>
      </c>
      <c r="G1331" s="750" t="s">
        <v>101</v>
      </c>
      <c r="H1331" s="749" t="s">
        <v>4294</v>
      </c>
      <c r="I1331" s="749" t="s">
        <v>4311</v>
      </c>
      <c r="J1331" s="794">
        <v>51.58</v>
      </c>
      <c r="K1331" s="795"/>
    </row>
    <row r="1332" spans="1:11" ht="0.95" customHeight="1" thickTop="1">
      <c r="A1332" s="747"/>
      <c r="B1332" s="747"/>
      <c r="C1332" s="747"/>
      <c r="D1332" s="747"/>
      <c r="E1332" s="747"/>
      <c r="F1332" s="747"/>
      <c r="G1332" s="747"/>
      <c r="H1332" s="747"/>
      <c r="I1332" s="747"/>
      <c r="J1332" s="747"/>
      <c r="K1332" s="747"/>
    </row>
    <row r="1333" spans="1:11" ht="18" customHeight="1">
      <c r="A1333" s="738"/>
      <c r="B1333" s="738" t="s">
        <v>60</v>
      </c>
      <c r="C1333" s="739" t="s">
        <v>3312</v>
      </c>
      <c r="D1333" s="738" t="s">
        <v>3602</v>
      </c>
      <c r="E1333" s="738" t="s">
        <v>3313</v>
      </c>
      <c r="F1333" s="738" t="s">
        <v>3390</v>
      </c>
      <c r="G1333" s="740" t="s">
        <v>70</v>
      </c>
      <c r="H1333" s="739" t="s">
        <v>64</v>
      </c>
      <c r="I1333" s="739" t="s">
        <v>3617</v>
      </c>
      <c r="J1333" s="797" t="s">
        <v>474</v>
      </c>
      <c r="K1333" s="795"/>
    </row>
    <row r="1334" spans="1:11" ht="33" customHeight="1">
      <c r="A1334" s="741" t="s">
        <v>4608</v>
      </c>
      <c r="B1334" s="741" t="s">
        <v>5055</v>
      </c>
      <c r="C1334" s="742" t="s">
        <v>3443</v>
      </c>
      <c r="D1334" s="741" t="s">
        <v>3604</v>
      </c>
      <c r="E1334" s="741" t="s">
        <v>1353</v>
      </c>
      <c r="F1334" s="741" t="s">
        <v>3442</v>
      </c>
      <c r="G1334" s="743" t="s">
        <v>57</v>
      </c>
      <c r="H1334" s="742">
        <v>1</v>
      </c>
      <c r="I1334" s="742" t="s">
        <v>5056</v>
      </c>
      <c r="J1334" s="798" t="s">
        <v>5056</v>
      </c>
      <c r="K1334" s="795"/>
    </row>
    <row r="1335" spans="1:11" ht="21.95" customHeight="1">
      <c r="A1335" s="744" t="s">
        <v>4611</v>
      </c>
      <c r="B1335" s="744"/>
      <c r="C1335" s="745" t="s">
        <v>4004</v>
      </c>
      <c r="D1335" s="744" t="s">
        <v>1127</v>
      </c>
      <c r="E1335" s="744" t="s">
        <v>1265</v>
      </c>
      <c r="F1335" s="744" t="s">
        <v>3430</v>
      </c>
      <c r="G1335" s="746" t="s">
        <v>1129</v>
      </c>
      <c r="H1335" s="745" t="s">
        <v>3702</v>
      </c>
      <c r="I1335" s="745" t="s">
        <v>4005</v>
      </c>
      <c r="J1335" s="796">
        <v>15.02</v>
      </c>
      <c r="K1335" s="795"/>
    </row>
    <row r="1336" spans="1:11" ht="21.95" customHeight="1">
      <c r="A1336" s="744" t="s">
        <v>4611</v>
      </c>
      <c r="B1336" s="744"/>
      <c r="C1336" s="745" t="s">
        <v>3633</v>
      </c>
      <c r="D1336" s="744" t="s">
        <v>1127</v>
      </c>
      <c r="E1336" s="744" t="s">
        <v>1146</v>
      </c>
      <c r="F1336" s="744" t="s">
        <v>3430</v>
      </c>
      <c r="G1336" s="746" t="s">
        <v>1129</v>
      </c>
      <c r="H1336" s="745" t="s">
        <v>3702</v>
      </c>
      <c r="I1336" s="745" t="s">
        <v>3635</v>
      </c>
      <c r="J1336" s="796">
        <v>11.79</v>
      </c>
      <c r="K1336" s="795"/>
    </row>
    <row r="1337" spans="1:11" ht="33" customHeight="1">
      <c r="A1337" s="748" t="s">
        <v>4616</v>
      </c>
      <c r="B1337" s="748"/>
      <c r="C1337" s="749" t="s">
        <v>4312</v>
      </c>
      <c r="D1337" s="748" t="s">
        <v>1127</v>
      </c>
      <c r="E1337" s="748" t="s">
        <v>4313</v>
      </c>
      <c r="F1337" s="748" t="s">
        <v>1187</v>
      </c>
      <c r="G1337" s="750" t="s">
        <v>57</v>
      </c>
      <c r="H1337" s="749" t="s">
        <v>3610</v>
      </c>
      <c r="I1337" s="749" t="s">
        <v>4314</v>
      </c>
      <c r="J1337" s="794">
        <v>12.15</v>
      </c>
      <c r="K1337" s="795"/>
    </row>
    <row r="1338" spans="1:11" ht="21.95" customHeight="1" thickBot="1">
      <c r="A1338" s="748" t="s">
        <v>4616</v>
      </c>
      <c r="B1338" s="748"/>
      <c r="C1338" s="749" t="s">
        <v>4315</v>
      </c>
      <c r="D1338" s="748" t="s">
        <v>1127</v>
      </c>
      <c r="E1338" s="748" t="s">
        <v>4316</v>
      </c>
      <c r="F1338" s="748" t="s">
        <v>1187</v>
      </c>
      <c r="G1338" s="750" t="s">
        <v>57</v>
      </c>
      <c r="H1338" s="749" t="s">
        <v>3714</v>
      </c>
      <c r="I1338" s="749" t="s">
        <v>4317</v>
      </c>
      <c r="J1338" s="794">
        <v>82.32</v>
      </c>
      <c r="K1338" s="795"/>
    </row>
    <row r="1339" spans="1:11" ht="0.95" customHeight="1" thickTop="1">
      <c r="A1339" s="747"/>
      <c r="B1339" s="747"/>
      <c r="C1339" s="747"/>
      <c r="D1339" s="747"/>
      <c r="E1339" s="747"/>
      <c r="F1339" s="747"/>
      <c r="G1339" s="747"/>
      <c r="H1339" s="747"/>
      <c r="I1339" s="747"/>
      <c r="J1339" s="747"/>
      <c r="K1339" s="747"/>
    </row>
    <row r="1340" spans="1:11" ht="18" customHeight="1">
      <c r="A1340" s="738"/>
      <c r="B1340" s="738" t="s">
        <v>60</v>
      </c>
      <c r="C1340" s="739" t="s">
        <v>3312</v>
      </c>
      <c r="D1340" s="738" t="s">
        <v>3602</v>
      </c>
      <c r="E1340" s="738" t="s">
        <v>3313</v>
      </c>
      <c r="F1340" s="738" t="s">
        <v>3390</v>
      </c>
      <c r="G1340" s="740" t="s">
        <v>70</v>
      </c>
      <c r="H1340" s="739" t="s">
        <v>64</v>
      </c>
      <c r="I1340" s="739" t="s">
        <v>3617</v>
      </c>
      <c r="J1340" s="797" t="s">
        <v>474</v>
      </c>
      <c r="K1340" s="795"/>
    </row>
    <row r="1341" spans="1:11" ht="21.95" customHeight="1">
      <c r="A1341" s="741" t="s">
        <v>4608</v>
      </c>
      <c r="B1341" s="741" t="s">
        <v>5057</v>
      </c>
      <c r="C1341" s="742" t="s">
        <v>3439</v>
      </c>
      <c r="D1341" s="741" t="s">
        <v>3604</v>
      </c>
      <c r="E1341" s="741" t="s">
        <v>923</v>
      </c>
      <c r="F1341" s="741" t="s">
        <v>3430</v>
      </c>
      <c r="G1341" s="743" t="s">
        <v>57</v>
      </c>
      <c r="H1341" s="742">
        <v>1</v>
      </c>
      <c r="I1341" s="742" t="s">
        <v>5058</v>
      </c>
      <c r="J1341" s="798" t="s">
        <v>5058</v>
      </c>
      <c r="K1341" s="795"/>
    </row>
    <row r="1342" spans="1:11" ht="21.95" customHeight="1">
      <c r="A1342" s="744" t="s">
        <v>4611</v>
      </c>
      <c r="B1342" s="744"/>
      <c r="C1342" s="745" t="s">
        <v>4004</v>
      </c>
      <c r="D1342" s="744" t="s">
        <v>1127</v>
      </c>
      <c r="E1342" s="744" t="s">
        <v>1265</v>
      </c>
      <c r="F1342" s="744" t="s">
        <v>3430</v>
      </c>
      <c r="G1342" s="746" t="s">
        <v>1129</v>
      </c>
      <c r="H1342" s="745" t="s">
        <v>4318</v>
      </c>
      <c r="I1342" s="745" t="s">
        <v>4005</v>
      </c>
      <c r="J1342" s="796">
        <v>20.149999999999999</v>
      </c>
      <c r="K1342" s="795"/>
    </row>
    <row r="1343" spans="1:11" ht="21.95" customHeight="1">
      <c r="A1343" s="744" t="s">
        <v>4611</v>
      </c>
      <c r="B1343" s="744"/>
      <c r="C1343" s="745" t="s">
        <v>3633</v>
      </c>
      <c r="D1343" s="744" t="s">
        <v>1127</v>
      </c>
      <c r="E1343" s="744" t="s">
        <v>1146</v>
      </c>
      <c r="F1343" s="744" t="s">
        <v>3430</v>
      </c>
      <c r="G1343" s="746" t="s">
        <v>1129</v>
      </c>
      <c r="H1343" s="745" t="s">
        <v>3810</v>
      </c>
      <c r="I1343" s="745" t="s">
        <v>3635</v>
      </c>
      <c r="J1343" s="796">
        <v>9.02</v>
      </c>
      <c r="K1343" s="795"/>
    </row>
    <row r="1344" spans="1:11" ht="21.95" customHeight="1" thickBot="1">
      <c r="A1344" s="748" t="s">
        <v>4616</v>
      </c>
      <c r="B1344" s="748"/>
      <c r="C1344" s="749" t="s">
        <v>4319</v>
      </c>
      <c r="D1344" s="748" t="s">
        <v>3604</v>
      </c>
      <c r="E1344" s="748" t="s">
        <v>1356</v>
      </c>
      <c r="F1344" s="748" t="s">
        <v>1187</v>
      </c>
      <c r="G1344" s="750" t="s">
        <v>57</v>
      </c>
      <c r="H1344" s="749" t="s">
        <v>3610</v>
      </c>
      <c r="I1344" s="749" t="s">
        <v>4320</v>
      </c>
      <c r="J1344" s="794">
        <v>158.36000000000001</v>
      </c>
      <c r="K1344" s="795"/>
    </row>
    <row r="1345" spans="1:11" ht="0.95" customHeight="1" thickTop="1">
      <c r="A1345" s="747"/>
      <c r="B1345" s="747"/>
      <c r="C1345" s="747"/>
      <c r="D1345" s="747"/>
      <c r="E1345" s="747"/>
      <c r="F1345" s="747"/>
      <c r="G1345" s="747"/>
      <c r="H1345" s="747"/>
      <c r="I1345" s="747"/>
      <c r="J1345" s="747"/>
      <c r="K1345" s="747"/>
    </row>
    <row r="1346" spans="1:11" ht="18" customHeight="1">
      <c r="A1346" s="738"/>
      <c r="B1346" s="738" t="s">
        <v>60</v>
      </c>
      <c r="C1346" s="739" t="s">
        <v>3312</v>
      </c>
      <c r="D1346" s="738" t="s">
        <v>3602</v>
      </c>
      <c r="E1346" s="738" t="s">
        <v>3313</v>
      </c>
      <c r="F1346" s="738" t="s">
        <v>3390</v>
      </c>
      <c r="G1346" s="740" t="s">
        <v>70</v>
      </c>
      <c r="H1346" s="739" t="s">
        <v>64</v>
      </c>
      <c r="I1346" s="739" t="s">
        <v>3617</v>
      </c>
      <c r="J1346" s="797" t="s">
        <v>474</v>
      </c>
      <c r="K1346" s="795"/>
    </row>
    <row r="1347" spans="1:11" ht="21.95" customHeight="1">
      <c r="A1347" s="741" t="s">
        <v>4608</v>
      </c>
      <c r="B1347" s="741" t="s">
        <v>5059</v>
      </c>
      <c r="C1347" s="742" t="s">
        <v>5060</v>
      </c>
      <c r="D1347" s="741" t="s">
        <v>3604</v>
      </c>
      <c r="E1347" s="741" t="s">
        <v>3048</v>
      </c>
      <c r="F1347" s="741" t="s">
        <v>3442</v>
      </c>
      <c r="G1347" s="743" t="s">
        <v>101</v>
      </c>
      <c r="H1347" s="742">
        <v>1</v>
      </c>
      <c r="I1347" s="742" t="s">
        <v>5061</v>
      </c>
      <c r="J1347" s="798" t="s">
        <v>5061</v>
      </c>
      <c r="K1347" s="795"/>
    </row>
    <row r="1348" spans="1:11" ht="21.95" customHeight="1">
      <c r="A1348" s="744" t="s">
        <v>4611</v>
      </c>
      <c r="B1348" s="744"/>
      <c r="C1348" s="745" t="s">
        <v>4004</v>
      </c>
      <c r="D1348" s="744" t="s">
        <v>1127</v>
      </c>
      <c r="E1348" s="744" t="s">
        <v>1265</v>
      </c>
      <c r="F1348" s="744" t="s">
        <v>3430</v>
      </c>
      <c r="G1348" s="746" t="s">
        <v>1129</v>
      </c>
      <c r="H1348" s="745" t="s">
        <v>4068</v>
      </c>
      <c r="I1348" s="745" t="s">
        <v>4005</v>
      </c>
      <c r="J1348" s="796">
        <v>5.48</v>
      </c>
      <c r="K1348" s="795"/>
    </row>
    <row r="1349" spans="1:11" ht="21.95" customHeight="1">
      <c r="A1349" s="744" t="s">
        <v>4611</v>
      </c>
      <c r="B1349" s="744"/>
      <c r="C1349" s="745" t="s">
        <v>3633</v>
      </c>
      <c r="D1349" s="744" t="s">
        <v>1127</v>
      </c>
      <c r="E1349" s="744" t="s">
        <v>1146</v>
      </c>
      <c r="F1349" s="744" t="s">
        <v>3430</v>
      </c>
      <c r="G1349" s="746" t="s">
        <v>1129</v>
      </c>
      <c r="H1349" s="745" t="s">
        <v>4068</v>
      </c>
      <c r="I1349" s="745" t="s">
        <v>3635</v>
      </c>
      <c r="J1349" s="796">
        <v>4.3</v>
      </c>
      <c r="K1349" s="795"/>
    </row>
    <row r="1350" spans="1:11" ht="21.95" customHeight="1" thickBot="1">
      <c r="A1350" s="748" t="s">
        <v>4616</v>
      </c>
      <c r="B1350" s="748"/>
      <c r="C1350" s="749" t="s">
        <v>5062</v>
      </c>
      <c r="D1350" s="748" t="s">
        <v>3604</v>
      </c>
      <c r="E1350" s="748" t="s">
        <v>3048</v>
      </c>
      <c r="F1350" s="748" t="s">
        <v>1187</v>
      </c>
      <c r="G1350" s="750" t="s">
        <v>101</v>
      </c>
      <c r="H1350" s="749" t="s">
        <v>4294</v>
      </c>
      <c r="I1350" s="749" t="s">
        <v>5063</v>
      </c>
      <c r="J1350" s="794">
        <v>21.23</v>
      </c>
      <c r="K1350" s="795"/>
    </row>
    <row r="1351" spans="1:11" ht="0.95" customHeight="1" thickTop="1">
      <c r="A1351" s="747"/>
      <c r="B1351" s="747"/>
      <c r="C1351" s="747"/>
      <c r="D1351" s="747"/>
      <c r="E1351" s="747"/>
      <c r="F1351" s="747"/>
      <c r="G1351" s="747"/>
      <c r="H1351" s="747"/>
      <c r="I1351" s="747"/>
      <c r="J1351" s="747"/>
      <c r="K1351" s="747"/>
    </row>
    <row r="1352" spans="1:11" ht="18" customHeight="1">
      <c r="A1352" s="738"/>
      <c r="B1352" s="738" t="s">
        <v>60</v>
      </c>
      <c r="C1352" s="739" t="s">
        <v>3312</v>
      </c>
      <c r="D1352" s="738" t="s">
        <v>3602</v>
      </c>
      <c r="E1352" s="738" t="s">
        <v>3313</v>
      </c>
      <c r="F1352" s="738" t="s">
        <v>3390</v>
      </c>
      <c r="G1352" s="740" t="s">
        <v>70</v>
      </c>
      <c r="H1352" s="739" t="s">
        <v>64</v>
      </c>
      <c r="I1352" s="739" t="s">
        <v>3617</v>
      </c>
      <c r="J1352" s="797" t="s">
        <v>474</v>
      </c>
      <c r="K1352" s="795"/>
    </row>
    <row r="1353" spans="1:11" ht="44.1" customHeight="1">
      <c r="A1353" s="741" t="s">
        <v>4608</v>
      </c>
      <c r="B1353" s="741" t="s">
        <v>5064</v>
      </c>
      <c r="C1353" s="742" t="s">
        <v>3448</v>
      </c>
      <c r="D1353" s="741" t="s">
        <v>3604</v>
      </c>
      <c r="E1353" s="741" t="s">
        <v>2841</v>
      </c>
      <c r="F1353" s="741" t="s">
        <v>3442</v>
      </c>
      <c r="G1353" s="743" t="s">
        <v>57</v>
      </c>
      <c r="H1353" s="742">
        <v>1</v>
      </c>
      <c r="I1353" s="742" t="s">
        <v>5065</v>
      </c>
      <c r="J1353" s="798" t="s">
        <v>5065</v>
      </c>
      <c r="K1353" s="795"/>
    </row>
    <row r="1354" spans="1:11" ht="21.95" customHeight="1">
      <c r="A1354" s="744" t="s">
        <v>4611</v>
      </c>
      <c r="B1354" s="744"/>
      <c r="C1354" s="745" t="s">
        <v>4004</v>
      </c>
      <c r="D1354" s="744" t="s">
        <v>1127</v>
      </c>
      <c r="E1354" s="744" t="s">
        <v>1265</v>
      </c>
      <c r="F1354" s="744" t="s">
        <v>3430</v>
      </c>
      <c r="G1354" s="746" t="s">
        <v>1129</v>
      </c>
      <c r="H1354" s="745" t="s">
        <v>3626</v>
      </c>
      <c r="I1354" s="745" t="s">
        <v>4005</v>
      </c>
      <c r="J1354" s="796">
        <v>70.72</v>
      </c>
      <c r="K1354" s="795"/>
    </row>
    <row r="1355" spans="1:11" ht="21.95" customHeight="1">
      <c r="A1355" s="744" t="s">
        <v>4611</v>
      </c>
      <c r="B1355" s="744"/>
      <c r="C1355" s="745" t="s">
        <v>3633</v>
      </c>
      <c r="D1355" s="744" t="s">
        <v>1127</v>
      </c>
      <c r="E1355" s="744" t="s">
        <v>1146</v>
      </c>
      <c r="F1355" s="744" t="s">
        <v>3430</v>
      </c>
      <c r="G1355" s="746" t="s">
        <v>1129</v>
      </c>
      <c r="H1355" s="745" t="s">
        <v>3626</v>
      </c>
      <c r="I1355" s="745" t="s">
        <v>3635</v>
      </c>
      <c r="J1355" s="796">
        <v>55.52</v>
      </c>
      <c r="K1355" s="795"/>
    </row>
    <row r="1356" spans="1:11" ht="21.95" customHeight="1">
      <c r="A1356" s="748" t="s">
        <v>4616</v>
      </c>
      <c r="B1356" s="748"/>
      <c r="C1356" s="749" t="s">
        <v>4321</v>
      </c>
      <c r="D1356" s="748" t="s">
        <v>3604</v>
      </c>
      <c r="E1356" s="748" t="s">
        <v>1359</v>
      </c>
      <c r="F1356" s="748" t="s">
        <v>1187</v>
      </c>
      <c r="G1356" s="750" t="s">
        <v>57</v>
      </c>
      <c r="H1356" s="749" t="s">
        <v>3610</v>
      </c>
      <c r="I1356" s="749" t="s">
        <v>5066</v>
      </c>
      <c r="J1356" s="794">
        <v>36.33</v>
      </c>
      <c r="K1356" s="795"/>
    </row>
    <row r="1357" spans="1:11" ht="21.95" customHeight="1">
      <c r="A1357" s="748" t="s">
        <v>4616</v>
      </c>
      <c r="B1357" s="748"/>
      <c r="C1357" s="749" t="s">
        <v>4322</v>
      </c>
      <c r="D1357" s="748" t="s">
        <v>3604</v>
      </c>
      <c r="E1357" s="748" t="s">
        <v>5067</v>
      </c>
      <c r="F1357" s="748" t="s">
        <v>1187</v>
      </c>
      <c r="G1357" s="750" t="s">
        <v>57</v>
      </c>
      <c r="H1357" s="749" t="s">
        <v>3610</v>
      </c>
      <c r="I1357" s="749" t="s">
        <v>5068</v>
      </c>
      <c r="J1357" s="794">
        <v>36.4</v>
      </c>
      <c r="K1357" s="795"/>
    </row>
    <row r="1358" spans="1:11" ht="21.95" customHeight="1">
      <c r="A1358" s="748" t="s">
        <v>4616</v>
      </c>
      <c r="B1358" s="748"/>
      <c r="C1358" s="749" t="s">
        <v>5069</v>
      </c>
      <c r="D1358" s="748" t="s">
        <v>3604</v>
      </c>
      <c r="E1358" s="748" t="s">
        <v>1366</v>
      </c>
      <c r="F1358" s="748" t="s">
        <v>1187</v>
      </c>
      <c r="G1358" s="750" t="s">
        <v>57</v>
      </c>
      <c r="H1358" s="749" t="s">
        <v>3610</v>
      </c>
      <c r="I1358" s="749" t="s">
        <v>5070</v>
      </c>
      <c r="J1358" s="794">
        <v>662.67</v>
      </c>
      <c r="K1358" s="795"/>
    </row>
    <row r="1359" spans="1:11" ht="21.95" customHeight="1" thickBot="1">
      <c r="A1359" s="748" t="s">
        <v>4616</v>
      </c>
      <c r="B1359" s="748"/>
      <c r="C1359" s="749" t="s">
        <v>5071</v>
      </c>
      <c r="D1359" s="748" t="s">
        <v>3604</v>
      </c>
      <c r="E1359" s="748" t="s">
        <v>1367</v>
      </c>
      <c r="F1359" s="748" t="s">
        <v>1187</v>
      </c>
      <c r="G1359" s="750" t="s">
        <v>94</v>
      </c>
      <c r="H1359" s="749" t="s">
        <v>4323</v>
      </c>
      <c r="I1359" s="749" t="s">
        <v>5072</v>
      </c>
      <c r="J1359" s="794">
        <v>260.47000000000003</v>
      </c>
      <c r="K1359" s="795"/>
    </row>
    <row r="1360" spans="1:11" ht="0.95" customHeight="1" thickTop="1">
      <c r="A1360" s="747"/>
      <c r="B1360" s="747"/>
      <c r="C1360" s="747"/>
      <c r="D1360" s="747"/>
      <c r="E1360" s="747"/>
      <c r="F1360" s="747"/>
      <c r="G1360" s="747"/>
      <c r="H1360" s="747"/>
      <c r="I1360" s="747"/>
      <c r="J1360" s="747"/>
      <c r="K1360" s="747"/>
    </row>
    <row r="1361" spans="1:11" ht="18" customHeight="1">
      <c r="A1361" s="738"/>
      <c r="B1361" s="738" t="s">
        <v>60</v>
      </c>
      <c r="C1361" s="739" t="s">
        <v>3312</v>
      </c>
      <c r="D1361" s="738" t="s">
        <v>3602</v>
      </c>
      <c r="E1361" s="738" t="s">
        <v>3313</v>
      </c>
      <c r="F1361" s="738" t="s">
        <v>3390</v>
      </c>
      <c r="G1361" s="740" t="s">
        <v>70</v>
      </c>
      <c r="H1361" s="739" t="s">
        <v>64</v>
      </c>
      <c r="I1361" s="739" t="s">
        <v>3617</v>
      </c>
      <c r="J1361" s="797" t="s">
        <v>474</v>
      </c>
      <c r="K1361" s="795"/>
    </row>
    <row r="1362" spans="1:11" ht="33" customHeight="1">
      <c r="A1362" s="741" t="s">
        <v>4608</v>
      </c>
      <c r="B1362" s="741" t="s">
        <v>5073</v>
      </c>
      <c r="C1362" s="742" t="s">
        <v>4324</v>
      </c>
      <c r="D1362" s="741" t="s">
        <v>3604</v>
      </c>
      <c r="E1362" s="741" t="s">
        <v>1706</v>
      </c>
      <c r="F1362" s="741" t="s">
        <v>3442</v>
      </c>
      <c r="G1362" s="743" t="s">
        <v>101</v>
      </c>
      <c r="H1362" s="742">
        <v>1</v>
      </c>
      <c r="I1362" s="742" t="s">
        <v>5074</v>
      </c>
      <c r="J1362" s="798" t="s">
        <v>5074</v>
      </c>
      <c r="K1362" s="795"/>
    </row>
    <row r="1363" spans="1:11" ht="21.95" customHeight="1">
      <c r="A1363" s="744" t="s">
        <v>4611</v>
      </c>
      <c r="B1363" s="744"/>
      <c r="C1363" s="745" t="s">
        <v>4004</v>
      </c>
      <c r="D1363" s="744" t="s">
        <v>1127</v>
      </c>
      <c r="E1363" s="744" t="s">
        <v>1265</v>
      </c>
      <c r="F1363" s="744" t="s">
        <v>3430</v>
      </c>
      <c r="G1363" s="746" t="s">
        <v>1129</v>
      </c>
      <c r="H1363" s="745" t="s">
        <v>3610</v>
      </c>
      <c r="I1363" s="745" t="s">
        <v>4005</v>
      </c>
      <c r="J1363" s="796">
        <v>17.68</v>
      </c>
      <c r="K1363" s="795"/>
    </row>
    <row r="1364" spans="1:11" ht="21.95" customHeight="1">
      <c r="A1364" s="744" t="s">
        <v>4611</v>
      </c>
      <c r="B1364" s="744"/>
      <c r="C1364" s="745" t="s">
        <v>4288</v>
      </c>
      <c r="D1364" s="744" t="s">
        <v>1127</v>
      </c>
      <c r="E1364" s="744" t="s">
        <v>1357</v>
      </c>
      <c r="F1364" s="744" t="s">
        <v>3430</v>
      </c>
      <c r="G1364" s="746" t="s">
        <v>1129</v>
      </c>
      <c r="H1364" s="745" t="s">
        <v>3781</v>
      </c>
      <c r="I1364" s="745" t="s">
        <v>4289</v>
      </c>
      <c r="J1364" s="796">
        <v>7.2</v>
      </c>
      <c r="K1364" s="795"/>
    </row>
    <row r="1365" spans="1:11" ht="21.95" customHeight="1" thickBot="1">
      <c r="A1365" s="748" t="s">
        <v>4616</v>
      </c>
      <c r="B1365" s="748"/>
      <c r="C1365" s="749" t="s">
        <v>4325</v>
      </c>
      <c r="D1365" s="748" t="s">
        <v>3604</v>
      </c>
      <c r="E1365" s="748" t="s">
        <v>2469</v>
      </c>
      <c r="F1365" s="748" t="s">
        <v>1187</v>
      </c>
      <c r="G1365" s="750" t="s">
        <v>101</v>
      </c>
      <c r="H1365" s="749" t="s">
        <v>3610</v>
      </c>
      <c r="I1365" s="749" t="s">
        <v>5075</v>
      </c>
      <c r="J1365" s="794">
        <v>19.100000000000001</v>
      </c>
      <c r="K1365" s="795"/>
    </row>
    <row r="1366" spans="1:11" ht="0.95" customHeight="1" thickTop="1">
      <c r="A1366" s="747"/>
      <c r="B1366" s="747"/>
      <c r="C1366" s="747"/>
      <c r="D1366" s="747"/>
      <c r="E1366" s="747"/>
      <c r="F1366" s="747"/>
      <c r="G1366" s="747"/>
      <c r="H1366" s="747"/>
      <c r="I1366" s="747"/>
      <c r="J1366" s="747"/>
      <c r="K1366" s="747"/>
    </row>
    <row r="1367" spans="1:11" ht="18" customHeight="1">
      <c r="A1367" s="738"/>
      <c r="B1367" s="738" t="s">
        <v>60</v>
      </c>
      <c r="C1367" s="739" t="s">
        <v>3312</v>
      </c>
      <c r="D1367" s="738" t="s">
        <v>3602</v>
      </c>
      <c r="E1367" s="738" t="s">
        <v>3313</v>
      </c>
      <c r="F1367" s="738" t="s">
        <v>3390</v>
      </c>
      <c r="G1367" s="740" t="s">
        <v>70</v>
      </c>
      <c r="H1367" s="739" t="s">
        <v>64</v>
      </c>
      <c r="I1367" s="739" t="s">
        <v>3617</v>
      </c>
      <c r="J1367" s="797" t="s">
        <v>474</v>
      </c>
      <c r="K1367" s="795"/>
    </row>
    <row r="1368" spans="1:11" ht="33" customHeight="1">
      <c r="A1368" s="741" t="s">
        <v>4608</v>
      </c>
      <c r="B1368" s="741" t="s">
        <v>5076</v>
      </c>
      <c r="C1368" s="742" t="s">
        <v>4326</v>
      </c>
      <c r="D1368" s="741" t="s">
        <v>3604</v>
      </c>
      <c r="E1368" s="741" t="s">
        <v>1707</v>
      </c>
      <c r="F1368" s="741" t="s">
        <v>3442</v>
      </c>
      <c r="G1368" s="743" t="s">
        <v>101</v>
      </c>
      <c r="H1368" s="742">
        <v>1</v>
      </c>
      <c r="I1368" s="742" t="s">
        <v>5077</v>
      </c>
      <c r="J1368" s="798" t="s">
        <v>5077</v>
      </c>
      <c r="K1368" s="795"/>
    </row>
    <row r="1369" spans="1:11" ht="21.95" customHeight="1">
      <c r="A1369" s="744" t="s">
        <v>4611</v>
      </c>
      <c r="B1369" s="744"/>
      <c r="C1369" s="745" t="s">
        <v>4004</v>
      </c>
      <c r="D1369" s="744" t="s">
        <v>1127</v>
      </c>
      <c r="E1369" s="744" t="s">
        <v>1265</v>
      </c>
      <c r="F1369" s="744" t="s">
        <v>3430</v>
      </c>
      <c r="G1369" s="746" t="s">
        <v>1129</v>
      </c>
      <c r="H1369" s="745" t="s">
        <v>3610</v>
      </c>
      <c r="I1369" s="745" t="s">
        <v>4005</v>
      </c>
      <c r="J1369" s="796">
        <v>17.68</v>
      </c>
      <c r="K1369" s="795"/>
    </row>
    <row r="1370" spans="1:11" ht="21.95" customHeight="1">
      <c r="A1370" s="744" t="s">
        <v>4611</v>
      </c>
      <c r="B1370" s="744"/>
      <c r="C1370" s="745" t="s">
        <v>4288</v>
      </c>
      <c r="D1370" s="744" t="s">
        <v>1127</v>
      </c>
      <c r="E1370" s="744" t="s">
        <v>1357</v>
      </c>
      <c r="F1370" s="744" t="s">
        <v>3430</v>
      </c>
      <c r="G1370" s="746" t="s">
        <v>1129</v>
      </c>
      <c r="H1370" s="745" t="s">
        <v>3781</v>
      </c>
      <c r="I1370" s="745" t="s">
        <v>4289</v>
      </c>
      <c r="J1370" s="796">
        <v>7.2</v>
      </c>
      <c r="K1370" s="795"/>
    </row>
    <row r="1371" spans="1:11" ht="21.95" customHeight="1" thickBot="1">
      <c r="A1371" s="748" t="s">
        <v>4616</v>
      </c>
      <c r="B1371" s="748"/>
      <c r="C1371" s="749" t="s">
        <v>4327</v>
      </c>
      <c r="D1371" s="748" t="s">
        <v>3604</v>
      </c>
      <c r="E1371" s="748" t="s">
        <v>2471</v>
      </c>
      <c r="F1371" s="748" t="s">
        <v>1187</v>
      </c>
      <c r="G1371" s="750" t="s">
        <v>101</v>
      </c>
      <c r="H1371" s="749" t="s">
        <v>3610</v>
      </c>
      <c r="I1371" s="749" t="s">
        <v>5078</v>
      </c>
      <c r="J1371" s="794">
        <v>51.28</v>
      </c>
      <c r="K1371" s="795"/>
    </row>
    <row r="1372" spans="1:11" ht="0.95" customHeight="1" thickTop="1">
      <c r="A1372" s="747"/>
      <c r="B1372" s="747"/>
      <c r="C1372" s="747"/>
      <c r="D1372" s="747"/>
      <c r="E1372" s="747"/>
      <c r="F1372" s="747"/>
      <c r="G1372" s="747"/>
      <c r="H1372" s="747"/>
      <c r="I1372" s="747"/>
      <c r="J1372" s="747"/>
      <c r="K1372" s="747"/>
    </row>
    <row r="1373" spans="1:11" ht="18" customHeight="1">
      <c r="A1373" s="738"/>
      <c r="B1373" s="738" t="s">
        <v>60</v>
      </c>
      <c r="C1373" s="739" t="s">
        <v>3312</v>
      </c>
      <c r="D1373" s="738" t="s">
        <v>3602</v>
      </c>
      <c r="E1373" s="738" t="s">
        <v>3313</v>
      </c>
      <c r="F1373" s="738" t="s">
        <v>3390</v>
      </c>
      <c r="G1373" s="740" t="s">
        <v>70</v>
      </c>
      <c r="H1373" s="739" t="s">
        <v>64</v>
      </c>
      <c r="I1373" s="739" t="s">
        <v>3617</v>
      </c>
      <c r="J1373" s="797" t="s">
        <v>474</v>
      </c>
      <c r="K1373" s="795"/>
    </row>
    <row r="1374" spans="1:11" ht="33" customHeight="1">
      <c r="A1374" s="741" t="s">
        <v>4608</v>
      </c>
      <c r="B1374" s="741" t="s">
        <v>5079</v>
      </c>
      <c r="C1374" s="742" t="s">
        <v>3527</v>
      </c>
      <c r="D1374" s="741" t="s">
        <v>3604</v>
      </c>
      <c r="E1374" s="741" t="s">
        <v>1537</v>
      </c>
      <c r="F1374" s="741" t="s">
        <v>3442</v>
      </c>
      <c r="G1374" s="743" t="s">
        <v>101</v>
      </c>
      <c r="H1374" s="742">
        <v>1</v>
      </c>
      <c r="I1374" s="742" t="s">
        <v>4328</v>
      </c>
      <c r="J1374" s="798" t="s">
        <v>4328</v>
      </c>
      <c r="K1374" s="795"/>
    </row>
    <row r="1375" spans="1:11" ht="21.95" customHeight="1">
      <c r="A1375" s="744" t="s">
        <v>4611</v>
      </c>
      <c r="B1375" s="744"/>
      <c r="C1375" s="745" t="s">
        <v>3633</v>
      </c>
      <c r="D1375" s="744" t="s">
        <v>1127</v>
      </c>
      <c r="E1375" s="744" t="s">
        <v>1146</v>
      </c>
      <c r="F1375" s="744" t="s">
        <v>3430</v>
      </c>
      <c r="G1375" s="746" t="s">
        <v>1129</v>
      </c>
      <c r="H1375" s="745" t="s">
        <v>3906</v>
      </c>
      <c r="I1375" s="745" t="s">
        <v>3635</v>
      </c>
      <c r="J1375" s="796">
        <v>6.24</v>
      </c>
      <c r="K1375" s="795"/>
    </row>
    <row r="1376" spans="1:11" ht="21.95" customHeight="1" thickBot="1">
      <c r="A1376" s="748" t="s">
        <v>4616</v>
      </c>
      <c r="B1376" s="748"/>
      <c r="C1376" s="749" t="s">
        <v>4329</v>
      </c>
      <c r="D1376" s="748" t="s">
        <v>3604</v>
      </c>
      <c r="E1376" s="748" t="s">
        <v>2477</v>
      </c>
      <c r="F1376" s="748" t="s">
        <v>1187</v>
      </c>
      <c r="G1376" s="750" t="s">
        <v>101</v>
      </c>
      <c r="H1376" s="749" t="s">
        <v>4330</v>
      </c>
      <c r="I1376" s="749" t="s">
        <v>4331</v>
      </c>
      <c r="J1376" s="794">
        <v>1.94</v>
      </c>
      <c r="K1376" s="795"/>
    </row>
    <row r="1377" spans="1:11" ht="0.95" customHeight="1" thickTop="1">
      <c r="A1377" s="747"/>
      <c r="B1377" s="747"/>
      <c r="C1377" s="747"/>
      <c r="D1377" s="747"/>
      <c r="E1377" s="747"/>
      <c r="F1377" s="747"/>
      <c r="G1377" s="747"/>
      <c r="H1377" s="747"/>
      <c r="I1377" s="747"/>
      <c r="J1377" s="747"/>
      <c r="K1377" s="747"/>
    </row>
    <row r="1378" spans="1:11" ht="18" customHeight="1">
      <c r="A1378" s="738"/>
      <c r="B1378" s="738" t="s">
        <v>60</v>
      </c>
      <c r="C1378" s="739" t="s">
        <v>3312</v>
      </c>
      <c r="D1378" s="738" t="s">
        <v>3602</v>
      </c>
      <c r="E1378" s="738" t="s">
        <v>3313</v>
      </c>
      <c r="F1378" s="738" t="s">
        <v>3390</v>
      </c>
      <c r="G1378" s="740" t="s">
        <v>70</v>
      </c>
      <c r="H1378" s="739" t="s">
        <v>64</v>
      </c>
      <c r="I1378" s="739" t="s">
        <v>3617</v>
      </c>
      <c r="J1378" s="797" t="s">
        <v>474</v>
      </c>
      <c r="K1378" s="795"/>
    </row>
    <row r="1379" spans="1:11" ht="21.95" customHeight="1">
      <c r="A1379" s="741" t="s">
        <v>4608</v>
      </c>
      <c r="B1379" s="741" t="s">
        <v>5080</v>
      </c>
      <c r="C1379" s="742" t="s">
        <v>3457</v>
      </c>
      <c r="D1379" s="741" t="s">
        <v>3604</v>
      </c>
      <c r="E1379" s="741" t="s">
        <v>2862</v>
      </c>
      <c r="F1379" s="741" t="s">
        <v>3442</v>
      </c>
      <c r="G1379" s="743" t="s">
        <v>57</v>
      </c>
      <c r="H1379" s="742">
        <v>1</v>
      </c>
      <c r="I1379" s="742" t="s">
        <v>5081</v>
      </c>
      <c r="J1379" s="798" t="s">
        <v>5081</v>
      </c>
      <c r="K1379" s="795"/>
    </row>
    <row r="1380" spans="1:11" ht="21.95" customHeight="1">
      <c r="A1380" s="744" t="s">
        <v>4611</v>
      </c>
      <c r="B1380" s="744"/>
      <c r="C1380" s="745" t="s">
        <v>4004</v>
      </c>
      <c r="D1380" s="744" t="s">
        <v>1127</v>
      </c>
      <c r="E1380" s="744" t="s">
        <v>1265</v>
      </c>
      <c r="F1380" s="744" t="s">
        <v>3430</v>
      </c>
      <c r="G1380" s="746" t="s">
        <v>1129</v>
      </c>
      <c r="H1380" s="745" t="s">
        <v>3610</v>
      </c>
      <c r="I1380" s="745" t="s">
        <v>4005</v>
      </c>
      <c r="J1380" s="796">
        <v>17.68</v>
      </c>
      <c r="K1380" s="795"/>
    </row>
    <row r="1381" spans="1:11" ht="21.95" customHeight="1">
      <c r="A1381" s="744" t="s">
        <v>4611</v>
      </c>
      <c r="B1381" s="744"/>
      <c r="C1381" s="745" t="s">
        <v>3633</v>
      </c>
      <c r="D1381" s="744" t="s">
        <v>1127</v>
      </c>
      <c r="E1381" s="744" t="s">
        <v>1146</v>
      </c>
      <c r="F1381" s="744" t="s">
        <v>3430</v>
      </c>
      <c r="G1381" s="746" t="s">
        <v>1129</v>
      </c>
      <c r="H1381" s="745" t="s">
        <v>3610</v>
      </c>
      <c r="I1381" s="745" t="s">
        <v>3635</v>
      </c>
      <c r="J1381" s="796">
        <v>13.88</v>
      </c>
      <c r="K1381" s="795"/>
    </row>
    <row r="1382" spans="1:11" ht="21.95" customHeight="1" thickBot="1">
      <c r="A1382" s="748" t="s">
        <v>4616</v>
      </c>
      <c r="B1382" s="748"/>
      <c r="C1382" s="749" t="s">
        <v>4332</v>
      </c>
      <c r="D1382" s="748" t="s">
        <v>3604</v>
      </c>
      <c r="E1382" s="748" t="s">
        <v>2601</v>
      </c>
      <c r="F1382" s="748" t="s">
        <v>1187</v>
      </c>
      <c r="G1382" s="750" t="s">
        <v>57</v>
      </c>
      <c r="H1382" s="749" t="s">
        <v>3610</v>
      </c>
      <c r="I1382" s="749" t="s">
        <v>4333</v>
      </c>
      <c r="J1382" s="794">
        <v>2512</v>
      </c>
      <c r="K1382" s="795"/>
    </row>
    <row r="1383" spans="1:11" ht="0.95" customHeight="1" thickTop="1">
      <c r="A1383" s="747"/>
      <c r="B1383" s="747"/>
      <c r="C1383" s="747"/>
      <c r="D1383" s="747"/>
      <c r="E1383" s="747"/>
      <c r="F1383" s="747"/>
      <c r="G1383" s="747"/>
      <c r="H1383" s="747"/>
      <c r="I1383" s="747"/>
      <c r="J1383" s="747"/>
      <c r="K1383" s="747"/>
    </row>
    <row r="1384" spans="1:11" ht="18" customHeight="1">
      <c r="A1384" s="738"/>
      <c r="B1384" s="738" t="s">
        <v>60</v>
      </c>
      <c r="C1384" s="739" t="s">
        <v>3312</v>
      </c>
      <c r="D1384" s="738" t="s">
        <v>3602</v>
      </c>
      <c r="E1384" s="738" t="s">
        <v>3313</v>
      </c>
      <c r="F1384" s="738" t="s">
        <v>3390</v>
      </c>
      <c r="G1384" s="740" t="s">
        <v>70</v>
      </c>
      <c r="H1384" s="739" t="s">
        <v>64</v>
      </c>
      <c r="I1384" s="739" t="s">
        <v>3617</v>
      </c>
      <c r="J1384" s="797" t="s">
        <v>474</v>
      </c>
      <c r="K1384" s="795"/>
    </row>
    <row r="1385" spans="1:11" ht="21.95" customHeight="1">
      <c r="A1385" s="741" t="s">
        <v>4608</v>
      </c>
      <c r="B1385" s="741" t="s">
        <v>5082</v>
      </c>
      <c r="C1385" s="742" t="s">
        <v>4334</v>
      </c>
      <c r="D1385" s="741" t="s">
        <v>3604</v>
      </c>
      <c r="E1385" s="741" t="s">
        <v>925</v>
      </c>
      <c r="F1385" s="741" t="s">
        <v>3442</v>
      </c>
      <c r="G1385" s="743" t="s">
        <v>57</v>
      </c>
      <c r="H1385" s="742">
        <v>1</v>
      </c>
      <c r="I1385" s="742" t="s">
        <v>4335</v>
      </c>
      <c r="J1385" s="798" t="s">
        <v>4335</v>
      </c>
      <c r="K1385" s="795"/>
    </row>
    <row r="1386" spans="1:11" ht="21.95" customHeight="1">
      <c r="A1386" s="744" t="s">
        <v>4611</v>
      </c>
      <c r="B1386" s="744"/>
      <c r="C1386" s="745" t="s">
        <v>4004</v>
      </c>
      <c r="D1386" s="744" t="s">
        <v>1127</v>
      </c>
      <c r="E1386" s="744" t="s">
        <v>1265</v>
      </c>
      <c r="F1386" s="744" t="s">
        <v>3430</v>
      </c>
      <c r="G1386" s="746" t="s">
        <v>1129</v>
      </c>
      <c r="H1386" s="745" t="s">
        <v>3713</v>
      </c>
      <c r="I1386" s="745" t="s">
        <v>4005</v>
      </c>
      <c r="J1386" s="796">
        <v>5.3</v>
      </c>
      <c r="K1386" s="795"/>
    </row>
    <row r="1387" spans="1:11" ht="21.95" customHeight="1">
      <c r="A1387" s="744" t="s">
        <v>4611</v>
      </c>
      <c r="B1387" s="744"/>
      <c r="C1387" s="745" t="s">
        <v>3633</v>
      </c>
      <c r="D1387" s="744" t="s">
        <v>1127</v>
      </c>
      <c r="E1387" s="744" t="s">
        <v>1146</v>
      </c>
      <c r="F1387" s="744" t="s">
        <v>3430</v>
      </c>
      <c r="G1387" s="746" t="s">
        <v>1129</v>
      </c>
      <c r="H1387" s="745" t="s">
        <v>3713</v>
      </c>
      <c r="I1387" s="745" t="s">
        <v>3635</v>
      </c>
      <c r="J1387" s="796">
        <v>4.16</v>
      </c>
      <c r="K1387" s="795"/>
    </row>
    <row r="1388" spans="1:11" ht="21.95" customHeight="1">
      <c r="A1388" s="748" t="s">
        <v>4616</v>
      </c>
      <c r="B1388" s="748"/>
      <c r="C1388" s="749" t="s">
        <v>4336</v>
      </c>
      <c r="D1388" s="748" t="s">
        <v>3604</v>
      </c>
      <c r="E1388" s="748" t="s">
        <v>1453</v>
      </c>
      <c r="F1388" s="748" t="s">
        <v>1187</v>
      </c>
      <c r="G1388" s="750" t="s">
        <v>57</v>
      </c>
      <c r="H1388" s="749" t="s">
        <v>3610</v>
      </c>
      <c r="I1388" s="749" t="s">
        <v>4337</v>
      </c>
      <c r="J1388" s="794">
        <v>1314.28</v>
      </c>
      <c r="K1388" s="795"/>
    </row>
    <row r="1389" spans="1:11" ht="21.95" customHeight="1" thickBot="1">
      <c r="A1389" s="748" t="s">
        <v>4616</v>
      </c>
      <c r="B1389" s="748"/>
      <c r="C1389" s="749" t="s">
        <v>4338</v>
      </c>
      <c r="D1389" s="748" t="s">
        <v>1127</v>
      </c>
      <c r="E1389" s="748" t="s">
        <v>1452</v>
      </c>
      <c r="F1389" s="748" t="s">
        <v>1187</v>
      </c>
      <c r="G1389" s="750" t="s">
        <v>57</v>
      </c>
      <c r="H1389" s="749" t="s">
        <v>3714</v>
      </c>
      <c r="I1389" s="749" t="s">
        <v>4339</v>
      </c>
      <c r="J1389" s="794">
        <v>3.6</v>
      </c>
      <c r="K1389" s="795"/>
    </row>
    <row r="1390" spans="1:11" ht="0.95" customHeight="1" thickTop="1">
      <c r="A1390" s="747"/>
      <c r="B1390" s="747"/>
      <c r="C1390" s="747"/>
      <c r="D1390" s="747"/>
      <c r="E1390" s="747"/>
      <c r="F1390" s="747"/>
      <c r="G1390" s="747"/>
      <c r="H1390" s="747"/>
      <c r="I1390" s="747"/>
      <c r="J1390" s="747"/>
      <c r="K1390" s="747"/>
    </row>
    <row r="1391" spans="1:11" ht="18" customHeight="1">
      <c r="A1391" s="738"/>
      <c r="B1391" s="738" t="s">
        <v>60</v>
      </c>
      <c r="C1391" s="739" t="s">
        <v>3312</v>
      </c>
      <c r="D1391" s="738" t="s">
        <v>3602</v>
      </c>
      <c r="E1391" s="738" t="s">
        <v>3313</v>
      </c>
      <c r="F1391" s="738" t="s">
        <v>3390</v>
      </c>
      <c r="G1391" s="740" t="s">
        <v>70</v>
      </c>
      <c r="H1391" s="739" t="s">
        <v>64</v>
      </c>
      <c r="I1391" s="739" t="s">
        <v>3617</v>
      </c>
      <c r="J1391" s="797" t="s">
        <v>474</v>
      </c>
      <c r="K1391" s="795"/>
    </row>
    <row r="1392" spans="1:11" ht="33" customHeight="1">
      <c r="A1392" s="741" t="s">
        <v>4608</v>
      </c>
      <c r="B1392" s="741" t="s">
        <v>5083</v>
      </c>
      <c r="C1392" s="742" t="s">
        <v>3527</v>
      </c>
      <c r="D1392" s="741" t="s">
        <v>3604</v>
      </c>
      <c r="E1392" s="741" t="s">
        <v>1537</v>
      </c>
      <c r="F1392" s="741" t="s">
        <v>3442</v>
      </c>
      <c r="G1392" s="743" t="s">
        <v>101</v>
      </c>
      <c r="H1392" s="742">
        <v>1</v>
      </c>
      <c r="I1392" s="742" t="s">
        <v>4328</v>
      </c>
      <c r="J1392" s="798" t="s">
        <v>4328</v>
      </c>
      <c r="K1392" s="795"/>
    </row>
    <row r="1393" spans="1:11" ht="21.95" customHeight="1">
      <c r="A1393" s="744" t="s">
        <v>4611</v>
      </c>
      <c r="B1393" s="744"/>
      <c r="C1393" s="745" t="s">
        <v>3633</v>
      </c>
      <c r="D1393" s="744" t="s">
        <v>1127</v>
      </c>
      <c r="E1393" s="744" t="s">
        <v>1146</v>
      </c>
      <c r="F1393" s="744" t="s">
        <v>3430</v>
      </c>
      <c r="G1393" s="746" t="s">
        <v>1129</v>
      </c>
      <c r="H1393" s="745" t="s">
        <v>3906</v>
      </c>
      <c r="I1393" s="745" t="s">
        <v>3635</v>
      </c>
      <c r="J1393" s="796">
        <v>6.24</v>
      </c>
      <c r="K1393" s="795"/>
    </row>
    <row r="1394" spans="1:11" ht="21.95" customHeight="1" thickBot="1">
      <c r="A1394" s="748" t="s">
        <v>4616</v>
      </c>
      <c r="B1394" s="748"/>
      <c r="C1394" s="749" t="s">
        <v>4329</v>
      </c>
      <c r="D1394" s="748" t="s">
        <v>3604</v>
      </c>
      <c r="E1394" s="748" t="s">
        <v>2477</v>
      </c>
      <c r="F1394" s="748" t="s">
        <v>1187</v>
      </c>
      <c r="G1394" s="750" t="s">
        <v>101</v>
      </c>
      <c r="H1394" s="749" t="s">
        <v>4330</v>
      </c>
      <c r="I1394" s="749" t="s">
        <v>4331</v>
      </c>
      <c r="J1394" s="794">
        <v>1.94</v>
      </c>
      <c r="K1394" s="795"/>
    </row>
    <row r="1395" spans="1:11" ht="0.95" customHeight="1" thickTop="1">
      <c r="A1395" s="747"/>
      <c r="B1395" s="747"/>
      <c r="C1395" s="747"/>
      <c r="D1395" s="747"/>
      <c r="E1395" s="747"/>
      <c r="F1395" s="747"/>
      <c r="G1395" s="747"/>
      <c r="H1395" s="747"/>
      <c r="I1395" s="747"/>
      <c r="J1395" s="747"/>
      <c r="K1395" s="747"/>
    </row>
    <row r="1396" spans="1:11" ht="18" customHeight="1">
      <c r="A1396" s="738"/>
      <c r="B1396" s="738" t="s">
        <v>60</v>
      </c>
      <c r="C1396" s="739" t="s">
        <v>3312</v>
      </c>
      <c r="D1396" s="738" t="s">
        <v>3602</v>
      </c>
      <c r="E1396" s="738" t="s">
        <v>3313</v>
      </c>
      <c r="F1396" s="738" t="s">
        <v>3390</v>
      </c>
      <c r="G1396" s="740" t="s">
        <v>70</v>
      </c>
      <c r="H1396" s="739" t="s">
        <v>64</v>
      </c>
      <c r="I1396" s="739" t="s">
        <v>3617</v>
      </c>
      <c r="J1396" s="797" t="s">
        <v>474</v>
      </c>
      <c r="K1396" s="795"/>
    </row>
    <row r="1397" spans="1:11" ht="21.95" customHeight="1">
      <c r="A1397" s="741" t="s">
        <v>4608</v>
      </c>
      <c r="B1397" s="741" t="s">
        <v>5084</v>
      </c>
      <c r="C1397" s="742" t="s">
        <v>3458</v>
      </c>
      <c r="D1397" s="741" t="s">
        <v>3604</v>
      </c>
      <c r="E1397" s="741" t="s">
        <v>1582</v>
      </c>
      <c r="F1397" s="741" t="s">
        <v>3442</v>
      </c>
      <c r="G1397" s="743" t="s">
        <v>57</v>
      </c>
      <c r="H1397" s="742">
        <v>1</v>
      </c>
      <c r="I1397" s="742" t="s">
        <v>4347</v>
      </c>
      <c r="J1397" s="798" t="s">
        <v>4347</v>
      </c>
      <c r="K1397" s="795"/>
    </row>
    <row r="1398" spans="1:11" ht="21.95" customHeight="1">
      <c r="A1398" s="744" t="s">
        <v>4611</v>
      </c>
      <c r="B1398" s="744"/>
      <c r="C1398" s="745" t="s">
        <v>4288</v>
      </c>
      <c r="D1398" s="744" t="s">
        <v>1127</v>
      </c>
      <c r="E1398" s="744" t="s">
        <v>1357</v>
      </c>
      <c r="F1398" s="744" t="s">
        <v>3430</v>
      </c>
      <c r="G1398" s="746" t="s">
        <v>1129</v>
      </c>
      <c r="H1398" s="745" t="s">
        <v>4348</v>
      </c>
      <c r="I1398" s="745" t="s">
        <v>4289</v>
      </c>
      <c r="J1398" s="796">
        <v>4.79</v>
      </c>
      <c r="K1398" s="795"/>
    </row>
    <row r="1399" spans="1:11" ht="21.95" customHeight="1">
      <c r="A1399" s="744" t="s">
        <v>4611</v>
      </c>
      <c r="B1399" s="744"/>
      <c r="C1399" s="745" t="s">
        <v>4004</v>
      </c>
      <c r="D1399" s="744" t="s">
        <v>1127</v>
      </c>
      <c r="E1399" s="744" t="s">
        <v>1265</v>
      </c>
      <c r="F1399" s="744" t="s">
        <v>3430</v>
      </c>
      <c r="G1399" s="746" t="s">
        <v>1129</v>
      </c>
      <c r="H1399" s="745" t="s">
        <v>4348</v>
      </c>
      <c r="I1399" s="745" t="s">
        <v>4005</v>
      </c>
      <c r="J1399" s="796">
        <v>5.89</v>
      </c>
      <c r="K1399" s="795"/>
    </row>
    <row r="1400" spans="1:11" ht="21.95" customHeight="1" thickBot="1">
      <c r="A1400" s="748" t="s">
        <v>4616</v>
      </c>
      <c r="B1400" s="748"/>
      <c r="C1400" s="749" t="s">
        <v>4349</v>
      </c>
      <c r="D1400" s="748" t="s">
        <v>3604</v>
      </c>
      <c r="E1400" s="748" t="s">
        <v>1597</v>
      </c>
      <c r="F1400" s="748" t="s">
        <v>1187</v>
      </c>
      <c r="G1400" s="750" t="s">
        <v>57</v>
      </c>
      <c r="H1400" s="749" t="s">
        <v>3883</v>
      </c>
      <c r="I1400" s="749" t="s">
        <v>4152</v>
      </c>
      <c r="J1400" s="794">
        <v>61.87</v>
      </c>
      <c r="K1400" s="795"/>
    </row>
    <row r="1401" spans="1:11" ht="0.95" customHeight="1" thickTop="1">
      <c r="A1401" s="747"/>
      <c r="B1401" s="747"/>
      <c r="C1401" s="747"/>
      <c r="D1401" s="747"/>
      <c r="E1401" s="747"/>
      <c r="F1401" s="747"/>
      <c r="G1401" s="747"/>
      <c r="H1401" s="747"/>
      <c r="I1401" s="747"/>
      <c r="J1401" s="747"/>
      <c r="K1401" s="747"/>
    </row>
    <row r="1402" spans="1:11" ht="18" customHeight="1">
      <c r="A1402" s="738"/>
      <c r="B1402" s="738" t="s">
        <v>60</v>
      </c>
      <c r="C1402" s="739" t="s">
        <v>3312</v>
      </c>
      <c r="D1402" s="738" t="s">
        <v>3602</v>
      </c>
      <c r="E1402" s="738" t="s">
        <v>3313</v>
      </c>
      <c r="F1402" s="738" t="s">
        <v>3390</v>
      </c>
      <c r="G1402" s="740" t="s">
        <v>70</v>
      </c>
      <c r="H1402" s="739" t="s">
        <v>64</v>
      </c>
      <c r="I1402" s="739" t="s">
        <v>3617</v>
      </c>
      <c r="J1402" s="797" t="s">
        <v>474</v>
      </c>
      <c r="K1402" s="795"/>
    </row>
    <row r="1403" spans="1:11" ht="33" customHeight="1">
      <c r="A1403" s="741" t="s">
        <v>4608</v>
      </c>
      <c r="B1403" s="741" t="s">
        <v>5085</v>
      </c>
      <c r="C1403" s="742" t="s">
        <v>3524</v>
      </c>
      <c r="D1403" s="741" t="s">
        <v>3604</v>
      </c>
      <c r="E1403" s="741" t="s">
        <v>2864</v>
      </c>
      <c r="F1403" s="741" t="s">
        <v>3442</v>
      </c>
      <c r="G1403" s="743" t="s">
        <v>57</v>
      </c>
      <c r="H1403" s="742">
        <v>1</v>
      </c>
      <c r="I1403" s="742" t="s">
        <v>4350</v>
      </c>
      <c r="J1403" s="798" t="s">
        <v>4350</v>
      </c>
      <c r="K1403" s="795"/>
    </row>
    <row r="1404" spans="1:11" ht="21.95" customHeight="1">
      <c r="A1404" s="744" t="s">
        <v>4611</v>
      </c>
      <c r="B1404" s="744"/>
      <c r="C1404" s="745" t="s">
        <v>4288</v>
      </c>
      <c r="D1404" s="744" t="s">
        <v>1127</v>
      </c>
      <c r="E1404" s="744" t="s">
        <v>1357</v>
      </c>
      <c r="F1404" s="744" t="s">
        <v>3430</v>
      </c>
      <c r="G1404" s="746" t="s">
        <v>1129</v>
      </c>
      <c r="H1404" s="745" t="s">
        <v>4348</v>
      </c>
      <c r="I1404" s="745" t="s">
        <v>4289</v>
      </c>
      <c r="J1404" s="796">
        <v>4.79</v>
      </c>
      <c r="K1404" s="795"/>
    </row>
    <row r="1405" spans="1:11" ht="21.95" customHeight="1">
      <c r="A1405" s="744" t="s">
        <v>4611</v>
      </c>
      <c r="B1405" s="744"/>
      <c r="C1405" s="745" t="s">
        <v>4004</v>
      </c>
      <c r="D1405" s="744" t="s">
        <v>1127</v>
      </c>
      <c r="E1405" s="744" t="s">
        <v>1265</v>
      </c>
      <c r="F1405" s="744" t="s">
        <v>3430</v>
      </c>
      <c r="G1405" s="746" t="s">
        <v>1129</v>
      </c>
      <c r="H1405" s="745" t="s">
        <v>4348</v>
      </c>
      <c r="I1405" s="745" t="s">
        <v>4005</v>
      </c>
      <c r="J1405" s="796">
        <v>5.89</v>
      </c>
      <c r="K1405" s="795"/>
    </row>
    <row r="1406" spans="1:11" ht="21.95" customHeight="1" thickBot="1">
      <c r="A1406" s="748" t="s">
        <v>4616</v>
      </c>
      <c r="B1406" s="748"/>
      <c r="C1406" s="749" t="s">
        <v>4351</v>
      </c>
      <c r="D1406" s="748" t="s">
        <v>1127</v>
      </c>
      <c r="E1406" s="748" t="s">
        <v>4352</v>
      </c>
      <c r="F1406" s="748" t="s">
        <v>1187</v>
      </c>
      <c r="G1406" s="750" t="s">
        <v>57</v>
      </c>
      <c r="H1406" s="749" t="s">
        <v>3610</v>
      </c>
      <c r="I1406" s="749" t="s">
        <v>4353</v>
      </c>
      <c r="J1406" s="794">
        <v>10.82</v>
      </c>
      <c r="K1406" s="795"/>
    </row>
    <row r="1407" spans="1:11" ht="0.95" customHeight="1" thickTop="1">
      <c r="A1407" s="747"/>
      <c r="B1407" s="747"/>
      <c r="C1407" s="747"/>
      <c r="D1407" s="747"/>
      <c r="E1407" s="747"/>
      <c r="F1407" s="747"/>
      <c r="G1407" s="747"/>
      <c r="H1407" s="747"/>
      <c r="I1407" s="747"/>
      <c r="J1407" s="747"/>
      <c r="K1407" s="747"/>
    </row>
    <row r="1408" spans="1:11" ht="18" customHeight="1">
      <c r="A1408" s="738"/>
      <c r="B1408" s="738" t="s">
        <v>60</v>
      </c>
      <c r="C1408" s="739" t="s">
        <v>3312</v>
      </c>
      <c r="D1408" s="738" t="s">
        <v>3602</v>
      </c>
      <c r="E1408" s="738" t="s">
        <v>3313</v>
      </c>
      <c r="F1408" s="738" t="s">
        <v>3390</v>
      </c>
      <c r="G1408" s="740" t="s">
        <v>70</v>
      </c>
      <c r="H1408" s="739" t="s">
        <v>64</v>
      </c>
      <c r="I1408" s="739" t="s">
        <v>3617</v>
      </c>
      <c r="J1408" s="797" t="s">
        <v>474</v>
      </c>
      <c r="K1408" s="795"/>
    </row>
    <row r="1409" spans="1:11" ht="21.95" customHeight="1">
      <c r="A1409" s="741" t="s">
        <v>4608</v>
      </c>
      <c r="B1409" s="741" t="s">
        <v>5086</v>
      </c>
      <c r="C1409" s="742" t="s">
        <v>3452</v>
      </c>
      <c r="D1409" s="741" t="s">
        <v>3604</v>
      </c>
      <c r="E1409" s="741" t="s">
        <v>945</v>
      </c>
      <c r="F1409" s="741" t="s">
        <v>3442</v>
      </c>
      <c r="G1409" s="743" t="s">
        <v>57</v>
      </c>
      <c r="H1409" s="742">
        <v>1</v>
      </c>
      <c r="I1409" s="742" t="s">
        <v>4354</v>
      </c>
      <c r="J1409" s="798" t="s">
        <v>4354</v>
      </c>
      <c r="K1409" s="795"/>
    </row>
    <row r="1410" spans="1:11" ht="21.95" customHeight="1">
      <c r="A1410" s="744" t="s">
        <v>4611</v>
      </c>
      <c r="B1410" s="744"/>
      <c r="C1410" s="745" t="s">
        <v>4004</v>
      </c>
      <c r="D1410" s="744" t="s">
        <v>1127</v>
      </c>
      <c r="E1410" s="744" t="s">
        <v>1265</v>
      </c>
      <c r="F1410" s="744" t="s">
        <v>3430</v>
      </c>
      <c r="G1410" s="746" t="s">
        <v>1129</v>
      </c>
      <c r="H1410" s="745" t="s">
        <v>3749</v>
      </c>
      <c r="I1410" s="745" t="s">
        <v>4005</v>
      </c>
      <c r="J1410" s="796">
        <v>0.17</v>
      </c>
      <c r="K1410" s="795"/>
    </row>
    <row r="1411" spans="1:11" ht="21.95" customHeight="1" thickBot="1">
      <c r="A1411" s="748" t="s">
        <v>4616</v>
      </c>
      <c r="B1411" s="748"/>
      <c r="C1411" s="749" t="s">
        <v>4355</v>
      </c>
      <c r="D1411" s="748" t="s">
        <v>1127</v>
      </c>
      <c r="E1411" s="748" t="s">
        <v>4356</v>
      </c>
      <c r="F1411" s="748" t="s">
        <v>1187</v>
      </c>
      <c r="G1411" s="750" t="s">
        <v>57</v>
      </c>
      <c r="H1411" s="749" t="s">
        <v>3610</v>
      </c>
      <c r="I1411" s="749" t="s">
        <v>3775</v>
      </c>
      <c r="J1411" s="794">
        <v>0.09</v>
      </c>
      <c r="K1411" s="795"/>
    </row>
    <row r="1412" spans="1:11" ht="0.95" customHeight="1" thickTop="1">
      <c r="A1412" s="747"/>
      <c r="B1412" s="747"/>
      <c r="C1412" s="747"/>
      <c r="D1412" s="747"/>
      <c r="E1412" s="747"/>
      <c r="F1412" s="747"/>
      <c r="G1412" s="747"/>
      <c r="H1412" s="747"/>
      <c r="I1412" s="747"/>
      <c r="J1412" s="747"/>
      <c r="K1412" s="747"/>
    </row>
    <row r="1413" spans="1:11" ht="18" customHeight="1">
      <c r="A1413" s="738"/>
      <c r="B1413" s="738" t="s">
        <v>60</v>
      </c>
      <c r="C1413" s="739" t="s">
        <v>3312</v>
      </c>
      <c r="D1413" s="738" t="s">
        <v>3602</v>
      </c>
      <c r="E1413" s="738" t="s">
        <v>3313</v>
      </c>
      <c r="F1413" s="738" t="s">
        <v>3390</v>
      </c>
      <c r="G1413" s="740" t="s">
        <v>70</v>
      </c>
      <c r="H1413" s="739" t="s">
        <v>64</v>
      </c>
      <c r="I1413" s="739" t="s">
        <v>3617</v>
      </c>
      <c r="J1413" s="797" t="s">
        <v>474</v>
      </c>
      <c r="K1413" s="795"/>
    </row>
    <row r="1414" spans="1:11" ht="21.95" customHeight="1">
      <c r="A1414" s="741" t="s">
        <v>4608</v>
      </c>
      <c r="B1414" s="741" t="s">
        <v>5087</v>
      </c>
      <c r="C1414" s="742" t="s">
        <v>3521</v>
      </c>
      <c r="D1414" s="741" t="s">
        <v>3604</v>
      </c>
      <c r="E1414" s="741" t="s">
        <v>2866</v>
      </c>
      <c r="F1414" s="741" t="s">
        <v>3442</v>
      </c>
      <c r="G1414" s="743" t="s">
        <v>57</v>
      </c>
      <c r="H1414" s="742">
        <v>1</v>
      </c>
      <c r="I1414" s="742" t="s">
        <v>4357</v>
      </c>
      <c r="J1414" s="798" t="s">
        <v>4357</v>
      </c>
      <c r="K1414" s="795"/>
    </row>
    <row r="1415" spans="1:11" ht="21.95" customHeight="1">
      <c r="A1415" s="744" t="s">
        <v>4611</v>
      </c>
      <c r="B1415" s="744"/>
      <c r="C1415" s="745" t="s">
        <v>4004</v>
      </c>
      <c r="D1415" s="744" t="s">
        <v>1127</v>
      </c>
      <c r="E1415" s="744" t="s">
        <v>1265</v>
      </c>
      <c r="F1415" s="744" t="s">
        <v>3430</v>
      </c>
      <c r="G1415" s="746" t="s">
        <v>1129</v>
      </c>
      <c r="H1415" s="745" t="s">
        <v>4358</v>
      </c>
      <c r="I1415" s="745" t="s">
        <v>4005</v>
      </c>
      <c r="J1415" s="796">
        <v>1.76</v>
      </c>
      <c r="K1415" s="795"/>
    </row>
    <row r="1416" spans="1:11" ht="21.95" customHeight="1">
      <c r="A1416" s="744" t="s">
        <v>4611</v>
      </c>
      <c r="B1416" s="744"/>
      <c r="C1416" s="745" t="s">
        <v>3633</v>
      </c>
      <c r="D1416" s="744" t="s">
        <v>1127</v>
      </c>
      <c r="E1416" s="744" t="s">
        <v>1146</v>
      </c>
      <c r="F1416" s="744" t="s">
        <v>3430</v>
      </c>
      <c r="G1416" s="746" t="s">
        <v>1129</v>
      </c>
      <c r="H1416" s="745" t="s">
        <v>4358</v>
      </c>
      <c r="I1416" s="745" t="s">
        <v>3635</v>
      </c>
      <c r="J1416" s="796">
        <v>1.38</v>
      </c>
      <c r="K1416" s="795"/>
    </row>
    <row r="1417" spans="1:11" ht="21.95" customHeight="1" thickBot="1">
      <c r="A1417" s="748" t="s">
        <v>4616</v>
      </c>
      <c r="B1417" s="748"/>
      <c r="C1417" s="749" t="s">
        <v>4359</v>
      </c>
      <c r="D1417" s="748" t="s">
        <v>1127</v>
      </c>
      <c r="E1417" s="748" t="s">
        <v>2472</v>
      </c>
      <c r="F1417" s="748" t="s">
        <v>1187</v>
      </c>
      <c r="G1417" s="750" t="s">
        <v>57</v>
      </c>
      <c r="H1417" s="749" t="s">
        <v>3610</v>
      </c>
      <c r="I1417" s="749" t="s">
        <v>4360</v>
      </c>
      <c r="J1417" s="794">
        <v>3.27</v>
      </c>
      <c r="K1417" s="795"/>
    </row>
    <row r="1418" spans="1:11" ht="0.95" customHeight="1" thickTop="1">
      <c r="A1418" s="747"/>
      <c r="B1418" s="747"/>
      <c r="C1418" s="747"/>
      <c r="D1418" s="747"/>
      <c r="E1418" s="747"/>
      <c r="F1418" s="747"/>
      <c r="G1418" s="747"/>
      <c r="H1418" s="747"/>
      <c r="I1418" s="747"/>
      <c r="J1418" s="747"/>
      <c r="K1418" s="747"/>
    </row>
    <row r="1419" spans="1:11" ht="18" customHeight="1">
      <c r="A1419" s="738"/>
      <c r="B1419" s="738" t="s">
        <v>60</v>
      </c>
      <c r="C1419" s="739" t="s">
        <v>3312</v>
      </c>
      <c r="D1419" s="738" t="s">
        <v>3602</v>
      </c>
      <c r="E1419" s="738" t="s">
        <v>3313</v>
      </c>
      <c r="F1419" s="738" t="s">
        <v>3390</v>
      </c>
      <c r="G1419" s="740" t="s">
        <v>70</v>
      </c>
      <c r="H1419" s="739" t="s">
        <v>64</v>
      </c>
      <c r="I1419" s="739" t="s">
        <v>3617</v>
      </c>
      <c r="J1419" s="797" t="s">
        <v>474</v>
      </c>
      <c r="K1419" s="795"/>
    </row>
    <row r="1420" spans="1:11" ht="21.95" customHeight="1">
      <c r="A1420" s="741" t="s">
        <v>4608</v>
      </c>
      <c r="B1420" s="741" t="s">
        <v>5088</v>
      </c>
      <c r="C1420" s="742" t="s">
        <v>3450</v>
      </c>
      <c r="D1420" s="741" t="s">
        <v>3604</v>
      </c>
      <c r="E1420" s="741" t="s">
        <v>944</v>
      </c>
      <c r="F1420" s="741" t="s">
        <v>3442</v>
      </c>
      <c r="G1420" s="743" t="s">
        <v>57</v>
      </c>
      <c r="H1420" s="742">
        <v>1</v>
      </c>
      <c r="I1420" s="742" t="s">
        <v>4361</v>
      </c>
      <c r="J1420" s="798" t="s">
        <v>4361</v>
      </c>
      <c r="K1420" s="795"/>
    </row>
    <row r="1421" spans="1:11" ht="21.95" customHeight="1">
      <c r="A1421" s="744" t="s">
        <v>4611</v>
      </c>
      <c r="B1421" s="744"/>
      <c r="C1421" s="745" t="s">
        <v>4004</v>
      </c>
      <c r="D1421" s="744" t="s">
        <v>1127</v>
      </c>
      <c r="E1421" s="744" t="s">
        <v>1265</v>
      </c>
      <c r="F1421" s="744" t="s">
        <v>3430</v>
      </c>
      <c r="G1421" s="746" t="s">
        <v>1129</v>
      </c>
      <c r="H1421" s="745" t="s">
        <v>3713</v>
      </c>
      <c r="I1421" s="745" t="s">
        <v>4005</v>
      </c>
      <c r="J1421" s="796">
        <v>5.3</v>
      </c>
      <c r="K1421" s="795"/>
    </row>
    <row r="1422" spans="1:11" ht="21.95" customHeight="1">
      <c r="A1422" s="744" t="s">
        <v>4611</v>
      </c>
      <c r="B1422" s="744"/>
      <c r="C1422" s="745" t="s">
        <v>4288</v>
      </c>
      <c r="D1422" s="744" t="s">
        <v>1127</v>
      </c>
      <c r="E1422" s="744" t="s">
        <v>1357</v>
      </c>
      <c r="F1422" s="744" t="s">
        <v>3430</v>
      </c>
      <c r="G1422" s="746" t="s">
        <v>1129</v>
      </c>
      <c r="H1422" s="745" t="s">
        <v>3713</v>
      </c>
      <c r="I1422" s="745" t="s">
        <v>4289</v>
      </c>
      <c r="J1422" s="796">
        <v>4.32</v>
      </c>
      <c r="K1422" s="795"/>
    </row>
    <row r="1423" spans="1:11" ht="21.95" customHeight="1" thickBot="1">
      <c r="A1423" s="748" t="s">
        <v>4616</v>
      </c>
      <c r="B1423" s="748"/>
      <c r="C1423" s="749" t="s">
        <v>4362</v>
      </c>
      <c r="D1423" s="748" t="s">
        <v>3604</v>
      </c>
      <c r="E1423" s="748" t="s">
        <v>1398</v>
      </c>
      <c r="F1423" s="748" t="s">
        <v>1187</v>
      </c>
      <c r="G1423" s="750" t="s">
        <v>57</v>
      </c>
      <c r="H1423" s="749" t="s">
        <v>3610</v>
      </c>
      <c r="I1423" s="749" t="s">
        <v>4363</v>
      </c>
      <c r="J1423" s="794">
        <v>14.43</v>
      </c>
      <c r="K1423" s="795"/>
    </row>
    <row r="1424" spans="1:11" ht="0.95" customHeight="1" thickTop="1">
      <c r="A1424" s="747"/>
      <c r="B1424" s="747"/>
      <c r="C1424" s="747"/>
      <c r="D1424" s="747"/>
      <c r="E1424" s="747"/>
      <c r="F1424" s="747"/>
      <c r="G1424" s="747"/>
      <c r="H1424" s="747"/>
      <c r="I1424" s="747"/>
      <c r="J1424" s="747"/>
      <c r="K1424" s="747"/>
    </row>
    <row r="1425" spans="1:11" ht="18" customHeight="1">
      <c r="A1425" s="738"/>
      <c r="B1425" s="738" t="s">
        <v>60</v>
      </c>
      <c r="C1425" s="739" t="s">
        <v>3312</v>
      </c>
      <c r="D1425" s="738" t="s">
        <v>3602</v>
      </c>
      <c r="E1425" s="738" t="s">
        <v>3313</v>
      </c>
      <c r="F1425" s="738" t="s">
        <v>3390</v>
      </c>
      <c r="G1425" s="740" t="s">
        <v>70</v>
      </c>
      <c r="H1425" s="739" t="s">
        <v>64</v>
      </c>
      <c r="I1425" s="739" t="s">
        <v>3617</v>
      </c>
      <c r="J1425" s="797" t="s">
        <v>474</v>
      </c>
      <c r="K1425" s="795"/>
    </row>
    <row r="1426" spans="1:11" ht="21.95" customHeight="1">
      <c r="A1426" s="741" t="s">
        <v>4608</v>
      </c>
      <c r="B1426" s="741" t="s">
        <v>5089</v>
      </c>
      <c r="C1426" s="742" t="s">
        <v>3441</v>
      </c>
      <c r="D1426" s="741" t="s">
        <v>3604</v>
      </c>
      <c r="E1426" s="741" t="s">
        <v>898</v>
      </c>
      <c r="F1426" s="741" t="s">
        <v>3442</v>
      </c>
      <c r="G1426" s="743" t="s">
        <v>57</v>
      </c>
      <c r="H1426" s="742">
        <v>1</v>
      </c>
      <c r="I1426" s="742" t="s">
        <v>4364</v>
      </c>
      <c r="J1426" s="798" t="s">
        <v>4364</v>
      </c>
      <c r="K1426" s="795"/>
    </row>
    <row r="1427" spans="1:11" ht="21.95" customHeight="1">
      <c r="A1427" s="744" t="s">
        <v>4611</v>
      </c>
      <c r="B1427" s="744"/>
      <c r="C1427" s="745" t="s">
        <v>4288</v>
      </c>
      <c r="D1427" s="744" t="s">
        <v>1127</v>
      </c>
      <c r="E1427" s="744" t="s">
        <v>1357</v>
      </c>
      <c r="F1427" s="744" t="s">
        <v>3430</v>
      </c>
      <c r="G1427" s="746" t="s">
        <v>1129</v>
      </c>
      <c r="H1427" s="745" t="s">
        <v>3822</v>
      </c>
      <c r="I1427" s="745" t="s">
        <v>4289</v>
      </c>
      <c r="J1427" s="796">
        <v>3.6</v>
      </c>
      <c r="K1427" s="795"/>
    </row>
    <row r="1428" spans="1:11" ht="21.95" customHeight="1" thickBot="1">
      <c r="A1428" s="748" t="s">
        <v>4616</v>
      </c>
      <c r="B1428" s="748"/>
      <c r="C1428" s="749" t="s">
        <v>4365</v>
      </c>
      <c r="D1428" s="748" t="s">
        <v>1127</v>
      </c>
      <c r="E1428" s="748" t="s">
        <v>1426</v>
      </c>
      <c r="F1428" s="748" t="s">
        <v>1187</v>
      </c>
      <c r="G1428" s="750" t="s">
        <v>57</v>
      </c>
      <c r="H1428" s="749" t="s">
        <v>3610</v>
      </c>
      <c r="I1428" s="749" t="s">
        <v>3962</v>
      </c>
      <c r="J1428" s="794">
        <v>1.01</v>
      </c>
      <c r="K1428" s="795"/>
    </row>
    <row r="1429" spans="1:11" ht="0.95" customHeight="1" thickTop="1">
      <c r="A1429" s="747"/>
      <c r="B1429" s="747"/>
      <c r="C1429" s="747"/>
      <c r="D1429" s="747"/>
      <c r="E1429" s="747"/>
      <c r="F1429" s="747"/>
      <c r="G1429" s="747"/>
      <c r="H1429" s="747"/>
      <c r="I1429" s="747"/>
      <c r="J1429" s="747"/>
      <c r="K1429" s="747"/>
    </row>
    <row r="1430" spans="1:11" ht="18" customHeight="1">
      <c r="A1430" s="738"/>
      <c r="B1430" s="738" t="s">
        <v>60</v>
      </c>
      <c r="C1430" s="739" t="s">
        <v>3312</v>
      </c>
      <c r="D1430" s="738" t="s">
        <v>3602</v>
      </c>
      <c r="E1430" s="738" t="s">
        <v>3313</v>
      </c>
      <c r="F1430" s="738" t="s">
        <v>3390</v>
      </c>
      <c r="G1430" s="740" t="s">
        <v>70</v>
      </c>
      <c r="H1430" s="739" t="s">
        <v>64</v>
      </c>
      <c r="I1430" s="739" t="s">
        <v>3617</v>
      </c>
      <c r="J1430" s="797" t="s">
        <v>474</v>
      </c>
      <c r="K1430" s="795"/>
    </row>
    <row r="1431" spans="1:11" ht="21.95" customHeight="1">
      <c r="A1431" s="741" t="s">
        <v>4608</v>
      </c>
      <c r="B1431" s="741" t="s">
        <v>5090</v>
      </c>
      <c r="C1431" s="742" t="s">
        <v>3510</v>
      </c>
      <c r="D1431" s="741" t="s">
        <v>3604</v>
      </c>
      <c r="E1431" s="741" t="s">
        <v>939</v>
      </c>
      <c r="F1431" s="741" t="s">
        <v>3442</v>
      </c>
      <c r="G1431" s="743" t="s">
        <v>57</v>
      </c>
      <c r="H1431" s="742">
        <v>1</v>
      </c>
      <c r="I1431" s="742" t="s">
        <v>4366</v>
      </c>
      <c r="J1431" s="798" t="s">
        <v>4366</v>
      </c>
      <c r="K1431" s="795"/>
    </row>
    <row r="1432" spans="1:11" ht="21.95" customHeight="1">
      <c r="A1432" s="744" t="s">
        <v>4611</v>
      </c>
      <c r="B1432" s="744"/>
      <c r="C1432" s="745" t="s">
        <v>4004</v>
      </c>
      <c r="D1432" s="744" t="s">
        <v>1127</v>
      </c>
      <c r="E1432" s="744" t="s">
        <v>1265</v>
      </c>
      <c r="F1432" s="744" t="s">
        <v>3430</v>
      </c>
      <c r="G1432" s="746" t="s">
        <v>1129</v>
      </c>
      <c r="H1432" s="745" t="s">
        <v>4367</v>
      </c>
      <c r="I1432" s="745" t="s">
        <v>4005</v>
      </c>
      <c r="J1432" s="796">
        <v>2.65</v>
      </c>
      <c r="K1432" s="795"/>
    </row>
    <row r="1433" spans="1:11" ht="33" customHeight="1" thickBot="1">
      <c r="A1433" s="748" t="s">
        <v>4616</v>
      </c>
      <c r="B1433" s="748"/>
      <c r="C1433" s="749" t="s">
        <v>4368</v>
      </c>
      <c r="D1433" s="748" t="s">
        <v>1127</v>
      </c>
      <c r="E1433" s="748" t="s">
        <v>1392</v>
      </c>
      <c r="F1433" s="748" t="s">
        <v>1187</v>
      </c>
      <c r="G1433" s="750" t="s">
        <v>57</v>
      </c>
      <c r="H1433" s="749" t="s">
        <v>3610</v>
      </c>
      <c r="I1433" s="749" t="s">
        <v>4206</v>
      </c>
      <c r="J1433" s="794">
        <v>0.46</v>
      </c>
      <c r="K1433" s="795"/>
    </row>
    <row r="1434" spans="1:11" ht="0.95" customHeight="1" thickTop="1">
      <c r="A1434" s="747"/>
      <c r="B1434" s="747"/>
      <c r="C1434" s="747"/>
      <c r="D1434" s="747"/>
      <c r="E1434" s="747"/>
      <c r="F1434" s="747"/>
      <c r="G1434" s="747"/>
      <c r="H1434" s="747"/>
      <c r="I1434" s="747"/>
      <c r="J1434" s="747"/>
      <c r="K1434" s="747"/>
    </row>
    <row r="1435" spans="1:11" ht="18" customHeight="1">
      <c r="A1435" s="738"/>
      <c r="B1435" s="738" t="s">
        <v>60</v>
      </c>
      <c r="C1435" s="739" t="s">
        <v>3312</v>
      </c>
      <c r="D1435" s="738" t="s">
        <v>3602</v>
      </c>
      <c r="E1435" s="738" t="s">
        <v>3313</v>
      </c>
      <c r="F1435" s="738" t="s">
        <v>3390</v>
      </c>
      <c r="G1435" s="740" t="s">
        <v>70</v>
      </c>
      <c r="H1435" s="739" t="s">
        <v>64</v>
      </c>
      <c r="I1435" s="739" t="s">
        <v>3617</v>
      </c>
      <c r="J1435" s="797" t="s">
        <v>474</v>
      </c>
      <c r="K1435" s="795"/>
    </row>
    <row r="1436" spans="1:11" ht="33" customHeight="1">
      <c r="A1436" s="741" t="s">
        <v>4608</v>
      </c>
      <c r="B1436" s="741" t="s">
        <v>5091</v>
      </c>
      <c r="C1436" s="742" t="s">
        <v>3449</v>
      </c>
      <c r="D1436" s="741" t="s">
        <v>3604</v>
      </c>
      <c r="E1436" s="741" t="s">
        <v>2872</v>
      </c>
      <c r="F1436" s="741" t="s">
        <v>3442</v>
      </c>
      <c r="G1436" s="743" t="s">
        <v>57</v>
      </c>
      <c r="H1436" s="742">
        <v>1</v>
      </c>
      <c r="I1436" s="742" t="s">
        <v>5092</v>
      </c>
      <c r="J1436" s="798" t="s">
        <v>5092</v>
      </c>
      <c r="K1436" s="795"/>
    </row>
    <row r="1437" spans="1:11" ht="21.95" customHeight="1">
      <c r="A1437" s="744" t="s">
        <v>4611</v>
      </c>
      <c r="B1437" s="744"/>
      <c r="C1437" s="745" t="s">
        <v>4004</v>
      </c>
      <c r="D1437" s="744" t="s">
        <v>1127</v>
      </c>
      <c r="E1437" s="744" t="s">
        <v>1265</v>
      </c>
      <c r="F1437" s="744" t="s">
        <v>3430</v>
      </c>
      <c r="G1437" s="746" t="s">
        <v>1129</v>
      </c>
      <c r="H1437" s="745" t="s">
        <v>4369</v>
      </c>
      <c r="I1437" s="745" t="s">
        <v>4005</v>
      </c>
      <c r="J1437" s="796">
        <v>17.32</v>
      </c>
      <c r="K1437" s="795"/>
    </row>
    <row r="1438" spans="1:11" ht="21.95" customHeight="1">
      <c r="A1438" s="744" t="s">
        <v>4611</v>
      </c>
      <c r="B1438" s="744"/>
      <c r="C1438" s="745" t="s">
        <v>3633</v>
      </c>
      <c r="D1438" s="744" t="s">
        <v>1127</v>
      </c>
      <c r="E1438" s="744" t="s">
        <v>1146</v>
      </c>
      <c r="F1438" s="744" t="s">
        <v>3430</v>
      </c>
      <c r="G1438" s="746" t="s">
        <v>1129</v>
      </c>
      <c r="H1438" s="745" t="s">
        <v>4369</v>
      </c>
      <c r="I1438" s="745" t="s">
        <v>3635</v>
      </c>
      <c r="J1438" s="796">
        <v>13.6</v>
      </c>
      <c r="K1438" s="795"/>
    </row>
    <row r="1439" spans="1:11" ht="21.95" customHeight="1">
      <c r="A1439" s="748" t="s">
        <v>4616</v>
      </c>
      <c r="B1439" s="748"/>
      <c r="C1439" s="749" t="s">
        <v>4370</v>
      </c>
      <c r="D1439" s="748" t="s">
        <v>3604</v>
      </c>
      <c r="E1439" s="748" t="s">
        <v>3353</v>
      </c>
      <c r="F1439" s="748" t="s">
        <v>1187</v>
      </c>
      <c r="G1439" s="750" t="s">
        <v>57</v>
      </c>
      <c r="H1439" s="749" t="s">
        <v>3610</v>
      </c>
      <c r="I1439" s="749" t="s">
        <v>4371</v>
      </c>
      <c r="J1439" s="794">
        <v>13.29</v>
      </c>
      <c r="K1439" s="795"/>
    </row>
    <row r="1440" spans="1:11" ht="21.95" customHeight="1" thickBot="1">
      <c r="A1440" s="748" t="s">
        <v>4616</v>
      </c>
      <c r="B1440" s="748"/>
      <c r="C1440" s="749" t="s">
        <v>4372</v>
      </c>
      <c r="D1440" s="748" t="s">
        <v>3604</v>
      </c>
      <c r="E1440" s="748" t="s">
        <v>3354</v>
      </c>
      <c r="F1440" s="748" t="s">
        <v>1187</v>
      </c>
      <c r="G1440" s="750" t="s">
        <v>57</v>
      </c>
      <c r="H1440" s="749" t="s">
        <v>3610</v>
      </c>
      <c r="I1440" s="749" t="s">
        <v>4373</v>
      </c>
      <c r="J1440" s="794">
        <v>27.33</v>
      </c>
      <c r="K1440" s="795"/>
    </row>
    <row r="1441" spans="1:11" ht="0.95" customHeight="1" thickTop="1">
      <c r="A1441" s="747"/>
      <c r="B1441" s="747"/>
      <c r="C1441" s="747"/>
      <c r="D1441" s="747"/>
      <c r="E1441" s="747"/>
      <c r="F1441" s="747"/>
      <c r="G1441" s="747"/>
      <c r="H1441" s="747"/>
      <c r="I1441" s="747"/>
      <c r="J1441" s="747"/>
      <c r="K1441" s="747"/>
    </row>
    <row r="1442" spans="1:11" ht="18" customHeight="1">
      <c r="A1442" s="738"/>
      <c r="B1442" s="738" t="s">
        <v>60</v>
      </c>
      <c r="C1442" s="739" t="s">
        <v>3312</v>
      </c>
      <c r="D1442" s="738" t="s">
        <v>3602</v>
      </c>
      <c r="E1442" s="738" t="s">
        <v>3313</v>
      </c>
      <c r="F1442" s="738" t="s">
        <v>3390</v>
      </c>
      <c r="G1442" s="740" t="s">
        <v>70</v>
      </c>
      <c r="H1442" s="739" t="s">
        <v>64</v>
      </c>
      <c r="I1442" s="739" t="s">
        <v>3617</v>
      </c>
      <c r="J1442" s="797" t="s">
        <v>474</v>
      </c>
      <c r="K1442" s="795"/>
    </row>
    <row r="1443" spans="1:11" ht="21.95" customHeight="1">
      <c r="A1443" s="741" t="s">
        <v>4608</v>
      </c>
      <c r="B1443" s="741" t="s">
        <v>5093</v>
      </c>
      <c r="C1443" s="742" t="s">
        <v>3454</v>
      </c>
      <c r="D1443" s="741" t="s">
        <v>3604</v>
      </c>
      <c r="E1443" s="741" t="s">
        <v>1587</v>
      </c>
      <c r="F1443" s="741" t="s">
        <v>3442</v>
      </c>
      <c r="G1443" s="743" t="s">
        <v>57</v>
      </c>
      <c r="H1443" s="742">
        <v>1</v>
      </c>
      <c r="I1443" s="742" t="s">
        <v>4374</v>
      </c>
      <c r="J1443" s="798" t="s">
        <v>4374</v>
      </c>
      <c r="K1443" s="795"/>
    </row>
    <row r="1444" spans="1:11" ht="21.95" customHeight="1" thickBot="1">
      <c r="A1444" s="748" t="s">
        <v>4616</v>
      </c>
      <c r="B1444" s="748"/>
      <c r="C1444" s="749" t="s">
        <v>4375</v>
      </c>
      <c r="D1444" s="748" t="s">
        <v>3604</v>
      </c>
      <c r="E1444" s="748" t="s">
        <v>4376</v>
      </c>
      <c r="F1444" s="748" t="s">
        <v>1187</v>
      </c>
      <c r="G1444" s="750" t="s">
        <v>57</v>
      </c>
      <c r="H1444" s="749" t="s">
        <v>3610</v>
      </c>
      <c r="I1444" s="749" t="s">
        <v>4374</v>
      </c>
      <c r="J1444" s="794">
        <v>8.15</v>
      </c>
      <c r="K1444" s="795"/>
    </row>
    <row r="1445" spans="1:11" ht="0.95" customHeight="1" thickTop="1">
      <c r="A1445" s="747"/>
      <c r="B1445" s="747"/>
      <c r="C1445" s="747"/>
      <c r="D1445" s="747"/>
      <c r="E1445" s="747"/>
      <c r="F1445" s="747"/>
      <c r="G1445" s="747"/>
      <c r="H1445" s="747"/>
      <c r="I1445" s="747"/>
      <c r="J1445" s="747"/>
      <c r="K1445" s="747"/>
    </row>
    <row r="1446" spans="1:11" ht="18" customHeight="1">
      <c r="A1446" s="738"/>
      <c r="B1446" s="738" t="s">
        <v>60</v>
      </c>
      <c r="C1446" s="739" t="s">
        <v>3312</v>
      </c>
      <c r="D1446" s="738" t="s">
        <v>3602</v>
      </c>
      <c r="E1446" s="738" t="s">
        <v>3313</v>
      </c>
      <c r="F1446" s="738" t="s">
        <v>3390</v>
      </c>
      <c r="G1446" s="740" t="s">
        <v>70</v>
      </c>
      <c r="H1446" s="739" t="s">
        <v>64</v>
      </c>
      <c r="I1446" s="739" t="s">
        <v>3617</v>
      </c>
      <c r="J1446" s="797" t="s">
        <v>474</v>
      </c>
      <c r="K1446" s="795"/>
    </row>
    <row r="1447" spans="1:11" ht="21.95" customHeight="1">
      <c r="A1447" s="741" t="s">
        <v>4608</v>
      </c>
      <c r="B1447" s="741" t="s">
        <v>5094</v>
      </c>
      <c r="C1447" s="742" t="s">
        <v>3455</v>
      </c>
      <c r="D1447" s="741" t="s">
        <v>3604</v>
      </c>
      <c r="E1447" s="741" t="s">
        <v>950</v>
      </c>
      <c r="F1447" s="741" t="s">
        <v>3442</v>
      </c>
      <c r="G1447" s="743" t="s">
        <v>57</v>
      </c>
      <c r="H1447" s="742">
        <v>1</v>
      </c>
      <c r="I1447" s="742" t="s">
        <v>4377</v>
      </c>
      <c r="J1447" s="798" t="s">
        <v>4377</v>
      </c>
      <c r="K1447" s="795"/>
    </row>
    <row r="1448" spans="1:11" ht="21.95" customHeight="1">
      <c r="A1448" s="744" t="s">
        <v>4611</v>
      </c>
      <c r="B1448" s="744"/>
      <c r="C1448" s="745" t="s">
        <v>4004</v>
      </c>
      <c r="D1448" s="744" t="s">
        <v>1127</v>
      </c>
      <c r="E1448" s="744" t="s">
        <v>1265</v>
      </c>
      <c r="F1448" s="744" t="s">
        <v>3430</v>
      </c>
      <c r="G1448" s="746" t="s">
        <v>1129</v>
      </c>
      <c r="H1448" s="745" t="s">
        <v>3713</v>
      </c>
      <c r="I1448" s="745" t="s">
        <v>4005</v>
      </c>
      <c r="J1448" s="796">
        <v>5.3</v>
      </c>
      <c r="K1448" s="795"/>
    </row>
    <row r="1449" spans="1:11" ht="21.95" customHeight="1">
      <c r="A1449" s="744" t="s">
        <v>4611</v>
      </c>
      <c r="B1449" s="744"/>
      <c r="C1449" s="745" t="s">
        <v>3633</v>
      </c>
      <c r="D1449" s="744" t="s">
        <v>1127</v>
      </c>
      <c r="E1449" s="744" t="s">
        <v>1146</v>
      </c>
      <c r="F1449" s="744" t="s">
        <v>3430</v>
      </c>
      <c r="G1449" s="746" t="s">
        <v>1129</v>
      </c>
      <c r="H1449" s="745" t="s">
        <v>3713</v>
      </c>
      <c r="I1449" s="745" t="s">
        <v>3635</v>
      </c>
      <c r="J1449" s="796">
        <v>4.16</v>
      </c>
      <c r="K1449" s="795"/>
    </row>
    <row r="1450" spans="1:11" ht="21.95" customHeight="1" thickBot="1">
      <c r="A1450" s="748" t="s">
        <v>4616</v>
      </c>
      <c r="B1450" s="748"/>
      <c r="C1450" s="749" t="s">
        <v>4378</v>
      </c>
      <c r="D1450" s="748" t="s">
        <v>3604</v>
      </c>
      <c r="E1450" s="748" t="s">
        <v>1401</v>
      </c>
      <c r="F1450" s="748" t="s">
        <v>1187</v>
      </c>
      <c r="G1450" s="750" t="s">
        <v>57</v>
      </c>
      <c r="H1450" s="749" t="s">
        <v>3610</v>
      </c>
      <c r="I1450" s="749" t="s">
        <v>4379</v>
      </c>
      <c r="J1450" s="794">
        <v>307.27</v>
      </c>
      <c r="K1450" s="795"/>
    </row>
    <row r="1451" spans="1:11" ht="0.95" customHeight="1" thickTop="1">
      <c r="A1451" s="747"/>
      <c r="B1451" s="747"/>
      <c r="C1451" s="747"/>
      <c r="D1451" s="747"/>
      <c r="E1451" s="747"/>
      <c r="F1451" s="747"/>
      <c r="G1451" s="747"/>
      <c r="H1451" s="747"/>
      <c r="I1451" s="747"/>
      <c r="J1451" s="747"/>
      <c r="K1451" s="747"/>
    </row>
    <row r="1452" spans="1:11" ht="18" customHeight="1">
      <c r="A1452" s="738"/>
      <c r="B1452" s="738" t="s">
        <v>60</v>
      </c>
      <c r="C1452" s="739" t="s">
        <v>3312</v>
      </c>
      <c r="D1452" s="738" t="s">
        <v>3602</v>
      </c>
      <c r="E1452" s="738" t="s">
        <v>3313</v>
      </c>
      <c r="F1452" s="738" t="s">
        <v>3390</v>
      </c>
      <c r="G1452" s="740" t="s">
        <v>70</v>
      </c>
      <c r="H1452" s="739" t="s">
        <v>64</v>
      </c>
      <c r="I1452" s="739" t="s">
        <v>3617</v>
      </c>
      <c r="J1452" s="797" t="s">
        <v>474</v>
      </c>
      <c r="K1452" s="795"/>
    </row>
    <row r="1453" spans="1:11" ht="33" customHeight="1">
      <c r="A1453" s="741" t="s">
        <v>4608</v>
      </c>
      <c r="B1453" s="741" t="s">
        <v>5095</v>
      </c>
      <c r="C1453" s="742" t="s">
        <v>3520</v>
      </c>
      <c r="D1453" s="741" t="s">
        <v>3604</v>
      </c>
      <c r="E1453" s="741" t="s">
        <v>1604</v>
      </c>
      <c r="F1453" s="741" t="s">
        <v>3442</v>
      </c>
      <c r="G1453" s="743" t="s">
        <v>57</v>
      </c>
      <c r="H1453" s="742">
        <v>1</v>
      </c>
      <c r="I1453" s="742" t="s">
        <v>5096</v>
      </c>
      <c r="J1453" s="798" t="s">
        <v>5096</v>
      </c>
      <c r="K1453" s="795"/>
    </row>
    <row r="1454" spans="1:11" ht="21.95" customHeight="1">
      <c r="A1454" s="744" t="s">
        <v>4611</v>
      </c>
      <c r="B1454" s="744"/>
      <c r="C1454" s="745" t="s">
        <v>4004</v>
      </c>
      <c r="D1454" s="744" t="s">
        <v>1127</v>
      </c>
      <c r="E1454" s="744" t="s">
        <v>1265</v>
      </c>
      <c r="F1454" s="744" t="s">
        <v>3430</v>
      </c>
      <c r="G1454" s="746" t="s">
        <v>1129</v>
      </c>
      <c r="H1454" s="745" t="s">
        <v>3642</v>
      </c>
      <c r="I1454" s="745" t="s">
        <v>4005</v>
      </c>
      <c r="J1454" s="796">
        <v>88.4</v>
      </c>
      <c r="K1454" s="795"/>
    </row>
    <row r="1455" spans="1:11" ht="21.95" customHeight="1">
      <c r="A1455" s="744" t="s">
        <v>4611</v>
      </c>
      <c r="B1455" s="744"/>
      <c r="C1455" s="745" t="s">
        <v>3633</v>
      </c>
      <c r="D1455" s="744" t="s">
        <v>1127</v>
      </c>
      <c r="E1455" s="744" t="s">
        <v>1146</v>
      </c>
      <c r="F1455" s="744" t="s">
        <v>3430</v>
      </c>
      <c r="G1455" s="746" t="s">
        <v>1129</v>
      </c>
      <c r="H1455" s="745" t="s">
        <v>3642</v>
      </c>
      <c r="I1455" s="745" t="s">
        <v>3635</v>
      </c>
      <c r="J1455" s="796">
        <v>69.400000000000006</v>
      </c>
      <c r="K1455" s="795"/>
    </row>
    <row r="1456" spans="1:11" ht="33" customHeight="1">
      <c r="A1456" s="748" t="s">
        <v>4616</v>
      </c>
      <c r="B1456" s="748"/>
      <c r="C1456" s="749" t="s">
        <v>4380</v>
      </c>
      <c r="D1456" s="748" t="s">
        <v>1127</v>
      </c>
      <c r="E1456" s="748" t="s">
        <v>1606</v>
      </c>
      <c r="F1456" s="748" t="s">
        <v>1187</v>
      </c>
      <c r="G1456" s="750" t="s">
        <v>57</v>
      </c>
      <c r="H1456" s="749" t="s">
        <v>3610</v>
      </c>
      <c r="I1456" s="749" t="s">
        <v>4381</v>
      </c>
      <c r="J1456" s="794">
        <v>52.21</v>
      </c>
      <c r="K1456" s="795"/>
    </row>
    <row r="1457" spans="1:11" ht="33" customHeight="1">
      <c r="A1457" s="748" t="s">
        <v>4616</v>
      </c>
      <c r="B1457" s="748"/>
      <c r="C1457" s="749" t="s">
        <v>4382</v>
      </c>
      <c r="D1457" s="748" t="s">
        <v>1127</v>
      </c>
      <c r="E1457" s="748" t="s">
        <v>1607</v>
      </c>
      <c r="F1457" s="748" t="s">
        <v>1187</v>
      </c>
      <c r="G1457" s="750" t="s">
        <v>57</v>
      </c>
      <c r="H1457" s="749" t="s">
        <v>3626</v>
      </c>
      <c r="I1457" s="749" t="s">
        <v>4383</v>
      </c>
      <c r="J1457" s="794">
        <v>1.1200000000000001</v>
      </c>
      <c r="K1457" s="795"/>
    </row>
    <row r="1458" spans="1:11" ht="21.95" customHeight="1">
      <c r="A1458" s="748" t="s">
        <v>4616</v>
      </c>
      <c r="B1458" s="748"/>
      <c r="C1458" s="749" t="s">
        <v>4384</v>
      </c>
      <c r="D1458" s="748" t="s">
        <v>1127</v>
      </c>
      <c r="E1458" s="748" t="s">
        <v>1608</v>
      </c>
      <c r="F1458" s="748" t="s">
        <v>1187</v>
      </c>
      <c r="G1458" s="750" t="s">
        <v>57</v>
      </c>
      <c r="H1458" s="749" t="s">
        <v>4341</v>
      </c>
      <c r="I1458" s="749" t="s">
        <v>4385</v>
      </c>
      <c r="J1458" s="794">
        <v>11.28</v>
      </c>
      <c r="K1458" s="795"/>
    </row>
    <row r="1459" spans="1:11" ht="33" customHeight="1">
      <c r="A1459" s="748" t="s">
        <v>4616</v>
      </c>
      <c r="B1459" s="748"/>
      <c r="C1459" s="749" t="s">
        <v>4386</v>
      </c>
      <c r="D1459" s="748" t="s">
        <v>1127</v>
      </c>
      <c r="E1459" s="748" t="s">
        <v>1609</v>
      </c>
      <c r="F1459" s="748" t="s">
        <v>1187</v>
      </c>
      <c r="G1459" s="750" t="s">
        <v>101</v>
      </c>
      <c r="H1459" s="749" t="s">
        <v>4341</v>
      </c>
      <c r="I1459" s="749" t="s">
        <v>4387</v>
      </c>
      <c r="J1459" s="794">
        <v>98.79</v>
      </c>
      <c r="K1459" s="795"/>
    </row>
    <row r="1460" spans="1:11" ht="21.95" customHeight="1" thickBot="1">
      <c r="A1460" s="748" t="s">
        <v>4616</v>
      </c>
      <c r="B1460" s="748"/>
      <c r="C1460" s="749" t="s">
        <v>4388</v>
      </c>
      <c r="D1460" s="748" t="s">
        <v>1127</v>
      </c>
      <c r="E1460" s="748" t="s">
        <v>4389</v>
      </c>
      <c r="F1460" s="748" t="s">
        <v>1187</v>
      </c>
      <c r="G1460" s="750" t="s">
        <v>57</v>
      </c>
      <c r="H1460" s="749" t="s">
        <v>4341</v>
      </c>
      <c r="I1460" s="749" t="s">
        <v>4390</v>
      </c>
      <c r="J1460" s="794">
        <v>13.53</v>
      </c>
      <c r="K1460" s="795"/>
    </row>
    <row r="1461" spans="1:11" ht="0.95" customHeight="1" thickTop="1">
      <c r="A1461" s="747"/>
      <c r="B1461" s="747"/>
      <c r="C1461" s="747"/>
      <c r="D1461" s="747"/>
      <c r="E1461" s="747"/>
      <c r="F1461" s="747"/>
      <c r="G1461" s="747"/>
      <c r="H1461" s="747"/>
      <c r="I1461" s="747"/>
      <c r="J1461" s="747"/>
      <c r="K1461" s="747"/>
    </row>
    <row r="1462" spans="1:11" ht="18" customHeight="1">
      <c r="A1462" s="738"/>
      <c r="B1462" s="738" t="s">
        <v>60</v>
      </c>
      <c r="C1462" s="739" t="s">
        <v>3312</v>
      </c>
      <c r="D1462" s="738" t="s">
        <v>3602</v>
      </c>
      <c r="E1462" s="738" t="s">
        <v>3313</v>
      </c>
      <c r="F1462" s="738" t="s">
        <v>3390</v>
      </c>
      <c r="G1462" s="740" t="s">
        <v>70</v>
      </c>
      <c r="H1462" s="739" t="s">
        <v>64</v>
      </c>
      <c r="I1462" s="739" t="s">
        <v>3617</v>
      </c>
      <c r="J1462" s="797" t="s">
        <v>474</v>
      </c>
      <c r="K1462" s="795"/>
    </row>
    <row r="1463" spans="1:11" ht="21.95" customHeight="1">
      <c r="A1463" s="741" t="s">
        <v>4608</v>
      </c>
      <c r="B1463" s="741" t="s">
        <v>5097</v>
      </c>
      <c r="C1463" s="742" t="s">
        <v>3523</v>
      </c>
      <c r="D1463" s="741" t="s">
        <v>3604</v>
      </c>
      <c r="E1463" s="741" t="s">
        <v>1610</v>
      </c>
      <c r="F1463" s="741" t="s">
        <v>3442</v>
      </c>
      <c r="G1463" s="743" t="s">
        <v>57</v>
      </c>
      <c r="H1463" s="742">
        <v>1</v>
      </c>
      <c r="I1463" s="742" t="s">
        <v>4391</v>
      </c>
      <c r="J1463" s="798" t="s">
        <v>4391</v>
      </c>
      <c r="K1463" s="795"/>
    </row>
    <row r="1464" spans="1:11" ht="21.95" customHeight="1">
      <c r="A1464" s="744" t="s">
        <v>4611</v>
      </c>
      <c r="B1464" s="744"/>
      <c r="C1464" s="745" t="s">
        <v>4004</v>
      </c>
      <c r="D1464" s="744" t="s">
        <v>1127</v>
      </c>
      <c r="E1464" s="744" t="s">
        <v>1265</v>
      </c>
      <c r="F1464" s="744" t="s">
        <v>3430</v>
      </c>
      <c r="G1464" s="746" t="s">
        <v>1129</v>
      </c>
      <c r="H1464" s="745" t="s">
        <v>3713</v>
      </c>
      <c r="I1464" s="745" t="s">
        <v>4005</v>
      </c>
      <c r="J1464" s="796">
        <v>5.3</v>
      </c>
      <c r="K1464" s="795"/>
    </row>
    <row r="1465" spans="1:11" ht="21.95" customHeight="1">
      <c r="A1465" s="744" t="s">
        <v>4611</v>
      </c>
      <c r="B1465" s="744"/>
      <c r="C1465" s="745" t="s">
        <v>3633</v>
      </c>
      <c r="D1465" s="744" t="s">
        <v>1127</v>
      </c>
      <c r="E1465" s="744" t="s">
        <v>1146</v>
      </c>
      <c r="F1465" s="744" t="s">
        <v>3430</v>
      </c>
      <c r="G1465" s="746" t="s">
        <v>1129</v>
      </c>
      <c r="H1465" s="745" t="s">
        <v>3713</v>
      </c>
      <c r="I1465" s="745" t="s">
        <v>3635</v>
      </c>
      <c r="J1465" s="796">
        <v>4.16</v>
      </c>
      <c r="K1465" s="795"/>
    </row>
    <row r="1466" spans="1:11" ht="21.95" customHeight="1">
      <c r="A1466" s="748" t="s">
        <v>4616</v>
      </c>
      <c r="B1466" s="748"/>
      <c r="C1466" s="749" t="s">
        <v>4392</v>
      </c>
      <c r="D1466" s="748" t="s">
        <v>1127</v>
      </c>
      <c r="E1466" s="748" t="s">
        <v>1612</v>
      </c>
      <c r="F1466" s="748" t="s">
        <v>1187</v>
      </c>
      <c r="G1466" s="750" t="s">
        <v>57</v>
      </c>
      <c r="H1466" s="749" t="s">
        <v>3610</v>
      </c>
      <c r="I1466" s="749" t="s">
        <v>4393</v>
      </c>
      <c r="J1466" s="794">
        <v>28.2</v>
      </c>
      <c r="K1466" s="795"/>
    </row>
    <row r="1467" spans="1:11" ht="21.95" customHeight="1">
      <c r="A1467" s="748" t="s">
        <v>4616</v>
      </c>
      <c r="B1467" s="748"/>
      <c r="C1467" s="749" t="s">
        <v>4394</v>
      </c>
      <c r="D1467" s="748" t="s">
        <v>1127</v>
      </c>
      <c r="E1467" s="748" t="s">
        <v>4395</v>
      </c>
      <c r="F1467" s="748" t="s">
        <v>1187</v>
      </c>
      <c r="G1467" s="750" t="s">
        <v>57</v>
      </c>
      <c r="H1467" s="749" t="s">
        <v>3713</v>
      </c>
      <c r="I1467" s="749" t="s">
        <v>4396</v>
      </c>
      <c r="J1467" s="794">
        <v>4.13</v>
      </c>
      <c r="K1467" s="795"/>
    </row>
    <row r="1468" spans="1:11" ht="21.95" customHeight="1" thickBot="1">
      <c r="A1468" s="748" t="s">
        <v>4616</v>
      </c>
      <c r="B1468" s="748"/>
      <c r="C1468" s="749" t="s">
        <v>4397</v>
      </c>
      <c r="D1468" s="748" t="s">
        <v>1127</v>
      </c>
      <c r="E1468" s="748" t="s">
        <v>1613</v>
      </c>
      <c r="F1468" s="748" t="s">
        <v>1187</v>
      </c>
      <c r="G1468" s="750" t="s">
        <v>57</v>
      </c>
      <c r="H1468" s="749" t="s">
        <v>3610</v>
      </c>
      <c r="I1468" s="749" t="s">
        <v>4398</v>
      </c>
      <c r="J1468" s="794">
        <v>7.92</v>
      </c>
      <c r="K1468" s="795"/>
    </row>
    <row r="1469" spans="1:11" ht="0.95" customHeight="1" thickTop="1">
      <c r="A1469" s="747"/>
      <c r="B1469" s="747"/>
      <c r="C1469" s="747"/>
      <c r="D1469" s="747"/>
      <c r="E1469" s="747"/>
      <c r="F1469" s="747"/>
      <c r="G1469" s="747"/>
      <c r="H1469" s="747"/>
      <c r="I1469" s="747"/>
      <c r="J1469" s="747"/>
      <c r="K1469" s="747"/>
    </row>
    <row r="1470" spans="1:11" ht="18" customHeight="1">
      <c r="A1470" s="738"/>
      <c r="B1470" s="738" t="s">
        <v>60</v>
      </c>
      <c r="C1470" s="739" t="s">
        <v>3312</v>
      </c>
      <c r="D1470" s="738" t="s">
        <v>3602</v>
      </c>
      <c r="E1470" s="738" t="s">
        <v>3313</v>
      </c>
      <c r="F1470" s="738" t="s">
        <v>3390</v>
      </c>
      <c r="G1470" s="740" t="s">
        <v>70</v>
      </c>
      <c r="H1470" s="739" t="s">
        <v>64</v>
      </c>
      <c r="I1470" s="739" t="s">
        <v>3617</v>
      </c>
      <c r="J1470" s="797" t="s">
        <v>474</v>
      </c>
      <c r="K1470" s="795"/>
    </row>
    <row r="1471" spans="1:11" ht="21.95" customHeight="1">
      <c r="A1471" s="741" t="s">
        <v>4608</v>
      </c>
      <c r="B1471" s="741" t="s">
        <v>5098</v>
      </c>
      <c r="C1471" s="742" t="s">
        <v>3533</v>
      </c>
      <c r="D1471" s="741" t="s">
        <v>3604</v>
      </c>
      <c r="E1471" s="741" t="s">
        <v>900</v>
      </c>
      <c r="F1471" s="741" t="s">
        <v>3430</v>
      </c>
      <c r="G1471" s="743" t="s">
        <v>57</v>
      </c>
      <c r="H1471" s="742">
        <v>1</v>
      </c>
      <c r="I1471" s="742" t="s">
        <v>5099</v>
      </c>
      <c r="J1471" s="798" t="s">
        <v>5099</v>
      </c>
      <c r="K1471" s="795"/>
    </row>
    <row r="1472" spans="1:11" ht="21.95" customHeight="1">
      <c r="A1472" s="744" t="s">
        <v>4611</v>
      </c>
      <c r="B1472" s="744"/>
      <c r="C1472" s="745" t="s">
        <v>3631</v>
      </c>
      <c r="D1472" s="744" t="s">
        <v>1127</v>
      </c>
      <c r="E1472" s="744" t="s">
        <v>1145</v>
      </c>
      <c r="F1472" s="744" t="s">
        <v>3430</v>
      </c>
      <c r="G1472" s="746" t="s">
        <v>1129</v>
      </c>
      <c r="H1472" s="745" t="s">
        <v>3820</v>
      </c>
      <c r="I1472" s="745" t="s">
        <v>3632</v>
      </c>
      <c r="J1472" s="796">
        <v>3.41</v>
      </c>
      <c r="K1472" s="795"/>
    </row>
    <row r="1473" spans="1:11" ht="21.95" customHeight="1">
      <c r="A1473" s="744" t="s">
        <v>4611</v>
      </c>
      <c r="B1473" s="744"/>
      <c r="C1473" s="745" t="s">
        <v>3633</v>
      </c>
      <c r="D1473" s="744" t="s">
        <v>1127</v>
      </c>
      <c r="E1473" s="744" t="s">
        <v>1146</v>
      </c>
      <c r="F1473" s="744" t="s">
        <v>3430</v>
      </c>
      <c r="G1473" s="746" t="s">
        <v>1129</v>
      </c>
      <c r="H1473" s="745" t="s">
        <v>3820</v>
      </c>
      <c r="I1473" s="745" t="s">
        <v>3635</v>
      </c>
      <c r="J1473" s="796">
        <v>2.77</v>
      </c>
      <c r="K1473" s="795"/>
    </row>
    <row r="1474" spans="1:11" ht="21.95" customHeight="1" thickBot="1">
      <c r="A1474" s="748" t="s">
        <v>4616</v>
      </c>
      <c r="B1474" s="748"/>
      <c r="C1474" s="749" t="s">
        <v>4399</v>
      </c>
      <c r="D1474" s="748" t="s">
        <v>3604</v>
      </c>
      <c r="E1474" s="748" t="s">
        <v>1403</v>
      </c>
      <c r="F1474" s="748" t="s">
        <v>1187</v>
      </c>
      <c r="G1474" s="750" t="s">
        <v>57</v>
      </c>
      <c r="H1474" s="749" t="s">
        <v>3610</v>
      </c>
      <c r="I1474" s="749" t="s">
        <v>5100</v>
      </c>
      <c r="J1474" s="794">
        <v>11</v>
      </c>
      <c r="K1474" s="795"/>
    </row>
    <row r="1475" spans="1:11" ht="0.95" customHeight="1" thickTop="1">
      <c r="A1475" s="747"/>
      <c r="B1475" s="747"/>
      <c r="C1475" s="747"/>
      <c r="D1475" s="747"/>
      <c r="E1475" s="747"/>
      <c r="F1475" s="747"/>
      <c r="G1475" s="747"/>
      <c r="H1475" s="747"/>
      <c r="I1475" s="747"/>
      <c r="J1475" s="747"/>
      <c r="K1475" s="747"/>
    </row>
    <row r="1476" spans="1:11" ht="18" customHeight="1">
      <c r="A1476" s="738"/>
      <c r="B1476" s="738" t="s">
        <v>60</v>
      </c>
      <c r="C1476" s="739" t="s">
        <v>3312</v>
      </c>
      <c r="D1476" s="738" t="s">
        <v>3602</v>
      </c>
      <c r="E1476" s="738" t="s">
        <v>3313</v>
      </c>
      <c r="F1476" s="738" t="s">
        <v>3390</v>
      </c>
      <c r="G1476" s="740" t="s">
        <v>70</v>
      </c>
      <c r="H1476" s="739" t="s">
        <v>64</v>
      </c>
      <c r="I1476" s="739" t="s">
        <v>3617</v>
      </c>
      <c r="J1476" s="797" t="s">
        <v>474</v>
      </c>
      <c r="K1476" s="795"/>
    </row>
    <row r="1477" spans="1:11" ht="33" customHeight="1">
      <c r="A1477" s="741" t="s">
        <v>4608</v>
      </c>
      <c r="B1477" s="741" t="s">
        <v>5101</v>
      </c>
      <c r="C1477" s="742" t="s">
        <v>3534</v>
      </c>
      <c r="D1477" s="741" t="s">
        <v>3604</v>
      </c>
      <c r="E1477" s="741" t="s">
        <v>902</v>
      </c>
      <c r="F1477" s="741" t="s">
        <v>3430</v>
      </c>
      <c r="G1477" s="743" t="s">
        <v>57</v>
      </c>
      <c r="H1477" s="742">
        <v>1</v>
      </c>
      <c r="I1477" s="742" t="s">
        <v>4400</v>
      </c>
      <c r="J1477" s="798" t="s">
        <v>4400</v>
      </c>
      <c r="K1477" s="795"/>
    </row>
    <row r="1478" spans="1:11" ht="21.95" customHeight="1">
      <c r="A1478" s="744" t="s">
        <v>4611</v>
      </c>
      <c r="B1478" s="744"/>
      <c r="C1478" s="745" t="s">
        <v>4192</v>
      </c>
      <c r="D1478" s="744" t="s">
        <v>1127</v>
      </c>
      <c r="E1478" s="744" t="s">
        <v>1275</v>
      </c>
      <c r="F1478" s="744" t="s">
        <v>3430</v>
      </c>
      <c r="G1478" s="746" t="s">
        <v>1129</v>
      </c>
      <c r="H1478" s="745" t="s">
        <v>3713</v>
      </c>
      <c r="I1478" s="745" t="s">
        <v>4193</v>
      </c>
      <c r="J1478" s="796">
        <v>4.09</v>
      </c>
      <c r="K1478" s="795"/>
    </row>
    <row r="1479" spans="1:11" ht="21.95" customHeight="1">
      <c r="A1479" s="744" t="s">
        <v>4611</v>
      </c>
      <c r="B1479" s="744"/>
      <c r="C1479" s="745" t="s">
        <v>3631</v>
      </c>
      <c r="D1479" s="744" t="s">
        <v>1127</v>
      </c>
      <c r="E1479" s="744" t="s">
        <v>1145</v>
      </c>
      <c r="F1479" s="744" t="s">
        <v>3430</v>
      </c>
      <c r="G1479" s="746" t="s">
        <v>1129</v>
      </c>
      <c r="H1479" s="745" t="s">
        <v>3713</v>
      </c>
      <c r="I1479" s="745" t="s">
        <v>3632</v>
      </c>
      <c r="J1479" s="796">
        <v>5.12</v>
      </c>
      <c r="K1479" s="795"/>
    </row>
    <row r="1480" spans="1:11" ht="33" customHeight="1">
      <c r="A1480" s="748" t="s">
        <v>4616</v>
      </c>
      <c r="B1480" s="748"/>
      <c r="C1480" s="749" t="s">
        <v>4401</v>
      </c>
      <c r="D1480" s="748" t="s">
        <v>1127</v>
      </c>
      <c r="E1480" s="748" t="s">
        <v>1407</v>
      </c>
      <c r="F1480" s="748" t="s">
        <v>1187</v>
      </c>
      <c r="G1480" s="750" t="s">
        <v>57</v>
      </c>
      <c r="H1480" s="749" t="s">
        <v>3714</v>
      </c>
      <c r="I1480" s="749" t="s">
        <v>4097</v>
      </c>
      <c r="J1480" s="794">
        <v>0.44</v>
      </c>
      <c r="K1480" s="795"/>
    </row>
    <row r="1481" spans="1:11" ht="33" customHeight="1" thickBot="1">
      <c r="A1481" s="748" t="s">
        <v>4616</v>
      </c>
      <c r="B1481" s="748"/>
      <c r="C1481" s="749" t="s">
        <v>4402</v>
      </c>
      <c r="D1481" s="748" t="s">
        <v>3604</v>
      </c>
      <c r="E1481" s="748" t="s">
        <v>1408</v>
      </c>
      <c r="F1481" s="748" t="s">
        <v>1187</v>
      </c>
      <c r="G1481" s="750" t="s">
        <v>57</v>
      </c>
      <c r="H1481" s="749" t="s">
        <v>3610</v>
      </c>
      <c r="I1481" s="749" t="s">
        <v>4403</v>
      </c>
      <c r="J1481" s="794">
        <v>14.87</v>
      </c>
      <c r="K1481" s="795"/>
    </row>
    <row r="1482" spans="1:11" ht="0.95" customHeight="1" thickTop="1">
      <c r="A1482" s="747"/>
      <c r="B1482" s="747"/>
      <c r="C1482" s="747"/>
      <c r="D1482" s="747"/>
      <c r="E1482" s="747"/>
      <c r="F1482" s="747"/>
      <c r="G1482" s="747"/>
      <c r="H1482" s="747"/>
      <c r="I1482" s="747"/>
      <c r="J1482" s="747"/>
      <c r="K1482" s="747"/>
    </row>
    <row r="1483" spans="1:11" ht="18" customHeight="1">
      <c r="A1483" s="738"/>
      <c r="B1483" s="738" t="s">
        <v>60</v>
      </c>
      <c r="C1483" s="739" t="s">
        <v>3312</v>
      </c>
      <c r="D1483" s="738" t="s">
        <v>3602</v>
      </c>
      <c r="E1483" s="738" t="s">
        <v>3313</v>
      </c>
      <c r="F1483" s="738" t="s">
        <v>3390</v>
      </c>
      <c r="G1483" s="740" t="s">
        <v>70</v>
      </c>
      <c r="H1483" s="739" t="s">
        <v>64</v>
      </c>
      <c r="I1483" s="739" t="s">
        <v>3617</v>
      </c>
      <c r="J1483" s="797" t="s">
        <v>474</v>
      </c>
      <c r="K1483" s="795"/>
    </row>
    <row r="1484" spans="1:11" ht="44.1" customHeight="1">
      <c r="A1484" s="741" t="s">
        <v>4608</v>
      </c>
      <c r="B1484" s="741" t="s">
        <v>5102</v>
      </c>
      <c r="C1484" s="742" t="s">
        <v>3535</v>
      </c>
      <c r="D1484" s="741" t="s">
        <v>3604</v>
      </c>
      <c r="E1484" s="741" t="s">
        <v>904</v>
      </c>
      <c r="F1484" s="741" t="s">
        <v>3430</v>
      </c>
      <c r="G1484" s="743" t="s">
        <v>57</v>
      </c>
      <c r="H1484" s="742">
        <v>1</v>
      </c>
      <c r="I1484" s="742" t="s">
        <v>4404</v>
      </c>
      <c r="J1484" s="798" t="s">
        <v>4404</v>
      </c>
      <c r="K1484" s="795"/>
    </row>
    <row r="1485" spans="1:11" ht="21.95" customHeight="1">
      <c r="A1485" s="744" t="s">
        <v>4611</v>
      </c>
      <c r="B1485" s="744"/>
      <c r="C1485" s="745" t="s">
        <v>3631</v>
      </c>
      <c r="D1485" s="744" t="s">
        <v>1127</v>
      </c>
      <c r="E1485" s="744" t="s">
        <v>1145</v>
      </c>
      <c r="F1485" s="744" t="s">
        <v>3430</v>
      </c>
      <c r="G1485" s="746" t="s">
        <v>1129</v>
      </c>
      <c r="H1485" s="745" t="s">
        <v>3820</v>
      </c>
      <c r="I1485" s="745" t="s">
        <v>3632</v>
      </c>
      <c r="J1485" s="796">
        <v>3.41</v>
      </c>
      <c r="K1485" s="795"/>
    </row>
    <row r="1486" spans="1:11" ht="21.95" customHeight="1">
      <c r="A1486" s="744" t="s">
        <v>4611</v>
      </c>
      <c r="B1486" s="744"/>
      <c r="C1486" s="745" t="s">
        <v>3633</v>
      </c>
      <c r="D1486" s="744" t="s">
        <v>1127</v>
      </c>
      <c r="E1486" s="744" t="s">
        <v>1146</v>
      </c>
      <c r="F1486" s="744" t="s">
        <v>3430</v>
      </c>
      <c r="G1486" s="746" t="s">
        <v>1129</v>
      </c>
      <c r="H1486" s="745" t="s">
        <v>3820</v>
      </c>
      <c r="I1486" s="745" t="s">
        <v>3635</v>
      </c>
      <c r="J1486" s="796">
        <v>2.77</v>
      </c>
      <c r="K1486" s="795"/>
    </row>
    <row r="1487" spans="1:11" ht="44.1" customHeight="1" thickBot="1">
      <c r="A1487" s="748" t="s">
        <v>4616</v>
      </c>
      <c r="B1487" s="748"/>
      <c r="C1487" s="749" t="s">
        <v>4405</v>
      </c>
      <c r="D1487" s="748" t="s">
        <v>1127</v>
      </c>
      <c r="E1487" s="748" t="s">
        <v>904</v>
      </c>
      <c r="F1487" s="748" t="s">
        <v>1187</v>
      </c>
      <c r="G1487" s="750" t="s">
        <v>57</v>
      </c>
      <c r="H1487" s="749" t="s">
        <v>3610</v>
      </c>
      <c r="I1487" s="749" t="s">
        <v>4406</v>
      </c>
      <c r="J1487" s="794">
        <v>26.47</v>
      </c>
      <c r="K1487" s="795"/>
    </row>
    <row r="1488" spans="1:11" ht="0.95" customHeight="1" thickTop="1">
      <c r="A1488" s="747"/>
      <c r="B1488" s="747"/>
      <c r="C1488" s="747"/>
      <c r="D1488" s="747"/>
      <c r="E1488" s="747"/>
      <c r="F1488" s="747"/>
      <c r="G1488" s="747"/>
      <c r="H1488" s="747"/>
      <c r="I1488" s="747"/>
      <c r="J1488" s="747"/>
      <c r="K1488" s="747"/>
    </row>
    <row r="1489" spans="1:11" ht="18" customHeight="1">
      <c r="A1489" s="738"/>
      <c r="B1489" s="738" t="s">
        <v>60</v>
      </c>
      <c r="C1489" s="739" t="s">
        <v>3312</v>
      </c>
      <c r="D1489" s="738" t="s">
        <v>3602</v>
      </c>
      <c r="E1489" s="738" t="s">
        <v>3313</v>
      </c>
      <c r="F1489" s="738" t="s">
        <v>3390</v>
      </c>
      <c r="G1489" s="740" t="s">
        <v>70</v>
      </c>
      <c r="H1489" s="739" t="s">
        <v>64</v>
      </c>
      <c r="I1489" s="739" t="s">
        <v>3617</v>
      </c>
      <c r="J1489" s="797" t="s">
        <v>474</v>
      </c>
      <c r="K1489" s="795"/>
    </row>
    <row r="1490" spans="1:11" ht="21.95" customHeight="1">
      <c r="A1490" s="741" t="s">
        <v>4608</v>
      </c>
      <c r="B1490" s="741" t="s">
        <v>5103</v>
      </c>
      <c r="C1490" s="742" t="s">
        <v>3536</v>
      </c>
      <c r="D1490" s="741" t="s">
        <v>3604</v>
      </c>
      <c r="E1490" s="741" t="s">
        <v>906</v>
      </c>
      <c r="F1490" s="741" t="s">
        <v>3516</v>
      </c>
      <c r="G1490" s="743" t="s">
        <v>57</v>
      </c>
      <c r="H1490" s="742">
        <v>1</v>
      </c>
      <c r="I1490" s="742" t="s">
        <v>4407</v>
      </c>
      <c r="J1490" s="798" t="s">
        <v>4407</v>
      </c>
      <c r="K1490" s="795"/>
    </row>
    <row r="1491" spans="1:11" ht="21.95" customHeight="1">
      <c r="A1491" s="744" t="s">
        <v>4611</v>
      </c>
      <c r="B1491" s="744"/>
      <c r="C1491" s="745" t="s">
        <v>4004</v>
      </c>
      <c r="D1491" s="744" t="s">
        <v>1127</v>
      </c>
      <c r="E1491" s="744" t="s">
        <v>1265</v>
      </c>
      <c r="F1491" s="744" t="s">
        <v>3430</v>
      </c>
      <c r="G1491" s="746" t="s">
        <v>1129</v>
      </c>
      <c r="H1491" s="745" t="s">
        <v>3781</v>
      </c>
      <c r="I1491" s="745" t="s">
        <v>4005</v>
      </c>
      <c r="J1491" s="796">
        <v>8.84</v>
      </c>
      <c r="K1491" s="795"/>
    </row>
    <row r="1492" spans="1:11" ht="21.95" customHeight="1">
      <c r="A1492" s="744" t="s">
        <v>4611</v>
      </c>
      <c r="B1492" s="744"/>
      <c r="C1492" s="745" t="s">
        <v>3633</v>
      </c>
      <c r="D1492" s="744" t="s">
        <v>1127</v>
      </c>
      <c r="E1492" s="744" t="s">
        <v>1146</v>
      </c>
      <c r="F1492" s="744" t="s">
        <v>3430</v>
      </c>
      <c r="G1492" s="746" t="s">
        <v>1129</v>
      </c>
      <c r="H1492" s="745" t="s">
        <v>3781</v>
      </c>
      <c r="I1492" s="745" t="s">
        <v>3635</v>
      </c>
      <c r="J1492" s="796">
        <v>6.94</v>
      </c>
      <c r="K1492" s="795"/>
    </row>
    <row r="1493" spans="1:11" ht="21.95" customHeight="1" thickBot="1">
      <c r="A1493" s="748" t="s">
        <v>4616</v>
      </c>
      <c r="B1493" s="748"/>
      <c r="C1493" s="749" t="s">
        <v>4408</v>
      </c>
      <c r="D1493" s="748" t="s">
        <v>3604</v>
      </c>
      <c r="E1493" s="748" t="s">
        <v>1416</v>
      </c>
      <c r="F1493" s="748" t="s">
        <v>1187</v>
      </c>
      <c r="G1493" s="750" t="s">
        <v>57</v>
      </c>
      <c r="H1493" s="749" t="s">
        <v>3610</v>
      </c>
      <c r="I1493" s="749" t="s">
        <v>4409</v>
      </c>
      <c r="J1493" s="794">
        <v>63.63</v>
      </c>
      <c r="K1493" s="795"/>
    </row>
    <row r="1494" spans="1:11" ht="0.95" customHeight="1" thickTop="1">
      <c r="A1494" s="747"/>
      <c r="B1494" s="747"/>
      <c r="C1494" s="747"/>
      <c r="D1494" s="747"/>
      <c r="E1494" s="747"/>
      <c r="F1494" s="747"/>
      <c r="G1494" s="747"/>
      <c r="H1494" s="747"/>
      <c r="I1494" s="747"/>
      <c r="J1494" s="747"/>
      <c r="K1494" s="747"/>
    </row>
    <row r="1495" spans="1:11" ht="18" customHeight="1">
      <c r="A1495" s="738"/>
      <c r="B1495" s="738" t="s">
        <v>60</v>
      </c>
      <c r="C1495" s="739" t="s">
        <v>3312</v>
      </c>
      <c r="D1495" s="738" t="s">
        <v>3602</v>
      </c>
      <c r="E1495" s="738" t="s">
        <v>3313</v>
      </c>
      <c r="F1495" s="738" t="s">
        <v>3390</v>
      </c>
      <c r="G1495" s="740" t="s">
        <v>70</v>
      </c>
      <c r="H1495" s="739" t="s">
        <v>64</v>
      </c>
      <c r="I1495" s="739" t="s">
        <v>3617</v>
      </c>
      <c r="J1495" s="797" t="s">
        <v>474</v>
      </c>
      <c r="K1495" s="795"/>
    </row>
    <row r="1496" spans="1:11" ht="21.95" customHeight="1">
      <c r="A1496" s="741" t="s">
        <v>4608</v>
      </c>
      <c r="B1496" s="741" t="s">
        <v>5104</v>
      </c>
      <c r="C1496" s="742" t="s">
        <v>3537</v>
      </c>
      <c r="D1496" s="741" t="s">
        <v>3604</v>
      </c>
      <c r="E1496" s="741" t="s">
        <v>908</v>
      </c>
      <c r="F1496" s="741" t="s">
        <v>3516</v>
      </c>
      <c r="G1496" s="743" t="s">
        <v>57</v>
      </c>
      <c r="H1496" s="742">
        <v>1</v>
      </c>
      <c r="I1496" s="742" t="s">
        <v>5105</v>
      </c>
      <c r="J1496" s="798" t="s">
        <v>5105</v>
      </c>
      <c r="K1496" s="795"/>
    </row>
    <row r="1497" spans="1:11" ht="21.95" customHeight="1">
      <c r="A1497" s="744" t="s">
        <v>4611</v>
      </c>
      <c r="B1497" s="744"/>
      <c r="C1497" s="745" t="s">
        <v>4004</v>
      </c>
      <c r="D1497" s="744" t="s">
        <v>1127</v>
      </c>
      <c r="E1497" s="744" t="s">
        <v>1265</v>
      </c>
      <c r="F1497" s="744" t="s">
        <v>3430</v>
      </c>
      <c r="G1497" s="746" t="s">
        <v>1129</v>
      </c>
      <c r="H1497" s="745" t="s">
        <v>3863</v>
      </c>
      <c r="I1497" s="745" t="s">
        <v>4005</v>
      </c>
      <c r="J1497" s="796">
        <v>12.37</v>
      </c>
      <c r="K1497" s="795"/>
    </row>
    <row r="1498" spans="1:11" ht="21.95" customHeight="1">
      <c r="A1498" s="744" t="s">
        <v>4611</v>
      </c>
      <c r="B1498" s="744"/>
      <c r="C1498" s="745" t="s">
        <v>3633</v>
      </c>
      <c r="D1498" s="744" t="s">
        <v>1127</v>
      </c>
      <c r="E1498" s="744" t="s">
        <v>1146</v>
      </c>
      <c r="F1498" s="744" t="s">
        <v>3430</v>
      </c>
      <c r="G1498" s="746" t="s">
        <v>1129</v>
      </c>
      <c r="H1498" s="745" t="s">
        <v>3863</v>
      </c>
      <c r="I1498" s="745" t="s">
        <v>3635</v>
      </c>
      <c r="J1498" s="796">
        <v>9.7100000000000009</v>
      </c>
      <c r="K1498" s="795"/>
    </row>
    <row r="1499" spans="1:11" ht="21.95" customHeight="1" thickBot="1">
      <c r="A1499" s="748" t="s">
        <v>4616</v>
      </c>
      <c r="B1499" s="748"/>
      <c r="C1499" s="749" t="s">
        <v>4410</v>
      </c>
      <c r="D1499" s="748" t="s">
        <v>3604</v>
      </c>
      <c r="E1499" s="748" t="s">
        <v>1418</v>
      </c>
      <c r="F1499" s="748" t="s">
        <v>1187</v>
      </c>
      <c r="G1499" s="750" t="s">
        <v>57</v>
      </c>
      <c r="H1499" s="749" t="s">
        <v>3610</v>
      </c>
      <c r="I1499" s="749" t="s">
        <v>4005</v>
      </c>
      <c r="J1499" s="794">
        <v>17.68</v>
      </c>
      <c r="K1499" s="795"/>
    </row>
    <row r="1500" spans="1:11" ht="0.95" customHeight="1" thickTop="1">
      <c r="A1500" s="747"/>
      <c r="B1500" s="747"/>
      <c r="C1500" s="747"/>
      <c r="D1500" s="747"/>
      <c r="E1500" s="747"/>
      <c r="F1500" s="747"/>
      <c r="G1500" s="747"/>
      <c r="H1500" s="747"/>
      <c r="I1500" s="747"/>
      <c r="J1500" s="747"/>
      <c r="K1500" s="747"/>
    </row>
    <row r="1501" spans="1:11" ht="18" customHeight="1">
      <c r="A1501" s="738"/>
      <c r="B1501" s="738" t="s">
        <v>60</v>
      </c>
      <c r="C1501" s="739" t="s">
        <v>3312</v>
      </c>
      <c r="D1501" s="738" t="s">
        <v>3602</v>
      </c>
      <c r="E1501" s="738" t="s">
        <v>3313</v>
      </c>
      <c r="F1501" s="738" t="s">
        <v>3390</v>
      </c>
      <c r="G1501" s="740" t="s">
        <v>70</v>
      </c>
      <c r="H1501" s="739" t="s">
        <v>64</v>
      </c>
      <c r="I1501" s="739" t="s">
        <v>3617</v>
      </c>
      <c r="J1501" s="797" t="s">
        <v>474</v>
      </c>
      <c r="K1501" s="795"/>
    </row>
    <row r="1502" spans="1:11" ht="21.95" customHeight="1">
      <c r="A1502" s="741" t="s">
        <v>4608</v>
      </c>
      <c r="B1502" s="741" t="s">
        <v>5106</v>
      </c>
      <c r="C1502" s="742" t="s">
        <v>3538</v>
      </c>
      <c r="D1502" s="741" t="s">
        <v>3604</v>
      </c>
      <c r="E1502" s="741" t="s">
        <v>910</v>
      </c>
      <c r="F1502" s="741" t="s">
        <v>3516</v>
      </c>
      <c r="G1502" s="743" t="s">
        <v>57</v>
      </c>
      <c r="H1502" s="742">
        <v>1</v>
      </c>
      <c r="I1502" s="742" t="s">
        <v>4411</v>
      </c>
      <c r="J1502" s="798" t="s">
        <v>4411</v>
      </c>
      <c r="K1502" s="795"/>
    </row>
    <row r="1503" spans="1:11" ht="21.95" customHeight="1">
      <c r="A1503" s="744" t="s">
        <v>4611</v>
      </c>
      <c r="B1503" s="744"/>
      <c r="C1503" s="745" t="s">
        <v>4004</v>
      </c>
      <c r="D1503" s="744" t="s">
        <v>1127</v>
      </c>
      <c r="E1503" s="744" t="s">
        <v>1265</v>
      </c>
      <c r="F1503" s="744" t="s">
        <v>3430</v>
      </c>
      <c r="G1503" s="746" t="s">
        <v>1129</v>
      </c>
      <c r="H1503" s="745" t="s">
        <v>3610</v>
      </c>
      <c r="I1503" s="745" t="s">
        <v>4005</v>
      </c>
      <c r="J1503" s="796">
        <v>17.68</v>
      </c>
      <c r="K1503" s="795"/>
    </row>
    <row r="1504" spans="1:11" ht="21.95" customHeight="1" thickBot="1">
      <c r="A1504" s="748" t="s">
        <v>4616</v>
      </c>
      <c r="B1504" s="748"/>
      <c r="C1504" s="749" t="s">
        <v>4412</v>
      </c>
      <c r="D1504" s="748" t="s">
        <v>3604</v>
      </c>
      <c r="E1504" s="748" t="s">
        <v>1421</v>
      </c>
      <c r="F1504" s="748" t="s">
        <v>1187</v>
      </c>
      <c r="G1504" s="750" t="s">
        <v>57</v>
      </c>
      <c r="H1504" s="749" t="s">
        <v>3610</v>
      </c>
      <c r="I1504" s="749" t="s">
        <v>4413</v>
      </c>
      <c r="J1504" s="794">
        <v>578.96</v>
      </c>
      <c r="K1504" s="795"/>
    </row>
    <row r="1505" spans="1:11" ht="0.95" customHeight="1" thickTop="1">
      <c r="A1505" s="747"/>
      <c r="B1505" s="747"/>
      <c r="C1505" s="747"/>
      <c r="D1505" s="747"/>
      <c r="E1505" s="747"/>
      <c r="F1505" s="747"/>
      <c r="G1505" s="747"/>
      <c r="H1505" s="747"/>
      <c r="I1505" s="747"/>
      <c r="J1505" s="747"/>
      <c r="K1505" s="747"/>
    </row>
    <row r="1506" spans="1:11" ht="18" customHeight="1">
      <c r="A1506" s="738"/>
      <c r="B1506" s="738" t="s">
        <v>60</v>
      </c>
      <c r="C1506" s="739" t="s">
        <v>3312</v>
      </c>
      <c r="D1506" s="738" t="s">
        <v>3602</v>
      </c>
      <c r="E1506" s="738" t="s">
        <v>3313</v>
      </c>
      <c r="F1506" s="738" t="s">
        <v>3390</v>
      </c>
      <c r="G1506" s="740" t="s">
        <v>70</v>
      </c>
      <c r="H1506" s="739" t="s">
        <v>64</v>
      </c>
      <c r="I1506" s="739" t="s">
        <v>3617</v>
      </c>
      <c r="J1506" s="797" t="s">
        <v>474</v>
      </c>
      <c r="K1506" s="795"/>
    </row>
    <row r="1507" spans="1:11" ht="21.95" customHeight="1">
      <c r="A1507" s="741" t="s">
        <v>4608</v>
      </c>
      <c r="B1507" s="741" t="s">
        <v>5107</v>
      </c>
      <c r="C1507" s="742" t="s">
        <v>3539</v>
      </c>
      <c r="D1507" s="741" t="s">
        <v>3604</v>
      </c>
      <c r="E1507" s="741" t="s">
        <v>912</v>
      </c>
      <c r="F1507" s="741" t="s">
        <v>3516</v>
      </c>
      <c r="G1507" s="743" t="s">
        <v>57</v>
      </c>
      <c r="H1507" s="742">
        <v>1</v>
      </c>
      <c r="I1507" s="742" t="s">
        <v>4414</v>
      </c>
      <c r="J1507" s="798" t="s">
        <v>4414</v>
      </c>
      <c r="K1507" s="795"/>
    </row>
    <row r="1508" spans="1:11" ht="21.95" customHeight="1">
      <c r="A1508" s="744" t="s">
        <v>4611</v>
      </c>
      <c r="B1508" s="744"/>
      <c r="C1508" s="745" t="s">
        <v>4004</v>
      </c>
      <c r="D1508" s="744" t="s">
        <v>1127</v>
      </c>
      <c r="E1508" s="744" t="s">
        <v>1265</v>
      </c>
      <c r="F1508" s="744" t="s">
        <v>3430</v>
      </c>
      <c r="G1508" s="746" t="s">
        <v>1129</v>
      </c>
      <c r="H1508" s="745" t="s">
        <v>4340</v>
      </c>
      <c r="I1508" s="745" t="s">
        <v>4005</v>
      </c>
      <c r="J1508" s="796">
        <v>106.08</v>
      </c>
      <c r="K1508" s="795"/>
    </row>
    <row r="1509" spans="1:11" ht="21.95" customHeight="1" thickBot="1">
      <c r="A1509" s="748" t="s">
        <v>4616</v>
      </c>
      <c r="B1509" s="748"/>
      <c r="C1509" s="749" t="s">
        <v>4415</v>
      </c>
      <c r="D1509" s="748" t="s">
        <v>3604</v>
      </c>
      <c r="E1509" s="748" t="s">
        <v>1423</v>
      </c>
      <c r="F1509" s="748" t="s">
        <v>1187</v>
      </c>
      <c r="G1509" s="750" t="s">
        <v>57</v>
      </c>
      <c r="H1509" s="749" t="s">
        <v>3610</v>
      </c>
      <c r="I1509" s="749" t="s">
        <v>4416</v>
      </c>
      <c r="J1509" s="794">
        <v>121.71</v>
      </c>
      <c r="K1509" s="795"/>
    </row>
    <row r="1510" spans="1:11" ht="0.95" customHeight="1" thickTop="1">
      <c r="A1510" s="747"/>
      <c r="B1510" s="747"/>
      <c r="C1510" s="747"/>
      <c r="D1510" s="747"/>
      <c r="E1510" s="747"/>
      <c r="F1510" s="747"/>
      <c r="G1510" s="747"/>
      <c r="H1510" s="747"/>
      <c r="I1510" s="747"/>
      <c r="J1510" s="747"/>
      <c r="K1510" s="747"/>
    </row>
    <row r="1511" spans="1:11" ht="18" customHeight="1">
      <c r="A1511" s="738"/>
      <c r="B1511" s="738" t="s">
        <v>60</v>
      </c>
      <c r="C1511" s="739" t="s">
        <v>3312</v>
      </c>
      <c r="D1511" s="738" t="s">
        <v>3602</v>
      </c>
      <c r="E1511" s="738" t="s">
        <v>3313</v>
      </c>
      <c r="F1511" s="738" t="s">
        <v>3390</v>
      </c>
      <c r="G1511" s="740" t="s">
        <v>70</v>
      </c>
      <c r="H1511" s="739" t="s">
        <v>64</v>
      </c>
      <c r="I1511" s="739" t="s">
        <v>3617</v>
      </c>
      <c r="J1511" s="797" t="s">
        <v>474</v>
      </c>
      <c r="K1511" s="795"/>
    </row>
    <row r="1512" spans="1:11" ht="44.1" customHeight="1">
      <c r="A1512" s="741" t="s">
        <v>4608</v>
      </c>
      <c r="B1512" s="741" t="s">
        <v>5108</v>
      </c>
      <c r="C1512" s="742" t="s">
        <v>3540</v>
      </c>
      <c r="D1512" s="741" t="s">
        <v>3604</v>
      </c>
      <c r="E1512" s="741" t="s">
        <v>916</v>
      </c>
      <c r="F1512" s="741" t="s">
        <v>3516</v>
      </c>
      <c r="G1512" s="743" t="s">
        <v>57</v>
      </c>
      <c r="H1512" s="742">
        <v>1</v>
      </c>
      <c r="I1512" s="742" t="s">
        <v>4343</v>
      </c>
      <c r="J1512" s="798" t="s">
        <v>4343</v>
      </c>
      <c r="K1512" s="795"/>
    </row>
    <row r="1513" spans="1:11" ht="21.95" customHeight="1">
      <c r="A1513" s="744" t="s">
        <v>4611</v>
      </c>
      <c r="B1513" s="744"/>
      <c r="C1513" s="745" t="s">
        <v>3631</v>
      </c>
      <c r="D1513" s="744" t="s">
        <v>1127</v>
      </c>
      <c r="E1513" s="744" t="s">
        <v>1145</v>
      </c>
      <c r="F1513" s="744" t="s">
        <v>3430</v>
      </c>
      <c r="G1513" s="746" t="s">
        <v>1129</v>
      </c>
      <c r="H1513" s="745" t="s">
        <v>3820</v>
      </c>
      <c r="I1513" s="745" t="s">
        <v>3632</v>
      </c>
      <c r="J1513" s="796">
        <v>3.41</v>
      </c>
      <c r="K1513" s="795"/>
    </row>
    <row r="1514" spans="1:11" ht="21.95" customHeight="1">
      <c r="A1514" s="744" t="s">
        <v>4611</v>
      </c>
      <c r="B1514" s="744"/>
      <c r="C1514" s="745" t="s">
        <v>3633</v>
      </c>
      <c r="D1514" s="744" t="s">
        <v>1127</v>
      </c>
      <c r="E1514" s="744" t="s">
        <v>1146</v>
      </c>
      <c r="F1514" s="744" t="s">
        <v>3430</v>
      </c>
      <c r="G1514" s="746" t="s">
        <v>1129</v>
      </c>
      <c r="H1514" s="745" t="s">
        <v>3820</v>
      </c>
      <c r="I1514" s="745" t="s">
        <v>3635</v>
      </c>
      <c r="J1514" s="796">
        <v>2.77</v>
      </c>
      <c r="K1514" s="795"/>
    </row>
    <row r="1515" spans="1:11" ht="44.1" customHeight="1" thickBot="1">
      <c r="A1515" s="748" t="s">
        <v>4616</v>
      </c>
      <c r="B1515" s="748"/>
      <c r="C1515" s="749" t="s">
        <v>4438</v>
      </c>
      <c r="D1515" s="748" t="s">
        <v>1127</v>
      </c>
      <c r="E1515" s="748" t="s">
        <v>916</v>
      </c>
      <c r="F1515" s="748" t="s">
        <v>1187</v>
      </c>
      <c r="G1515" s="750" t="s">
        <v>57</v>
      </c>
      <c r="H1515" s="749" t="s">
        <v>3610</v>
      </c>
      <c r="I1515" s="749" t="s">
        <v>4439</v>
      </c>
      <c r="J1515" s="794">
        <v>14.2</v>
      </c>
      <c r="K1515" s="795"/>
    </row>
    <row r="1516" spans="1:11" ht="0.95" customHeight="1" thickTop="1">
      <c r="A1516" s="747"/>
      <c r="B1516" s="747"/>
      <c r="C1516" s="747"/>
      <c r="D1516" s="747"/>
      <c r="E1516" s="747"/>
      <c r="F1516" s="747"/>
      <c r="G1516" s="747"/>
      <c r="H1516" s="747"/>
      <c r="I1516" s="747"/>
      <c r="J1516" s="747"/>
      <c r="K1516" s="747"/>
    </row>
    <row r="1517" spans="1:11" ht="18" customHeight="1">
      <c r="A1517" s="738"/>
      <c r="B1517" s="738" t="s">
        <v>60</v>
      </c>
      <c r="C1517" s="739" t="s">
        <v>3312</v>
      </c>
      <c r="D1517" s="738" t="s">
        <v>3602</v>
      </c>
      <c r="E1517" s="738" t="s">
        <v>3313</v>
      </c>
      <c r="F1517" s="738" t="s">
        <v>3390</v>
      </c>
      <c r="G1517" s="740" t="s">
        <v>70</v>
      </c>
      <c r="H1517" s="739" t="s">
        <v>64</v>
      </c>
      <c r="I1517" s="739" t="s">
        <v>3617</v>
      </c>
      <c r="J1517" s="797" t="s">
        <v>474</v>
      </c>
      <c r="K1517" s="795"/>
    </row>
    <row r="1518" spans="1:11" ht="21.95" customHeight="1">
      <c r="A1518" s="741" t="s">
        <v>4608</v>
      </c>
      <c r="B1518" s="741" t="s">
        <v>5109</v>
      </c>
      <c r="C1518" s="742" t="s">
        <v>4422</v>
      </c>
      <c r="D1518" s="741" t="s">
        <v>3604</v>
      </c>
      <c r="E1518" s="741" t="s">
        <v>5110</v>
      </c>
      <c r="F1518" s="741" t="s">
        <v>3442</v>
      </c>
      <c r="G1518" s="743" t="s">
        <v>101</v>
      </c>
      <c r="H1518" s="742">
        <v>1</v>
      </c>
      <c r="I1518" s="742" t="s">
        <v>4423</v>
      </c>
      <c r="J1518" s="798" t="s">
        <v>4423</v>
      </c>
      <c r="K1518" s="795"/>
    </row>
    <row r="1519" spans="1:11" ht="21.95" customHeight="1">
      <c r="A1519" s="744" t="s">
        <v>4611</v>
      </c>
      <c r="B1519" s="744"/>
      <c r="C1519" s="745" t="s">
        <v>4004</v>
      </c>
      <c r="D1519" s="744" t="s">
        <v>1127</v>
      </c>
      <c r="E1519" s="744" t="s">
        <v>1265</v>
      </c>
      <c r="F1519" s="744" t="s">
        <v>3430</v>
      </c>
      <c r="G1519" s="746" t="s">
        <v>1129</v>
      </c>
      <c r="H1519" s="745" t="s">
        <v>3818</v>
      </c>
      <c r="I1519" s="745" t="s">
        <v>4005</v>
      </c>
      <c r="J1519" s="796">
        <v>7.07</v>
      </c>
      <c r="K1519" s="795"/>
    </row>
    <row r="1520" spans="1:11" ht="21.95" customHeight="1">
      <c r="A1520" s="744" t="s">
        <v>4611</v>
      </c>
      <c r="B1520" s="744"/>
      <c r="C1520" s="745" t="s">
        <v>4288</v>
      </c>
      <c r="D1520" s="744" t="s">
        <v>1127</v>
      </c>
      <c r="E1520" s="744" t="s">
        <v>1357</v>
      </c>
      <c r="F1520" s="744" t="s">
        <v>3430</v>
      </c>
      <c r="G1520" s="746" t="s">
        <v>1129</v>
      </c>
      <c r="H1520" s="745" t="s">
        <v>3818</v>
      </c>
      <c r="I1520" s="745" t="s">
        <v>4289</v>
      </c>
      <c r="J1520" s="796">
        <v>5.76</v>
      </c>
      <c r="K1520" s="795"/>
    </row>
    <row r="1521" spans="1:11" ht="21.95" customHeight="1" thickBot="1">
      <c r="A1521" s="748" t="s">
        <v>4616</v>
      </c>
      <c r="B1521" s="748"/>
      <c r="C1521" s="749" t="s">
        <v>4424</v>
      </c>
      <c r="D1521" s="748" t="s">
        <v>3604</v>
      </c>
      <c r="E1521" s="748" t="s">
        <v>3335</v>
      </c>
      <c r="F1521" s="748" t="s">
        <v>1187</v>
      </c>
      <c r="G1521" s="750" t="s">
        <v>57</v>
      </c>
      <c r="H1521" s="749" t="s">
        <v>3701</v>
      </c>
      <c r="I1521" s="749" t="s">
        <v>4425</v>
      </c>
      <c r="J1521" s="794">
        <v>6.07</v>
      </c>
      <c r="K1521" s="795"/>
    </row>
    <row r="1522" spans="1:11" ht="0.95" customHeight="1" thickTop="1">
      <c r="A1522" s="747"/>
      <c r="B1522" s="747"/>
      <c r="C1522" s="747"/>
      <c r="D1522" s="747"/>
      <c r="E1522" s="747"/>
      <c r="F1522" s="747"/>
      <c r="G1522" s="747"/>
      <c r="H1522" s="747"/>
      <c r="I1522" s="747"/>
      <c r="J1522" s="747"/>
      <c r="K1522" s="747"/>
    </row>
    <row r="1523" spans="1:11" ht="18" customHeight="1">
      <c r="A1523" s="738"/>
      <c r="B1523" s="738" t="s">
        <v>60</v>
      </c>
      <c r="C1523" s="739" t="s">
        <v>3312</v>
      </c>
      <c r="D1523" s="738" t="s">
        <v>3602</v>
      </c>
      <c r="E1523" s="738" t="s">
        <v>3313</v>
      </c>
      <c r="F1523" s="738" t="s">
        <v>3390</v>
      </c>
      <c r="G1523" s="740" t="s">
        <v>70</v>
      </c>
      <c r="H1523" s="739" t="s">
        <v>64</v>
      </c>
      <c r="I1523" s="739" t="s">
        <v>3617</v>
      </c>
      <c r="J1523" s="797" t="s">
        <v>474</v>
      </c>
      <c r="K1523" s="795"/>
    </row>
    <row r="1524" spans="1:11" ht="21.95" customHeight="1">
      <c r="A1524" s="741" t="s">
        <v>4608</v>
      </c>
      <c r="B1524" s="741" t="s">
        <v>5111</v>
      </c>
      <c r="C1524" s="742" t="s">
        <v>4417</v>
      </c>
      <c r="D1524" s="741" t="s">
        <v>3604</v>
      </c>
      <c r="E1524" s="741" t="s">
        <v>3179</v>
      </c>
      <c r="F1524" s="741" t="s">
        <v>3442</v>
      </c>
      <c r="G1524" s="743" t="s">
        <v>101</v>
      </c>
      <c r="H1524" s="742">
        <v>1</v>
      </c>
      <c r="I1524" s="742" t="s">
        <v>4418</v>
      </c>
      <c r="J1524" s="798" t="s">
        <v>4418</v>
      </c>
      <c r="K1524" s="795"/>
    </row>
    <row r="1525" spans="1:11" ht="21.95" customHeight="1">
      <c r="A1525" s="744" t="s">
        <v>4611</v>
      </c>
      <c r="B1525" s="744"/>
      <c r="C1525" s="745" t="s">
        <v>4004</v>
      </c>
      <c r="D1525" s="744" t="s">
        <v>1127</v>
      </c>
      <c r="E1525" s="744" t="s">
        <v>1265</v>
      </c>
      <c r="F1525" s="744" t="s">
        <v>3430</v>
      </c>
      <c r="G1525" s="746" t="s">
        <v>1129</v>
      </c>
      <c r="H1525" s="745" t="s">
        <v>3713</v>
      </c>
      <c r="I1525" s="745" t="s">
        <v>4005</v>
      </c>
      <c r="J1525" s="796">
        <v>5.3</v>
      </c>
      <c r="K1525" s="795"/>
    </row>
    <row r="1526" spans="1:11" ht="21.95" customHeight="1">
      <c r="A1526" s="744" t="s">
        <v>4611</v>
      </c>
      <c r="B1526" s="744"/>
      <c r="C1526" s="745" t="s">
        <v>4288</v>
      </c>
      <c r="D1526" s="744" t="s">
        <v>1127</v>
      </c>
      <c r="E1526" s="744" t="s">
        <v>1357</v>
      </c>
      <c r="F1526" s="744" t="s">
        <v>3430</v>
      </c>
      <c r="G1526" s="746" t="s">
        <v>1129</v>
      </c>
      <c r="H1526" s="745" t="s">
        <v>3713</v>
      </c>
      <c r="I1526" s="745" t="s">
        <v>4289</v>
      </c>
      <c r="J1526" s="796">
        <v>4.32</v>
      </c>
      <c r="K1526" s="795"/>
    </row>
    <row r="1527" spans="1:11" ht="21.95" customHeight="1" thickBot="1">
      <c r="A1527" s="748" t="s">
        <v>4616</v>
      </c>
      <c r="B1527" s="748"/>
      <c r="C1527" s="749" t="s">
        <v>4419</v>
      </c>
      <c r="D1527" s="748" t="s">
        <v>3604</v>
      </c>
      <c r="E1527" s="748" t="s">
        <v>4420</v>
      </c>
      <c r="F1527" s="748" t="s">
        <v>1187</v>
      </c>
      <c r="G1527" s="750" t="s">
        <v>57</v>
      </c>
      <c r="H1527" s="749" t="s">
        <v>3701</v>
      </c>
      <c r="I1527" s="749" t="s">
        <v>4421</v>
      </c>
      <c r="J1527" s="794">
        <v>4.75</v>
      </c>
      <c r="K1527" s="795"/>
    </row>
    <row r="1528" spans="1:11" ht="0.95" customHeight="1" thickTop="1">
      <c r="A1528" s="747"/>
      <c r="B1528" s="747"/>
      <c r="C1528" s="747"/>
      <c r="D1528" s="747"/>
      <c r="E1528" s="747"/>
      <c r="F1528" s="747"/>
      <c r="G1528" s="747"/>
      <c r="H1528" s="747"/>
      <c r="I1528" s="747"/>
      <c r="J1528" s="747"/>
      <c r="K1528" s="747"/>
    </row>
    <row r="1529" spans="1:11" ht="18" customHeight="1">
      <c r="A1529" s="738"/>
      <c r="B1529" s="738" t="s">
        <v>60</v>
      </c>
      <c r="C1529" s="739" t="s">
        <v>3312</v>
      </c>
      <c r="D1529" s="738" t="s">
        <v>3602</v>
      </c>
      <c r="E1529" s="738" t="s">
        <v>3313</v>
      </c>
      <c r="F1529" s="738" t="s">
        <v>3390</v>
      </c>
      <c r="G1529" s="740" t="s">
        <v>70</v>
      </c>
      <c r="H1529" s="739" t="s">
        <v>64</v>
      </c>
      <c r="I1529" s="739" t="s">
        <v>3617</v>
      </c>
      <c r="J1529" s="797" t="s">
        <v>474</v>
      </c>
      <c r="K1529" s="795"/>
    </row>
    <row r="1530" spans="1:11" ht="21.95" customHeight="1">
      <c r="A1530" s="741" t="s">
        <v>4608</v>
      </c>
      <c r="B1530" s="741" t="s">
        <v>5112</v>
      </c>
      <c r="C1530" s="742" t="s">
        <v>4426</v>
      </c>
      <c r="D1530" s="741" t="s">
        <v>3604</v>
      </c>
      <c r="E1530" s="741" t="s">
        <v>3181</v>
      </c>
      <c r="F1530" s="741" t="s">
        <v>3442</v>
      </c>
      <c r="G1530" s="743" t="s">
        <v>57</v>
      </c>
      <c r="H1530" s="742">
        <v>1</v>
      </c>
      <c r="I1530" s="742" t="s">
        <v>4427</v>
      </c>
      <c r="J1530" s="798" t="s">
        <v>4427</v>
      </c>
      <c r="K1530" s="795"/>
    </row>
    <row r="1531" spans="1:11" ht="21.95" customHeight="1">
      <c r="A1531" s="744" t="s">
        <v>4611</v>
      </c>
      <c r="B1531" s="744"/>
      <c r="C1531" s="745" t="s">
        <v>4004</v>
      </c>
      <c r="D1531" s="744" t="s">
        <v>1127</v>
      </c>
      <c r="E1531" s="744" t="s">
        <v>1265</v>
      </c>
      <c r="F1531" s="744" t="s">
        <v>3430</v>
      </c>
      <c r="G1531" s="746" t="s">
        <v>1129</v>
      </c>
      <c r="H1531" s="745" t="s">
        <v>4358</v>
      </c>
      <c r="I1531" s="745" t="s">
        <v>4005</v>
      </c>
      <c r="J1531" s="796">
        <v>1.76</v>
      </c>
      <c r="K1531" s="795"/>
    </row>
    <row r="1532" spans="1:11" ht="21.95" customHeight="1">
      <c r="A1532" s="744" t="s">
        <v>4611</v>
      </c>
      <c r="B1532" s="744"/>
      <c r="C1532" s="745" t="s">
        <v>4288</v>
      </c>
      <c r="D1532" s="744" t="s">
        <v>1127</v>
      </c>
      <c r="E1532" s="744" t="s">
        <v>1357</v>
      </c>
      <c r="F1532" s="744" t="s">
        <v>3430</v>
      </c>
      <c r="G1532" s="746" t="s">
        <v>1129</v>
      </c>
      <c r="H1532" s="745" t="s">
        <v>4141</v>
      </c>
      <c r="I1532" s="745" t="s">
        <v>4289</v>
      </c>
      <c r="J1532" s="796">
        <v>0.72</v>
      </c>
      <c r="K1532" s="795"/>
    </row>
    <row r="1533" spans="1:11" ht="21.95" customHeight="1" thickBot="1">
      <c r="A1533" s="748" t="s">
        <v>4616</v>
      </c>
      <c r="B1533" s="748"/>
      <c r="C1533" s="749" t="s">
        <v>4428</v>
      </c>
      <c r="D1533" s="748" t="s">
        <v>3604</v>
      </c>
      <c r="E1533" s="748" t="s">
        <v>3181</v>
      </c>
      <c r="F1533" s="748" t="s">
        <v>1187</v>
      </c>
      <c r="G1533" s="750" t="s">
        <v>57</v>
      </c>
      <c r="H1533" s="749" t="s">
        <v>3610</v>
      </c>
      <c r="I1533" s="749" t="s">
        <v>4095</v>
      </c>
      <c r="J1533" s="794">
        <v>1.52</v>
      </c>
      <c r="K1533" s="795"/>
    </row>
    <row r="1534" spans="1:11" ht="0.95" customHeight="1" thickTop="1">
      <c r="A1534" s="747"/>
      <c r="B1534" s="747"/>
      <c r="C1534" s="747"/>
      <c r="D1534" s="747"/>
      <c r="E1534" s="747"/>
      <c r="F1534" s="747"/>
      <c r="G1534" s="747"/>
      <c r="H1534" s="747"/>
      <c r="I1534" s="747"/>
      <c r="J1534" s="747"/>
      <c r="K1534" s="747"/>
    </row>
    <row r="1535" spans="1:11" ht="18" customHeight="1">
      <c r="A1535" s="738"/>
      <c r="B1535" s="738" t="s">
        <v>60</v>
      </c>
      <c r="C1535" s="739" t="s">
        <v>3312</v>
      </c>
      <c r="D1535" s="738" t="s">
        <v>3602</v>
      </c>
      <c r="E1535" s="738" t="s">
        <v>3313</v>
      </c>
      <c r="F1535" s="738" t="s">
        <v>3390</v>
      </c>
      <c r="G1535" s="740" t="s">
        <v>70</v>
      </c>
      <c r="H1535" s="739" t="s">
        <v>64</v>
      </c>
      <c r="I1535" s="739" t="s">
        <v>3617</v>
      </c>
      <c r="J1535" s="797" t="s">
        <v>474</v>
      </c>
      <c r="K1535" s="795"/>
    </row>
    <row r="1536" spans="1:11" ht="21.95" customHeight="1">
      <c r="A1536" s="741" t="s">
        <v>4608</v>
      </c>
      <c r="B1536" s="741" t="s">
        <v>5113</v>
      </c>
      <c r="C1536" s="742" t="s">
        <v>4429</v>
      </c>
      <c r="D1536" s="741" t="s">
        <v>3604</v>
      </c>
      <c r="E1536" s="741" t="s">
        <v>3183</v>
      </c>
      <c r="F1536" s="741" t="s">
        <v>3442</v>
      </c>
      <c r="G1536" s="743" t="s">
        <v>57</v>
      </c>
      <c r="H1536" s="742">
        <v>1</v>
      </c>
      <c r="I1536" s="742" t="s">
        <v>4430</v>
      </c>
      <c r="J1536" s="798" t="s">
        <v>4430</v>
      </c>
      <c r="K1536" s="795"/>
    </row>
    <row r="1537" spans="1:11" ht="21.95" customHeight="1">
      <c r="A1537" s="744" t="s">
        <v>4611</v>
      </c>
      <c r="B1537" s="744"/>
      <c r="C1537" s="745" t="s">
        <v>4004</v>
      </c>
      <c r="D1537" s="744" t="s">
        <v>1127</v>
      </c>
      <c r="E1537" s="744" t="s">
        <v>1265</v>
      </c>
      <c r="F1537" s="744" t="s">
        <v>3430</v>
      </c>
      <c r="G1537" s="746" t="s">
        <v>1129</v>
      </c>
      <c r="H1537" s="745" t="s">
        <v>4358</v>
      </c>
      <c r="I1537" s="745" t="s">
        <v>4005</v>
      </c>
      <c r="J1537" s="796">
        <v>1.76</v>
      </c>
      <c r="K1537" s="795"/>
    </row>
    <row r="1538" spans="1:11" ht="21.95" customHeight="1">
      <c r="A1538" s="744" t="s">
        <v>4611</v>
      </c>
      <c r="B1538" s="744"/>
      <c r="C1538" s="745" t="s">
        <v>4288</v>
      </c>
      <c r="D1538" s="744" t="s">
        <v>1127</v>
      </c>
      <c r="E1538" s="744" t="s">
        <v>1357</v>
      </c>
      <c r="F1538" s="744" t="s">
        <v>3430</v>
      </c>
      <c r="G1538" s="746" t="s">
        <v>1129</v>
      </c>
      <c r="H1538" s="745" t="s">
        <v>4141</v>
      </c>
      <c r="I1538" s="745" t="s">
        <v>4289</v>
      </c>
      <c r="J1538" s="796">
        <v>0.72</v>
      </c>
      <c r="K1538" s="795"/>
    </row>
    <row r="1539" spans="1:11" ht="21.95" customHeight="1" thickBot="1">
      <c r="A1539" s="748" t="s">
        <v>4616</v>
      </c>
      <c r="B1539" s="748"/>
      <c r="C1539" s="749" t="s">
        <v>4431</v>
      </c>
      <c r="D1539" s="748" t="s">
        <v>3604</v>
      </c>
      <c r="E1539" s="748" t="s">
        <v>3183</v>
      </c>
      <c r="F1539" s="748" t="s">
        <v>1187</v>
      </c>
      <c r="G1539" s="750" t="s">
        <v>57</v>
      </c>
      <c r="H1539" s="749" t="s">
        <v>3610</v>
      </c>
      <c r="I1539" s="749" t="s">
        <v>4345</v>
      </c>
      <c r="J1539" s="794">
        <v>1.65</v>
      </c>
      <c r="K1539" s="795"/>
    </row>
    <row r="1540" spans="1:11" ht="0.95" customHeight="1" thickTop="1">
      <c r="A1540" s="747"/>
      <c r="B1540" s="747"/>
      <c r="C1540" s="747"/>
      <c r="D1540" s="747"/>
      <c r="E1540" s="747"/>
      <c r="F1540" s="747"/>
      <c r="G1540" s="747"/>
      <c r="H1540" s="747"/>
      <c r="I1540" s="747"/>
      <c r="J1540" s="747"/>
      <c r="K1540" s="747"/>
    </row>
    <row r="1541" spans="1:11" ht="18" customHeight="1">
      <c r="A1541" s="738"/>
      <c r="B1541" s="738" t="s">
        <v>60</v>
      </c>
      <c r="C1541" s="739" t="s">
        <v>3312</v>
      </c>
      <c r="D1541" s="738" t="s">
        <v>3602</v>
      </c>
      <c r="E1541" s="738" t="s">
        <v>3313</v>
      </c>
      <c r="F1541" s="738" t="s">
        <v>3390</v>
      </c>
      <c r="G1541" s="740" t="s">
        <v>70</v>
      </c>
      <c r="H1541" s="739" t="s">
        <v>64</v>
      </c>
      <c r="I1541" s="739" t="s">
        <v>3617</v>
      </c>
      <c r="J1541" s="797" t="s">
        <v>474</v>
      </c>
      <c r="K1541" s="795"/>
    </row>
    <row r="1542" spans="1:11" ht="21.95" customHeight="1">
      <c r="A1542" s="741" t="s">
        <v>4608</v>
      </c>
      <c r="B1542" s="741" t="s">
        <v>5114</v>
      </c>
      <c r="C1542" s="742" t="s">
        <v>4432</v>
      </c>
      <c r="D1542" s="741" t="s">
        <v>3604</v>
      </c>
      <c r="E1542" s="741" t="s">
        <v>5115</v>
      </c>
      <c r="F1542" s="741" t="s">
        <v>3442</v>
      </c>
      <c r="G1542" s="743" t="s">
        <v>57</v>
      </c>
      <c r="H1542" s="742">
        <v>1</v>
      </c>
      <c r="I1542" s="742" t="s">
        <v>4433</v>
      </c>
      <c r="J1542" s="798" t="s">
        <v>4433</v>
      </c>
      <c r="K1542" s="795"/>
    </row>
    <row r="1543" spans="1:11" ht="21.95" customHeight="1">
      <c r="A1543" s="744" t="s">
        <v>4611</v>
      </c>
      <c r="B1543" s="744"/>
      <c r="C1543" s="745" t="s">
        <v>4004</v>
      </c>
      <c r="D1543" s="744" t="s">
        <v>1127</v>
      </c>
      <c r="E1543" s="744" t="s">
        <v>1265</v>
      </c>
      <c r="F1543" s="744" t="s">
        <v>3430</v>
      </c>
      <c r="G1543" s="746" t="s">
        <v>1129</v>
      </c>
      <c r="H1543" s="745" t="s">
        <v>3818</v>
      </c>
      <c r="I1543" s="745" t="s">
        <v>4005</v>
      </c>
      <c r="J1543" s="796">
        <v>7.07</v>
      </c>
      <c r="K1543" s="795"/>
    </row>
    <row r="1544" spans="1:11" ht="21.95" customHeight="1">
      <c r="A1544" s="744" t="s">
        <v>4611</v>
      </c>
      <c r="B1544" s="744"/>
      <c r="C1544" s="745" t="s">
        <v>4288</v>
      </c>
      <c r="D1544" s="744" t="s">
        <v>1127</v>
      </c>
      <c r="E1544" s="744" t="s">
        <v>1357</v>
      </c>
      <c r="F1544" s="744" t="s">
        <v>3430</v>
      </c>
      <c r="G1544" s="746" t="s">
        <v>1129</v>
      </c>
      <c r="H1544" s="745" t="s">
        <v>3820</v>
      </c>
      <c r="I1544" s="745" t="s">
        <v>4289</v>
      </c>
      <c r="J1544" s="796">
        <v>2.88</v>
      </c>
      <c r="K1544" s="795"/>
    </row>
    <row r="1545" spans="1:11" ht="21.95" customHeight="1" thickBot="1">
      <c r="A1545" s="748" t="s">
        <v>4616</v>
      </c>
      <c r="B1545" s="748"/>
      <c r="C1545" s="749" t="s">
        <v>4434</v>
      </c>
      <c r="D1545" s="748" t="s">
        <v>3604</v>
      </c>
      <c r="E1545" s="748" t="s">
        <v>3185</v>
      </c>
      <c r="F1545" s="748" t="s">
        <v>1187</v>
      </c>
      <c r="G1545" s="750" t="s">
        <v>4230</v>
      </c>
      <c r="H1545" s="749" t="s">
        <v>3610</v>
      </c>
      <c r="I1545" s="749" t="s">
        <v>4230</v>
      </c>
      <c r="J1545" s="794">
        <v>4.47</v>
      </c>
      <c r="K1545" s="795"/>
    </row>
    <row r="1546" spans="1:11" ht="0.95" customHeight="1" thickTop="1">
      <c r="A1546" s="747"/>
      <c r="B1546" s="747"/>
      <c r="C1546" s="747"/>
      <c r="D1546" s="747"/>
      <c r="E1546" s="747"/>
      <c r="F1546" s="747"/>
      <c r="G1546" s="747"/>
      <c r="H1546" s="747"/>
      <c r="I1546" s="747"/>
      <c r="J1546" s="747"/>
      <c r="K1546" s="747"/>
    </row>
    <row r="1547" spans="1:11" ht="18" customHeight="1">
      <c r="A1547" s="738"/>
      <c r="B1547" s="738" t="s">
        <v>60</v>
      </c>
      <c r="C1547" s="739" t="s">
        <v>3312</v>
      </c>
      <c r="D1547" s="738" t="s">
        <v>3602</v>
      </c>
      <c r="E1547" s="738" t="s">
        <v>3313</v>
      </c>
      <c r="F1547" s="738" t="s">
        <v>3390</v>
      </c>
      <c r="G1547" s="740" t="s">
        <v>70</v>
      </c>
      <c r="H1547" s="739" t="s">
        <v>64</v>
      </c>
      <c r="I1547" s="739" t="s">
        <v>3617</v>
      </c>
      <c r="J1547" s="797" t="s">
        <v>474</v>
      </c>
      <c r="K1547" s="795"/>
    </row>
    <row r="1548" spans="1:11" ht="21.95" customHeight="1">
      <c r="A1548" s="741" t="s">
        <v>4608</v>
      </c>
      <c r="B1548" s="741" t="s">
        <v>5116</v>
      </c>
      <c r="C1548" s="742" t="s">
        <v>3557</v>
      </c>
      <c r="D1548" s="741" t="s">
        <v>3604</v>
      </c>
      <c r="E1548" s="741" t="s">
        <v>914</v>
      </c>
      <c r="F1548" s="741" t="s">
        <v>3442</v>
      </c>
      <c r="G1548" s="743" t="s">
        <v>57</v>
      </c>
      <c r="H1548" s="742">
        <v>1</v>
      </c>
      <c r="I1548" s="742" t="s">
        <v>4287</v>
      </c>
      <c r="J1548" s="798" t="s">
        <v>4287</v>
      </c>
      <c r="K1548" s="795"/>
    </row>
    <row r="1549" spans="1:11" ht="21.95" customHeight="1">
      <c r="A1549" s="744" t="s">
        <v>4611</v>
      </c>
      <c r="B1549" s="744"/>
      <c r="C1549" s="745" t="s">
        <v>4288</v>
      </c>
      <c r="D1549" s="744" t="s">
        <v>1127</v>
      </c>
      <c r="E1549" s="744" t="s">
        <v>1357</v>
      </c>
      <c r="F1549" s="744" t="s">
        <v>3430</v>
      </c>
      <c r="G1549" s="746" t="s">
        <v>1129</v>
      </c>
      <c r="H1549" s="745" t="s">
        <v>3822</v>
      </c>
      <c r="I1549" s="745" t="s">
        <v>4289</v>
      </c>
      <c r="J1549" s="796">
        <v>3.6</v>
      </c>
      <c r="K1549" s="795"/>
    </row>
    <row r="1550" spans="1:11" ht="21.95" customHeight="1" thickBot="1">
      <c r="A1550" s="748" t="s">
        <v>4616</v>
      </c>
      <c r="B1550" s="748"/>
      <c r="C1550" s="749" t="s">
        <v>4290</v>
      </c>
      <c r="D1550" s="748" t="s">
        <v>1127</v>
      </c>
      <c r="E1550" s="748" t="s">
        <v>914</v>
      </c>
      <c r="F1550" s="748" t="s">
        <v>1187</v>
      </c>
      <c r="G1550" s="750" t="s">
        <v>57</v>
      </c>
      <c r="H1550" s="749" t="s">
        <v>3610</v>
      </c>
      <c r="I1550" s="749" t="s">
        <v>4291</v>
      </c>
      <c r="J1550" s="794">
        <v>0.94</v>
      </c>
      <c r="K1550" s="795"/>
    </row>
    <row r="1551" spans="1:11" ht="0.95" customHeight="1" thickTop="1">
      <c r="A1551" s="747"/>
      <c r="B1551" s="747"/>
      <c r="C1551" s="747"/>
      <c r="D1551" s="747"/>
      <c r="E1551" s="747"/>
      <c r="F1551" s="747"/>
      <c r="G1551" s="747"/>
      <c r="H1551" s="747"/>
      <c r="I1551" s="747"/>
      <c r="J1551" s="747"/>
      <c r="K1551" s="747"/>
    </row>
    <row r="1552" spans="1:11" ht="18" customHeight="1">
      <c r="A1552" s="738"/>
      <c r="B1552" s="738" t="s">
        <v>60</v>
      </c>
      <c r="C1552" s="739" t="s">
        <v>3312</v>
      </c>
      <c r="D1552" s="738" t="s">
        <v>3602</v>
      </c>
      <c r="E1552" s="738" t="s">
        <v>3313</v>
      </c>
      <c r="F1552" s="738" t="s">
        <v>3390</v>
      </c>
      <c r="G1552" s="740" t="s">
        <v>70</v>
      </c>
      <c r="H1552" s="739" t="s">
        <v>64</v>
      </c>
      <c r="I1552" s="739" t="s">
        <v>3617</v>
      </c>
      <c r="J1552" s="797" t="s">
        <v>474</v>
      </c>
      <c r="K1552" s="795"/>
    </row>
    <row r="1553" spans="1:11" ht="21.95" customHeight="1">
      <c r="A1553" s="741" t="s">
        <v>4608</v>
      </c>
      <c r="B1553" s="741" t="s">
        <v>5117</v>
      </c>
      <c r="C1553" s="742" t="s">
        <v>3441</v>
      </c>
      <c r="D1553" s="741" t="s">
        <v>3604</v>
      </c>
      <c r="E1553" s="741" t="s">
        <v>898</v>
      </c>
      <c r="F1553" s="741" t="s">
        <v>3442</v>
      </c>
      <c r="G1553" s="743" t="s">
        <v>57</v>
      </c>
      <c r="H1553" s="742">
        <v>1</v>
      </c>
      <c r="I1553" s="742" t="s">
        <v>4364</v>
      </c>
      <c r="J1553" s="798" t="s">
        <v>4364</v>
      </c>
      <c r="K1553" s="795"/>
    </row>
    <row r="1554" spans="1:11" ht="21.95" customHeight="1">
      <c r="A1554" s="744" t="s">
        <v>4611</v>
      </c>
      <c r="B1554" s="744"/>
      <c r="C1554" s="745" t="s">
        <v>4288</v>
      </c>
      <c r="D1554" s="744" t="s">
        <v>1127</v>
      </c>
      <c r="E1554" s="744" t="s">
        <v>1357</v>
      </c>
      <c r="F1554" s="744" t="s">
        <v>3430</v>
      </c>
      <c r="G1554" s="746" t="s">
        <v>1129</v>
      </c>
      <c r="H1554" s="745" t="s">
        <v>3822</v>
      </c>
      <c r="I1554" s="745" t="s">
        <v>4289</v>
      </c>
      <c r="J1554" s="796">
        <v>3.6</v>
      </c>
      <c r="K1554" s="795"/>
    </row>
    <row r="1555" spans="1:11" ht="21.95" customHeight="1" thickBot="1">
      <c r="A1555" s="748" t="s">
        <v>4616</v>
      </c>
      <c r="B1555" s="748"/>
      <c r="C1555" s="749" t="s">
        <v>4365</v>
      </c>
      <c r="D1555" s="748" t="s">
        <v>1127</v>
      </c>
      <c r="E1555" s="748" t="s">
        <v>1426</v>
      </c>
      <c r="F1555" s="748" t="s">
        <v>1187</v>
      </c>
      <c r="G1555" s="750" t="s">
        <v>57</v>
      </c>
      <c r="H1555" s="749" t="s">
        <v>3610</v>
      </c>
      <c r="I1555" s="749" t="s">
        <v>3962</v>
      </c>
      <c r="J1555" s="794">
        <v>1.01</v>
      </c>
      <c r="K1555" s="795"/>
    </row>
    <row r="1556" spans="1:11" ht="0.95" customHeight="1" thickTop="1">
      <c r="A1556" s="747"/>
      <c r="B1556" s="747"/>
      <c r="C1556" s="747"/>
      <c r="D1556" s="747"/>
      <c r="E1556" s="747"/>
      <c r="F1556" s="747"/>
      <c r="G1556" s="747"/>
      <c r="H1556" s="747"/>
      <c r="I1556" s="747"/>
      <c r="J1556" s="747"/>
      <c r="K1556" s="747"/>
    </row>
    <row r="1557" spans="1:11" ht="18" customHeight="1">
      <c r="A1557" s="738"/>
      <c r="B1557" s="738" t="s">
        <v>60</v>
      </c>
      <c r="C1557" s="739" t="s">
        <v>3312</v>
      </c>
      <c r="D1557" s="738" t="s">
        <v>3602</v>
      </c>
      <c r="E1557" s="738" t="s">
        <v>3313</v>
      </c>
      <c r="F1557" s="738" t="s">
        <v>3390</v>
      </c>
      <c r="G1557" s="740" t="s">
        <v>70</v>
      </c>
      <c r="H1557" s="739" t="s">
        <v>64</v>
      </c>
      <c r="I1557" s="739" t="s">
        <v>3617</v>
      </c>
      <c r="J1557" s="797" t="s">
        <v>474</v>
      </c>
      <c r="K1557" s="795"/>
    </row>
    <row r="1558" spans="1:11" ht="21.95" customHeight="1">
      <c r="A1558" s="741" t="s">
        <v>4608</v>
      </c>
      <c r="B1558" s="741" t="s">
        <v>5118</v>
      </c>
      <c r="C1558" s="742" t="s">
        <v>3444</v>
      </c>
      <c r="D1558" s="741" t="s">
        <v>3604</v>
      </c>
      <c r="E1558" s="741" t="s">
        <v>1521</v>
      </c>
      <c r="F1558" s="741" t="s">
        <v>3442</v>
      </c>
      <c r="G1558" s="743" t="s">
        <v>57</v>
      </c>
      <c r="H1558" s="742">
        <v>1</v>
      </c>
      <c r="I1558" s="742" t="s">
        <v>4435</v>
      </c>
      <c r="J1558" s="798" t="s">
        <v>4435</v>
      </c>
      <c r="K1558" s="795"/>
    </row>
    <row r="1559" spans="1:11" ht="21.95" customHeight="1">
      <c r="A1559" s="744" t="s">
        <v>4611</v>
      </c>
      <c r="B1559" s="744"/>
      <c r="C1559" s="745" t="s">
        <v>4004</v>
      </c>
      <c r="D1559" s="744" t="s">
        <v>1127</v>
      </c>
      <c r="E1559" s="744" t="s">
        <v>1265</v>
      </c>
      <c r="F1559" s="744" t="s">
        <v>3430</v>
      </c>
      <c r="G1559" s="746" t="s">
        <v>1129</v>
      </c>
      <c r="H1559" s="745" t="s">
        <v>3713</v>
      </c>
      <c r="I1559" s="745" t="s">
        <v>4005</v>
      </c>
      <c r="J1559" s="796">
        <v>5.3</v>
      </c>
      <c r="K1559" s="795"/>
    </row>
    <row r="1560" spans="1:11" ht="21.95" customHeight="1">
      <c r="A1560" s="744" t="s">
        <v>4611</v>
      </c>
      <c r="B1560" s="744"/>
      <c r="C1560" s="745" t="s">
        <v>4288</v>
      </c>
      <c r="D1560" s="744" t="s">
        <v>1127</v>
      </c>
      <c r="E1560" s="744" t="s">
        <v>1357</v>
      </c>
      <c r="F1560" s="744" t="s">
        <v>3430</v>
      </c>
      <c r="G1560" s="746" t="s">
        <v>1129</v>
      </c>
      <c r="H1560" s="745" t="s">
        <v>3713</v>
      </c>
      <c r="I1560" s="745" t="s">
        <v>4289</v>
      </c>
      <c r="J1560" s="796">
        <v>4.32</v>
      </c>
      <c r="K1560" s="795"/>
    </row>
    <row r="1561" spans="1:11" ht="21.95" customHeight="1" thickBot="1">
      <c r="A1561" s="748" t="s">
        <v>4616</v>
      </c>
      <c r="B1561" s="748"/>
      <c r="C1561" s="749" t="s">
        <v>4436</v>
      </c>
      <c r="D1561" s="748" t="s">
        <v>1127</v>
      </c>
      <c r="E1561" s="748" t="s">
        <v>1457</v>
      </c>
      <c r="F1561" s="748" t="s">
        <v>1187</v>
      </c>
      <c r="G1561" s="750" t="s">
        <v>57</v>
      </c>
      <c r="H1561" s="749" t="s">
        <v>3610</v>
      </c>
      <c r="I1561" s="749" t="s">
        <v>4437</v>
      </c>
      <c r="J1561" s="794">
        <v>16.13</v>
      </c>
      <c r="K1561" s="795"/>
    </row>
    <row r="1562" spans="1:11" ht="0.95" customHeight="1" thickTop="1">
      <c r="A1562" s="747"/>
      <c r="B1562" s="747"/>
      <c r="C1562" s="747"/>
      <c r="D1562" s="747"/>
      <c r="E1562" s="747"/>
      <c r="F1562" s="747"/>
      <c r="G1562" s="747"/>
      <c r="H1562" s="747"/>
      <c r="I1562" s="747"/>
      <c r="J1562" s="747"/>
      <c r="K1562" s="747"/>
    </row>
    <row r="1563" spans="1:11" ht="18" customHeight="1">
      <c r="A1563" s="738"/>
      <c r="B1563" s="738" t="s">
        <v>60</v>
      </c>
      <c r="C1563" s="739" t="s">
        <v>3312</v>
      </c>
      <c r="D1563" s="738" t="s">
        <v>3602</v>
      </c>
      <c r="E1563" s="738" t="s">
        <v>3313</v>
      </c>
      <c r="F1563" s="738" t="s">
        <v>3390</v>
      </c>
      <c r="G1563" s="740" t="s">
        <v>70</v>
      </c>
      <c r="H1563" s="739" t="s">
        <v>64</v>
      </c>
      <c r="I1563" s="739" t="s">
        <v>3617</v>
      </c>
      <c r="J1563" s="797" t="s">
        <v>474</v>
      </c>
      <c r="K1563" s="795"/>
    </row>
    <row r="1564" spans="1:11" ht="21.95" customHeight="1">
      <c r="A1564" s="741" t="s">
        <v>4608</v>
      </c>
      <c r="B1564" s="741" t="s">
        <v>5119</v>
      </c>
      <c r="C1564" s="742" t="s">
        <v>3558</v>
      </c>
      <c r="D1564" s="741" t="s">
        <v>3604</v>
      </c>
      <c r="E1564" s="741" t="s">
        <v>928</v>
      </c>
      <c r="F1564" s="741" t="s">
        <v>3442</v>
      </c>
      <c r="G1564" s="743" t="s">
        <v>57</v>
      </c>
      <c r="H1564" s="742">
        <v>1</v>
      </c>
      <c r="I1564" s="742" t="s">
        <v>3885</v>
      </c>
      <c r="J1564" s="798" t="s">
        <v>3885</v>
      </c>
      <c r="K1564" s="795"/>
    </row>
    <row r="1565" spans="1:11" ht="21.95" customHeight="1">
      <c r="A1565" s="744" t="s">
        <v>4611</v>
      </c>
      <c r="B1565" s="744"/>
      <c r="C1565" s="745" t="s">
        <v>4004</v>
      </c>
      <c r="D1565" s="744" t="s">
        <v>1127</v>
      </c>
      <c r="E1565" s="744" t="s">
        <v>1265</v>
      </c>
      <c r="F1565" s="744" t="s">
        <v>3430</v>
      </c>
      <c r="G1565" s="746" t="s">
        <v>1129</v>
      </c>
      <c r="H1565" s="745" t="s">
        <v>3748</v>
      </c>
      <c r="I1565" s="745" t="s">
        <v>4005</v>
      </c>
      <c r="J1565" s="796">
        <v>1.06</v>
      </c>
      <c r="K1565" s="795"/>
    </row>
    <row r="1566" spans="1:11" ht="21.95" customHeight="1">
      <c r="A1566" s="744" t="s">
        <v>4611</v>
      </c>
      <c r="B1566" s="744"/>
      <c r="C1566" s="745" t="s">
        <v>4288</v>
      </c>
      <c r="D1566" s="744" t="s">
        <v>1127</v>
      </c>
      <c r="E1566" s="744" t="s">
        <v>1357</v>
      </c>
      <c r="F1566" s="744" t="s">
        <v>3430</v>
      </c>
      <c r="G1566" s="746" t="s">
        <v>1129</v>
      </c>
      <c r="H1566" s="745" t="s">
        <v>3748</v>
      </c>
      <c r="I1566" s="745" t="s">
        <v>4289</v>
      </c>
      <c r="J1566" s="796">
        <v>0.86</v>
      </c>
      <c r="K1566" s="795"/>
    </row>
    <row r="1567" spans="1:11" ht="21.95" customHeight="1" thickBot="1">
      <c r="A1567" s="748" t="s">
        <v>4616</v>
      </c>
      <c r="B1567" s="748"/>
      <c r="C1567" s="749" t="s">
        <v>4440</v>
      </c>
      <c r="D1567" s="748" t="s">
        <v>1127</v>
      </c>
      <c r="E1567" s="748" t="s">
        <v>928</v>
      </c>
      <c r="F1567" s="748" t="s">
        <v>1187</v>
      </c>
      <c r="G1567" s="750" t="s">
        <v>57</v>
      </c>
      <c r="H1567" s="749" t="s">
        <v>3610</v>
      </c>
      <c r="I1567" s="749" t="s">
        <v>4441</v>
      </c>
      <c r="J1567" s="794">
        <v>1.61</v>
      </c>
      <c r="K1567" s="795"/>
    </row>
    <row r="1568" spans="1:11" ht="0.95" customHeight="1" thickTop="1">
      <c r="A1568" s="747"/>
      <c r="B1568" s="747"/>
      <c r="C1568" s="747"/>
      <c r="D1568" s="747"/>
      <c r="E1568" s="747"/>
      <c r="F1568" s="747"/>
      <c r="G1568" s="747"/>
      <c r="H1568" s="747"/>
      <c r="I1568" s="747"/>
      <c r="J1568" s="747"/>
      <c r="K1568" s="747"/>
    </row>
    <row r="1569" spans="1:11" ht="18" customHeight="1">
      <c r="A1569" s="738"/>
      <c r="B1569" s="738" t="s">
        <v>60</v>
      </c>
      <c r="C1569" s="739" t="s">
        <v>3312</v>
      </c>
      <c r="D1569" s="738" t="s">
        <v>3602</v>
      </c>
      <c r="E1569" s="738" t="s">
        <v>3313</v>
      </c>
      <c r="F1569" s="738" t="s">
        <v>3390</v>
      </c>
      <c r="G1569" s="740" t="s">
        <v>70</v>
      </c>
      <c r="H1569" s="739" t="s">
        <v>64</v>
      </c>
      <c r="I1569" s="739" t="s">
        <v>3617</v>
      </c>
      <c r="J1569" s="797" t="s">
        <v>474</v>
      </c>
      <c r="K1569" s="795"/>
    </row>
    <row r="1570" spans="1:11" ht="21.95" customHeight="1">
      <c r="A1570" s="741" t="s">
        <v>4608</v>
      </c>
      <c r="B1570" s="741" t="s">
        <v>5120</v>
      </c>
      <c r="C1570" s="742" t="s">
        <v>4442</v>
      </c>
      <c r="D1570" s="741" t="s">
        <v>3604</v>
      </c>
      <c r="E1570" s="741" t="s">
        <v>3188</v>
      </c>
      <c r="F1570" s="741" t="s">
        <v>3442</v>
      </c>
      <c r="G1570" s="743" t="s">
        <v>57</v>
      </c>
      <c r="H1570" s="742">
        <v>1</v>
      </c>
      <c r="I1570" s="742" t="s">
        <v>4427</v>
      </c>
      <c r="J1570" s="798" t="s">
        <v>4427</v>
      </c>
      <c r="K1570" s="795"/>
    </row>
    <row r="1571" spans="1:11" ht="21.95" customHeight="1">
      <c r="A1571" s="744" t="s">
        <v>4611</v>
      </c>
      <c r="B1571" s="744"/>
      <c r="C1571" s="745" t="s">
        <v>4004</v>
      </c>
      <c r="D1571" s="744" t="s">
        <v>1127</v>
      </c>
      <c r="E1571" s="744" t="s">
        <v>1265</v>
      </c>
      <c r="F1571" s="744" t="s">
        <v>3430</v>
      </c>
      <c r="G1571" s="746" t="s">
        <v>1129</v>
      </c>
      <c r="H1571" s="745" t="s">
        <v>4358</v>
      </c>
      <c r="I1571" s="745" t="s">
        <v>4005</v>
      </c>
      <c r="J1571" s="796">
        <v>1.76</v>
      </c>
      <c r="K1571" s="795"/>
    </row>
    <row r="1572" spans="1:11" ht="21.95" customHeight="1" thickBot="1">
      <c r="A1572" s="748" t="s">
        <v>4616</v>
      </c>
      <c r="B1572" s="748"/>
      <c r="C1572" s="749" t="s">
        <v>4443</v>
      </c>
      <c r="D1572" s="748" t="s">
        <v>3604</v>
      </c>
      <c r="E1572" s="748" t="s">
        <v>3356</v>
      </c>
      <c r="F1572" s="748" t="s">
        <v>1187</v>
      </c>
      <c r="G1572" s="750" t="s">
        <v>57</v>
      </c>
      <c r="H1572" s="749" t="s">
        <v>3610</v>
      </c>
      <c r="I1572" s="749" t="s">
        <v>4084</v>
      </c>
      <c r="J1572" s="794">
        <v>2.2400000000000002</v>
      </c>
      <c r="K1572" s="795"/>
    </row>
    <row r="1573" spans="1:11" ht="0.95" customHeight="1" thickTop="1">
      <c r="A1573" s="747"/>
      <c r="B1573" s="747"/>
      <c r="C1573" s="747"/>
      <c r="D1573" s="747"/>
      <c r="E1573" s="747"/>
      <c r="F1573" s="747"/>
      <c r="G1573" s="747"/>
      <c r="H1573" s="747"/>
      <c r="I1573" s="747"/>
      <c r="J1573" s="747"/>
      <c r="K1573" s="747"/>
    </row>
    <row r="1574" spans="1:11" ht="18" customHeight="1">
      <c r="A1574" s="738"/>
      <c r="B1574" s="738" t="s">
        <v>60</v>
      </c>
      <c r="C1574" s="739" t="s">
        <v>3312</v>
      </c>
      <c r="D1574" s="738" t="s">
        <v>3602</v>
      </c>
      <c r="E1574" s="738" t="s">
        <v>3313</v>
      </c>
      <c r="F1574" s="738" t="s">
        <v>3390</v>
      </c>
      <c r="G1574" s="740" t="s">
        <v>70</v>
      </c>
      <c r="H1574" s="739" t="s">
        <v>64</v>
      </c>
      <c r="I1574" s="739" t="s">
        <v>3617</v>
      </c>
      <c r="J1574" s="797" t="s">
        <v>474</v>
      </c>
      <c r="K1574" s="795"/>
    </row>
    <row r="1575" spans="1:11" ht="21.95" customHeight="1">
      <c r="A1575" s="741" t="s">
        <v>4608</v>
      </c>
      <c r="B1575" s="741" t="s">
        <v>5121</v>
      </c>
      <c r="C1575" s="742" t="s">
        <v>4444</v>
      </c>
      <c r="D1575" s="741" t="s">
        <v>3604</v>
      </c>
      <c r="E1575" s="741" t="s">
        <v>3190</v>
      </c>
      <c r="F1575" s="741" t="s">
        <v>3442</v>
      </c>
      <c r="G1575" s="743" t="s">
        <v>57</v>
      </c>
      <c r="H1575" s="742">
        <v>1</v>
      </c>
      <c r="I1575" s="742" t="s">
        <v>5122</v>
      </c>
      <c r="J1575" s="798" t="s">
        <v>5122</v>
      </c>
      <c r="K1575" s="795"/>
    </row>
    <row r="1576" spans="1:11" ht="21.95" customHeight="1">
      <c r="A1576" s="744" t="s">
        <v>4611</v>
      </c>
      <c r="B1576" s="744"/>
      <c r="C1576" s="745" t="s">
        <v>4004</v>
      </c>
      <c r="D1576" s="744" t="s">
        <v>1127</v>
      </c>
      <c r="E1576" s="744" t="s">
        <v>1265</v>
      </c>
      <c r="F1576" s="744" t="s">
        <v>3430</v>
      </c>
      <c r="G1576" s="746" t="s">
        <v>1129</v>
      </c>
      <c r="H1576" s="745" t="s">
        <v>4358</v>
      </c>
      <c r="I1576" s="745" t="s">
        <v>4005</v>
      </c>
      <c r="J1576" s="796">
        <v>1.76</v>
      </c>
      <c r="K1576" s="795"/>
    </row>
    <row r="1577" spans="1:11" ht="21.95" customHeight="1" thickBot="1">
      <c r="A1577" s="748" t="s">
        <v>4616</v>
      </c>
      <c r="B1577" s="748"/>
      <c r="C1577" s="749" t="s">
        <v>4445</v>
      </c>
      <c r="D1577" s="748" t="s">
        <v>3604</v>
      </c>
      <c r="E1577" s="748" t="s">
        <v>3336</v>
      </c>
      <c r="F1577" s="748" t="s">
        <v>1187</v>
      </c>
      <c r="G1577" s="750" t="s">
        <v>57</v>
      </c>
      <c r="H1577" s="749" t="s">
        <v>4330</v>
      </c>
      <c r="I1577" s="749" t="s">
        <v>5123</v>
      </c>
      <c r="J1577" s="794">
        <v>3.3</v>
      </c>
      <c r="K1577" s="795"/>
    </row>
    <row r="1578" spans="1:11" ht="0.95" customHeight="1" thickTop="1">
      <c r="A1578" s="747"/>
      <c r="B1578" s="747"/>
      <c r="C1578" s="747"/>
      <c r="D1578" s="747"/>
      <c r="E1578" s="747"/>
      <c r="F1578" s="747"/>
      <c r="G1578" s="747"/>
      <c r="H1578" s="747"/>
      <c r="I1578" s="747"/>
      <c r="J1578" s="747"/>
      <c r="K1578" s="747"/>
    </row>
    <row r="1579" spans="1:11" ht="18" customHeight="1">
      <c r="A1579" s="738"/>
      <c r="B1579" s="738" t="s">
        <v>60</v>
      </c>
      <c r="C1579" s="739" t="s">
        <v>3312</v>
      </c>
      <c r="D1579" s="738" t="s">
        <v>3602</v>
      </c>
      <c r="E1579" s="738" t="s">
        <v>3313</v>
      </c>
      <c r="F1579" s="738" t="s">
        <v>3390</v>
      </c>
      <c r="G1579" s="740" t="s">
        <v>70</v>
      </c>
      <c r="H1579" s="739" t="s">
        <v>64</v>
      </c>
      <c r="I1579" s="739" t="s">
        <v>3617</v>
      </c>
      <c r="J1579" s="797" t="s">
        <v>474</v>
      </c>
      <c r="K1579" s="795"/>
    </row>
    <row r="1580" spans="1:11" ht="33" customHeight="1">
      <c r="A1580" s="741" t="s">
        <v>4608</v>
      </c>
      <c r="B1580" s="741" t="s">
        <v>5124</v>
      </c>
      <c r="C1580" s="742" t="s">
        <v>5125</v>
      </c>
      <c r="D1580" s="741" t="s">
        <v>3604</v>
      </c>
      <c r="E1580" s="741" t="s">
        <v>3197</v>
      </c>
      <c r="F1580" s="741" t="s">
        <v>3516</v>
      </c>
      <c r="G1580" s="743" t="s">
        <v>57</v>
      </c>
      <c r="H1580" s="742">
        <v>1</v>
      </c>
      <c r="I1580" s="742" t="s">
        <v>5126</v>
      </c>
      <c r="J1580" s="798" t="s">
        <v>5126</v>
      </c>
      <c r="K1580" s="795"/>
    </row>
    <row r="1581" spans="1:11" ht="21.95" customHeight="1">
      <c r="A1581" s="744" t="s">
        <v>4611</v>
      </c>
      <c r="B1581" s="744"/>
      <c r="C1581" s="745" t="s">
        <v>3628</v>
      </c>
      <c r="D1581" s="744" t="s">
        <v>1127</v>
      </c>
      <c r="E1581" s="744" t="s">
        <v>1286</v>
      </c>
      <c r="F1581" s="744" t="s">
        <v>3430</v>
      </c>
      <c r="G1581" s="746" t="s">
        <v>1129</v>
      </c>
      <c r="H1581" s="745" t="s">
        <v>4119</v>
      </c>
      <c r="I1581" s="745" t="s">
        <v>3630</v>
      </c>
      <c r="J1581" s="796">
        <v>20.100000000000001</v>
      </c>
      <c r="K1581" s="795"/>
    </row>
    <row r="1582" spans="1:11" ht="21.95" customHeight="1">
      <c r="A1582" s="744" t="s">
        <v>4611</v>
      </c>
      <c r="B1582" s="744"/>
      <c r="C1582" s="745" t="s">
        <v>3633</v>
      </c>
      <c r="D1582" s="744" t="s">
        <v>1127</v>
      </c>
      <c r="E1582" s="744" t="s">
        <v>1146</v>
      </c>
      <c r="F1582" s="744" t="s">
        <v>3430</v>
      </c>
      <c r="G1582" s="746" t="s">
        <v>1129</v>
      </c>
      <c r="H1582" s="745" t="s">
        <v>4119</v>
      </c>
      <c r="I1582" s="745" t="s">
        <v>3635</v>
      </c>
      <c r="J1582" s="796">
        <v>15.96</v>
      </c>
      <c r="K1582" s="795"/>
    </row>
    <row r="1583" spans="1:11" ht="33" customHeight="1">
      <c r="A1583" s="748" t="s">
        <v>4616</v>
      </c>
      <c r="B1583" s="748"/>
      <c r="C1583" s="749" t="s">
        <v>5127</v>
      </c>
      <c r="D1583" s="748" t="s">
        <v>1127</v>
      </c>
      <c r="E1583" s="748" t="s">
        <v>5128</v>
      </c>
      <c r="F1583" s="748" t="s">
        <v>1187</v>
      </c>
      <c r="G1583" s="750" t="s">
        <v>57</v>
      </c>
      <c r="H1583" s="749" t="s">
        <v>3610</v>
      </c>
      <c r="I1583" s="749" t="s">
        <v>5129</v>
      </c>
      <c r="J1583" s="794">
        <v>77.16</v>
      </c>
      <c r="K1583" s="795"/>
    </row>
    <row r="1584" spans="1:11" ht="21.95" customHeight="1">
      <c r="A1584" s="748" t="s">
        <v>4616</v>
      </c>
      <c r="B1584" s="748"/>
      <c r="C1584" s="749" t="s">
        <v>4172</v>
      </c>
      <c r="D1584" s="748" t="s">
        <v>1127</v>
      </c>
      <c r="E1584" s="748" t="s">
        <v>1297</v>
      </c>
      <c r="F1584" s="748" t="s">
        <v>1187</v>
      </c>
      <c r="G1584" s="750" t="s">
        <v>57</v>
      </c>
      <c r="H1584" s="749" t="s">
        <v>4447</v>
      </c>
      <c r="I1584" s="749" t="s">
        <v>4173</v>
      </c>
      <c r="J1584" s="794">
        <v>0.78</v>
      </c>
      <c r="K1584" s="795"/>
    </row>
    <row r="1585" spans="1:11" ht="33" customHeight="1" thickBot="1">
      <c r="A1585" s="748" t="s">
        <v>4616</v>
      </c>
      <c r="B1585" s="748"/>
      <c r="C1585" s="749" t="s">
        <v>5130</v>
      </c>
      <c r="D1585" s="748" t="s">
        <v>1127</v>
      </c>
      <c r="E1585" s="748" t="s">
        <v>5131</v>
      </c>
      <c r="F1585" s="748" t="s">
        <v>1187</v>
      </c>
      <c r="G1585" s="750" t="s">
        <v>57</v>
      </c>
      <c r="H1585" s="749" t="s">
        <v>3610</v>
      </c>
      <c r="I1585" s="749" t="s">
        <v>5132</v>
      </c>
      <c r="J1585" s="794">
        <v>49.19</v>
      </c>
      <c r="K1585" s="795"/>
    </row>
    <row r="1586" spans="1:11" ht="0.95" customHeight="1" thickTop="1">
      <c r="A1586" s="747"/>
      <c r="B1586" s="747"/>
      <c r="C1586" s="747"/>
      <c r="D1586" s="747"/>
      <c r="E1586" s="747"/>
      <c r="F1586" s="747"/>
      <c r="G1586" s="747"/>
      <c r="H1586" s="747"/>
      <c r="I1586" s="747"/>
      <c r="J1586" s="747"/>
      <c r="K1586" s="747"/>
    </row>
    <row r="1587" spans="1:11" ht="18" customHeight="1">
      <c r="A1587" s="738"/>
      <c r="B1587" s="738" t="s">
        <v>60</v>
      </c>
      <c r="C1587" s="739" t="s">
        <v>3312</v>
      </c>
      <c r="D1587" s="738" t="s">
        <v>3602</v>
      </c>
      <c r="E1587" s="738" t="s">
        <v>3313</v>
      </c>
      <c r="F1587" s="738" t="s">
        <v>3390</v>
      </c>
      <c r="G1587" s="740" t="s">
        <v>70</v>
      </c>
      <c r="H1587" s="739" t="s">
        <v>64</v>
      </c>
      <c r="I1587" s="739" t="s">
        <v>3617</v>
      </c>
      <c r="J1587" s="797" t="s">
        <v>474</v>
      </c>
      <c r="K1587" s="795"/>
    </row>
    <row r="1588" spans="1:11" ht="21.95" customHeight="1">
      <c r="A1588" s="741" t="s">
        <v>4608</v>
      </c>
      <c r="B1588" s="741" t="s">
        <v>5133</v>
      </c>
      <c r="C1588" s="742" t="s">
        <v>4453</v>
      </c>
      <c r="D1588" s="741" t="s">
        <v>3604</v>
      </c>
      <c r="E1588" s="741" t="s">
        <v>3199</v>
      </c>
      <c r="F1588" s="741" t="s">
        <v>3516</v>
      </c>
      <c r="G1588" s="743" t="s">
        <v>57</v>
      </c>
      <c r="H1588" s="742">
        <v>1</v>
      </c>
      <c r="I1588" s="742" t="s">
        <v>4454</v>
      </c>
      <c r="J1588" s="798" t="s">
        <v>4454</v>
      </c>
      <c r="K1588" s="795"/>
    </row>
    <row r="1589" spans="1:11" ht="21.95" customHeight="1">
      <c r="A1589" s="744" t="s">
        <v>4611</v>
      </c>
      <c r="B1589" s="744"/>
      <c r="C1589" s="745" t="s">
        <v>3628</v>
      </c>
      <c r="D1589" s="744" t="s">
        <v>1127</v>
      </c>
      <c r="E1589" s="744" t="s">
        <v>1286</v>
      </c>
      <c r="F1589" s="744" t="s">
        <v>3430</v>
      </c>
      <c r="G1589" s="746" t="s">
        <v>1129</v>
      </c>
      <c r="H1589" s="745" t="s">
        <v>4119</v>
      </c>
      <c r="I1589" s="745" t="s">
        <v>3630</v>
      </c>
      <c r="J1589" s="796">
        <v>20.100000000000001</v>
      </c>
      <c r="K1589" s="795"/>
    </row>
    <row r="1590" spans="1:11" ht="21.95" customHeight="1">
      <c r="A1590" s="744" t="s">
        <v>4611</v>
      </c>
      <c r="B1590" s="744"/>
      <c r="C1590" s="745" t="s">
        <v>3633</v>
      </c>
      <c r="D1590" s="744" t="s">
        <v>1127</v>
      </c>
      <c r="E1590" s="744" t="s">
        <v>1146</v>
      </c>
      <c r="F1590" s="744" t="s">
        <v>3430</v>
      </c>
      <c r="G1590" s="746" t="s">
        <v>1129</v>
      </c>
      <c r="H1590" s="745" t="s">
        <v>4119</v>
      </c>
      <c r="I1590" s="745" t="s">
        <v>3635</v>
      </c>
      <c r="J1590" s="796">
        <v>15.96</v>
      </c>
      <c r="K1590" s="795"/>
    </row>
    <row r="1591" spans="1:11" ht="21.95" customHeight="1">
      <c r="A1591" s="748" t="s">
        <v>4616</v>
      </c>
      <c r="B1591" s="748"/>
      <c r="C1591" s="749" t="s">
        <v>4172</v>
      </c>
      <c r="D1591" s="748" t="s">
        <v>1127</v>
      </c>
      <c r="E1591" s="748" t="s">
        <v>1297</v>
      </c>
      <c r="F1591" s="748" t="s">
        <v>1187</v>
      </c>
      <c r="G1591" s="750" t="s">
        <v>57</v>
      </c>
      <c r="H1591" s="749" t="s">
        <v>4447</v>
      </c>
      <c r="I1591" s="749" t="s">
        <v>4173</v>
      </c>
      <c r="J1591" s="794">
        <v>0.78</v>
      </c>
      <c r="K1591" s="795"/>
    </row>
    <row r="1592" spans="1:11" ht="33" customHeight="1" thickBot="1">
      <c r="A1592" s="748" t="s">
        <v>4616</v>
      </c>
      <c r="B1592" s="748"/>
      <c r="C1592" s="749" t="s">
        <v>4455</v>
      </c>
      <c r="D1592" s="748" t="s">
        <v>1127</v>
      </c>
      <c r="E1592" s="748" t="s">
        <v>4456</v>
      </c>
      <c r="F1592" s="748" t="s">
        <v>1187</v>
      </c>
      <c r="G1592" s="750" t="s">
        <v>57</v>
      </c>
      <c r="H1592" s="749" t="s">
        <v>3610</v>
      </c>
      <c r="I1592" s="749" t="s">
        <v>4457</v>
      </c>
      <c r="J1592" s="794">
        <v>49.08</v>
      </c>
      <c r="K1592" s="795"/>
    </row>
    <row r="1593" spans="1:11" ht="0.95" customHeight="1" thickTop="1">
      <c r="A1593" s="747"/>
      <c r="B1593" s="747"/>
      <c r="C1593" s="747"/>
      <c r="D1593" s="747"/>
      <c r="E1593" s="747"/>
      <c r="F1593" s="747"/>
      <c r="G1593" s="747"/>
      <c r="H1593" s="747"/>
      <c r="I1593" s="747"/>
      <c r="J1593" s="747"/>
      <c r="K1593" s="747"/>
    </row>
    <row r="1594" spans="1:11" ht="18" customHeight="1">
      <c r="A1594" s="738"/>
      <c r="B1594" s="738" t="s">
        <v>60</v>
      </c>
      <c r="C1594" s="739" t="s">
        <v>3312</v>
      </c>
      <c r="D1594" s="738" t="s">
        <v>3602</v>
      </c>
      <c r="E1594" s="738" t="s">
        <v>3313</v>
      </c>
      <c r="F1594" s="738" t="s">
        <v>3390</v>
      </c>
      <c r="G1594" s="740" t="s">
        <v>70</v>
      </c>
      <c r="H1594" s="739" t="s">
        <v>64</v>
      </c>
      <c r="I1594" s="739" t="s">
        <v>3617</v>
      </c>
      <c r="J1594" s="797" t="s">
        <v>474</v>
      </c>
      <c r="K1594" s="795"/>
    </row>
    <row r="1595" spans="1:11" ht="21.95" customHeight="1">
      <c r="A1595" s="741" t="s">
        <v>4608</v>
      </c>
      <c r="B1595" s="741" t="s">
        <v>5134</v>
      </c>
      <c r="C1595" s="742" t="s">
        <v>4458</v>
      </c>
      <c r="D1595" s="741" t="s">
        <v>3604</v>
      </c>
      <c r="E1595" s="741" t="s">
        <v>3593</v>
      </c>
      <c r="F1595" s="741" t="s">
        <v>3516</v>
      </c>
      <c r="G1595" s="743" t="s">
        <v>57</v>
      </c>
      <c r="H1595" s="742">
        <v>1</v>
      </c>
      <c r="I1595" s="742" t="s">
        <v>4459</v>
      </c>
      <c r="J1595" s="798" t="s">
        <v>4459</v>
      </c>
      <c r="K1595" s="795"/>
    </row>
    <row r="1596" spans="1:11" ht="21.95" customHeight="1">
      <c r="A1596" s="744" t="s">
        <v>4611</v>
      </c>
      <c r="B1596" s="744"/>
      <c r="C1596" s="745" t="s">
        <v>3628</v>
      </c>
      <c r="D1596" s="744" t="s">
        <v>1127</v>
      </c>
      <c r="E1596" s="744" t="s">
        <v>1286</v>
      </c>
      <c r="F1596" s="744" t="s">
        <v>3430</v>
      </c>
      <c r="G1596" s="746" t="s">
        <v>1129</v>
      </c>
      <c r="H1596" s="745" t="s">
        <v>3973</v>
      </c>
      <c r="I1596" s="745" t="s">
        <v>3630</v>
      </c>
      <c r="J1596" s="796">
        <v>1.92</v>
      </c>
      <c r="K1596" s="795"/>
    </row>
    <row r="1597" spans="1:11" ht="21.95" customHeight="1">
      <c r="A1597" s="744" t="s">
        <v>4611</v>
      </c>
      <c r="B1597" s="744"/>
      <c r="C1597" s="745" t="s">
        <v>3633</v>
      </c>
      <c r="D1597" s="744" t="s">
        <v>1127</v>
      </c>
      <c r="E1597" s="744" t="s">
        <v>1146</v>
      </c>
      <c r="F1597" s="744" t="s">
        <v>3430</v>
      </c>
      <c r="G1597" s="746" t="s">
        <v>1129</v>
      </c>
      <c r="H1597" s="745" t="s">
        <v>3973</v>
      </c>
      <c r="I1597" s="745" t="s">
        <v>3635</v>
      </c>
      <c r="J1597" s="796">
        <v>1.52</v>
      </c>
      <c r="K1597" s="795"/>
    </row>
    <row r="1598" spans="1:11" ht="33" customHeight="1" thickBot="1">
      <c r="A1598" s="748" t="s">
        <v>4616</v>
      </c>
      <c r="B1598" s="748"/>
      <c r="C1598" s="749" t="s">
        <v>4460</v>
      </c>
      <c r="D1598" s="748" t="s">
        <v>1127</v>
      </c>
      <c r="E1598" s="748" t="s">
        <v>4461</v>
      </c>
      <c r="F1598" s="748" t="s">
        <v>1187</v>
      </c>
      <c r="G1598" s="750" t="s">
        <v>57</v>
      </c>
      <c r="H1598" s="749" t="s">
        <v>3610</v>
      </c>
      <c r="I1598" s="749" t="s">
        <v>4462</v>
      </c>
      <c r="J1598" s="794">
        <v>11.99</v>
      </c>
      <c r="K1598" s="795"/>
    </row>
    <row r="1599" spans="1:11" ht="0.95" customHeight="1" thickTop="1">
      <c r="A1599" s="747"/>
      <c r="B1599" s="747"/>
      <c r="C1599" s="747"/>
      <c r="D1599" s="747"/>
      <c r="E1599" s="747"/>
      <c r="F1599" s="747"/>
      <c r="G1599" s="747"/>
      <c r="H1599" s="747"/>
      <c r="I1599" s="747"/>
      <c r="J1599" s="747"/>
      <c r="K1599" s="747"/>
    </row>
    <row r="1600" spans="1:11" ht="18" customHeight="1">
      <c r="A1600" s="738"/>
      <c r="B1600" s="738" t="s">
        <v>60</v>
      </c>
      <c r="C1600" s="739" t="s">
        <v>3312</v>
      </c>
      <c r="D1600" s="738" t="s">
        <v>3602</v>
      </c>
      <c r="E1600" s="738" t="s">
        <v>3313</v>
      </c>
      <c r="F1600" s="738" t="s">
        <v>3390</v>
      </c>
      <c r="G1600" s="740" t="s">
        <v>70</v>
      </c>
      <c r="H1600" s="739" t="s">
        <v>64</v>
      </c>
      <c r="I1600" s="739" t="s">
        <v>3617</v>
      </c>
      <c r="J1600" s="797" t="s">
        <v>474</v>
      </c>
      <c r="K1600" s="795"/>
    </row>
    <row r="1601" spans="1:11" ht="21.95" customHeight="1">
      <c r="A1601" s="741" t="s">
        <v>4608</v>
      </c>
      <c r="B1601" s="741" t="s">
        <v>5135</v>
      </c>
      <c r="C1601" s="742" t="s">
        <v>5136</v>
      </c>
      <c r="D1601" s="741" t="s">
        <v>3604</v>
      </c>
      <c r="E1601" s="741" t="s">
        <v>3204</v>
      </c>
      <c r="F1601" s="741" t="s">
        <v>3516</v>
      </c>
      <c r="G1601" s="743" t="s">
        <v>70</v>
      </c>
      <c r="H1601" s="742">
        <v>1</v>
      </c>
      <c r="I1601" s="742" t="s">
        <v>5137</v>
      </c>
      <c r="J1601" s="798" t="s">
        <v>5137</v>
      </c>
      <c r="K1601" s="795"/>
    </row>
    <row r="1602" spans="1:11" ht="21.95" customHeight="1">
      <c r="A1602" s="744" t="s">
        <v>4611</v>
      </c>
      <c r="B1602" s="744"/>
      <c r="C1602" s="745" t="s">
        <v>3628</v>
      </c>
      <c r="D1602" s="744" t="s">
        <v>1127</v>
      </c>
      <c r="E1602" s="744" t="s">
        <v>1286</v>
      </c>
      <c r="F1602" s="744" t="s">
        <v>3430</v>
      </c>
      <c r="G1602" s="746" t="s">
        <v>1129</v>
      </c>
      <c r="H1602" s="745" t="s">
        <v>5138</v>
      </c>
      <c r="I1602" s="745" t="s">
        <v>3630</v>
      </c>
      <c r="J1602" s="796">
        <v>16.600000000000001</v>
      </c>
      <c r="K1602" s="795"/>
    </row>
    <row r="1603" spans="1:11" ht="21.95" customHeight="1">
      <c r="A1603" s="744" t="s">
        <v>4611</v>
      </c>
      <c r="B1603" s="744"/>
      <c r="C1603" s="745" t="s">
        <v>3625</v>
      </c>
      <c r="D1603" s="744" t="s">
        <v>1127</v>
      </c>
      <c r="E1603" s="744" t="s">
        <v>1296</v>
      </c>
      <c r="F1603" s="744" t="s">
        <v>3430</v>
      </c>
      <c r="G1603" s="746" t="s">
        <v>1129</v>
      </c>
      <c r="H1603" s="745" t="s">
        <v>5138</v>
      </c>
      <c r="I1603" s="745" t="s">
        <v>3627</v>
      </c>
      <c r="J1603" s="796">
        <v>13.53</v>
      </c>
      <c r="K1603" s="795"/>
    </row>
    <row r="1604" spans="1:11" ht="21.95" customHeight="1">
      <c r="A1604" s="748" t="s">
        <v>4616</v>
      </c>
      <c r="B1604" s="748"/>
      <c r="C1604" s="749" t="s">
        <v>4098</v>
      </c>
      <c r="D1604" s="748" t="s">
        <v>1127</v>
      </c>
      <c r="E1604" s="748" t="s">
        <v>1302</v>
      </c>
      <c r="F1604" s="748" t="s">
        <v>1187</v>
      </c>
      <c r="G1604" s="750" t="s">
        <v>57</v>
      </c>
      <c r="H1604" s="749" t="s">
        <v>4000</v>
      </c>
      <c r="I1604" s="749" t="s">
        <v>4100</v>
      </c>
      <c r="J1604" s="794">
        <v>0.27</v>
      </c>
      <c r="K1604" s="795"/>
    </row>
    <row r="1605" spans="1:11" ht="21.95" customHeight="1">
      <c r="A1605" s="748" t="s">
        <v>4616</v>
      </c>
      <c r="B1605" s="748"/>
      <c r="C1605" s="749" t="s">
        <v>3737</v>
      </c>
      <c r="D1605" s="748" t="s">
        <v>1127</v>
      </c>
      <c r="E1605" s="748" t="s">
        <v>1162</v>
      </c>
      <c r="F1605" s="748" t="s">
        <v>1187</v>
      </c>
      <c r="G1605" s="750" t="s">
        <v>1163</v>
      </c>
      <c r="H1605" s="749" t="s">
        <v>3724</v>
      </c>
      <c r="I1605" s="749" t="s">
        <v>3739</v>
      </c>
      <c r="J1605" s="794">
        <v>0.05</v>
      </c>
      <c r="K1605" s="795"/>
    </row>
    <row r="1606" spans="1:11" ht="21.95" customHeight="1" thickBot="1">
      <c r="A1606" s="748" t="s">
        <v>4616</v>
      </c>
      <c r="B1606" s="748"/>
      <c r="C1606" s="749" t="s">
        <v>5139</v>
      </c>
      <c r="D1606" s="748" t="s">
        <v>3604</v>
      </c>
      <c r="E1606" s="748" t="s">
        <v>3204</v>
      </c>
      <c r="F1606" s="748" t="s">
        <v>1187</v>
      </c>
      <c r="G1606" s="750" t="s">
        <v>5</v>
      </c>
      <c r="H1606" s="749" t="s">
        <v>3610</v>
      </c>
      <c r="I1606" s="749" t="s">
        <v>5140</v>
      </c>
      <c r="J1606" s="794">
        <v>35.82</v>
      </c>
      <c r="K1606" s="795"/>
    </row>
    <row r="1607" spans="1:11" ht="0.95" customHeight="1" thickTop="1">
      <c r="A1607" s="747"/>
      <c r="B1607" s="747"/>
      <c r="C1607" s="747"/>
      <c r="D1607" s="747"/>
      <c r="E1607" s="747"/>
      <c r="F1607" s="747"/>
      <c r="G1607" s="747"/>
      <c r="H1607" s="747"/>
      <c r="I1607" s="747"/>
      <c r="J1607" s="747"/>
      <c r="K1607" s="747"/>
    </row>
    <row r="1608" spans="1:11" ht="18" customHeight="1">
      <c r="A1608" s="738"/>
      <c r="B1608" s="738" t="s">
        <v>60</v>
      </c>
      <c r="C1608" s="739" t="s">
        <v>3312</v>
      </c>
      <c r="D1608" s="738" t="s">
        <v>3602</v>
      </c>
      <c r="E1608" s="738" t="s">
        <v>3313</v>
      </c>
      <c r="F1608" s="738" t="s">
        <v>3390</v>
      </c>
      <c r="G1608" s="740" t="s">
        <v>70</v>
      </c>
      <c r="H1608" s="739" t="s">
        <v>64</v>
      </c>
      <c r="I1608" s="739" t="s">
        <v>3617</v>
      </c>
      <c r="J1608" s="797" t="s">
        <v>474</v>
      </c>
      <c r="K1608" s="795"/>
    </row>
    <row r="1609" spans="1:11" ht="21.95" customHeight="1">
      <c r="A1609" s="741" t="s">
        <v>4608</v>
      </c>
      <c r="B1609" s="741" t="s">
        <v>5141</v>
      </c>
      <c r="C1609" s="742" t="s">
        <v>3598</v>
      </c>
      <c r="D1609" s="741" t="s">
        <v>3604</v>
      </c>
      <c r="E1609" s="741" t="s">
        <v>3206</v>
      </c>
      <c r="F1609" s="741" t="s">
        <v>3516</v>
      </c>
      <c r="G1609" s="743" t="s">
        <v>57</v>
      </c>
      <c r="H1609" s="742">
        <v>1</v>
      </c>
      <c r="I1609" s="742" t="s">
        <v>4446</v>
      </c>
      <c r="J1609" s="798" t="s">
        <v>4446</v>
      </c>
      <c r="K1609" s="795"/>
    </row>
    <row r="1610" spans="1:11" ht="21.95" customHeight="1">
      <c r="A1610" s="744" t="s">
        <v>4611</v>
      </c>
      <c r="B1610" s="744"/>
      <c r="C1610" s="745" t="s">
        <v>3628</v>
      </c>
      <c r="D1610" s="744" t="s">
        <v>1127</v>
      </c>
      <c r="E1610" s="744" t="s">
        <v>1286</v>
      </c>
      <c r="F1610" s="744" t="s">
        <v>3430</v>
      </c>
      <c r="G1610" s="746" t="s">
        <v>1129</v>
      </c>
      <c r="H1610" s="745" t="s">
        <v>4119</v>
      </c>
      <c r="I1610" s="745" t="s">
        <v>3630</v>
      </c>
      <c r="J1610" s="796">
        <v>20.100000000000001</v>
      </c>
      <c r="K1610" s="795"/>
    </row>
    <row r="1611" spans="1:11" ht="21.95" customHeight="1">
      <c r="A1611" s="744" t="s">
        <v>4611</v>
      </c>
      <c r="B1611" s="744"/>
      <c r="C1611" s="745" t="s">
        <v>3633</v>
      </c>
      <c r="D1611" s="744" t="s">
        <v>1127</v>
      </c>
      <c r="E1611" s="744" t="s">
        <v>1146</v>
      </c>
      <c r="F1611" s="744" t="s">
        <v>3430</v>
      </c>
      <c r="G1611" s="746" t="s">
        <v>1129</v>
      </c>
      <c r="H1611" s="745" t="s">
        <v>4119</v>
      </c>
      <c r="I1611" s="745" t="s">
        <v>3635</v>
      </c>
      <c r="J1611" s="796">
        <v>15.96</v>
      </c>
      <c r="K1611" s="795"/>
    </row>
    <row r="1612" spans="1:11" ht="21.95" customHeight="1">
      <c r="A1612" s="748" t="s">
        <v>4616</v>
      </c>
      <c r="B1612" s="748"/>
      <c r="C1612" s="749" t="s">
        <v>4172</v>
      </c>
      <c r="D1612" s="748" t="s">
        <v>1127</v>
      </c>
      <c r="E1612" s="748" t="s">
        <v>1297</v>
      </c>
      <c r="F1612" s="748" t="s">
        <v>1187</v>
      </c>
      <c r="G1612" s="750" t="s">
        <v>57</v>
      </c>
      <c r="H1612" s="749" t="s">
        <v>4447</v>
      </c>
      <c r="I1612" s="749" t="s">
        <v>4173</v>
      </c>
      <c r="J1612" s="794">
        <v>0.78</v>
      </c>
      <c r="K1612" s="795"/>
    </row>
    <row r="1613" spans="1:11" ht="33" customHeight="1">
      <c r="A1613" s="748" t="s">
        <v>4616</v>
      </c>
      <c r="B1613" s="748"/>
      <c r="C1613" s="749" t="s">
        <v>4448</v>
      </c>
      <c r="D1613" s="748" t="s">
        <v>1127</v>
      </c>
      <c r="E1613" s="748" t="s">
        <v>1540</v>
      </c>
      <c r="F1613" s="748" t="s">
        <v>1187</v>
      </c>
      <c r="G1613" s="750" t="s">
        <v>57</v>
      </c>
      <c r="H1613" s="749" t="s">
        <v>3610</v>
      </c>
      <c r="I1613" s="749" t="s">
        <v>4449</v>
      </c>
      <c r="J1613" s="794">
        <v>65.989999999999995</v>
      </c>
      <c r="K1613" s="795"/>
    </row>
    <row r="1614" spans="1:11" ht="33" customHeight="1" thickBot="1">
      <c r="A1614" s="748" t="s">
        <v>4616</v>
      </c>
      <c r="B1614" s="748"/>
      <c r="C1614" s="749" t="s">
        <v>4450</v>
      </c>
      <c r="D1614" s="748" t="s">
        <v>1127</v>
      </c>
      <c r="E1614" s="748" t="s">
        <v>4451</v>
      </c>
      <c r="F1614" s="748" t="s">
        <v>1187</v>
      </c>
      <c r="G1614" s="750" t="s">
        <v>57</v>
      </c>
      <c r="H1614" s="749" t="s">
        <v>3610</v>
      </c>
      <c r="I1614" s="749" t="s">
        <v>4452</v>
      </c>
      <c r="J1614" s="794">
        <v>110.39</v>
      </c>
      <c r="K1614" s="795"/>
    </row>
    <row r="1615" spans="1:11" ht="0.95" customHeight="1" thickTop="1">
      <c r="A1615" s="747"/>
      <c r="B1615" s="747"/>
      <c r="C1615" s="747"/>
      <c r="D1615" s="747"/>
      <c r="E1615" s="747"/>
      <c r="F1615" s="747"/>
      <c r="G1615" s="747"/>
      <c r="H1615" s="747"/>
      <c r="I1615" s="747"/>
      <c r="J1615" s="747"/>
      <c r="K1615" s="747"/>
    </row>
    <row r="1616" spans="1:11" ht="18" customHeight="1">
      <c r="A1616" s="738"/>
      <c r="B1616" s="738" t="s">
        <v>60</v>
      </c>
      <c r="C1616" s="739" t="s">
        <v>3312</v>
      </c>
      <c r="D1616" s="738" t="s">
        <v>3602</v>
      </c>
      <c r="E1616" s="738" t="s">
        <v>3313</v>
      </c>
      <c r="F1616" s="738" t="s">
        <v>3390</v>
      </c>
      <c r="G1616" s="740" t="s">
        <v>70</v>
      </c>
      <c r="H1616" s="739" t="s">
        <v>64</v>
      </c>
      <c r="I1616" s="739" t="s">
        <v>3617</v>
      </c>
      <c r="J1616" s="797" t="s">
        <v>474</v>
      </c>
      <c r="K1616" s="795"/>
    </row>
    <row r="1617" spans="1:11" ht="21.95" customHeight="1">
      <c r="A1617" s="741" t="s">
        <v>4608</v>
      </c>
      <c r="B1617" s="741" t="s">
        <v>5142</v>
      </c>
      <c r="C1617" s="742" t="s">
        <v>5143</v>
      </c>
      <c r="D1617" s="741" t="s">
        <v>3604</v>
      </c>
      <c r="E1617" s="741" t="s">
        <v>5144</v>
      </c>
      <c r="F1617" s="741" t="s">
        <v>3516</v>
      </c>
      <c r="G1617" s="743" t="s">
        <v>70</v>
      </c>
      <c r="H1617" s="742">
        <v>1</v>
      </c>
      <c r="I1617" s="742" t="s">
        <v>5145</v>
      </c>
      <c r="J1617" s="798" t="s">
        <v>5145</v>
      </c>
      <c r="K1617" s="795"/>
    </row>
    <row r="1618" spans="1:11" ht="21.95" customHeight="1">
      <c r="A1618" s="744" t="s">
        <v>4611</v>
      </c>
      <c r="B1618" s="744"/>
      <c r="C1618" s="745" t="s">
        <v>3628</v>
      </c>
      <c r="D1618" s="744" t="s">
        <v>1127</v>
      </c>
      <c r="E1618" s="744" t="s">
        <v>1286</v>
      </c>
      <c r="F1618" s="744" t="s">
        <v>3430</v>
      </c>
      <c r="G1618" s="746" t="s">
        <v>1129</v>
      </c>
      <c r="H1618" s="745" t="s">
        <v>4119</v>
      </c>
      <c r="I1618" s="745" t="s">
        <v>3630</v>
      </c>
      <c r="J1618" s="796">
        <v>20.100000000000001</v>
      </c>
      <c r="K1618" s="795"/>
    </row>
    <row r="1619" spans="1:11" ht="21.95" customHeight="1">
      <c r="A1619" s="744" t="s">
        <v>4611</v>
      </c>
      <c r="B1619" s="744"/>
      <c r="C1619" s="745" t="s">
        <v>3633</v>
      </c>
      <c r="D1619" s="744" t="s">
        <v>1127</v>
      </c>
      <c r="E1619" s="744" t="s">
        <v>1146</v>
      </c>
      <c r="F1619" s="744" t="s">
        <v>3430</v>
      </c>
      <c r="G1619" s="746" t="s">
        <v>1129</v>
      </c>
      <c r="H1619" s="745" t="s">
        <v>4119</v>
      </c>
      <c r="I1619" s="745" t="s">
        <v>3635</v>
      </c>
      <c r="J1619" s="796">
        <v>15.96</v>
      </c>
      <c r="K1619" s="795"/>
    </row>
    <row r="1620" spans="1:11" ht="21.95" customHeight="1">
      <c r="A1620" s="748" t="s">
        <v>4616</v>
      </c>
      <c r="B1620" s="748"/>
      <c r="C1620" s="749" t="s">
        <v>5146</v>
      </c>
      <c r="D1620" s="748" t="s">
        <v>1127</v>
      </c>
      <c r="E1620" s="748" t="s">
        <v>5147</v>
      </c>
      <c r="F1620" s="748" t="s">
        <v>1187</v>
      </c>
      <c r="G1620" s="750" t="s">
        <v>57</v>
      </c>
      <c r="H1620" s="749" t="s">
        <v>3610</v>
      </c>
      <c r="I1620" s="749" t="s">
        <v>5148</v>
      </c>
      <c r="J1620" s="794">
        <v>154.04</v>
      </c>
      <c r="K1620" s="795"/>
    </row>
    <row r="1621" spans="1:11" ht="21.95" customHeight="1" thickBot="1">
      <c r="A1621" s="748" t="s">
        <v>4616</v>
      </c>
      <c r="B1621" s="748"/>
      <c r="C1621" s="749" t="s">
        <v>4172</v>
      </c>
      <c r="D1621" s="748" t="s">
        <v>1127</v>
      </c>
      <c r="E1621" s="748" t="s">
        <v>1297</v>
      </c>
      <c r="F1621" s="748" t="s">
        <v>1187</v>
      </c>
      <c r="G1621" s="750" t="s">
        <v>57</v>
      </c>
      <c r="H1621" s="749" t="s">
        <v>4447</v>
      </c>
      <c r="I1621" s="749" t="s">
        <v>4173</v>
      </c>
      <c r="J1621" s="794">
        <v>0.78</v>
      </c>
      <c r="K1621" s="795"/>
    </row>
    <row r="1622" spans="1:11" ht="0.95" customHeight="1" thickTop="1">
      <c r="A1622" s="747"/>
      <c r="B1622" s="747"/>
      <c r="C1622" s="747"/>
      <c r="D1622" s="747"/>
      <c r="E1622" s="747"/>
      <c r="F1622" s="747"/>
      <c r="G1622" s="747"/>
      <c r="H1622" s="747"/>
      <c r="I1622" s="747"/>
      <c r="J1622" s="747"/>
      <c r="K1622" s="747"/>
    </row>
    <row r="1623" spans="1:11" ht="18" customHeight="1">
      <c r="A1623" s="738"/>
      <c r="B1623" s="738" t="s">
        <v>60</v>
      </c>
      <c r="C1623" s="739" t="s">
        <v>3312</v>
      </c>
      <c r="D1623" s="738" t="s">
        <v>3602</v>
      </c>
      <c r="E1623" s="738" t="s">
        <v>3313</v>
      </c>
      <c r="F1623" s="738" t="s">
        <v>3390</v>
      </c>
      <c r="G1623" s="740" t="s">
        <v>70</v>
      </c>
      <c r="H1623" s="739" t="s">
        <v>64</v>
      </c>
      <c r="I1623" s="739" t="s">
        <v>3617</v>
      </c>
      <c r="J1623" s="797" t="s">
        <v>474</v>
      </c>
      <c r="K1623" s="795"/>
    </row>
    <row r="1624" spans="1:11" ht="21.95" customHeight="1">
      <c r="A1624" s="741" t="s">
        <v>4608</v>
      </c>
      <c r="B1624" s="741" t="s">
        <v>5149</v>
      </c>
      <c r="C1624" s="742" t="s">
        <v>5150</v>
      </c>
      <c r="D1624" s="741" t="s">
        <v>3604</v>
      </c>
      <c r="E1624" s="741" t="s">
        <v>5151</v>
      </c>
      <c r="F1624" s="741" t="s">
        <v>3516</v>
      </c>
      <c r="G1624" s="743" t="s">
        <v>57</v>
      </c>
      <c r="H1624" s="742">
        <v>1</v>
      </c>
      <c r="I1624" s="742" t="s">
        <v>5152</v>
      </c>
      <c r="J1624" s="798" t="s">
        <v>5152</v>
      </c>
      <c r="K1624" s="795"/>
    </row>
    <row r="1625" spans="1:11" ht="21.95" customHeight="1">
      <c r="A1625" s="744" t="s">
        <v>4611</v>
      </c>
      <c r="B1625" s="744"/>
      <c r="C1625" s="745" t="s">
        <v>3631</v>
      </c>
      <c r="D1625" s="744" t="s">
        <v>1127</v>
      </c>
      <c r="E1625" s="744" t="s">
        <v>1145</v>
      </c>
      <c r="F1625" s="744" t="s">
        <v>3430</v>
      </c>
      <c r="G1625" s="746" t="s">
        <v>1129</v>
      </c>
      <c r="H1625" s="745" t="s">
        <v>3711</v>
      </c>
      <c r="I1625" s="745" t="s">
        <v>3632</v>
      </c>
      <c r="J1625" s="796">
        <v>0.34</v>
      </c>
      <c r="K1625" s="795"/>
    </row>
    <row r="1626" spans="1:11" ht="44.1" customHeight="1">
      <c r="A1626" s="744" t="s">
        <v>4611</v>
      </c>
      <c r="B1626" s="744"/>
      <c r="C1626" s="745" t="s">
        <v>5153</v>
      </c>
      <c r="D1626" s="744" t="s">
        <v>1127</v>
      </c>
      <c r="E1626" s="744" t="s">
        <v>5154</v>
      </c>
      <c r="F1626" s="744" t="s">
        <v>3430</v>
      </c>
      <c r="G1626" s="746" t="s">
        <v>284</v>
      </c>
      <c r="H1626" s="745" t="s">
        <v>5155</v>
      </c>
      <c r="I1626" s="745" t="s">
        <v>5156</v>
      </c>
      <c r="J1626" s="796">
        <v>0.66</v>
      </c>
      <c r="K1626" s="795"/>
    </row>
    <row r="1627" spans="1:11" ht="21.95" customHeight="1" thickBot="1">
      <c r="A1627" s="748" t="s">
        <v>4616</v>
      </c>
      <c r="B1627" s="748"/>
      <c r="C1627" s="749" t="s">
        <v>5157</v>
      </c>
      <c r="D1627" s="748" t="s">
        <v>3604</v>
      </c>
      <c r="E1627" s="748" t="s">
        <v>4598</v>
      </c>
      <c r="F1627" s="748" t="s">
        <v>1187</v>
      </c>
      <c r="G1627" s="750" t="s">
        <v>57</v>
      </c>
      <c r="H1627" s="749" t="s">
        <v>3610</v>
      </c>
      <c r="I1627" s="749" t="s">
        <v>5158</v>
      </c>
      <c r="J1627" s="794">
        <v>271.32</v>
      </c>
      <c r="K1627" s="795"/>
    </row>
    <row r="1628" spans="1:11" ht="0.95" customHeight="1" thickTop="1">
      <c r="A1628" s="747"/>
      <c r="B1628" s="747"/>
      <c r="C1628" s="747"/>
      <c r="D1628" s="747"/>
      <c r="E1628" s="747"/>
      <c r="F1628" s="747"/>
      <c r="G1628" s="747"/>
      <c r="H1628" s="747"/>
      <c r="I1628" s="747"/>
      <c r="J1628" s="747"/>
      <c r="K1628" s="747"/>
    </row>
    <row r="1629" spans="1:11" ht="18" customHeight="1">
      <c r="A1629" s="738"/>
      <c r="B1629" s="738" t="s">
        <v>60</v>
      </c>
      <c r="C1629" s="739" t="s">
        <v>3312</v>
      </c>
      <c r="D1629" s="738" t="s">
        <v>3602</v>
      </c>
      <c r="E1629" s="738" t="s">
        <v>3313</v>
      </c>
      <c r="F1629" s="738" t="s">
        <v>3390</v>
      </c>
      <c r="G1629" s="740" t="s">
        <v>70</v>
      </c>
      <c r="H1629" s="739" t="s">
        <v>64</v>
      </c>
      <c r="I1629" s="739" t="s">
        <v>3617</v>
      </c>
      <c r="J1629" s="797" t="s">
        <v>474</v>
      </c>
      <c r="K1629" s="795"/>
    </row>
    <row r="1630" spans="1:11" ht="33" customHeight="1">
      <c r="A1630" s="741" t="s">
        <v>4608</v>
      </c>
      <c r="B1630" s="741" t="s">
        <v>5159</v>
      </c>
      <c r="C1630" s="742" t="s">
        <v>3597</v>
      </c>
      <c r="D1630" s="741" t="s">
        <v>3604</v>
      </c>
      <c r="E1630" s="741" t="s">
        <v>3212</v>
      </c>
      <c r="F1630" s="741" t="s">
        <v>3516</v>
      </c>
      <c r="G1630" s="743" t="s">
        <v>57</v>
      </c>
      <c r="H1630" s="742">
        <v>1</v>
      </c>
      <c r="I1630" s="742" t="s">
        <v>4463</v>
      </c>
      <c r="J1630" s="798" t="s">
        <v>4463</v>
      </c>
      <c r="K1630" s="795"/>
    </row>
    <row r="1631" spans="1:11" ht="21.95" customHeight="1">
      <c r="A1631" s="744" t="s">
        <v>4611</v>
      </c>
      <c r="B1631" s="744"/>
      <c r="C1631" s="745" t="s">
        <v>4004</v>
      </c>
      <c r="D1631" s="744" t="s">
        <v>1127</v>
      </c>
      <c r="E1631" s="744" t="s">
        <v>1265</v>
      </c>
      <c r="F1631" s="744" t="s">
        <v>3430</v>
      </c>
      <c r="G1631" s="746" t="s">
        <v>1129</v>
      </c>
      <c r="H1631" s="745" t="s">
        <v>3781</v>
      </c>
      <c r="I1631" s="745" t="s">
        <v>4005</v>
      </c>
      <c r="J1631" s="796">
        <v>8.84</v>
      </c>
      <c r="K1631" s="795"/>
    </row>
    <row r="1632" spans="1:11" ht="21.95" customHeight="1">
      <c r="A1632" s="744" t="s">
        <v>4611</v>
      </c>
      <c r="B1632" s="744"/>
      <c r="C1632" s="745" t="s">
        <v>3633</v>
      </c>
      <c r="D1632" s="744" t="s">
        <v>1127</v>
      </c>
      <c r="E1632" s="744" t="s">
        <v>1146</v>
      </c>
      <c r="F1632" s="744" t="s">
        <v>3430</v>
      </c>
      <c r="G1632" s="746" t="s">
        <v>1129</v>
      </c>
      <c r="H1632" s="745" t="s">
        <v>3781</v>
      </c>
      <c r="I1632" s="745" t="s">
        <v>3635</v>
      </c>
      <c r="J1632" s="796">
        <v>6.94</v>
      </c>
      <c r="K1632" s="795"/>
    </row>
    <row r="1633" spans="1:11" ht="21.95" customHeight="1" thickBot="1">
      <c r="A1633" s="748" t="s">
        <v>4616</v>
      </c>
      <c r="B1633" s="748"/>
      <c r="C1633" s="749" t="s">
        <v>4464</v>
      </c>
      <c r="D1633" s="748" t="s">
        <v>3604</v>
      </c>
      <c r="E1633" s="748" t="s">
        <v>4465</v>
      </c>
      <c r="F1633" s="748" t="s">
        <v>1187</v>
      </c>
      <c r="G1633" s="750" t="s">
        <v>57</v>
      </c>
      <c r="H1633" s="749" t="s">
        <v>3610</v>
      </c>
      <c r="I1633" s="749" t="s">
        <v>4466</v>
      </c>
      <c r="J1633" s="794">
        <v>41.21</v>
      </c>
      <c r="K1633" s="795"/>
    </row>
    <row r="1634" spans="1:11" ht="0.95" customHeight="1" thickTop="1">
      <c r="A1634" s="747"/>
      <c r="B1634" s="747"/>
      <c r="C1634" s="747"/>
      <c r="D1634" s="747"/>
      <c r="E1634" s="747"/>
      <c r="F1634" s="747"/>
      <c r="G1634" s="747"/>
      <c r="H1634" s="747"/>
      <c r="I1634" s="747"/>
      <c r="J1634" s="747"/>
      <c r="K1634" s="747"/>
    </row>
    <row r="1635" spans="1:11" ht="18" customHeight="1">
      <c r="A1635" s="738"/>
      <c r="B1635" s="738" t="s">
        <v>60</v>
      </c>
      <c r="C1635" s="739" t="s">
        <v>3312</v>
      </c>
      <c r="D1635" s="738" t="s">
        <v>3602</v>
      </c>
      <c r="E1635" s="738" t="s">
        <v>3313</v>
      </c>
      <c r="F1635" s="738" t="s">
        <v>3390</v>
      </c>
      <c r="G1635" s="740" t="s">
        <v>70</v>
      </c>
      <c r="H1635" s="739" t="s">
        <v>64</v>
      </c>
      <c r="I1635" s="739" t="s">
        <v>3617</v>
      </c>
      <c r="J1635" s="797" t="s">
        <v>474</v>
      </c>
      <c r="K1635" s="795"/>
    </row>
    <row r="1636" spans="1:11" ht="21.95" customHeight="1">
      <c r="A1636" s="741" t="s">
        <v>4608</v>
      </c>
      <c r="B1636" s="741" t="s">
        <v>5160</v>
      </c>
      <c r="C1636" s="742" t="s">
        <v>3483</v>
      </c>
      <c r="D1636" s="741" t="s">
        <v>3604</v>
      </c>
      <c r="E1636" s="741" t="s">
        <v>5161</v>
      </c>
      <c r="F1636" s="741" t="s">
        <v>3391</v>
      </c>
      <c r="G1636" s="743" t="s">
        <v>57</v>
      </c>
      <c r="H1636" s="742">
        <v>1</v>
      </c>
      <c r="I1636" s="742" t="s">
        <v>4467</v>
      </c>
      <c r="J1636" s="798" t="s">
        <v>4467</v>
      </c>
      <c r="K1636" s="795"/>
    </row>
    <row r="1637" spans="1:11" ht="21.95" customHeight="1">
      <c r="A1637" s="744" t="s">
        <v>4611</v>
      </c>
      <c r="B1637" s="744"/>
      <c r="C1637" s="745" t="s">
        <v>3831</v>
      </c>
      <c r="D1637" s="744" t="s">
        <v>1127</v>
      </c>
      <c r="E1637" s="744" t="s">
        <v>1229</v>
      </c>
      <c r="F1637" s="744" t="s">
        <v>3430</v>
      </c>
      <c r="G1637" s="746" t="s">
        <v>1129</v>
      </c>
      <c r="H1637" s="745" t="s">
        <v>4468</v>
      </c>
      <c r="I1637" s="745" t="s">
        <v>3833</v>
      </c>
      <c r="J1637" s="796">
        <v>89.12</v>
      </c>
      <c r="K1637" s="795"/>
    </row>
    <row r="1638" spans="1:11" ht="21.95" customHeight="1">
      <c r="A1638" s="744" t="s">
        <v>4611</v>
      </c>
      <c r="B1638" s="744"/>
      <c r="C1638" s="745" t="s">
        <v>4469</v>
      </c>
      <c r="D1638" s="744" t="s">
        <v>1127</v>
      </c>
      <c r="E1638" s="744" t="s">
        <v>2481</v>
      </c>
      <c r="F1638" s="744" t="s">
        <v>3430</v>
      </c>
      <c r="G1638" s="746" t="s">
        <v>1129</v>
      </c>
      <c r="H1638" s="745" t="s">
        <v>4468</v>
      </c>
      <c r="I1638" s="745" t="s">
        <v>4470</v>
      </c>
      <c r="J1638" s="796">
        <v>136.27000000000001</v>
      </c>
      <c r="K1638" s="795"/>
    </row>
    <row r="1639" spans="1:11" ht="21.95" customHeight="1" thickBot="1">
      <c r="A1639" s="748" t="s">
        <v>4616</v>
      </c>
      <c r="B1639" s="748"/>
      <c r="C1639" s="749" t="s">
        <v>4471</v>
      </c>
      <c r="D1639" s="748" t="s">
        <v>3604</v>
      </c>
      <c r="E1639" s="748" t="s">
        <v>2482</v>
      </c>
      <c r="F1639" s="748" t="s">
        <v>1187</v>
      </c>
      <c r="G1639" s="750" t="s">
        <v>57</v>
      </c>
      <c r="H1639" s="749" t="s">
        <v>3610</v>
      </c>
      <c r="I1639" s="749" t="s">
        <v>4472</v>
      </c>
      <c r="J1639" s="794">
        <v>2430.8200000000002</v>
      </c>
      <c r="K1639" s="795"/>
    </row>
    <row r="1640" spans="1:11" ht="0.95" customHeight="1" thickTop="1">
      <c r="A1640" s="747"/>
      <c r="B1640" s="747"/>
      <c r="C1640" s="747"/>
      <c r="D1640" s="747"/>
      <c r="E1640" s="747"/>
      <c r="F1640" s="747"/>
      <c r="G1640" s="747"/>
      <c r="H1640" s="747"/>
      <c r="I1640" s="747"/>
      <c r="J1640" s="747"/>
      <c r="K1640" s="747"/>
    </row>
    <row r="1641" spans="1:11" ht="18" customHeight="1">
      <c r="A1641" s="738"/>
      <c r="B1641" s="738" t="s">
        <v>60</v>
      </c>
      <c r="C1641" s="739" t="s">
        <v>3312</v>
      </c>
      <c r="D1641" s="738" t="s">
        <v>3602</v>
      </c>
      <c r="E1641" s="738" t="s">
        <v>3313</v>
      </c>
      <c r="F1641" s="738" t="s">
        <v>3390</v>
      </c>
      <c r="G1641" s="740" t="s">
        <v>70</v>
      </c>
      <c r="H1641" s="739" t="s">
        <v>64</v>
      </c>
      <c r="I1641" s="739" t="s">
        <v>3617</v>
      </c>
      <c r="J1641" s="797" t="s">
        <v>474</v>
      </c>
      <c r="K1641" s="795"/>
    </row>
    <row r="1642" spans="1:11" ht="33" customHeight="1">
      <c r="A1642" s="741" t="s">
        <v>4608</v>
      </c>
      <c r="B1642" s="741" t="s">
        <v>5162</v>
      </c>
      <c r="C1642" s="742" t="s">
        <v>5163</v>
      </c>
      <c r="D1642" s="741" t="s">
        <v>3604</v>
      </c>
      <c r="E1642" s="741" t="s">
        <v>3215</v>
      </c>
      <c r="F1642" s="741" t="s">
        <v>3516</v>
      </c>
      <c r="G1642" s="743" t="s">
        <v>101</v>
      </c>
      <c r="H1642" s="742">
        <v>1</v>
      </c>
      <c r="I1642" s="742" t="s">
        <v>5164</v>
      </c>
      <c r="J1642" s="798" t="s">
        <v>5164</v>
      </c>
      <c r="K1642" s="795"/>
    </row>
    <row r="1643" spans="1:11" ht="21.95" customHeight="1">
      <c r="A1643" s="744" t="s">
        <v>4611</v>
      </c>
      <c r="B1643" s="744"/>
      <c r="C1643" s="745" t="s">
        <v>3625</v>
      </c>
      <c r="D1643" s="744" t="s">
        <v>1127</v>
      </c>
      <c r="E1643" s="744" t="s">
        <v>1296</v>
      </c>
      <c r="F1643" s="744" t="s">
        <v>3430</v>
      </c>
      <c r="G1643" s="746" t="s">
        <v>1129</v>
      </c>
      <c r="H1643" s="745" t="s">
        <v>3884</v>
      </c>
      <c r="I1643" s="745" t="s">
        <v>3627</v>
      </c>
      <c r="J1643" s="796">
        <v>7.41</v>
      </c>
      <c r="K1643" s="795"/>
    </row>
    <row r="1644" spans="1:11" ht="21.95" customHeight="1">
      <c r="A1644" s="744" t="s">
        <v>4611</v>
      </c>
      <c r="B1644" s="744"/>
      <c r="C1644" s="745" t="s">
        <v>3628</v>
      </c>
      <c r="D1644" s="744" t="s">
        <v>1127</v>
      </c>
      <c r="E1644" s="744" t="s">
        <v>1286</v>
      </c>
      <c r="F1644" s="744" t="s">
        <v>3430</v>
      </c>
      <c r="G1644" s="746" t="s">
        <v>1129</v>
      </c>
      <c r="H1644" s="745" t="s">
        <v>3884</v>
      </c>
      <c r="I1644" s="745" t="s">
        <v>3630</v>
      </c>
      <c r="J1644" s="796">
        <v>9.08</v>
      </c>
      <c r="K1644" s="795"/>
    </row>
    <row r="1645" spans="1:11" ht="21.95" customHeight="1" thickBot="1">
      <c r="A1645" s="748" t="s">
        <v>4616</v>
      </c>
      <c r="B1645" s="748"/>
      <c r="C1645" s="749" t="s">
        <v>5165</v>
      </c>
      <c r="D1645" s="748" t="s">
        <v>3604</v>
      </c>
      <c r="E1645" s="748" t="s">
        <v>5166</v>
      </c>
      <c r="F1645" s="748" t="s">
        <v>1187</v>
      </c>
      <c r="G1645" s="750" t="s">
        <v>5</v>
      </c>
      <c r="H1645" s="749" t="s">
        <v>5167</v>
      </c>
      <c r="I1645" s="749" t="s">
        <v>5168</v>
      </c>
      <c r="J1645" s="794">
        <v>53.97</v>
      </c>
      <c r="K1645" s="795"/>
    </row>
    <row r="1646" spans="1:11" ht="0.95" customHeight="1" thickTop="1">
      <c r="A1646" s="747"/>
      <c r="B1646" s="747"/>
      <c r="C1646" s="747"/>
      <c r="D1646" s="747"/>
      <c r="E1646" s="747"/>
      <c r="F1646" s="747"/>
      <c r="G1646" s="747"/>
      <c r="H1646" s="747"/>
      <c r="I1646" s="747"/>
      <c r="J1646" s="747"/>
      <c r="K1646" s="747"/>
    </row>
    <row r="1647" spans="1:11" ht="18" customHeight="1">
      <c r="A1647" s="738"/>
      <c r="B1647" s="738" t="s">
        <v>60</v>
      </c>
      <c r="C1647" s="739" t="s">
        <v>3312</v>
      </c>
      <c r="D1647" s="738" t="s">
        <v>3602</v>
      </c>
      <c r="E1647" s="738" t="s">
        <v>3313</v>
      </c>
      <c r="F1647" s="738" t="s">
        <v>3390</v>
      </c>
      <c r="G1647" s="740" t="s">
        <v>70</v>
      </c>
      <c r="H1647" s="739" t="s">
        <v>64</v>
      </c>
      <c r="I1647" s="739" t="s">
        <v>3617</v>
      </c>
      <c r="J1647" s="797" t="s">
        <v>474</v>
      </c>
      <c r="K1647" s="795"/>
    </row>
    <row r="1648" spans="1:11" ht="21.95" customHeight="1">
      <c r="A1648" s="741" t="s">
        <v>4608</v>
      </c>
      <c r="B1648" s="741" t="s">
        <v>5169</v>
      </c>
      <c r="C1648" s="742" t="s">
        <v>5170</v>
      </c>
      <c r="D1648" s="741" t="s">
        <v>3604</v>
      </c>
      <c r="E1648" s="741" t="s">
        <v>5171</v>
      </c>
      <c r="F1648" s="741" t="s">
        <v>3442</v>
      </c>
      <c r="G1648" s="743" t="s">
        <v>57</v>
      </c>
      <c r="H1648" s="742">
        <v>1</v>
      </c>
      <c r="I1648" s="742" t="s">
        <v>5172</v>
      </c>
      <c r="J1648" s="798" t="s">
        <v>5172</v>
      </c>
      <c r="K1648" s="795"/>
    </row>
    <row r="1649" spans="1:11" ht="21.95" customHeight="1">
      <c r="A1649" s="744" t="s">
        <v>4611</v>
      </c>
      <c r="B1649" s="744"/>
      <c r="C1649" s="745" t="s">
        <v>4004</v>
      </c>
      <c r="D1649" s="744" t="s">
        <v>1127</v>
      </c>
      <c r="E1649" s="744" t="s">
        <v>1265</v>
      </c>
      <c r="F1649" s="744" t="s">
        <v>3430</v>
      </c>
      <c r="G1649" s="746" t="s">
        <v>1129</v>
      </c>
      <c r="H1649" s="745" t="s">
        <v>3626</v>
      </c>
      <c r="I1649" s="745" t="s">
        <v>4005</v>
      </c>
      <c r="J1649" s="796">
        <v>70.72</v>
      </c>
      <c r="K1649" s="795"/>
    </row>
    <row r="1650" spans="1:11" ht="21.95" customHeight="1">
      <c r="A1650" s="744" t="s">
        <v>4611</v>
      </c>
      <c r="B1650" s="744"/>
      <c r="C1650" s="745" t="s">
        <v>4288</v>
      </c>
      <c r="D1650" s="744" t="s">
        <v>1127</v>
      </c>
      <c r="E1650" s="744" t="s">
        <v>1357</v>
      </c>
      <c r="F1650" s="744" t="s">
        <v>3430</v>
      </c>
      <c r="G1650" s="746" t="s">
        <v>1129</v>
      </c>
      <c r="H1650" s="745" t="s">
        <v>3626</v>
      </c>
      <c r="I1650" s="745" t="s">
        <v>4289</v>
      </c>
      <c r="J1650" s="796">
        <v>57.6</v>
      </c>
      <c r="K1650" s="795"/>
    </row>
    <row r="1651" spans="1:11" ht="21.95" customHeight="1" thickBot="1">
      <c r="A1651" s="748" t="s">
        <v>4616</v>
      </c>
      <c r="B1651" s="748"/>
      <c r="C1651" s="749" t="s">
        <v>5173</v>
      </c>
      <c r="D1651" s="748" t="s">
        <v>3604</v>
      </c>
      <c r="E1651" s="748" t="s">
        <v>4563</v>
      </c>
      <c r="F1651" s="748" t="s">
        <v>1187</v>
      </c>
      <c r="G1651" s="750" t="s">
        <v>57</v>
      </c>
      <c r="H1651" s="749" t="s">
        <v>3610</v>
      </c>
      <c r="I1651" s="749" t="s">
        <v>5174</v>
      </c>
      <c r="J1651" s="794">
        <v>1252.67</v>
      </c>
      <c r="K1651" s="795"/>
    </row>
    <row r="1652" spans="1:11" ht="0.95" customHeight="1" thickTop="1">
      <c r="A1652" s="747"/>
      <c r="B1652" s="747"/>
      <c r="C1652" s="747"/>
      <c r="D1652" s="747"/>
      <c r="E1652" s="747"/>
      <c r="F1652" s="747"/>
      <c r="G1652" s="747"/>
      <c r="H1652" s="747"/>
      <c r="I1652" s="747"/>
      <c r="J1652" s="747"/>
      <c r="K1652" s="747"/>
    </row>
    <row r="1653" spans="1:11" ht="18" customHeight="1">
      <c r="A1653" s="738"/>
      <c r="B1653" s="738" t="s">
        <v>60</v>
      </c>
      <c r="C1653" s="739" t="s">
        <v>3312</v>
      </c>
      <c r="D1653" s="738" t="s">
        <v>3602</v>
      </c>
      <c r="E1653" s="738" t="s">
        <v>3313</v>
      </c>
      <c r="F1653" s="738" t="s">
        <v>3390</v>
      </c>
      <c r="G1653" s="740" t="s">
        <v>70</v>
      </c>
      <c r="H1653" s="739" t="s">
        <v>64</v>
      </c>
      <c r="I1653" s="739" t="s">
        <v>3617</v>
      </c>
      <c r="J1653" s="797" t="s">
        <v>474</v>
      </c>
      <c r="K1653" s="795"/>
    </row>
    <row r="1654" spans="1:11" ht="21.95" customHeight="1">
      <c r="A1654" s="741" t="s">
        <v>4608</v>
      </c>
      <c r="B1654" s="741" t="s">
        <v>5175</v>
      </c>
      <c r="C1654" s="742" t="s">
        <v>3525</v>
      </c>
      <c r="D1654" s="741" t="s">
        <v>3604</v>
      </c>
      <c r="E1654" s="741" t="s">
        <v>1533</v>
      </c>
      <c r="F1654" s="741" t="s">
        <v>3442</v>
      </c>
      <c r="G1654" s="743" t="s">
        <v>101</v>
      </c>
      <c r="H1654" s="742">
        <v>1</v>
      </c>
      <c r="I1654" s="742" t="s">
        <v>4292</v>
      </c>
      <c r="J1654" s="798" t="s">
        <v>4292</v>
      </c>
      <c r="K1654" s="795"/>
    </row>
    <row r="1655" spans="1:11" ht="21.95" customHeight="1">
      <c r="A1655" s="744" t="s">
        <v>4611</v>
      </c>
      <c r="B1655" s="744"/>
      <c r="C1655" s="745" t="s">
        <v>4004</v>
      </c>
      <c r="D1655" s="744" t="s">
        <v>1127</v>
      </c>
      <c r="E1655" s="744" t="s">
        <v>1265</v>
      </c>
      <c r="F1655" s="744" t="s">
        <v>3430</v>
      </c>
      <c r="G1655" s="746" t="s">
        <v>1129</v>
      </c>
      <c r="H1655" s="745" t="s">
        <v>4046</v>
      </c>
      <c r="I1655" s="745" t="s">
        <v>4005</v>
      </c>
      <c r="J1655" s="796">
        <v>2.4700000000000002</v>
      </c>
      <c r="K1655" s="795"/>
    </row>
    <row r="1656" spans="1:11" ht="21.95" customHeight="1">
      <c r="A1656" s="744" t="s">
        <v>4611</v>
      </c>
      <c r="B1656" s="744"/>
      <c r="C1656" s="745" t="s">
        <v>3633</v>
      </c>
      <c r="D1656" s="744" t="s">
        <v>1127</v>
      </c>
      <c r="E1656" s="744" t="s">
        <v>1146</v>
      </c>
      <c r="F1656" s="744" t="s">
        <v>3430</v>
      </c>
      <c r="G1656" s="746" t="s">
        <v>1129</v>
      </c>
      <c r="H1656" s="745" t="s">
        <v>4046</v>
      </c>
      <c r="I1656" s="745" t="s">
        <v>3635</v>
      </c>
      <c r="J1656" s="796">
        <v>1.94</v>
      </c>
      <c r="K1656" s="795"/>
    </row>
    <row r="1657" spans="1:11" ht="21.95" customHeight="1" thickBot="1">
      <c r="A1657" s="748" t="s">
        <v>4616</v>
      </c>
      <c r="B1657" s="748"/>
      <c r="C1657" s="749" t="s">
        <v>4293</v>
      </c>
      <c r="D1657" s="748" t="s">
        <v>3604</v>
      </c>
      <c r="E1657" s="748" t="s">
        <v>1533</v>
      </c>
      <c r="F1657" s="748" t="s">
        <v>1187</v>
      </c>
      <c r="G1657" s="750" t="s">
        <v>101</v>
      </c>
      <c r="H1657" s="749" t="s">
        <v>4294</v>
      </c>
      <c r="I1657" s="749" t="s">
        <v>4295</v>
      </c>
      <c r="J1657" s="794">
        <v>4.6399999999999997</v>
      </c>
      <c r="K1657" s="795"/>
    </row>
    <row r="1658" spans="1:11" ht="0.95" customHeight="1" thickTop="1">
      <c r="A1658" s="747"/>
      <c r="B1658" s="747"/>
      <c r="C1658" s="747"/>
      <c r="D1658" s="747"/>
      <c r="E1658" s="747"/>
      <c r="F1658" s="747"/>
      <c r="G1658" s="747"/>
      <c r="H1658" s="747"/>
      <c r="I1658" s="747"/>
      <c r="J1658" s="747"/>
      <c r="K1658" s="747"/>
    </row>
    <row r="1659" spans="1:11" ht="18" customHeight="1">
      <c r="A1659" s="738"/>
      <c r="B1659" s="738" t="s">
        <v>60</v>
      </c>
      <c r="C1659" s="739" t="s">
        <v>3312</v>
      </c>
      <c r="D1659" s="738" t="s">
        <v>3602</v>
      </c>
      <c r="E1659" s="738" t="s">
        <v>3313</v>
      </c>
      <c r="F1659" s="738" t="s">
        <v>3390</v>
      </c>
      <c r="G1659" s="740" t="s">
        <v>70</v>
      </c>
      <c r="H1659" s="739" t="s">
        <v>64</v>
      </c>
      <c r="I1659" s="739" t="s">
        <v>3617</v>
      </c>
      <c r="J1659" s="797" t="s">
        <v>474</v>
      </c>
      <c r="K1659" s="795"/>
    </row>
    <row r="1660" spans="1:11" ht="33" customHeight="1">
      <c r="A1660" s="741" t="s">
        <v>4608</v>
      </c>
      <c r="B1660" s="741" t="s">
        <v>5176</v>
      </c>
      <c r="C1660" s="742" t="s">
        <v>3527</v>
      </c>
      <c r="D1660" s="741" t="s">
        <v>3604</v>
      </c>
      <c r="E1660" s="741" t="s">
        <v>1537</v>
      </c>
      <c r="F1660" s="741" t="s">
        <v>3442</v>
      </c>
      <c r="G1660" s="743" t="s">
        <v>101</v>
      </c>
      <c r="H1660" s="742">
        <v>1</v>
      </c>
      <c r="I1660" s="742" t="s">
        <v>4328</v>
      </c>
      <c r="J1660" s="798" t="s">
        <v>4328</v>
      </c>
      <c r="K1660" s="795"/>
    </row>
    <row r="1661" spans="1:11" ht="21.95" customHeight="1">
      <c r="A1661" s="744" t="s">
        <v>4611</v>
      </c>
      <c r="B1661" s="744"/>
      <c r="C1661" s="745" t="s">
        <v>3633</v>
      </c>
      <c r="D1661" s="744" t="s">
        <v>1127</v>
      </c>
      <c r="E1661" s="744" t="s">
        <v>1146</v>
      </c>
      <c r="F1661" s="744" t="s">
        <v>3430</v>
      </c>
      <c r="G1661" s="746" t="s">
        <v>1129</v>
      </c>
      <c r="H1661" s="745" t="s">
        <v>3906</v>
      </c>
      <c r="I1661" s="745" t="s">
        <v>3635</v>
      </c>
      <c r="J1661" s="796">
        <v>6.24</v>
      </c>
      <c r="K1661" s="795"/>
    </row>
    <row r="1662" spans="1:11" ht="21.95" customHeight="1" thickBot="1">
      <c r="A1662" s="748" t="s">
        <v>4616</v>
      </c>
      <c r="B1662" s="748"/>
      <c r="C1662" s="749" t="s">
        <v>4329</v>
      </c>
      <c r="D1662" s="748" t="s">
        <v>3604</v>
      </c>
      <c r="E1662" s="748" t="s">
        <v>2477</v>
      </c>
      <c r="F1662" s="748" t="s">
        <v>1187</v>
      </c>
      <c r="G1662" s="750" t="s">
        <v>101</v>
      </c>
      <c r="H1662" s="749" t="s">
        <v>4330</v>
      </c>
      <c r="I1662" s="749" t="s">
        <v>4331</v>
      </c>
      <c r="J1662" s="794">
        <v>1.94</v>
      </c>
      <c r="K1662" s="795"/>
    </row>
    <row r="1663" spans="1:11" ht="0.95" customHeight="1" thickTop="1">
      <c r="A1663" s="747"/>
      <c r="B1663" s="747"/>
      <c r="C1663" s="747"/>
      <c r="D1663" s="747"/>
      <c r="E1663" s="747"/>
      <c r="F1663" s="747"/>
      <c r="G1663" s="747"/>
      <c r="H1663" s="747"/>
      <c r="I1663" s="747"/>
      <c r="J1663" s="747"/>
      <c r="K1663" s="747"/>
    </row>
    <row r="1664" spans="1:11" ht="18" customHeight="1">
      <c r="A1664" s="738"/>
      <c r="B1664" s="738" t="s">
        <v>60</v>
      </c>
      <c r="C1664" s="739" t="s">
        <v>3312</v>
      </c>
      <c r="D1664" s="738" t="s">
        <v>3602</v>
      </c>
      <c r="E1664" s="738" t="s">
        <v>3313</v>
      </c>
      <c r="F1664" s="738" t="s">
        <v>3390</v>
      </c>
      <c r="G1664" s="740" t="s">
        <v>70</v>
      </c>
      <c r="H1664" s="739" t="s">
        <v>64</v>
      </c>
      <c r="I1664" s="739" t="s">
        <v>3617</v>
      </c>
      <c r="J1664" s="797" t="s">
        <v>474</v>
      </c>
      <c r="K1664" s="795"/>
    </row>
    <row r="1665" spans="1:11" ht="33" customHeight="1">
      <c r="A1665" s="741" t="s">
        <v>4608</v>
      </c>
      <c r="B1665" s="741" t="s">
        <v>5177</v>
      </c>
      <c r="C1665" s="742" t="s">
        <v>4473</v>
      </c>
      <c r="D1665" s="741" t="s">
        <v>3604</v>
      </c>
      <c r="E1665" s="741" t="s">
        <v>1532</v>
      </c>
      <c r="F1665" s="741" t="s">
        <v>3442</v>
      </c>
      <c r="G1665" s="743" t="s">
        <v>101</v>
      </c>
      <c r="H1665" s="742">
        <v>1</v>
      </c>
      <c r="I1665" s="742" t="s">
        <v>4111</v>
      </c>
      <c r="J1665" s="798" t="s">
        <v>4111</v>
      </c>
      <c r="K1665" s="795"/>
    </row>
    <row r="1666" spans="1:11" ht="21.95" customHeight="1">
      <c r="A1666" s="744" t="s">
        <v>4611</v>
      </c>
      <c r="B1666" s="744"/>
      <c r="C1666" s="745" t="s">
        <v>3633</v>
      </c>
      <c r="D1666" s="744" t="s">
        <v>1127</v>
      </c>
      <c r="E1666" s="744" t="s">
        <v>1146</v>
      </c>
      <c r="F1666" s="744" t="s">
        <v>3430</v>
      </c>
      <c r="G1666" s="746" t="s">
        <v>1129</v>
      </c>
      <c r="H1666" s="745" t="s">
        <v>3906</v>
      </c>
      <c r="I1666" s="745" t="s">
        <v>3635</v>
      </c>
      <c r="J1666" s="796">
        <v>6.24</v>
      </c>
      <c r="K1666" s="795"/>
    </row>
    <row r="1667" spans="1:11" ht="21.95" customHeight="1" thickBot="1">
      <c r="A1667" s="748" t="s">
        <v>4616</v>
      </c>
      <c r="B1667" s="748"/>
      <c r="C1667" s="749" t="s">
        <v>4474</v>
      </c>
      <c r="D1667" s="748" t="s">
        <v>3604</v>
      </c>
      <c r="E1667" s="748" t="s">
        <v>2475</v>
      </c>
      <c r="F1667" s="748" t="s">
        <v>1187</v>
      </c>
      <c r="G1667" s="750" t="s">
        <v>101</v>
      </c>
      <c r="H1667" s="749" t="s">
        <v>4330</v>
      </c>
      <c r="I1667" s="749" t="s">
        <v>4475</v>
      </c>
      <c r="J1667" s="794">
        <v>2.72</v>
      </c>
      <c r="K1667" s="795"/>
    </row>
    <row r="1668" spans="1:11" ht="0.95" customHeight="1" thickTop="1">
      <c r="A1668" s="747"/>
      <c r="B1668" s="747"/>
      <c r="C1668" s="747"/>
      <c r="D1668" s="747"/>
      <c r="E1668" s="747"/>
      <c r="F1668" s="747"/>
      <c r="G1668" s="747"/>
      <c r="H1668" s="747"/>
      <c r="I1668" s="747"/>
      <c r="J1668" s="747"/>
      <c r="K1668" s="747"/>
    </row>
    <row r="1669" spans="1:11" ht="18" customHeight="1">
      <c r="A1669" s="738"/>
      <c r="B1669" s="738" t="s">
        <v>60</v>
      </c>
      <c r="C1669" s="739" t="s">
        <v>3312</v>
      </c>
      <c r="D1669" s="738" t="s">
        <v>3602</v>
      </c>
      <c r="E1669" s="738" t="s">
        <v>3313</v>
      </c>
      <c r="F1669" s="738" t="s">
        <v>3390</v>
      </c>
      <c r="G1669" s="740" t="s">
        <v>70</v>
      </c>
      <c r="H1669" s="739" t="s">
        <v>64</v>
      </c>
      <c r="I1669" s="739" t="s">
        <v>3617</v>
      </c>
      <c r="J1669" s="797" t="s">
        <v>474</v>
      </c>
      <c r="K1669" s="795"/>
    </row>
    <row r="1670" spans="1:11" ht="21.95" customHeight="1">
      <c r="A1670" s="741" t="s">
        <v>4608</v>
      </c>
      <c r="B1670" s="741" t="s">
        <v>5178</v>
      </c>
      <c r="C1670" s="742" t="s">
        <v>3589</v>
      </c>
      <c r="D1670" s="741" t="s">
        <v>3604</v>
      </c>
      <c r="E1670" s="741" t="s">
        <v>3219</v>
      </c>
      <c r="F1670" s="741" t="s">
        <v>3490</v>
      </c>
      <c r="G1670" s="743" t="s">
        <v>108</v>
      </c>
      <c r="H1670" s="742">
        <v>1</v>
      </c>
      <c r="I1670" s="742" t="s">
        <v>4476</v>
      </c>
      <c r="J1670" s="798" t="s">
        <v>4476</v>
      </c>
      <c r="K1670" s="795"/>
    </row>
    <row r="1671" spans="1:11" ht="21.95" customHeight="1">
      <c r="A1671" s="744" t="s">
        <v>4611</v>
      </c>
      <c r="B1671" s="744"/>
      <c r="C1671" s="745" t="s">
        <v>3631</v>
      </c>
      <c r="D1671" s="744" t="s">
        <v>1127</v>
      </c>
      <c r="E1671" s="744" t="s">
        <v>1145</v>
      </c>
      <c r="F1671" s="744" t="s">
        <v>3430</v>
      </c>
      <c r="G1671" s="746" t="s">
        <v>1129</v>
      </c>
      <c r="H1671" s="745" t="s">
        <v>4477</v>
      </c>
      <c r="I1671" s="745" t="s">
        <v>3632</v>
      </c>
      <c r="J1671" s="796">
        <v>65.92</v>
      </c>
      <c r="K1671" s="795"/>
    </row>
    <row r="1672" spans="1:11" ht="21.95" customHeight="1">
      <c r="A1672" s="744" t="s">
        <v>4611</v>
      </c>
      <c r="B1672" s="744"/>
      <c r="C1672" s="745" t="s">
        <v>3633</v>
      </c>
      <c r="D1672" s="744" t="s">
        <v>1127</v>
      </c>
      <c r="E1672" s="744" t="s">
        <v>1146</v>
      </c>
      <c r="F1672" s="744" t="s">
        <v>3430</v>
      </c>
      <c r="G1672" s="746" t="s">
        <v>1129</v>
      </c>
      <c r="H1672" s="745" t="s">
        <v>4478</v>
      </c>
      <c r="I1672" s="745" t="s">
        <v>3635</v>
      </c>
      <c r="J1672" s="796">
        <v>87.72</v>
      </c>
      <c r="K1672" s="795"/>
    </row>
    <row r="1673" spans="1:11" ht="21.95" customHeight="1">
      <c r="A1673" s="748" t="s">
        <v>4616</v>
      </c>
      <c r="B1673" s="748"/>
      <c r="C1673" s="749" t="s">
        <v>3644</v>
      </c>
      <c r="D1673" s="748" t="s">
        <v>1127</v>
      </c>
      <c r="E1673" s="748" t="s">
        <v>1215</v>
      </c>
      <c r="F1673" s="748" t="s">
        <v>1187</v>
      </c>
      <c r="G1673" s="750" t="s">
        <v>284</v>
      </c>
      <c r="H1673" s="749" t="s">
        <v>4479</v>
      </c>
      <c r="I1673" s="749" t="s">
        <v>3646</v>
      </c>
      <c r="J1673" s="794">
        <v>10.57</v>
      </c>
      <c r="K1673" s="795"/>
    </row>
    <row r="1674" spans="1:11" ht="21.95" customHeight="1">
      <c r="A1674" s="748" t="s">
        <v>4616</v>
      </c>
      <c r="B1674" s="748"/>
      <c r="C1674" s="749" t="s">
        <v>3877</v>
      </c>
      <c r="D1674" s="748" t="s">
        <v>1127</v>
      </c>
      <c r="E1674" s="748" t="s">
        <v>1216</v>
      </c>
      <c r="F1674" s="748" t="s">
        <v>1187</v>
      </c>
      <c r="G1674" s="750" t="s">
        <v>94</v>
      </c>
      <c r="H1674" s="749" t="s">
        <v>4480</v>
      </c>
      <c r="I1674" s="749" t="s">
        <v>3879</v>
      </c>
      <c r="J1674" s="794">
        <v>14.59</v>
      </c>
      <c r="K1674" s="795"/>
    </row>
    <row r="1675" spans="1:11" ht="21.95" customHeight="1">
      <c r="A1675" s="748" t="s">
        <v>4616</v>
      </c>
      <c r="B1675" s="748"/>
      <c r="C1675" s="749" t="s">
        <v>4481</v>
      </c>
      <c r="D1675" s="748" t="s">
        <v>1127</v>
      </c>
      <c r="E1675" s="748" t="s">
        <v>4482</v>
      </c>
      <c r="F1675" s="748" t="s">
        <v>1187</v>
      </c>
      <c r="G1675" s="750" t="s">
        <v>284</v>
      </c>
      <c r="H1675" s="749" t="s">
        <v>4483</v>
      </c>
      <c r="I1675" s="749" t="s">
        <v>4484</v>
      </c>
      <c r="J1675" s="794">
        <v>7.17</v>
      </c>
      <c r="K1675" s="795"/>
    </row>
    <row r="1676" spans="1:11" ht="21.95" customHeight="1">
      <c r="A1676" s="748" t="s">
        <v>4616</v>
      </c>
      <c r="B1676" s="748"/>
      <c r="C1676" s="749" t="s">
        <v>3873</v>
      </c>
      <c r="D1676" s="748" t="s">
        <v>1127</v>
      </c>
      <c r="E1676" s="748" t="s">
        <v>1214</v>
      </c>
      <c r="F1676" s="748" t="s">
        <v>1187</v>
      </c>
      <c r="G1676" s="750" t="s">
        <v>94</v>
      </c>
      <c r="H1676" s="749" t="s">
        <v>4485</v>
      </c>
      <c r="I1676" s="749" t="s">
        <v>3875</v>
      </c>
      <c r="J1676" s="794">
        <v>8.9499999999999993</v>
      </c>
      <c r="K1676" s="795"/>
    </row>
    <row r="1677" spans="1:11" ht="21.95" customHeight="1" thickBot="1">
      <c r="A1677" s="748" t="s">
        <v>4616</v>
      </c>
      <c r="B1677" s="748"/>
      <c r="C1677" s="749" t="s">
        <v>3657</v>
      </c>
      <c r="D1677" s="748" t="s">
        <v>1127</v>
      </c>
      <c r="E1677" s="748" t="s">
        <v>1466</v>
      </c>
      <c r="F1677" s="748" t="s">
        <v>1187</v>
      </c>
      <c r="G1677" s="750" t="s">
        <v>57</v>
      </c>
      <c r="H1677" s="749" t="s">
        <v>4486</v>
      </c>
      <c r="I1677" s="749" t="s">
        <v>3658</v>
      </c>
      <c r="J1677" s="794">
        <v>52.47</v>
      </c>
      <c r="K1677" s="795"/>
    </row>
    <row r="1678" spans="1:11" ht="0.95" customHeight="1" thickTop="1">
      <c r="A1678" s="747"/>
      <c r="B1678" s="747"/>
      <c r="C1678" s="747"/>
      <c r="D1678" s="747"/>
      <c r="E1678" s="747"/>
      <c r="F1678" s="747"/>
      <c r="G1678" s="747"/>
      <c r="H1678" s="747"/>
      <c r="I1678" s="747"/>
      <c r="J1678" s="747"/>
      <c r="K1678" s="747"/>
    </row>
    <row r="1679" spans="1:11" ht="18" customHeight="1">
      <c r="A1679" s="738"/>
      <c r="B1679" s="738" t="s">
        <v>60</v>
      </c>
      <c r="C1679" s="739" t="s">
        <v>3312</v>
      </c>
      <c r="D1679" s="738" t="s">
        <v>3602</v>
      </c>
      <c r="E1679" s="738" t="s">
        <v>3313</v>
      </c>
      <c r="F1679" s="738" t="s">
        <v>3390</v>
      </c>
      <c r="G1679" s="740" t="s">
        <v>70</v>
      </c>
      <c r="H1679" s="739" t="s">
        <v>64</v>
      </c>
      <c r="I1679" s="739" t="s">
        <v>3617</v>
      </c>
      <c r="J1679" s="797" t="s">
        <v>474</v>
      </c>
      <c r="K1679" s="795"/>
    </row>
    <row r="1680" spans="1:11" ht="21.95" customHeight="1">
      <c r="A1680" s="741" t="s">
        <v>4608</v>
      </c>
      <c r="B1680" s="741" t="s">
        <v>5179</v>
      </c>
      <c r="C1680" s="742" t="s">
        <v>5180</v>
      </c>
      <c r="D1680" s="741" t="s">
        <v>3604</v>
      </c>
      <c r="E1680" s="741" t="s">
        <v>1524</v>
      </c>
      <c r="F1680" s="741" t="s">
        <v>3442</v>
      </c>
      <c r="G1680" s="743" t="s">
        <v>57</v>
      </c>
      <c r="H1680" s="742">
        <v>1</v>
      </c>
      <c r="I1680" s="742" t="s">
        <v>5181</v>
      </c>
      <c r="J1680" s="798" t="s">
        <v>5181</v>
      </c>
      <c r="K1680" s="795"/>
    </row>
    <row r="1681" spans="1:11" ht="21.95" customHeight="1">
      <c r="A1681" s="744" t="s">
        <v>4611</v>
      </c>
      <c r="B1681" s="744"/>
      <c r="C1681" s="745" t="s">
        <v>3631</v>
      </c>
      <c r="D1681" s="744" t="s">
        <v>1127</v>
      </c>
      <c r="E1681" s="744" t="s">
        <v>1145</v>
      </c>
      <c r="F1681" s="744" t="s">
        <v>3430</v>
      </c>
      <c r="G1681" s="746" t="s">
        <v>1129</v>
      </c>
      <c r="H1681" s="745" t="s">
        <v>4015</v>
      </c>
      <c r="I1681" s="745" t="s">
        <v>3632</v>
      </c>
      <c r="J1681" s="796">
        <v>22.88</v>
      </c>
      <c r="K1681" s="795"/>
    </row>
    <row r="1682" spans="1:11" ht="21.95" customHeight="1">
      <c r="A1682" s="744" t="s">
        <v>4611</v>
      </c>
      <c r="B1682" s="744"/>
      <c r="C1682" s="745" t="s">
        <v>3633</v>
      </c>
      <c r="D1682" s="744" t="s">
        <v>1127</v>
      </c>
      <c r="E1682" s="744" t="s">
        <v>1146</v>
      </c>
      <c r="F1682" s="744" t="s">
        <v>3430</v>
      </c>
      <c r="G1682" s="746" t="s">
        <v>1129</v>
      </c>
      <c r="H1682" s="745" t="s">
        <v>4015</v>
      </c>
      <c r="I1682" s="745" t="s">
        <v>3635</v>
      </c>
      <c r="J1682" s="796">
        <v>18.59</v>
      </c>
      <c r="K1682" s="795"/>
    </row>
    <row r="1683" spans="1:11" ht="21.95" customHeight="1">
      <c r="A1683" s="748" t="s">
        <v>4616</v>
      </c>
      <c r="B1683" s="748"/>
      <c r="C1683" s="749" t="s">
        <v>3914</v>
      </c>
      <c r="D1683" s="748" t="s">
        <v>1127</v>
      </c>
      <c r="E1683" s="748" t="s">
        <v>1223</v>
      </c>
      <c r="F1683" s="748" t="s">
        <v>1187</v>
      </c>
      <c r="G1683" s="750" t="s">
        <v>284</v>
      </c>
      <c r="H1683" s="749" t="s">
        <v>5182</v>
      </c>
      <c r="I1683" s="749" t="s">
        <v>3915</v>
      </c>
      <c r="J1683" s="794">
        <v>0.55000000000000004</v>
      </c>
      <c r="K1683" s="795"/>
    </row>
    <row r="1684" spans="1:11" ht="21.95" customHeight="1">
      <c r="A1684" s="748" t="s">
        <v>4616</v>
      </c>
      <c r="B1684" s="748"/>
      <c r="C1684" s="749" t="s">
        <v>5183</v>
      </c>
      <c r="D1684" s="748" t="s">
        <v>1127</v>
      </c>
      <c r="E1684" s="748" t="s">
        <v>5184</v>
      </c>
      <c r="F1684" s="748" t="s">
        <v>1187</v>
      </c>
      <c r="G1684" s="750" t="s">
        <v>57</v>
      </c>
      <c r="H1684" s="749" t="s">
        <v>3610</v>
      </c>
      <c r="I1684" s="749" t="s">
        <v>5185</v>
      </c>
      <c r="J1684" s="794">
        <v>167.72</v>
      </c>
      <c r="K1684" s="795"/>
    </row>
    <row r="1685" spans="1:11" ht="21.95" customHeight="1" thickBot="1">
      <c r="A1685" s="748" t="s">
        <v>4616</v>
      </c>
      <c r="B1685" s="748"/>
      <c r="C1685" s="749" t="s">
        <v>3877</v>
      </c>
      <c r="D1685" s="748" t="s">
        <v>1127</v>
      </c>
      <c r="E1685" s="748" t="s">
        <v>1216</v>
      </c>
      <c r="F1685" s="748" t="s">
        <v>1187</v>
      </c>
      <c r="G1685" s="750" t="s">
        <v>94</v>
      </c>
      <c r="H1685" s="749" t="s">
        <v>5186</v>
      </c>
      <c r="I1685" s="749" t="s">
        <v>3879</v>
      </c>
      <c r="J1685" s="794">
        <v>2.2799999999999998</v>
      </c>
      <c r="K1685" s="795"/>
    </row>
    <row r="1686" spans="1:11" ht="0.95" customHeight="1" thickTop="1">
      <c r="A1686" s="747"/>
      <c r="B1686" s="747"/>
      <c r="C1686" s="747"/>
      <c r="D1686" s="747"/>
      <c r="E1686" s="747"/>
      <c r="F1686" s="747"/>
      <c r="G1686" s="747"/>
      <c r="H1686" s="747"/>
      <c r="I1686" s="747"/>
      <c r="J1686" s="747"/>
      <c r="K1686" s="747"/>
    </row>
    <row r="1687" spans="1:11" ht="18" customHeight="1">
      <c r="A1687" s="738"/>
      <c r="B1687" s="738" t="s">
        <v>60</v>
      </c>
      <c r="C1687" s="739" t="s">
        <v>3312</v>
      </c>
      <c r="D1687" s="738" t="s">
        <v>3602</v>
      </c>
      <c r="E1687" s="738" t="s">
        <v>3313</v>
      </c>
      <c r="F1687" s="738" t="s">
        <v>3390</v>
      </c>
      <c r="G1687" s="740" t="s">
        <v>70</v>
      </c>
      <c r="H1687" s="739" t="s">
        <v>64</v>
      </c>
      <c r="I1687" s="739" t="s">
        <v>3617</v>
      </c>
      <c r="J1687" s="797" t="s">
        <v>474</v>
      </c>
      <c r="K1687" s="795"/>
    </row>
    <row r="1688" spans="1:11" ht="21.95" customHeight="1">
      <c r="A1688" s="741" t="s">
        <v>4608</v>
      </c>
      <c r="B1688" s="741" t="s">
        <v>5187</v>
      </c>
      <c r="C1688" s="742" t="s">
        <v>4422</v>
      </c>
      <c r="D1688" s="741" t="s">
        <v>3604</v>
      </c>
      <c r="E1688" s="741" t="s">
        <v>5110</v>
      </c>
      <c r="F1688" s="741" t="s">
        <v>3442</v>
      </c>
      <c r="G1688" s="743" t="s">
        <v>101</v>
      </c>
      <c r="H1688" s="742">
        <v>1</v>
      </c>
      <c r="I1688" s="742" t="s">
        <v>4423</v>
      </c>
      <c r="J1688" s="798" t="s">
        <v>4423</v>
      </c>
      <c r="K1688" s="795"/>
    </row>
    <row r="1689" spans="1:11" ht="21.95" customHeight="1">
      <c r="A1689" s="744" t="s">
        <v>4611</v>
      </c>
      <c r="B1689" s="744"/>
      <c r="C1689" s="745" t="s">
        <v>4004</v>
      </c>
      <c r="D1689" s="744" t="s">
        <v>1127</v>
      </c>
      <c r="E1689" s="744" t="s">
        <v>1265</v>
      </c>
      <c r="F1689" s="744" t="s">
        <v>3430</v>
      </c>
      <c r="G1689" s="746" t="s">
        <v>1129</v>
      </c>
      <c r="H1689" s="745" t="s">
        <v>3818</v>
      </c>
      <c r="I1689" s="745" t="s">
        <v>4005</v>
      </c>
      <c r="J1689" s="796">
        <v>7.07</v>
      </c>
      <c r="K1689" s="795"/>
    </row>
    <row r="1690" spans="1:11" ht="21.95" customHeight="1">
      <c r="A1690" s="744" t="s">
        <v>4611</v>
      </c>
      <c r="B1690" s="744"/>
      <c r="C1690" s="745" t="s">
        <v>4288</v>
      </c>
      <c r="D1690" s="744" t="s">
        <v>1127</v>
      </c>
      <c r="E1690" s="744" t="s">
        <v>1357</v>
      </c>
      <c r="F1690" s="744" t="s">
        <v>3430</v>
      </c>
      <c r="G1690" s="746" t="s">
        <v>1129</v>
      </c>
      <c r="H1690" s="745" t="s">
        <v>3818</v>
      </c>
      <c r="I1690" s="745" t="s">
        <v>4289</v>
      </c>
      <c r="J1690" s="796">
        <v>5.76</v>
      </c>
      <c r="K1690" s="795"/>
    </row>
    <row r="1691" spans="1:11" ht="21.95" customHeight="1" thickBot="1">
      <c r="A1691" s="748" t="s">
        <v>4616</v>
      </c>
      <c r="B1691" s="748"/>
      <c r="C1691" s="749" t="s">
        <v>4424</v>
      </c>
      <c r="D1691" s="748" t="s">
        <v>3604</v>
      </c>
      <c r="E1691" s="748" t="s">
        <v>3335</v>
      </c>
      <c r="F1691" s="748" t="s">
        <v>1187</v>
      </c>
      <c r="G1691" s="750" t="s">
        <v>57</v>
      </c>
      <c r="H1691" s="749" t="s">
        <v>3701</v>
      </c>
      <c r="I1691" s="749" t="s">
        <v>4425</v>
      </c>
      <c r="J1691" s="794">
        <v>6.07</v>
      </c>
      <c r="K1691" s="795"/>
    </row>
    <row r="1692" spans="1:11" ht="0.95" customHeight="1" thickTop="1">
      <c r="A1692" s="747"/>
      <c r="B1692" s="747"/>
      <c r="C1692" s="747"/>
      <c r="D1692" s="747"/>
      <c r="E1692" s="747"/>
      <c r="F1692" s="747"/>
      <c r="G1692" s="747"/>
      <c r="H1692" s="747"/>
      <c r="I1692" s="747"/>
      <c r="J1692" s="747"/>
      <c r="K1692" s="747"/>
    </row>
    <row r="1693" spans="1:11" ht="18" customHeight="1">
      <c r="A1693" s="738"/>
      <c r="B1693" s="738" t="s">
        <v>60</v>
      </c>
      <c r="C1693" s="739" t="s">
        <v>3312</v>
      </c>
      <c r="D1693" s="738" t="s">
        <v>3602</v>
      </c>
      <c r="E1693" s="738" t="s">
        <v>3313</v>
      </c>
      <c r="F1693" s="738" t="s">
        <v>3390</v>
      </c>
      <c r="G1693" s="740" t="s">
        <v>70</v>
      </c>
      <c r="H1693" s="739" t="s">
        <v>64</v>
      </c>
      <c r="I1693" s="739" t="s">
        <v>3617</v>
      </c>
      <c r="J1693" s="797" t="s">
        <v>474</v>
      </c>
      <c r="K1693" s="795"/>
    </row>
    <row r="1694" spans="1:11" ht="21.95" customHeight="1">
      <c r="A1694" s="741" t="s">
        <v>4608</v>
      </c>
      <c r="B1694" s="741" t="s">
        <v>5188</v>
      </c>
      <c r="C1694" s="742" t="s">
        <v>4429</v>
      </c>
      <c r="D1694" s="741" t="s">
        <v>3604</v>
      </c>
      <c r="E1694" s="741" t="s">
        <v>3183</v>
      </c>
      <c r="F1694" s="741" t="s">
        <v>3442</v>
      </c>
      <c r="G1694" s="743" t="s">
        <v>57</v>
      </c>
      <c r="H1694" s="742">
        <v>1</v>
      </c>
      <c r="I1694" s="742" t="s">
        <v>4430</v>
      </c>
      <c r="J1694" s="798" t="s">
        <v>4430</v>
      </c>
      <c r="K1694" s="795"/>
    </row>
    <row r="1695" spans="1:11" ht="21.95" customHeight="1">
      <c r="A1695" s="744" t="s">
        <v>4611</v>
      </c>
      <c r="B1695" s="744"/>
      <c r="C1695" s="745" t="s">
        <v>4004</v>
      </c>
      <c r="D1695" s="744" t="s">
        <v>1127</v>
      </c>
      <c r="E1695" s="744" t="s">
        <v>1265</v>
      </c>
      <c r="F1695" s="744" t="s">
        <v>3430</v>
      </c>
      <c r="G1695" s="746" t="s">
        <v>1129</v>
      </c>
      <c r="H1695" s="745" t="s">
        <v>4358</v>
      </c>
      <c r="I1695" s="745" t="s">
        <v>4005</v>
      </c>
      <c r="J1695" s="796">
        <v>1.76</v>
      </c>
      <c r="K1695" s="795"/>
    </row>
    <row r="1696" spans="1:11" ht="21.95" customHeight="1">
      <c r="A1696" s="744" t="s">
        <v>4611</v>
      </c>
      <c r="B1696" s="744"/>
      <c r="C1696" s="745" t="s">
        <v>4288</v>
      </c>
      <c r="D1696" s="744" t="s">
        <v>1127</v>
      </c>
      <c r="E1696" s="744" t="s">
        <v>1357</v>
      </c>
      <c r="F1696" s="744" t="s">
        <v>3430</v>
      </c>
      <c r="G1696" s="746" t="s">
        <v>1129</v>
      </c>
      <c r="H1696" s="745" t="s">
        <v>4141</v>
      </c>
      <c r="I1696" s="745" t="s">
        <v>4289</v>
      </c>
      <c r="J1696" s="796">
        <v>0.72</v>
      </c>
      <c r="K1696" s="795"/>
    </row>
    <row r="1697" spans="1:11" ht="21.95" customHeight="1" thickBot="1">
      <c r="A1697" s="748" t="s">
        <v>4616</v>
      </c>
      <c r="B1697" s="748"/>
      <c r="C1697" s="749" t="s">
        <v>4431</v>
      </c>
      <c r="D1697" s="748" t="s">
        <v>3604</v>
      </c>
      <c r="E1697" s="748" t="s">
        <v>3183</v>
      </c>
      <c r="F1697" s="748" t="s">
        <v>1187</v>
      </c>
      <c r="G1697" s="750" t="s">
        <v>57</v>
      </c>
      <c r="H1697" s="749" t="s">
        <v>3610</v>
      </c>
      <c r="I1697" s="749" t="s">
        <v>4345</v>
      </c>
      <c r="J1697" s="794">
        <v>1.65</v>
      </c>
      <c r="K1697" s="795"/>
    </row>
    <row r="1698" spans="1:11" ht="0.95" customHeight="1" thickTop="1">
      <c r="A1698" s="747"/>
      <c r="B1698" s="747"/>
      <c r="C1698" s="747"/>
      <c r="D1698" s="747"/>
      <c r="E1698" s="747"/>
      <c r="F1698" s="747"/>
      <c r="G1698" s="747"/>
      <c r="H1698" s="747"/>
      <c r="I1698" s="747"/>
      <c r="J1698" s="747"/>
      <c r="K1698" s="747"/>
    </row>
    <row r="1699" spans="1:11" ht="18" customHeight="1">
      <c r="A1699" s="738"/>
      <c r="B1699" s="738" t="s">
        <v>60</v>
      </c>
      <c r="C1699" s="739" t="s">
        <v>3312</v>
      </c>
      <c r="D1699" s="738" t="s">
        <v>3602</v>
      </c>
      <c r="E1699" s="738" t="s">
        <v>3313</v>
      </c>
      <c r="F1699" s="738" t="s">
        <v>3390</v>
      </c>
      <c r="G1699" s="740" t="s">
        <v>70</v>
      </c>
      <c r="H1699" s="739" t="s">
        <v>64</v>
      </c>
      <c r="I1699" s="739" t="s">
        <v>3617</v>
      </c>
      <c r="J1699" s="797" t="s">
        <v>474</v>
      </c>
      <c r="K1699" s="795"/>
    </row>
    <row r="1700" spans="1:11" ht="21.95" customHeight="1">
      <c r="A1700" s="741" t="s">
        <v>4608</v>
      </c>
      <c r="B1700" s="741" t="s">
        <v>5189</v>
      </c>
      <c r="C1700" s="742" t="s">
        <v>4432</v>
      </c>
      <c r="D1700" s="741" t="s">
        <v>3604</v>
      </c>
      <c r="E1700" s="741" t="s">
        <v>5115</v>
      </c>
      <c r="F1700" s="741" t="s">
        <v>3442</v>
      </c>
      <c r="G1700" s="743" t="s">
        <v>57</v>
      </c>
      <c r="H1700" s="742">
        <v>1</v>
      </c>
      <c r="I1700" s="742" t="s">
        <v>4433</v>
      </c>
      <c r="J1700" s="798" t="s">
        <v>4433</v>
      </c>
      <c r="K1700" s="795"/>
    </row>
    <row r="1701" spans="1:11" ht="21.95" customHeight="1">
      <c r="A1701" s="744" t="s">
        <v>4611</v>
      </c>
      <c r="B1701" s="744"/>
      <c r="C1701" s="745" t="s">
        <v>4004</v>
      </c>
      <c r="D1701" s="744" t="s">
        <v>1127</v>
      </c>
      <c r="E1701" s="744" t="s">
        <v>1265</v>
      </c>
      <c r="F1701" s="744" t="s">
        <v>3430</v>
      </c>
      <c r="G1701" s="746" t="s">
        <v>1129</v>
      </c>
      <c r="H1701" s="745" t="s">
        <v>3818</v>
      </c>
      <c r="I1701" s="745" t="s">
        <v>4005</v>
      </c>
      <c r="J1701" s="796">
        <v>7.07</v>
      </c>
      <c r="K1701" s="795"/>
    </row>
    <row r="1702" spans="1:11" ht="21.95" customHeight="1">
      <c r="A1702" s="744" t="s">
        <v>4611</v>
      </c>
      <c r="B1702" s="744"/>
      <c r="C1702" s="745" t="s">
        <v>4288</v>
      </c>
      <c r="D1702" s="744" t="s">
        <v>1127</v>
      </c>
      <c r="E1702" s="744" t="s">
        <v>1357</v>
      </c>
      <c r="F1702" s="744" t="s">
        <v>3430</v>
      </c>
      <c r="G1702" s="746" t="s">
        <v>1129</v>
      </c>
      <c r="H1702" s="745" t="s">
        <v>3820</v>
      </c>
      <c r="I1702" s="745" t="s">
        <v>4289</v>
      </c>
      <c r="J1702" s="796">
        <v>2.88</v>
      </c>
      <c r="K1702" s="795"/>
    </row>
    <row r="1703" spans="1:11" ht="21.95" customHeight="1" thickBot="1">
      <c r="A1703" s="748" t="s">
        <v>4616</v>
      </c>
      <c r="B1703" s="748"/>
      <c r="C1703" s="749" t="s">
        <v>4434</v>
      </c>
      <c r="D1703" s="748" t="s">
        <v>3604</v>
      </c>
      <c r="E1703" s="748" t="s">
        <v>3185</v>
      </c>
      <c r="F1703" s="748" t="s">
        <v>1187</v>
      </c>
      <c r="G1703" s="750" t="s">
        <v>4230</v>
      </c>
      <c r="H1703" s="749" t="s">
        <v>3610</v>
      </c>
      <c r="I1703" s="749" t="s">
        <v>4230</v>
      </c>
      <c r="J1703" s="794">
        <v>4.47</v>
      </c>
      <c r="K1703" s="795"/>
    </row>
    <row r="1704" spans="1:11" ht="0.95" customHeight="1" thickTop="1">
      <c r="A1704" s="747"/>
      <c r="B1704" s="747"/>
      <c r="C1704" s="747"/>
      <c r="D1704" s="747"/>
      <c r="E1704" s="747"/>
      <c r="F1704" s="747"/>
      <c r="G1704" s="747"/>
      <c r="H1704" s="747"/>
      <c r="I1704" s="747"/>
      <c r="J1704" s="747"/>
      <c r="K1704" s="747"/>
    </row>
    <row r="1705" spans="1:11" ht="18" customHeight="1">
      <c r="A1705" s="738"/>
      <c r="B1705" s="738" t="s">
        <v>60</v>
      </c>
      <c r="C1705" s="739" t="s">
        <v>3312</v>
      </c>
      <c r="D1705" s="738" t="s">
        <v>3602</v>
      </c>
      <c r="E1705" s="738" t="s">
        <v>3313</v>
      </c>
      <c r="F1705" s="738" t="s">
        <v>3390</v>
      </c>
      <c r="G1705" s="740" t="s">
        <v>70</v>
      </c>
      <c r="H1705" s="739" t="s">
        <v>64</v>
      </c>
      <c r="I1705" s="739" t="s">
        <v>3617</v>
      </c>
      <c r="J1705" s="797" t="s">
        <v>474</v>
      </c>
      <c r="K1705" s="795"/>
    </row>
    <row r="1706" spans="1:11" ht="21.95" customHeight="1">
      <c r="A1706" s="741" t="s">
        <v>4608</v>
      </c>
      <c r="B1706" s="741" t="s">
        <v>5190</v>
      </c>
      <c r="C1706" s="742" t="s">
        <v>3441</v>
      </c>
      <c r="D1706" s="741" t="s">
        <v>3604</v>
      </c>
      <c r="E1706" s="741" t="s">
        <v>898</v>
      </c>
      <c r="F1706" s="741" t="s">
        <v>3442</v>
      </c>
      <c r="G1706" s="743" t="s">
        <v>57</v>
      </c>
      <c r="H1706" s="742">
        <v>1</v>
      </c>
      <c r="I1706" s="742" t="s">
        <v>4364</v>
      </c>
      <c r="J1706" s="798" t="s">
        <v>4364</v>
      </c>
      <c r="K1706" s="795"/>
    </row>
    <row r="1707" spans="1:11" ht="21.95" customHeight="1">
      <c r="A1707" s="744" t="s">
        <v>4611</v>
      </c>
      <c r="B1707" s="744"/>
      <c r="C1707" s="745" t="s">
        <v>4288</v>
      </c>
      <c r="D1707" s="744" t="s">
        <v>1127</v>
      </c>
      <c r="E1707" s="744" t="s">
        <v>1357</v>
      </c>
      <c r="F1707" s="744" t="s">
        <v>3430</v>
      </c>
      <c r="G1707" s="746" t="s">
        <v>1129</v>
      </c>
      <c r="H1707" s="745" t="s">
        <v>3822</v>
      </c>
      <c r="I1707" s="745" t="s">
        <v>4289</v>
      </c>
      <c r="J1707" s="796">
        <v>3.6</v>
      </c>
      <c r="K1707" s="795"/>
    </row>
    <row r="1708" spans="1:11" ht="21.95" customHeight="1" thickBot="1">
      <c r="A1708" s="748" t="s">
        <v>4616</v>
      </c>
      <c r="B1708" s="748"/>
      <c r="C1708" s="749" t="s">
        <v>4365</v>
      </c>
      <c r="D1708" s="748" t="s">
        <v>1127</v>
      </c>
      <c r="E1708" s="748" t="s">
        <v>1426</v>
      </c>
      <c r="F1708" s="748" t="s">
        <v>1187</v>
      </c>
      <c r="G1708" s="750" t="s">
        <v>57</v>
      </c>
      <c r="H1708" s="749" t="s">
        <v>3610</v>
      </c>
      <c r="I1708" s="749" t="s">
        <v>3962</v>
      </c>
      <c r="J1708" s="794">
        <v>1.01</v>
      </c>
      <c r="K1708" s="795"/>
    </row>
    <row r="1709" spans="1:11" ht="0.95" customHeight="1" thickTop="1">
      <c r="A1709" s="747"/>
      <c r="B1709" s="747"/>
      <c r="C1709" s="747"/>
      <c r="D1709" s="747"/>
      <c r="E1709" s="747"/>
      <c r="F1709" s="747"/>
      <c r="G1709" s="747"/>
      <c r="H1709" s="747"/>
      <c r="I1709" s="747"/>
      <c r="J1709" s="747"/>
      <c r="K1709" s="747"/>
    </row>
    <row r="1710" spans="1:11" ht="18" customHeight="1">
      <c r="A1710" s="738"/>
      <c r="B1710" s="738" t="s">
        <v>60</v>
      </c>
      <c r="C1710" s="739" t="s">
        <v>3312</v>
      </c>
      <c r="D1710" s="738" t="s">
        <v>3602</v>
      </c>
      <c r="E1710" s="738" t="s">
        <v>3313</v>
      </c>
      <c r="F1710" s="738" t="s">
        <v>3390</v>
      </c>
      <c r="G1710" s="740" t="s">
        <v>70</v>
      </c>
      <c r="H1710" s="739" t="s">
        <v>64</v>
      </c>
      <c r="I1710" s="739" t="s">
        <v>3617</v>
      </c>
      <c r="J1710" s="797" t="s">
        <v>474</v>
      </c>
      <c r="K1710" s="795"/>
    </row>
    <row r="1711" spans="1:11" ht="21.95" customHeight="1">
      <c r="A1711" s="741" t="s">
        <v>4608</v>
      </c>
      <c r="B1711" s="741" t="s">
        <v>5191</v>
      </c>
      <c r="C1711" s="742" t="s">
        <v>3446</v>
      </c>
      <c r="D1711" s="741" t="s">
        <v>3604</v>
      </c>
      <c r="E1711" s="741" t="s">
        <v>930</v>
      </c>
      <c r="F1711" s="741" t="s">
        <v>3442</v>
      </c>
      <c r="G1711" s="743" t="s">
        <v>57</v>
      </c>
      <c r="H1711" s="742">
        <v>1</v>
      </c>
      <c r="I1711" s="742" t="s">
        <v>4487</v>
      </c>
      <c r="J1711" s="798" t="s">
        <v>4487</v>
      </c>
      <c r="K1711" s="795"/>
    </row>
    <row r="1712" spans="1:11" ht="21.95" customHeight="1">
      <c r="A1712" s="744" t="s">
        <v>4611</v>
      </c>
      <c r="B1712" s="744"/>
      <c r="C1712" s="745" t="s">
        <v>4004</v>
      </c>
      <c r="D1712" s="744" t="s">
        <v>1127</v>
      </c>
      <c r="E1712" s="744" t="s">
        <v>1265</v>
      </c>
      <c r="F1712" s="744" t="s">
        <v>3430</v>
      </c>
      <c r="G1712" s="746" t="s">
        <v>1129</v>
      </c>
      <c r="H1712" s="745" t="s">
        <v>3781</v>
      </c>
      <c r="I1712" s="745" t="s">
        <v>4005</v>
      </c>
      <c r="J1712" s="796">
        <v>8.84</v>
      </c>
      <c r="K1712" s="795"/>
    </row>
    <row r="1713" spans="1:11" ht="21.95" customHeight="1" thickBot="1">
      <c r="A1713" s="748" t="s">
        <v>4616</v>
      </c>
      <c r="B1713" s="748"/>
      <c r="C1713" s="749" t="s">
        <v>4488</v>
      </c>
      <c r="D1713" s="748" t="s">
        <v>1127</v>
      </c>
      <c r="E1713" s="748" t="s">
        <v>4489</v>
      </c>
      <c r="F1713" s="748" t="s">
        <v>1187</v>
      </c>
      <c r="G1713" s="750" t="s">
        <v>57</v>
      </c>
      <c r="H1713" s="749" t="s">
        <v>3610</v>
      </c>
      <c r="I1713" s="749" t="s">
        <v>4490</v>
      </c>
      <c r="J1713" s="794">
        <v>25.71</v>
      </c>
      <c r="K1713" s="795"/>
    </row>
    <row r="1714" spans="1:11" ht="0.95" customHeight="1" thickTop="1">
      <c r="A1714" s="747"/>
      <c r="B1714" s="747"/>
      <c r="C1714" s="747"/>
      <c r="D1714" s="747"/>
      <c r="E1714" s="747"/>
      <c r="F1714" s="747"/>
      <c r="G1714" s="747"/>
      <c r="H1714" s="747"/>
      <c r="I1714" s="747"/>
      <c r="J1714" s="747"/>
      <c r="K1714" s="747"/>
    </row>
    <row r="1715" spans="1:11" ht="18" customHeight="1">
      <c r="A1715" s="738"/>
      <c r="B1715" s="738" t="s">
        <v>60</v>
      </c>
      <c r="C1715" s="739" t="s">
        <v>3312</v>
      </c>
      <c r="D1715" s="738" t="s">
        <v>3602</v>
      </c>
      <c r="E1715" s="738" t="s">
        <v>3313</v>
      </c>
      <c r="F1715" s="738" t="s">
        <v>3390</v>
      </c>
      <c r="G1715" s="740" t="s">
        <v>70</v>
      </c>
      <c r="H1715" s="739" t="s">
        <v>64</v>
      </c>
      <c r="I1715" s="739" t="s">
        <v>3617</v>
      </c>
      <c r="J1715" s="797" t="s">
        <v>474</v>
      </c>
      <c r="K1715" s="795"/>
    </row>
    <row r="1716" spans="1:11" ht="21.95" customHeight="1">
      <c r="A1716" s="741" t="s">
        <v>4608</v>
      </c>
      <c r="B1716" s="741" t="s">
        <v>5192</v>
      </c>
      <c r="C1716" s="742" t="s">
        <v>5193</v>
      </c>
      <c r="D1716" s="741" t="s">
        <v>3604</v>
      </c>
      <c r="E1716" s="741" t="s">
        <v>5194</v>
      </c>
      <c r="F1716" s="741" t="s">
        <v>3442</v>
      </c>
      <c r="G1716" s="743" t="s">
        <v>57</v>
      </c>
      <c r="H1716" s="742">
        <v>1</v>
      </c>
      <c r="I1716" s="742" t="s">
        <v>5195</v>
      </c>
      <c r="J1716" s="798" t="s">
        <v>5195</v>
      </c>
      <c r="K1716" s="795"/>
    </row>
    <row r="1717" spans="1:11" ht="21.95" customHeight="1">
      <c r="A1717" s="744" t="s">
        <v>4611</v>
      </c>
      <c r="B1717" s="744"/>
      <c r="C1717" s="745" t="s">
        <v>4004</v>
      </c>
      <c r="D1717" s="744" t="s">
        <v>1127</v>
      </c>
      <c r="E1717" s="744" t="s">
        <v>1265</v>
      </c>
      <c r="F1717" s="744" t="s">
        <v>3430</v>
      </c>
      <c r="G1717" s="746" t="s">
        <v>1129</v>
      </c>
      <c r="H1717" s="745" t="s">
        <v>3610</v>
      </c>
      <c r="I1717" s="745" t="s">
        <v>4005</v>
      </c>
      <c r="J1717" s="796">
        <v>17.68</v>
      </c>
      <c r="K1717" s="795"/>
    </row>
    <row r="1718" spans="1:11" ht="21.95" customHeight="1">
      <c r="A1718" s="744" t="s">
        <v>4611</v>
      </c>
      <c r="B1718" s="744"/>
      <c r="C1718" s="745" t="s">
        <v>4288</v>
      </c>
      <c r="D1718" s="744" t="s">
        <v>1127</v>
      </c>
      <c r="E1718" s="744" t="s">
        <v>1357</v>
      </c>
      <c r="F1718" s="744" t="s">
        <v>3430</v>
      </c>
      <c r="G1718" s="746" t="s">
        <v>1129</v>
      </c>
      <c r="H1718" s="745" t="s">
        <v>3610</v>
      </c>
      <c r="I1718" s="745" t="s">
        <v>4289</v>
      </c>
      <c r="J1718" s="796">
        <v>14.4</v>
      </c>
      <c r="K1718" s="795"/>
    </row>
    <row r="1719" spans="1:11" ht="21.95" customHeight="1" thickBot="1">
      <c r="A1719" s="748" t="s">
        <v>4616</v>
      </c>
      <c r="B1719" s="748"/>
      <c r="C1719" s="749" t="s">
        <v>5196</v>
      </c>
      <c r="D1719" s="748" t="s">
        <v>3604</v>
      </c>
      <c r="E1719" s="748" t="s">
        <v>5197</v>
      </c>
      <c r="F1719" s="748" t="s">
        <v>1187</v>
      </c>
      <c r="G1719" s="750" t="s">
        <v>57</v>
      </c>
      <c r="H1719" s="749" t="s">
        <v>3610</v>
      </c>
      <c r="I1719" s="749" t="s">
        <v>5198</v>
      </c>
      <c r="J1719" s="794">
        <v>210.87</v>
      </c>
      <c r="K1719" s="795"/>
    </row>
    <row r="1720" spans="1:11" ht="0.95" customHeight="1" thickTop="1">
      <c r="A1720" s="747"/>
      <c r="B1720" s="747"/>
      <c r="C1720" s="747"/>
      <c r="D1720" s="747"/>
      <c r="E1720" s="747"/>
      <c r="F1720" s="747"/>
      <c r="G1720" s="747"/>
      <c r="H1720" s="747"/>
      <c r="I1720" s="747"/>
      <c r="J1720" s="747"/>
      <c r="K1720" s="747"/>
    </row>
    <row r="1721" spans="1:11" ht="50.1" customHeight="1" thickBot="1">
      <c r="A1721" s="799" t="s">
        <v>5199</v>
      </c>
      <c r="B1721" s="795"/>
      <c r="C1721" s="795"/>
      <c r="D1721" s="795"/>
      <c r="E1721" s="795"/>
      <c r="F1721" s="795"/>
      <c r="G1721" s="795"/>
      <c r="H1721" s="795"/>
      <c r="I1721" s="795"/>
      <c r="J1721" s="795"/>
      <c r="K1721" s="795"/>
    </row>
    <row r="1722" spans="1:11" ht="0.95" customHeight="1" thickTop="1">
      <c r="A1722" s="747"/>
      <c r="B1722" s="747"/>
      <c r="C1722" s="747"/>
      <c r="D1722" s="747"/>
      <c r="E1722" s="747"/>
      <c r="F1722" s="747"/>
      <c r="G1722" s="747"/>
      <c r="H1722" s="747"/>
      <c r="I1722" s="747"/>
      <c r="J1722" s="747"/>
      <c r="K1722" s="747"/>
    </row>
    <row r="1723" spans="1:11" ht="18" customHeight="1">
      <c r="A1723" s="738"/>
      <c r="B1723" s="738" t="s">
        <v>60</v>
      </c>
      <c r="C1723" s="739" t="s">
        <v>3312</v>
      </c>
      <c r="D1723" s="738" t="s">
        <v>3602</v>
      </c>
      <c r="E1723" s="738" t="s">
        <v>3313</v>
      </c>
      <c r="F1723" s="738" t="s">
        <v>3390</v>
      </c>
      <c r="G1723" s="740" t="s">
        <v>70</v>
      </c>
      <c r="H1723" s="739" t="s">
        <v>64</v>
      </c>
      <c r="I1723" s="739" t="s">
        <v>3617</v>
      </c>
      <c r="J1723" s="797" t="s">
        <v>474</v>
      </c>
      <c r="K1723" s="795"/>
    </row>
    <row r="1724" spans="1:11" ht="21.95" customHeight="1">
      <c r="A1724" s="741" t="s">
        <v>4608</v>
      </c>
      <c r="B1724" s="741"/>
      <c r="C1724" s="742" t="s">
        <v>3436</v>
      </c>
      <c r="D1724" s="741" t="s">
        <v>3604</v>
      </c>
      <c r="E1724" s="741" t="s">
        <v>1340</v>
      </c>
      <c r="F1724" s="741" t="s">
        <v>3410</v>
      </c>
      <c r="G1724" s="743" t="s">
        <v>108</v>
      </c>
      <c r="H1724" s="742">
        <v>1</v>
      </c>
      <c r="I1724" s="742" t="s">
        <v>5034</v>
      </c>
      <c r="J1724" s="798" t="s">
        <v>5034</v>
      </c>
      <c r="K1724" s="795"/>
    </row>
    <row r="1725" spans="1:11" ht="21.95" customHeight="1">
      <c r="A1725" s="744" t="s">
        <v>4611</v>
      </c>
      <c r="B1725" s="744"/>
      <c r="C1725" s="745" t="s">
        <v>3664</v>
      </c>
      <c r="D1725" s="744" t="s">
        <v>1127</v>
      </c>
      <c r="E1725" s="744" t="s">
        <v>1134</v>
      </c>
      <c r="F1725" s="744" t="s">
        <v>3430</v>
      </c>
      <c r="G1725" s="746" t="s">
        <v>1129</v>
      </c>
      <c r="H1725" s="745" t="s">
        <v>4189</v>
      </c>
      <c r="I1725" s="745" t="s">
        <v>4619</v>
      </c>
      <c r="J1725" s="796">
        <v>0.5</v>
      </c>
      <c r="K1725" s="795"/>
    </row>
    <row r="1726" spans="1:11" ht="21.95" customHeight="1">
      <c r="A1726" s="744" t="s">
        <v>4611</v>
      </c>
      <c r="B1726" s="744"/>
      <c r="C1726" s="745" t="s">
        <v>3633</v>
      </c>
      <c r="D1726" s="744" t="s">
        <v>1127</v>
      </c>
      <c r="E1726" s="744" t="s">
        <v>1146</v>
      </c>
      <c r="F1726" s="744" t="s">
        <v>3430</v>
      </c>
      <c r="G1726" s="746" t="s">
        <v>1129</v>
      </c>
      <c r="H1726" s="745" t="s">
        <v>3748</v>
      </c>
      <c r="I1726" s="745" t="s">
        <v>3635</v>
      </c>
      <c r="J1726" s="796">
        <v>0.83</v>
      </c>
      <c r="K1726" s="795"/>
    </row>
    <row r="1727" spans="1:11" ht="21.95" customHeight="1">
      <c r="A1727" s="748" t="s">
        <v>4616</v>
      </c>
      <c r="B1727" s="748"/>
      <c r="C1727" s="749" t="s">
        <v>3668</v>
      </c>
      <c r="D1727" s="748" t="s">
        <v>1127</v>
      </c>
      <c r="E1727" s="748" t="s">
        <v>1137</v>
      </c>
      <c r="F1727" s="748" t="s">
        <v>1187</v>
      </c>
      <c r="G1727" s="750" t="s">
        <v>94</v>
      </c>
      <c r="H1727" s="749" t="s">
        <v>5200</v>
      </c>
      <c r="I1727" s="749" t="s">
        <v>3670</v>
      </c>
      <c r="J1727" s="794">
        <v>0.11</v>
      </c>
      <c r="K1727" s="795"/>
    </row>
    <row r="1728" spans="1:11" ht="33" customHeight="1" thickBot="1">
      <c r="A1728" s="748" t="s">
        <v>4616</v>
      </c>
      <c r="B1728" s="748"/>
      <c r="C1728" s="749" t="s">
        <v>4491</v>
      </c>
      <c r="D1728" s="748" t="s">
        <v>1127</v>
      </c>
      <c r="E1728" s="748" t="s">
        <v>4492</v>
      </c>
      <c r="F1728" s="748" t="s">
        <v>1187</v>
      </c>
      <c r="G1728" s="750" t="s">
        <v>108</v>
      </c>
      <c r="H1728" s="749" t="s">
        <v>4493</v>
      </c>
      <c r="I1728" s="749" t="s">
        <v>4494</v>
      </c>
      <c r="J1728" s="794">
        <v>18.45</v>
      </c>
      <c r="K1728" s="795"/>
    </row>
    <row r="1729" spans="1:11" ht="0.95" customHeight="1" thickTop="1" thickBot="1">
      <c r="A1729" s="747"/>
      <c r="B1729" s="747"/>
      <c r="C1729" s="747"/>
      <c r="D1729" s="747"/>
      <c r="E1729" s="747"/>
      <c r="F1729" s="747"/>
      <c r="G1729" s="747"/>
      <c r="H1729" s="747"/>
      <c r="I1729" s="747"/>
      <c r="J1729" s="747"/>
      <c r="K1729" s="747"/>
    </row>
    <row r="1730" spans="1:11" ht="0.95" customHeight="1" thickTop="1">
      <c r="A1730" s="747"/>
      <c r="B1730" s="747"/>
      <c r="C1730" s="747"/>
      <c r="D1730" s="747"/>
      <c r="E1730" s="747"/>
      <c r="F1730" s="747"/>
      <c r="G1730" s="747"/>
      <c r="H1730" s="747"/>
      <c r="I1730" s="747"/>
      <c r="J1730" s="747"/>
      <c r="K1730" s="747"/>
    </row>
    <row r="1731" spans="1:11" ht="18" customHeight="1">
      <c r="A1731" s="738"/>
      <c r="B1731" s="738" t="s">
        <v>60</v>
      </c>
      <c r="C1731" s="739" t="s">
        <v>3312</v>
      </c>
      <c r="D1731" s="738" t="s">
        <v>3602</v>
      </c>
      <c r="E1731" s="738" t="s">
        <v>3313</v>
      </c>
      <c r="F1731" s="738" t="s">
        <v>3390</v>
      </c>
      <c r="G1731" s="740" t="s">
        <v>70</v>
      </c>
      <c r="H1731" s="739" t="s">
        <v>64</v>
      </c>
      <c r="I1731" s="739" t="s">
        <v>3617</v>
      </c>
      <c r="J1731" s="797" t="s">
        <v>474</v>
      </c>
      <c r="K1731" s="795"/>
    </row>
    <row r="1732" spans="1:11" ht="21.95" customHeight="1">
      <c r="A1732" s="741" t="s">
        <v>4608</v>
      </c>
      <c r="B1732" s="741"/>
      <c r="C1732" s="742" t="s">
        <v>3471</v>
      </c>
      <c r="D1732" s="741" t="s">
        <v>3604</v>
      </c>
      <c r="E1732" s="741" t="s">
        <v>3472</v>
      </c>
      <c r="F1732" s="741" t="s">
        <v>3391</v>
      </c>
      <c r="G1732" s="743" t="s">
        <v>57</v>
      </c>
      <c r="H1732" s="742">
        <v>1</v>
      </c>
      <c r="I1732" s="742" t="s">
        <v>3646</v>
      </c>
      <c r="J1732" s="798" t="s">
        <v>3646</v>
      </c>
      <c r="K1732" s="795"/>
    </row>
    <row r="1733" spans="1:11" ht="21.95" customHeight="1">
      <c r="A1733" s="744" t="s">
        <v>4611</v>
      </c>
      <c r="B1733" s="744"/>
      <c r="C1733" s="745" t="s">
        <v>3625</v>
      </c>
      <c r="D1733" s="744" t="s">
        <v>1127</v>
      </c>
      <c r="E1733" s="744" t="s">
        <v>1296</v>
      </c>
      <c r="F1733" s="744" t="s">
        <v>3430</v>
      </c>
      <c r="G1733" s="746" t="s">
        <v>1129</v>
      </c>
      <c r="H1733" s="745" t="s">
        <v>3863</v>
      </c>
      <c r="I1733" s="745" t="s">
        <v>3627</v>
      </c>
      <c r="J1733" s="796">
        <v>9.9700000000000006</v>
      </c>
      <c r="K1733" s="795"/>
    </row>
    <row r="1734" spans="1:11" ht="21.95" customHeight="1">
      <c r="A1734" s="744" t="s">
        <v>4611</v>
      </c>
      <c r="B1734" s="744"/>
      <c r="C1734" s="745" t="s">
        <v>3628</v>
      </c>
      <c r="D1734" s="744" t="s">
        <v>1127</v>
      </c>
      <c r="E1734" s="744" t="s">
        <v>1286</v>
      </c>
      <c r="F1734" s="744" t="s">
        <v>3430</v>
      </c>
      <c r="G1734" s="746" t="s">
        <v>1129</v>
      </c>
      <c r="H1734" s="745" t="s">
        <v>3863</v>
      </c>
      <c r="I1734" s="745" t="s">
        <v>3630</v>
      </c>
      <c r="J1734" s="796">
        <v>12.23</v>
      </c>
      <c r="K1734" s="795"/>
    </row>
    <row r="1735" spans="1:11" ht="21.95" customHeight="1" thickBot="1">
      <c r="A1735" s="748" t="s">
        <v>4616</v>
      </c>
      <c r="B1735" s="748"/>
      <c r="C1735" s="749" t="s">
        <v>4500</v>
      </c>
      <c r="D1735" s="748" t="s">
        <v>1127</v>
      </c>
      <c r="E1735" s="748" t="s">
        <v>4501</v>
      </c>
      <c r="F1735" s="748" t="s">
        <v>1187</v>
      </c>
      <c r="G1735" s="750" t="s">
        <v>57</v>
      </c>
      <c r="H1735" s="749" t="s">
        <v>4330</v>
      </c>
      <c r="I1735" s="749" t="s">
        <v>4038</v>
      </c>
      <c r="J1735" s="794">
        <v>40.549999999999997</v>
      </c>
      <c r="K1735" s="795"/>
    </row>
    <row r="1736" spans="1:11" ht="0.95" customHeight="1" thickTop="1" thickBot="1">
      <c r="A1736" s="747"/>
      <c r="B1736" s="747"/>
      <c r="C1736" s="747"/>
      <c r="D1736" s="747"/>
      <c r="E1736" s="747"/>
      <c r="F1736" s="747"/>
      <c r="G1736" s="747"/>
      <c r="H1736" s="747"/>
      <c r="I1736" s="747"/>
      <c r="J1736" s="747"/>
      <c r="K1736" s="747"/>
    </row>
    <row r="1737" spans="1:11" ht="0.95" customHeight="1" thickTop="1">
      <c r="A1737" s="747"/>
      <c r="B1737" s="747"/>
      <c r="C1737" s="747"/>
      <c r="D1737" s="747"/>
      <c r="E1737" s="747"/>
      <c r="F1737" s="747"/>
      <c r="G1737" s="747"/>
      <c r="H1737" s="747"/>
      <c r="I1737" s="747"/>
      <c r="J1737" s="747"/>
      <c r="K1737" s="747"/>
    </row>
    <row r="1738" spans="1:11" ht="18" customHeight="1">
      <c r="A1738" s="738"/>
      <c r="B1738" s="738" t="s">
        <v>60</v>
      </c>
      <c r="C1738" s="739" t="s">
        <v>3312</v>
      </c>
      <c r="D1738" s="738" t="s">
        <v>3602</v>
      </c>
      <c r="E1738" s="738" t="s">
        <v>3313</v>
      </c>
      <c r="F1738" s="738" t="s">
        <v>3390</v>
      </c>
      <c r="G1738" s="740" t="s">
        <v>70</v>
      </c>
      <c r="H1738" s="739" t="s">
        <v>64</v>
      </c>
      <c r="I1738" s="739" t="s">
        <v>3617</v>
      </c>
      <c r="J1738" s="797" t="s">
        <v>474</v>
      </c>
      <c r="K1738" s="795"/>
    </row>
    <row r="1739" spans="1:11" ht="21.95" customHeight="1">
      <c r="A1739" s="741" t="s">
        <v>4608</v>
      </c>
      <c r="B1739" s="741"/>
      <c r="C1739" s="742" t="s">
        <v>3437</v>
      </c>
      <c r="D1739" s="741" t="s">
        <v>3604</v>
      </c>
      <c r="E1739" s="741" t="s">
        <v>1341</v>
      </c>
      <c r="F1739" s="741" t="s">
        <v>3438</v>
      </c>
      <c r="G1739" s="743" t="s">
        <v>101</v>
      </c>
      <c r="H1739" s="742">
        <v>1</v>
      </c>
      <c r="I1739" s="742" t="s">
        <v>5035</v>
      </c>
      <c r="J1739" s="798" t="s">
        <v>5035</v>
      </c>
      <c r="K1739" s="795"/>
    </row>
    <row r="1740" spans="1:11" ht="21.95" customHeight="1">
      <c r="A1740" s="744" t="s">
        <v>4611</v>
      </c>
      <c r="B1740" s="744"/>
      <c r="C1740" s="745" t="s">
        <v>4502</v>
      </c>
      <c r="D1740" s="744" t="s">
        <v>1127</v>
      </c>
      <c r="E1740" s="744" t="s">
        <v>4503</v>
      </c>
      <c r="F1740" s="744" t="s">
        <v>3430</v>
      </c>
      <c r="G1740" s="746" t="s">
        <v>1129</v>
      </c>
      <c r="H1740" s="745" t="s">
        <v>4504</v>
      </c>
      <c r="I1740" s="745" t="s">
        <v>4505</v>
      </c>
      <c r="J1740" s="796">
        <v>7.39</v>
      </c>
      <c r="K1740" s="795"/>
    </row>
    <row r="1741" spans="1:11" ht="21.95" customHeight="1">
      <c r="A1741" s="744" t="s">
        <v>4611</v>
      </c>
      <c r="B1741" s="744"/>
      <c r="C1741" s="745" t="s">
        <v>3633</v>
      </c>
      <c r="D1741" s="744" t="s">
        <v>1127</v>
      </c>
      <c r="E1741" s="744" t="s">
        <v>1146</v>
      </c>
      <c r="F1741" s="744" t="s">
        <v>3430</v>
      </c>
      <c r="G1741" s="746" t="s">
        <v>1129</v>
      </c>
      <c r="H1741" s="745" t="s">
        <v>4506</v>
      </c>
      <c r="I1741" s="745" t="s">
        <v>3635</v>
      </c>
      <c r="J1741" s="796">
        <v>9.92</v>
      </c>
      <c r="K1741" s="795"/>
    </row>
    <row r="1742" spans="1:11" ht="33" customHeight="1">
      <c r="A1742" s="744" t="s">
        <v>4611</v>
      </c>
      <c r="B1742" s="744"/>
      <c r="C1742" s="745" t="s">
        <v>4507</v>
      </c>
      <c r="D1742" s="744" t="s">
        <v>1127</v>
      </c>
      <c r="E1742" s="744" t="s">
        <v>4508</v>
      </c>
      <c r="F1742" s="744" t="s">
        <v>3757</v>
      </c>
      <c r="G1742" s="746" t="s">
        <v>1169</v>
      </c>
      <c r="H1742" s="745" t="s">
        <v>4509</v>
      </c>
      <c r="I1742" s="745" t="s">
        <v>5201</v>
      </c>
      <c r="J1742" s="796">
        <v>10.8</v>
      </c>
      <c r="K1742" s="795"/>
    </row>
    <row r="1743" spans="1:11" ht="33" customHeight="1">
      <c r="A1743" s="744" t="s">
        <v>4611</v>
      </c>
      <c r="B1743" s="744"/>
      <c r="C1743" s="745" t="s">
        <v>4510</v>
      </c>
      <c r="D1743" s="744" t="s">
        <v>1127</v>
      </c>
      <c r="E1743" s="744" t="s">
        <v>4511</v>
      </c>
      <c r="F1743" s="744" t="s">
        <v>3757</v>
      </c>
      <c r="G1743" s="746" t="s">
        <v>1171</v>
      </c>
      <c r="H1743" s="745" t="s">
        <v>4512</v>
      </c>
      <c r="I1743" s="745" t="s">
        <v>4513</v>
      </c>
      <c r="J1743" s="796">
        <v>7.89</v>
      </c>
      <c r="K1743" s="795"/>
    </row>
    <row r="1744" spans="1:11" ht="21.95" customHeight="1" thickBot="1">
      <c r="A1744" s="748" t="s">
        <v>4616</v>
      </c>
      <c r="B1744" s="748"/>
      <c r="C1744" s="749" t="s">
        <v>4514</v>
      </c>
      <c r="D1744" s="748" t="s">
        <v>1127</v>
      </c>
      <c r="E1744" s="748" t="s">
        <v>4515</v>
      </c>
      <c r="F1744" s="748" t="s">
        <v>1187</v>
      </c>
      <c r="G1744" s="750" t="s">
        <v>101</v>
      </c>
      <c r="H1744" s="749" t="s">
        <v>3610</v>
      </c>
      <c r="I1744" s="749" t="s">
        <v>4516</v>
      </c>
      <c r="J1744" s="794">
        <v>1204.04</v>
      </c>
      <c r="K1744" s="795"/>
    </row>
    <row r="1745" spans="1:11" ht="0.95" customHeight="1" thickTop="1">
      <c r="A1745" s="747"/>
      <c r="B1745" s="747"/>
      <c r="C1745" s="747"/>
      <c r="D1745" s="747"/>
      <c r="E1745" s="747"/>
      <c r="F1745" s="747"/>
      <c r="G1745" s="747"/>
      <c r="H1745" s="747"/>
      <c r="I1745" s="747"/>
      <c r="J1745" s="747"/>
      <c r="K1745" s="747"/>
    </row>
    <row r="1746" spans="1:11" ht="18" customHeight="1">
      <c r="A1746" s="738"/>
      <c r="B1746" s="738" t="s">
        <v>60</v>
      </c>
      <c r="C1746" s="739" t="s">
        <v>3312</v>
      </c>
      <c r="D1746" s="738" t="s">
        <v>3602</v>
      </c>
      <c r="E1746" s="738" t="s">
        <v>3313</v>
      </c>
      <c r="F1746" s="738" t="s">
        <v>3390</v>
      </c>
      <c r="G1746" s="740" t="s">
        <v>70</v>
      </c>
      <c r="H1746" s="739" t="s">
        <v>64</v>
      </c>
      <c r="I1746" s="739" t="s">
        <v>3617</v>
      </c>
      <c r="J1746" s="797" t="s">
        <v>474</v>
      </c>
      <c r="K1746" s="795"/>
    </row>
    <row r="1747" spans="1:11" ht="21.95" customHeight="1">
      <c r="A1747" s="741" t="s">
        <v>4608</v>
      </c>
      <c r="B1747" s="741"/>
      <c r="C1747" s="742" t="s">
        <v>3514</v>
      </c>
      <c r="D1747" s="741" t="s">
        <v>3604</v>
      </c>
      <c r="E1747" s="741" t="s">
        <v>3515</v>
      </c>
      <c r="F1747" s="741" t="s">
        <v>3516</v>
      </c>
      <c r="G1747" s="743" t="s">
        <v>57</v>
      </c>
      <c r="H1747" s="742">
        <v>1</v>
      </c>
      <c r="I1747" s="742" t="s">
        <v>4284</v>
      </c>
      <c r="J1747" s="798" t="s">
        <v>4284</v>
      </c>
      <c r="K1747" s="795"/>
    </row>
    <row r="1748" spans="1:11" ht="21.95" customHeight="1">
      <c r="A1748" s="744" t="s">
        <v>4611</v>
      </c>
      <c r="B1748" s="744"/>
      <c r="C1748" s="745" t="s">
        <v>3625</v>
      </c>
      <c r="D1748" s="744" t="s">
        <v>1127</v>
      </c>
      <c r="E1748" s="744" t="s">
        <v>1296</v>
      </c>
      <c r="F1748" s="744" t="s">
        <v>3430</v>
      </c>
      <c r="G1748" s="746" t="s">
        <v>1129</v>
      </c>
      <c r="H1748" s="745" t="s">
        <v>4517</v>
      </c>
      <c r="I1748" s="745" t="s">
        <v>3627</v>
      </c>
      <c r="J1748" s="796">
        <v>8.69</v>
      </c>
      <c r="K1748" s="795"/>
    </row>
    <row r="1749" spans="1:11" ht="21.95" customHeight="1">
      <c r="A1749" s="744" t="s">
        <v>4611</v>
      </c>
      <c r="B1749" s="744"/>
      <c r="C1749" s="745" t="s">
        <v>3628</v>
      </c>
      <c r="D1749" s="744" t="s">
        <v>1127</v>
      </c>
      <c r="E1749" s="744" t="s">
        <v>1286</v>
      </c>
      <c r="F1749" s="744" t="s">
        <v>3430</v>
      </c>
      <c r="G1749" s="746" t="s">
        <v>1129</v>
      </c>
      <c r="H1749" s="745" t="s">
        <v>4517</v>
      </c>
      <c r="I1749" s="745" t="s">
        <v>3630</v>
      </c>
      <c r="J1749" s="796">
        <v>10.66</v>
      </c>
      <c r="K1749" s="795"/>
    </row>
    <row r="1750" spans="1:11" ht="21.95" customHeight="1">
      <c r="A1750" s="748" t="s">
        <v>4616</v>
      </c>
      <c r="B1750" s="748"/>
      <c r="C1750" s="749" t="s">
        <v>4098</v>
      </c>
      <c r="D1750" s="748" t="s">
        <v>1127</v>
      </c>
      <c r="E1750" s="748" t="s">
        <v>1302</v>
      </c>
      <c r="F1750" s="748" t="s">
        <v>1187</v>
      </c>
      <c r="G1750" s="750" t="s">
        <v>57</v>
      </c>
      <c r="H1750" s="749" t="s">
        <v>4518</v>
      </c>
      <c r="I1750" s="749" t="s">
        <v>4100</v>
      </c>
      <c r="J1750" s="794">
        <v>0.11</v>
      </c>
      <c r="K1750" s="795"/>
    </row>
    <row r="1751" spans="1:11" ht="21.95" customHeight="1" thickBot="1">
      <c r="A1751" s="748" t="s">
        <v>4616</v>
      </c>
      <c r="B1751" s="748"/>
      <c r="C1751" s="749" t="s">
        <v>4519</v>
      </c>
      <c r="D1751" s="748" t="s">
        <v>1127</v>
      </c>
      <c r="E1751" s="748" t="s">
        <v>4520</v>
      </c>
      <c r="F1751" s="748" t="s">
        <v>1187</v>
      </c>
      <c r="G1751" s="750" t="s">
        <v>57</v>
      </c>
      <c r="H1751" s="749" t="s">
        <v>3610</v>
      </c>
      <c r="I1751" s="749" t="s">
        <v>4521</v>
      </c>
      <c r="J1751" s="794">
        <v>22.87</v>
      </c>
      <c r="K1751" s="795"/>
    </row>
    <row r="1752" spans="1:11" ht="0.95" customHeight="1" thickTop="1" thickBot="1">
      <c r="A1752" s="747"/>
      <c r="B1752" s="747"/>
      <c r="C1752" s="747"/>
      <c r="D1752" s="747"/>
      <c r="E1752" s="747"/>
      <c r="F1752" s="747"/>
      <c r="G1752" s="747"/>
      <c r="H1752" s="747"/>
      <c r="I1752" s="747"/>
      <c r="J1752" s="747"/>
      <c r="K1752" s="747"/>
    </row>
    <row r="1753" spans="1:11" ht="0.95" customHeight="1" thickTop="1">
      <c r="A1753" s="747"/>
      <c r="B1753" s="747"/>
      <c r="C1753" s="747"/>
      <c r="D1753" s="747"/>
      <c r="E1753" s="747"/>
      <c r="F1753" s="747"/>
      <c r="G1753" s="747"/>
      <c r="H1753" s="747"/>
      <c r="I1753" s="747"/>
      <c r="J1753" s="747"/>
      <c r="K1753" s="747"/>
    </row>
    <row r="1754" spans="1:11" ht="18" customHeight="1">
      <c r="A1754" s="738"/>
      <c r="B1754" s="738" t="s">
        <v>60</v>
      </c>
      <c r="C1754" s="739" t="s">
        <v>3312</v>
      </c>
      <c r="D1754" s="738" t="s">
        <v>3602</v>
      </c>
      <c r="E1754" s="738" t="s">
        <v>3313</v>
      </c>
      <c r="F1754" s="738" t="s">
        <v>3390</v>
      </c>
      <c r="G1754" s="740" t="s">
        <v>70</v>
      </c>
      <c r="H1754" s="739" t="s">
        <v>64</v>
      </c>
      <c r="I1754" s="739" t="s">
        <v>3617</v>
      </c>
      <c r="J1754" s="797" t="s">
        <v>474</v>
      </c>
      <c r="K1754" s="795"/>
    </row>
    <row r="1755" spans="1:11" ht="21.95" customHeight="1">
      <c r="A1755" s="741" t="s">
        <v>4608</v>
      </c>
      <c r="B1755" s="741"/>
      <c r="C1755" s="742" t="s">
        <v>3546</v>
      </c>
      <c r="D1755" s="741" t="s">
        <v>3604</v>
      </c>
      <c r="E1755" s="741" t="s">
        <v>1493</v>
      </c>
      <c r="F1755" s="741" t="s">
        <v>3430</v>
      </c>
      <c r="G1755" s="743" t="s">
        <v>1129</v>
      </c>
      <c r="H1755" s="742">
        <v>1</v>
      </c>
      <c r="I1755" s="742" t="s">
        <v>3615</v>
      </c>
      <c r="J1755" s="798" t="s">
        <v>3615</v>
      </c>
      <c r="K1755" s="795"/>
    </row>
    <row r="1756" spans="1:11" ht="21.95" customHeight="1">
      <c r="A1756" s="748" t="s">
        <v>4616</v>
      </c>
      <c r="B1756" s="748"/>
      <c r="C1756" s="749" t="s">
        <v>4522</v>
      </c>
      <c r="D1756" s="748" t="s">
        <v>1127</v>
      </c>
      <c r="E1756" s="748" t="s">
        <v>1489</v>
      </c>
      <c r="F1756" s="748" t="s">
        <v>1186</v>
      </c>
      <c r="G1756" s="750" t="s">
        <v>1129</v>
      </c>
      <c r="H1756" s="749" t="s">
        <v>3610</v>
      </c>
      <c r="I1756" s="749" t="s">
        <v>4523</v>
      </c>
      <c r="J1756" s="794">
        <v>8.98</v>
      </c>
      <c r="K1756" s="795"/>
    </row>
    <row r="1757" spans="1:11" ht="21.95" customHeight="1">
      <c r="A1757" s="748" t="s">
        <v>4616</v>
      </c>
      <c r="B1757" s="748"/>
      <c r="C1757" s="749" t="s">
        <v>4524</v>
      </c>
      <c r="D1757" s="748" t="s">
        <v>1127</v>
      </c>
      <c r="E1757" s="748" t="s">
        <v>1490</v>
      </c>
      <c r="F1757" s="748" t="s">
        <v>4525</v>
      </c>
      <c r="G1757" s="750" t="s">
        <v>1129</v>
      </c>
      <c r="H1757" s="749" t="s">
        <v>3610</v>
      </c>
      <c r="I1757" s="749" t="s">
        <v>4526</v>
      </c>
      <c r="J1757" s="794">
        <v>2.15</v>
      </c>
      <c r="K1757" s="795"/>
    </row>
    <row r="1758" spans="1:11" ht="21.95" customHeight="1">
      <c r="A1758" s="748" t="s">
        <v>4616</v>
      </c>
      <c r="B1758" s="748"/>
      <c r="C1758" s="749" t="s">
        <v>4527</v>
      </c>
      <c r="D1758" s="748" t="s">
        <v>1127</v>
      </c>
      <c r="E1758" s="748" t="s">
        <v>1491</v>
      </c>
      <c r="F1758" s="748" t="s">
        <v>61</v>
      </c>
      <c r="G1758" s="750" t="s">
        <v>1129</v>
      </c>
      <c r="H1758" s="749" t="s">
        <v>3610</v>
      </c>
      <c r="I1758" s="749" t="s">
        <v>4528</v>
      </c>
      <c r="J1758" s="794">
        <v>0.6</v>
      </c>
      <c r="K1758" s="795"/>
    </row>
    <row r="1759" spans="1:11" ht="21.95" customHeight="1">
      <c r="A1759" s="748" t="s">
        <v>4616</v>
      </c>
      <c r="B1759" s="748"/>
      <c r="C1759" s="749" t="s">
        <v>4529</v>
      </c>
      <c r="D1759" s="748" t="s">
        <v>1127</v>
      </c>
      <c r="E1759" s="748" t="s">
        <v>4530</v>
      </c>
      <c r="F1759" s="748" t="s">
        <v>4525</v>
      </c>
      <c r="G1759" s="750" t="s">
        <v>1129</v>
      </c>
      <c r="H1759" s="749" t="s">
        <v>3610</v>
      </c>
      <c r="I1759" s="749" t="s">
        <v>4171</v>
      </c>
      <c r="J1759" s="794">
        <v>0.34</v>
      </c>
      <c r="K1759" s="795"/>
    </row>
    <row r="1760" spans="1:11" ht="21.95" customHeight="1" thickBot="1">
      <c r="A1760" s="748" t="s">
        <v>4616</v>
      </c>
      <c r="B1760" s="748"/>
      <c r="C1760" s="749" t="s">
        <v>4531</v>
      </c>
      <c r="D1760" s="748" t="s">
        <v>1127</v>
      </c>
      <c r="E1760" s="748" t="s">
        <v>1492</v>
      </c>
      <c r="F1760" s="748" t="s">
        <v>4532</v>
      </c>
      <c r="G1760" s="750" t="s">
        <v>1129</v>
      </c>
      <c r="H1760" s="749" t="s">
        <v>3610</v>
      </c>
      <c r="I1760" s="749" t="s">
        <v>4017</v>
      </c>
      <c r="J1760" s="794">
        <v>7.0000000000000007E-2</v>
      </c>
      <c r="K1760" s="795"/>
    </row>
    <row r="1761" spans="1:11" ht="0.95" customHeight="1" thickTop="1">
      <c r="A1761" s="747"/>
      <c r="B1761" s="747"/>
      <c r="C1761" s="747"/>
      <c r="D1761" s="747"/>
      <c r="E1761" s="747"/>
      <c r="F1761" s="747"/>
      <c r="G1761" s="747"/>
      <c r="H1761" s="747"/>
      <c r="I1761" s="747"/>
      <c r="J1761" s="747"/>
      <c r="K1761" s="747"/>
    </row>
  </sheetData>
  <mergeCells count="1520">
    <mergeCell ref="J7:K7"/>
    <mergeCell ref="J8:K8"/>
    <mergeCell ref="J9:K9"/>
    <mergeCell ref="J11:K11"/>
    <mergeCell ref="J12:K12"/>
    <mergeCell ref="J13:K13"/>
    <mergeCell ref="A1:K1"/>
    <mergeCell ref="A2:K2"/>
    <mergeCell ref="J3:K3"/>
    <mergeCell ref="J4:K4"/>
    <mergeCell ref="J5:K5"/>
    <mergeCell ref="J6:K6"/>
    <mergeCell ref="J27:K27"/>
    <mergeCell ref="J28:K28"/>
    <mergeCell ref="J29:K29"/>
    <mergeCell ref="J30:K30"/>
    <mergeCell ref="J32:K32"/>
    <mergeCell ref="J33:K33"/>
    <mergeCell ref="J21:K21"/>
    <mergeCell ref="J22:K22"/>
    <mergeCell ref="J23:K23"/>
    <mergeCell ref="J24:K24"/>
    <mergeCell ref="J25:K25"/>
    <mergeCell ref="J26:K26"/>
    <mergeCell ref="J15:K15"/>
    <mergeCell ref="J16:K16"/>
    <mergeCell ref="J17:K17"/>
    <mergeCell ref="J18:K18"/>
    <mergeCell ref="J19:K19"/>
    <mergeCell ref="J20:K20"/>
    <mergeCell ref="J49:K49"/>
    <mergeCell ref="J50:K50"/>
    <mergeCell ref="J51:K51"/>
    <mergeCell ref="J52:K52"/>
    <mergeCell ref="J53:K53"/>
    <mergeCell ref="J55:K55"/>
    <mergeCell ref="J42:K42"/>
    <mergeCell ref="J43:K43"/>
    <mergeCell ref="J44:K44"/>
    <mergeCell ref="J45:K45"/>
    <mergeCell ref="J47:K47"/>
    <mergeCell ref="J48:K48"/>
    <mergeCell ref="J34:K34"/>
    <mergeCell ref="J36:K36"/>
    <mergeCell ref="J37:K37"/>
    <mergeCell ref="J38:K38"/>
    <mergeCell ref="J40:K40"/>
    <mergeCell ref="J41:K41"/>
    <mergeCell ref="J69:K69"/>
    <mergeCell ref="J71:K71"/>
    <mergeCell ref="J72:K72"/>
    <mergeCell ref="J73:K73"/>
    <mergeCell ref="J74:K74"/>
    <mergeCell ref="J75:K75"/>
    <mergeCell ref="J63:K63"/>
    <mergeCell ref="J64:K64"/>
    <mergeCell ref="J65:K65"/>
    <mergeCell ref="J66:K66"/>
    <mergeCell ref="J67:K67"/>
    <mergeCell ref="J68:K68"/>
    <mergeCell ref="J56:K56"/>
    <mergeCell ref="J57:K57"/>
    <mergeCell ref="J58:K58"/>
    <mergeCell ref="J59:K59"/>
    <mergeCell ref="J60:K60"/>
    <mergeCell ref="J61:K61"/>
    <mergeCell ref="J90:K90"/>
    <mergeCell ref="J91:K91"/>
    <mergeCell ref="J97:K97"/>
    <mergeCell ref="J98:K98"/>
    <mergeCell ref="J100:K100"/>
    <mergeCell ref="J101:K101"/>
    <mergeCell ref="J102:K102"/>
    <mergeCell ref="J104:K104"/>
    <mergeCell ref="J92:K92"/>
    <mergeCell ref="J93:K93"/>
    <mergeCell ref="J95:K95"/>
    <mergeCell ref="J96:K96"/>
    <mergeCell ref="J84:K84"/>
    <mergeCell ref="J85:K85"/>
    <mergeCell ref="J86:K86"/>
    <mergeCell ref="J87:K87"/>
    <mergeCell ref="J88:K88"/>
    <mergeCell ref="J89:K89"/>
    <mergeCell ref="J76:K76"/>
    <mergeCell ref="J77:K77"/>
    <mergeCell ref="J79:K79"/>
    <mergeCell ref="J80:K80"/>
    <mergeCell ref="J81:K81"/>
    <mergeCell ref="J83:K83"/>
    <mergeCell ref="J118:K118"/>
    <mergeCell ref="J119:K119"/>
    <mergeCell ref="J120:K120"/>
    <mergeCell ref="J121:K121"/>
    <mergeCell ref="J122:K122"/>
    <mergeCell ref="J124:K124"/>
    <mergeCell ref="J112:K112"/>
    <mergeCell ref="J113:K113"/>
    <mergeCell ref="J114:K114"/>
    <mergeCell ref="J115:K115"/>
    <mergeCell ref="J116:K116"/>
    <mergeCell ref="J105:K105"/>
    <mergeCell ref="J106:K106"/>
    <mergeCell ref="J107:K107"/>
    <mergeCell ref="J108:K108"/>
    <mergeCell ref="J109:K109"/>
    <mergeCell ref="J110:K110"/>
    <mergeCell ref="J111:K111"/>
    <mergeCell ref="J138:K138"/>
    <mergeCell ref="J139:K139"/>
    <mergeCell ref="J141:K141"/>
    <mergeCell ref="J142:K142"/>
    <mergeCell ref="J143:K143"/>
    <mergeCell ref="J145:K145"/>
    <mergeCell ref="J132:K132"/>
    <mergeCell ref="J133:K133"/>
    <mergeCell ref="J134:K134"/>
    <mergeCell ref="J135:K135"/>
    <mergeCell ref="J136:K136"/>
    <mergeCell ref="J137:K137"/>
    <mergeCell ref="J125:K125"/>
    <mergeCell ref="J126:K126"/>
    <mergeCell ref="J127:K127"/>
    <mergeCell ref="J128:K128"/>
    <mergeCell ref="J129:K129"/>
    <mergeCell ref="J130:K130"/>
    <mergeCell ref="J160:K160"/>
    <mergeCell ref="J161:K161"/>
    <mergeCell ref="J162:K162"/>
    <mergeCell ref="J163:K163"/>
    <mergeCell ref="J164:K164"/>
    <mergeCell ref="J166:K166"/>
    <mergeCell ref="J153:K153"/>
    <mergeCell ref="J154:K154"/>
    <mergeCell ref="J155:K155"/>
    <mergeCell ref="J156:K156"/>
    <mergeCell ref="J157:K157"/>
    <mergeCell ref="J158:K158"/>
    <mergeCell ref="J146:K146"/>
    <mergeCell ref="J147:K147"/>
    <mergeCell ref="J148:K148"/>
    <mergeCell ref="J149:K149"/>
    <mergeCell ref="J150:K150"/>
    <mergeCell ref="J152:K152"/>
    <mergeCell ref="J180:K180"/>
    <mergeCell ref="J182:K182"/>
    <mergeCell ref="J183:K183"/>
    <mergeCell ref="J184:K184"/>
    <mergeCell ref="J185:K185"/>
    <mergeCell ref="J186:K186"/>
    <mergeCell ref="J174:K174"/>
    <mergeCell ref="J175:K175"/>
    <mergeCell ref="J176:K176"/>
    <mergeCell ref="J177:K177"/>
    <mergeCell ref="J178:K178"/>
    <mergeCell ref="J179:K179"/>
    <mergeCell ref="J167:K167"/>
    <mergeCell ref="J168:K168"/>
    <mergeCell ref="J169:K169"/>
    <mergeCell ref="J170:K170"/>
    <mergeCell ref="J171:K171"/>
    <mergeCell ref="J172:K172"/>
    <mergeCell ref="J201:K201"/>
    <mergeCell ref="J202:K202"/>
    <mergeCell ref="J203:K203"/>
    <mergeCell ref="J205:K205"/>
    <mergeCell ref="J206:K206"/>
    <mergeCell ref="J207:K207"/>
    <mergeCell ref="J194:K194"/>
    <mergeCell ref="J195:K195"/>
    <mergeCell ref="J196:K196"/>
    <mergeCell ref="J198:K198"/>
    <mergeCell ref="J199:K199"/>
    <mergeCell ref="J200:K200"/>
    <mergeCell ref="J187:K187"/>
    <mergeCell ref="J189:K189"/>
    <mergeCell ref="J190:K190"/>
    <mergeCell ref="J191:K191"/>
    <mergeCell ref="J192:K192"/>
    <mergeCell ref="J193:K193"/>
    <mergeCell ref="J222:K222"/>
    <mergeCell ref="J223:K223"/>
    <mergeCell ref="J224:K224"/>
    <mergeCell ref="J226:K226"/>
    <mergeCell ref="J227:K227"/>
    <mergeCell ref="J228:K228"/>
    <mergeCell ref="J215:K215"/>
    <mergeCell ref="J216:K216"/>
    <mergeCell ref="J217:K217"/>
    <mergeCell ref="J219:K219"/>
    <mergeCell ref="J220:K220"/>
    <mergeCell ref="J221:K221"/>
    <mergeCell ref="J208:K208"/>
    <mergeCell ref="J209:K209"/>
    <mergeCell ref="J210:K210"/>
    <mergeCell ref="J212:K212"/>
    <mergeCell ref="J213:K213"/>
    <mergeCell ref="J214:K214"/>
    <mergeCell ref="J242:K242"/>
    <mergeCell ref="J243:K243"/>
    <mergeCell ref="J244:K244"/>
    <mergeCell ref="J245:K245"/>
    <mergeCell ref="J247:K247"/>
    <mergeCell ref="J248:K248"/>
    <mergeCell ref="J235:K235"/>
    <mergeCell ref="J236:K236"/>
    <mergeCell ref="J237:K237"/>
    <mergeCell ref="J239:K239"/>
    <mergeCell ref="J240:K240"/>
    <mergeCell ref="J241:K241"/>
    <mergeCell ref="J229:K229"/>
    <mergeCell ref="J230:K230"/>
    <mergeCell ref="J231:K231"/>
    <mergeCell ref="J232:K232"/>
    <mergeCell ref="J233:K233"/>
    <mergeCell ref="J234:K234"/>
    <mergeCell ref="J264:K264"/>
    <mergeCell ref="J265:K265"/>
    <mergeCell ref="J266:K266"/>
    <mergeCell ref="J267:K267"/>
    <mergeCell ref="J268:K268"/>
    <mergeCell ref="J269:K269"/>
    <mergeCell ref="J257:K257"/>
    <mergeCell ref="J258:K258"/>
    <mergeCell ref="J259:K259"/>
    <mergeCell ref="J260:K260"/>
    <mergeCell ref="J261:K261"/>
    <mergeCell ref="J262:K262"/>
    <mergeCell ref="J249:K249"/>
    <mergeCell ref="J251:K251"/>
    <mergeCell ref="J252:K252"/>
    <mergeCell ref="J253:K253"/>
    <mergeCell ref="J255:K255"/>
    <mergeCell ref="J256:K256"/>
    <mergeCell ref="J283:K283"/>
    <mergeCell ref="J284:K284"/>
    <mergeCell ref="J285:K285"/>
    <mergeCell ref="J286:K286"/>
    <mergeCell ref="J287:K287"/>
    <mergeCell ref="J288:K288"/>
    <mergeCell ref="J277:K277"/>
    <mergeCell ref="J278:K278"/>
    <mergeCell ref="J279:K279"/>
    <mergeCell ref="J280:K280"/>
    <mergeCell ref="J281:K281"/>
    <mergeCell ref="J282:K282"/>
    <mergeCell ref="J271:K271"/>
    <mergeCell ref="J272:K272"/>
    <mergeCell ref="J273:K273"/>
    <mergeCell ref="J274:K274"/>
    <mergeCell ref="J275:K275"/>
    <mergeCell ref="J276:K276"/>
    <mergeCell ref="J302:K302"/>
    <mergeCell ref="J303:K303"/>
    <mergeCell ref="J304:K304"/>
    <mergeCell ref="J305:K305"/>
    <mergeCell ref="J306:K306"/>
    <mergeCell ref="J307:K307"/>
    <mergeCell ref="J295:K295"/>
    <mergeCell ref="J296:K296"/>
    <mergeCell ref="J298:K298"/>
    <mergeCell ref="J299:K299"/>
    <mergeCell ref="J300:K300"/>
    <mergeCell ref="J301:K301"/>
    <mergeCell ref="J289:K289"/>
    <mergeCell ref="J290:K290"/>
    <mergeCell ref="J291:K291"/>
    <mergeCell ref="J292:K292"/>
    <mergeCell ref="J293:K293"/>
    <mergeCell ref="J294:K294"/>
    <mergeCell ref="J324:K324"/>
    <mergeCell ref="J326:K326"/>
    <mergeCell ref="J327:K327"/>
    <mergeCell ref="J328:K328"/>
    <mergeCell ref="J329:K329"/>
    <mergeCell ref="J330:K330"/>
    <mergeCell ref="J316:K316"/>
    <mergeCell ref="J318:K318"/>
    <mergeCell ref="J319:K319"/>
    <mergeCell ref="J320:K320"/>
    <mergeCell ref="J322:K322"/>
    <mergeCell ref="J323:K323"/>
    <mergeCell ref="J309:K309"/>
    <mergeCell ref="J310:K310"/>
    <mergeCell ref="J311:K311"/>
    <mergeCell ref="J313:K313"/>
    <mergeCell ref="J314:K314"/>
    <mergeCell ref="J315:K315"/>
    <mergeCell ref="J345:K345"/>
    <mergeCell ref="J347:K347"/>
    <mergeCell ref="J348:K348"/>
    <mergeCell ref="J349:K349"/>
    <mergeCell ref="J350:K350"/>
    <mergeCell ref="J351:K351"/>
    <mergeCell ref="J339:K339"/>
    <mergeCell ref="J340:K340"/>
    <mergeCell ref="J341:K341"/>
    <mergeCell ref="J342:K342"/>
    <mergeCell ref="J343:K343"/>
    <mergeCell ref="J344:K344"/>
    <mergeCell ref="J332:K332"/>
    <mergeCell ref="J333:K333"/>
    <mergeCell ref="J334:K334"/>
    <mergeCell ref="J335:K335"/>
    <mergeCell ref="J336:K336"/>
    <mergeCell ref="J338:K338"/>
    <mergeCell ref="J368:K368"/>
    <mergeCell ref="J369:K369"/>
    <mergeCell ref="J370:K370"/>
    <mergeCell ref="J372:K372"/>
    <mergeCell ref="J373:K373"/>
    <mergeCell ref="J374:K374"/>
    <mergeCell ref="J360:K360"/>
    <mergeCell ref="J362:K362"/>
    <mergeCell ref="J363:K363"/>
    <mergeCell ref="J364:K364"/>
    <mergeCell ref="J365:K365"/>
    <mergeCell ref="J366:K366"/>
    <mergeCell ref="J352:K352"/>
    <mergeCell ref="J354:K354"/>
    <mergeCell ref="J355:K355"/>
    <mergeCell ref="J356:K356"/>
    <mergeCell ref="J358:K358"/>
    <mergeCell ref="J359:K359"/>
    <mergeCell ref="J389:K389"/>
    <mergeCell ref="J391:K391"/>
    <mergeCell ref="J392:K392"/>
    <mergeCell ref="J393:K393"/>
    <mergeCell ref="J394:K394"/>
    <mergeCell ref="J395:K395"/>
    <mergeCell ref="J383:K383"/>
    <mergeCell ref="J384:K384"/>
    <mergeCell ref="J385:K385"/>
    <mergeCell ref="J386:K386"/>
    <mergeCell ref="J387:K387"/>
    <mergeCell ref="J388:K388"/>
    <mergeCell ref="J376:K376"/>
    <mergeCell ref="J377:K377"/>
    <mergeCell ref="J378:K378"/>
    <mergeCell ref="J379:K379"/>
    <mergeCell ref="J380:K380"/>
    <mergeCell ref="J381:K381"/>
    <mergeCell ref="J411:K411"/>
    <mergeCell ref="J412:K412"/>
    <mergeCell ref="J413:K413"/>
    <mergeCell ref="J414:K414"/>
    <mergeCell ref="J415:K415"/>
    <mergeCell ref="J416:K416"/>
    <mergeCell ref="J403:K403"/>
    <mergeCell ref="J404:K404"/>
    <mergeCell ref="J405:K405"/>
    <mergeCell ref="J407:K407"/>
    <mergeCell ref="J408:K408"/>
    <mergeCell ref="J409:K409"/>
    <mergeCell ref="J396:K396"/>
    <mergeCell ref="J397:K397"/>
    <mergeCell ref="J399:K399"/>
    <mergeCell ref="J400:K400"/>
    <mergeCell ref="J401:K401"/>
    <mergeCell ref="J402:K402"/>
    <mergeCell ref="J432:K432"/>
    <mergeCell ref="J433:K433"/>
    <mergeCell ref="J434:K434"/>
    <mergeCell ref="J435:K435"/>
    <mergeCell ref="J436:K436"/>
    <mergeCell ref="J437:K437"/>
    <mergeCell ref="J424:K424"/>
    <mergeCell ref="J425:K425"/>
    <mergeCell ref="J426:K426"/>
    <mergeCell ref="J428:K428"/>
    <mergeCell ref="J429:K429"/>
    <mergeCell ref="J430:K430"/>
    <mergeCell ref="J417:K417"/>
    <mergeCell ref="J418:K418"/>
    <mergeCell ref="J419:K419"/>
    <mergeCell ref="J420:K420"/>
    <mergeCell ref="J421:K421"/>
    <mergeCell ref="J423:K423"/>
    <mergeCell ref="J452:K452"/>
    <mergeCell ref="J453:K453"/>
    <mergeCell ref="J454:K454"/>
    <mergeCell ref="J455:K455"/>
    <mergeCell ref="J456:K456"/>
    <mergeCell ref="J457:K457"/>
    <mergeCell ref="J444:K444"/>
    <mergeCell ref="J446:K446"/>
    <mergeCell ref="J447:K447"/>
    <mergeCell ref="J448:K448"/>
    <mergeCell ref="J449:K449"/>
    <mergeCell ref="J450:K450"/>
    <mergeCell ref="J438:K438"/>
    <mergeCell ref="J439:K439"/>
    <mergeCell ref="J440:K440"/>
    <mergeCell ref="J441:K441"/>
    <mergeCell ref="J442:K442"/>
    <mergeCell ref="J443:K443"/>
    <mergeCell ref="J472:K472"/>
    <mergeCell ref="J473:K473"/>
    <mergeCell ref="J474:K474"/>
    <mergeCell ref="J476:K476"/>
    <mergeCell ref="J477:K477"/>
    <mergeCell ref="J478:K478"/>
    <mergeCell ref="J465:K465"/>
    <mergeCell ref="J466:K466"/>
    <mergeCell ref="J467:K467"/>
    <mergeCell ref="J469:K469"/>
    <mergeCell ref="J470:K470"/>
    <mergeCell ref="J471:K471"/>
    <mergeCell ref="J458:K458"/>
    <mergeCell ref="J460:K460"/>
    <mergeCell ref="J461:K461"/>
    <mergeCell ref="J462:K462"/>
    <mergeCell ref="J463:K463"/>
    <mergeCell ref="J464:K464"/>
    <mergeCell ref="J493:K493"/>
    <mergeCell ref="J494:K494"/>
    <mergeCell ref="J495:K495"/>
    <mergeCell ref="J497:K497"/>
    <mergeCell ref="J498:K498"/>
    <mergeCell ref="J499:K499"/>
    <mergeCell ref="J486:K486"/>
    <mergeCell ref="J487:K487"/>
    <mergeCell ref="J488:K488"/>
    <mergeCell ref="J490:K490"/>
    <mergeCell ref="J491:K491"/>
    <mergeCell ref="J492:K492"/>
    <mergeCell ref="J479:K479"/>
    <mergeCell ref="J480:K480"/>
    <mergeCell ref="J481:K481"/>
    <mergeCell ref="J483:K483"/>
    <mergeCell ref="J484:K484"/>
    <mergeCell ref="J485:K485"/>
    <mergeCell ref="J514:K514"/>
    <mergeCell ref="J515:K515"/>
    <mergeCell ref="J516:K516"/>
    <mergeCell ref="J517:K517"/>
    <mergeCell ref="J519:K519"/>
    <mergeCell ref="J520:K520"/>
    <mergeCell ref="J507:K507"/>
    <mergeCell ref="J508:K508"/>
    <mergeCell ref="J509:K509"/>
    <mergeCell ref="J510:K510"/>
    <mergeCell ref="J512:K512"/>
    <mergeCell ref="J513:K513"/>
    <mergeCell ref="J500:K500"/>
    <mergeCell ref="J501:K501"/>
    <mergeCell ref="J502:K502"/>
    <mergeCell ref="J503:K503"/>
    <mergeCell ref="J505:K505"/>
    <mergeCell ref="J506:K506"/>
    <mergeCell ref="J534:K534"/>
    <mergeCell ref="J536:K536"/>
    <mergeCell ref="J537:K537"/>
    <mergeCell ref="J538:K538"/>
    <mergeCell ref="J540:K540"/>
    <mergeCell ref="J541:K541"/>
    <mergeCell ref="J527:K527"/>
    <mergeCell ref="J528:K528"/>
    <mergeCell ref="J530:K530"/>
    <mergeCell ref="J531:K531"/>
    <mergeCell ref="J532:K532"/>
    <mergeCell ref="J533:K533"/>
    <mergeCell ref="J521:K521"/>
    <mergeCell ref="J522:K522"/>
    <mergeCell ref="J523:K523"/>
    <mergeCell ref="J524:K524"/>
    <mergeCell ref="J525:K525"/>
    <mergeCell ref="J526:K526"/>
    <mergeCell ref="J556:K556"/>
    <mergeCell ref="J557:K557"/>
    <mergeCell ref="J559:K559"/>
    <mergeCell ref="J560:K560"/>
    <mergeCell ref="J561:K561"/>
    <mergeCell ref="J562:K562"/>
    <mergeCell ref="J549:K549"/>
    <mergeCell ref="J551:K551"/>
    <mergeCell ref="J552:K552"/>
    <mergeCell ref="J553:K553"/>
    <mergeCell ref="J554:K554"/>
    <mergeCell ref="J555:K555"/>
    <mergeCell ref="J542:K542"/>
    <mergeCell ref="J544:K544"/>
    <mergeCell ref="J545:K545"/>
    <mergeCell ref="J546:K546"/>
    <mergeCell ref="J547:K547"/>
    <mergeCell ref="J548:K548"/>
    <mergeCell ref="J577:K577"/>
    <mergeCell ref="J578:K578"/>
    <mergeCell ref="J579:K579"/>
    <mergeCell ref="J580:K580"/>
    <mergeCell ref="J581:K581"/>
    <mergeCell ref="J583:K583"/>
    <mergeCell ref="J570:K570"/>
    <mergeCell ref="J571:K571"/>
    <mergeCell ref="J572:K572"/>
    <mergeCell ref="J573:K573"/>
    <mergeCell ref="J575:K575"/>
    <mergeCell ref="J576:K576"/>
    <mergeCell ref="J563:K563"/>
    <mergeCell ref="J564:K564"/>
    <mergeCell ref="J565:K565"/>
    <mergeCell ref="J567:K567"/>
    <mergeCell ref="J568:K568"/>
    <mergeCell ref="J569:K569"/>
    <mergeCell ref="J598:K598"/>
    <mergeCell ref="J599:K599"/>
    <mergeCell ref="J600:K600"/>
    <mergeCell ref="J601:K601"/>
    <mergeCell ref="J602:K602"/>
    <mergeCell ref="J603:K603"/>
    <mergeCell ref="J591:K591"/>
    <mergeCell ref="J592:K592"/>
    <mergeCell ref="J593:K593"/>
    <mergeCell ref="J595:K595"/>
    <mergeCell ref="J596:K596"/>
    <mergeCell ref="J597:K597"/>
    <mergeCell ref="J584:K584"/>
    <mergeCell ref="J585:K585"/>
    <mergeCell ref="J586:K586"/>
    <mergeCell ref="J587:K587"/>
    <mergeCell ref="J588:K588"/>
    <mergeCell ref="J589:K589"/>
    <mergeCell ref="J619:K619"/>
    <mergeCell ref="J621:K621"/>
    <mergeCell ref="J622:K622"/>
    <mergeCell ref="J623:K623"/>
    <mergeCell ref="J624:K624"/>
    <mergeCell ref="J625:K625"/>
    <mergeCell ref="J612:K612"/>
    <mergeCell ref="J613:K613"/>
    <mergeCell ref="J614:K614"/>
    <mergeCell ref="J616:K616"/>
    <mergeCell ref="J617:K617"/>
    <mergeCell ref="J618:K618"/>
    <mergeCell ref="J604:K604"/>
    <mergeCell ref="J605:K605"/>
    <mergeCell ref="J607:K607"/>
    <mergeCell ref="J608:K608"/>
    <mergeCell ref="J609:K609"/>
    <mergeCell ref="J610:K610"/>
    <mergeCell ref="J639:K639"/>
    <mergeCell ref="J640:K640"/>
    <mergeCell ref="J642:K642"/>
    <mergeCell ref="J643:K643"/>
    <mergeCell ref="J644:K644"/>
    <mergeCell ref="J645:K645"/>
    <mergeCell ref="J633:K633"/>
    <mergeCell ref="J634:K634"/>
    <mergeCell ref="J635:K635"/>
    <mergeCell ref="J636:K636"/>
    <mergeCell ref="J637:K637"/>
    <mergeCell ref="J638:K638"/>
    <mergeCell ref="J626:K626"/>
    <mergeCell ref="J628:K628"/>
    <mergeCell ref="J629:K629"/>
    <mergeCell ref="J630:K630"/>
    <mergeCell ref="J631:K631"/>
    <mergeCell ref="J632:K632"/>
    <mergeCell ref="J660:K660"/>
    <mergeCell ref="J661:K661"/>
    <mergeCell ref="J662:K662"/>
    <mergeCell ref="J663:K663"/>
    <mergeCell ref="J664:K664"/>
    <mergeCell ref="J665:K665"/>
    <mergeCell ref="J653:K653"/>
    <mergeCell ref="J654:K654"/>
    <mergeCell ref="J655:K655"/>
    <mergeCell ref="J656:K656"/>
    <mergeCell ref="J657:K657"/>
    <mergeCell ref="J658:K658"/>
    <mergeCell ref="J646:K646"/>
    <mergeCell ref="J648:K648"/>
    <mergeCell ref="J649:K649"/>
    <mergeCell ref="J650:K650"/>
    <mergeCell ref="J651:K651"/>
    <mergeCell ref="J652:K652"/>
    <mergeCell ref="J681:K681"/>
    <mergeCell ref="J682:K682"/>
    <mergeCell ref="J683:K683"/>
    <mergeCell ref="J684:K684"/>
    <mergeCell ref="J686:K686"/>
    <mergeCell ref="J687:K687"/>
    <mergeCell ref="J673:K673"/>
    <mergeCell ref="J675:K675"/>
    <mergeCell ref="J676:K676"/>
    <mergeCell ref="J677:K677"/>
    <mergeCell ref="J679:K679"/>
    <mergeCell ref="J680:K680"/>
    <mergeCell ref="J666:K666"/>
    <mergeCell ref="J668:K668"/>
    <mergeCell ref="J669:K669"/>
    <mergeCell ref="J670:K670"/>
    <mergeCell ref="J671:K671"/>
    <mergeCell ref="J672:K672"/>
    <mergeCell ref="J702:K702"/>
    <mergeCell ref="J703:K703"/>
    <mergeCell ref="J705:K705"/>
    <mergeCell ref="J706:K706"/>
    <mergeCell ref="J707:K707"/>
    <mergeCell ref="J708:K708"/>
    <mergeCell ref="J695:K695"/>
    <mergeCell ref="J696:K696"/>
    <mergeCell ref="J698:K698"/>
    <mergeCell ref="J699:K699"/>
    <mergeCell ref="J700:K700"/>
    <mergeCell ref="J701:K701"/>
    <mergeCell ref="J688:K688"/>
    <mergeCell ref="J689:K689"/>
    <mergeCell ref="J690:K690"/>
    <mergeCell ref="J692:K692"/>
    <mergeCell ref="J693:K693"/>
    <mergeCell ref="J694:K694"/>
    <mergeCell ref="J722:K722"/>
    <mergeCell ref="J723:K723"/>
    <mergeCell ref="J724:K724"/>
    <mergeCell ref="J726:K726"/>
    <mergeCell ref="J727:K727"/>
    <mergeCell ref="J728:K728"/>
    <mergeCell ref="J715:K715"/>
    <mergeCell ref="J716:K716"/>
    <mergeCell ref="J718:K718"/>
    <mergeCell ref="J719:K719"/>
    <mergeCell ref="J720:K720"/>
    <mergeCell ref="J721:K721"/>
    <mergeCell ref="J709:K709"/>
    <mergeCell ref="J710:K710"/>
    <mergeCell ref="J711:K711"/>
    <mergeCell ref="J712:K712"/>
    <mergeCell ref="J713:K713"/>
    <mergeCell ref="J714:K714"/>
    <mergeCell ref="J744:K744"/>
    <mergeCell ref="J745:K745"/>
    <mergeCell ref="J746:K746"/>
    <mergeCell ref="J748:K748"/>
    <mergeCell ref="J749:K749"/>
    <mergeCell ref="J750:K750"/>
    <mergeCell ref="J737:K737"/>
    <mergeCell ref="J738:K738"/>
    <mergeCell ref="J739:K739"/>
    <mergeCell ref="J740:K740"/>
    <mergeCell ref="J741:K741"/>
    <mergeCell ref="J743:K743"/>
    <mergeCell ref="J729:K729"/>
    <mergeCell ref="J731:K731"/>
    <mergeCell ref="J732:K732"/>
    <mergeCell ref="J733:K733"/>
    <mergeCell ref="J734:K734"/>
    <mergeCell ref="J735:K735"/>
    <mergeCell ref="J767:K767"/>
    <mergeCell ref="J768:K768"/>
    <mergeCell ref="J769:K769"/>
    <mergeCell ref="J770:K770"/>
    <mergeCell ref="J771:K771"/>
    <mergeCell ref="J772:K772"/>
    <mergeCell ref="J760:K760"/>
    <mergeCell ref="J761:K761"/>
    <mergeCell ref="J762:K762"/>
    <mergeCell ref="J764:K764"/>
    <mergeCell ref="J765:K765"/>
    <mergeCell ref="J766:K766"/>
    <mergeCell ref="J752:K752"/>
    <mergeCell ref="J753:K753"/>
    <mergeCell ref="J754:K754"/>
    <mergeCell ref="J756:K756"/>
    <mergeCell ref="J757:K757"/>
    <mergeCell ref="J758:K758"/>
    <mergeCell ref="J786:K786"/>
    <mergeCell ref="J788:K788"/>
    <mergeCell ref="J789:K789"/>
    <mergeCell ref="J790:K790"/>
    <mergeCell ref="J791:K791"/>
    <mergeCell ref="J792:K792"/>
    <mergeCell ref="J779:K779"/>
    <mergeCell ref="J780:K780"/>
    <mergeCell ref="J781:K781"/>
    <mergeCell ref="J782:K782"/>
    <mergeCell ref="J784:K784"/>
    <mergeCell ref="J785:K785"/>
    <mergeCell ref="J773:K773"/>
    <mergeCell ref="J774:K774"/>
    <mergeCell ref="J775:K775"/>
    <mergeCell ref="J776:K776"/>
    <mergeCell ref="J777:K777"/>
    <mergeCell ref="J778:K778"/>
    <mergeCell ref="J808:K808"/>
    <mergeCell ref="J809:K809"/>
    <mergeCell ref="J810:K810"/>
    <mergeCell ref="J811:K811"/>
    <mergeCell ref="J812:K812"/>
    <mergeCell ref="J813:K813"/>
    <mergeCell ref="J801:K801"/>
    <mergeCell ref="J802:K802"/>
    <mergeCell ref="J803:K803"/>
    <mergeCell ref="J804:K804"/>
    <mergeCell ref="J805:K805"/>
    <mergeCell ref="J806:K806"/>
    <mergeCell ref="J793:K793"/>
    <mergeCell ref="J794:K794"/>
    <mergeCell ref="J796:K796"/>
    <mergeCell ref="J797:K797"/>
    <mergeCell ref="J798:K798"/>
    <mergeCell ref="J800:K800"/>
    <mergeCell ref="J828:K828"/>
    <mergeCell ref="J829:K829"/>
    <mergeCell ref="J831:K831"/>
    <mergeCell ref="J832:K832"/>
    <mergeCell ref="J833:K833"/>
    <mergeCell ref="J834:K834"/>
    <mergeCell ref="J821:K821"/>
    <mergeCell ref="J823:K823"/>
    <mergeCell ref="J824:K824"/>
    <mergeCell ref="J825:K825"/>
    <mergeCell ref="J826:K826"/>
    <mergeCell ref="J827:K827"/>
    <mergeCell ref="J815:K815"/>
    <mergeCell ref="J816:K816"/>
    <mergeCell ref="J817:K817"/>
    <mergeCell ref="J818:K818"/>
    <mergeCell ref="J819:K819"/>
    <mergeCell ref="J820:K820"/>
    <mergeCell ref="J848:K848"/>
    <mergeCell ref="J849:K849"/>
    <mergeCell ref="J850:K850"/>
    <mergeCell ref="J851:K851"/>
    <mergeCell ref="J853:K853"/>
    <mergeCell ref="J854:K854"/>
    <mergeCell ref="J841:K841"/>
    <mergeCell ref="J842:K842"/>
    <mergeCell ref="J843:K843"/>
    <mergeCell ref="J845:K845"/>
    <mergeCell ref="J846:K846"/>
    <mergeCell ref="J847:K847"/>
    <mergeCell ref="J835:K835"/>
    <mergeCell ref="J836:K836"/>
    <mergeCell ref="J837:K837"/>
    <mergeCell ref="J838:K838"/>
    <mergeCell ref="J839:K839"/>
    <mergeCell ref="J840:K840"/>
    <mergeCell ref="J868:K868"/>
    <mergeCell ref="J869:K869"/>
    <mergeCell ref="J870:K870"/>
    <mergeCell ref="J871:K871"/>
    <mergeCell ref="J872:K872"/>
    <mergeCell ref="J873:K873"/>
    <mergeCell ref="J861:K861"/>
    <mergeCell ref="J862:K862"/>
    <mergeCell ref="J864:K864"/>
    <mergeCell ref="J865:K865"/>
    <mergeCell ref="J866:K866"/>
    <mergeCell ref="J867:K867"/>
    <mergeCell ref="J855:K855"/>
    <mergeCell ref="J856:K856"/>
    <mergeCell ref="J857:K857"/>
    <mergeCell ref="J858:K858"/>
    <mergeCell ref="J859:K859"/>
    <mergeCell ref="J860:K860"/>
    <mergeCell ref="J888:K888"/>
    <mergeCell ref="J889:K889"/>
    <mergeCell ref="J890:K890"/>
    <mergeCell ref="J891:K891"/>
    <mergeCell ref="J892:K892"/>
    <mergeCell ref="J893:K893"/>
    <mergeCell ref="J881:K881"/>
    <mergeCell ref="J882:K882"/>
    <mergeCell ref="J884:K884"/>
    <mergeCell ref="J885:K885"/>
    <mergeCell ref="J886:K886"/>
    <mergeCell ref="J887:K887"/>
    <mergeCell ref="J874:K874"/>
    <mergeCell ref="J875:K875"/>
    <mergeCell ref="J876:K876"/>
    <mergeCell ref="J877:K877"/>
    <mergeCell ref="J878:K878"/>
    <mergeCell ref="J880:K880"/>
    <mergeCell ref="J908:K908"/>
    <mergeCell ref="J909:K909"/>
    <mergeCell ref="J910:K910"/>
    <mergeCell ref="J911:K911"/>
    <mergeCell ref="J912:K912"/>
    <mergeCell ref="J913:K913"/>
    <mergeCell ref="J901:K901"/>
    <mergeCell ref="J902:K902"/>
    <mergeCell ref="J903:K903"/>
    <mergeCell ref="J904:K904"/>
    <mergeCell ref="J905:K905"/>
    <mergeCell ref="J907:K907"/>
    <mergeCell ref="J894:K894"/>
    <mergeCell ref="J895:K895"/>
    <mergeCell ref="J896:K896"/>
    <mergeCell ref="J898:K898"/>
    <mergeCell ref="J899:K899"/>
    <mergeCell ref="J900:K900"/>
    <mergeCell ref="J928:K928"/>
    <mergeCell ref="J929:K929"/>
    <mergeCell ref="J931:K931"/>
    <mergeCell ref="J932:K932"/>
    <mergeCell ref="J933:K933"/>
    <mergeCell ref="J934:K934"/>
    <mergeCell ref="J921:K921"/>
    <mergeCell ref="J923:K923"/>
    <mergeCell ref="J924:K924"/>
    <mergeCell ref="J925:K925"/>
    <mergeCell ref="J926:K926"/>
    <mergeCell ref="J927:K927"/>
    <mergeCell ref="J915:K915"/>
    <mergeCell ref="J916:K916"/>
    <mergeCell ref="J917:K917"/>
    <mergeCell ref="J918:K918"/>
    <mergeCell ref="J919:K919"/>
    <mergeCell ref="J920:K920"/>
    <mergeCell ref="J949:K949"/>
    <mergeCell ref="J950:K950"/>
    <mergeCell ref="J951:K951"/>
    <mergeCell ref="J952:K952"/>
    <mergeCell ref="J953:K953"/>
    <mergeCell ref="J955:K955"/>
    <mergeCell ref="J942:K942"/>
    <mergeCell ref="J943:K943"/>
    <mergeCell ref="J944:K944"/>
    <mergeCell ref="J945:K945"/>
    <mergeCell ref="J947:K947"/>
    <mergeCell ref="J948:K948"/>
    <mergeCell ref="J935:K935"/>
    <mergeCell ref="J936:K936"/>
    <mergeCell ref="J937:K937"/>
    <mergeCell ref="J939:K939"/>
    <mergeCell ref="J940:K940"/>
    <mergeCell ref="J941:K941"/>
    <mergeCell ref="J969:K969"/>
    <mergeCell ref="J971:K971"/>
    <mergeCell ref="J972:K972"/>
    <mergeCell ref="J973:K973"/>
    <mergeCell ref="J974:K974"/>
    <mergeCell ref="J975:K975"/>
    <mergeCell ref="J963:K963"/>
    <mergeCell ref="J964:K964"/>
    <mergeCell ref="J965:K965"/>
    <mergeCell ref="J966:K966"/>
    <mergeCell ref="J967:K967"/>
    <mergeCell ref="J968:K968"/>
    <mergeCell ref="J956:K956"/>
    <mergeCell ref="J957:K957"/>
    <mergeCell ref="J958:K958"/>
    <mergeCell ref="J959:K959"/>
    <mergeCell ref="J960:K960"/>
    <mergeCell ref="J961:K961"/>
    <mergeCell ref="J990:K990"/>
    <mergeCell ref="J991:K991"/>
    <mergeCell ref="J992:K992"/>
    <mergeCell ref="J993:K993"/>
    <mergeCell ref="J994:K994"/>
    <mergeCell ref="J996:K996"/>
    <mergeCell ref="J983:K983"/>
    <mergeCell ref="J984:K984"/>
    <mergeCell ref="J985:K985"/>
    <mergeCell ref="J987:K987"/>
    <mergeCell ref="J988:K988"/>
    <mergeCell ref="J989:K989"/>
    <mergeCell ref="J976:K976"/>
    <mergeCell ref="J977:K977"/>
    <mergeCell ref="J979:K979"/>
    <mergeCell ref="J980:K980"/>
    <mergeCell ref="J981:K981"/>
    <mergeCell ref="J982:K982"/>
    <mergeCell ref="J1010:K1010"/>
    <mergeCell ref="J1011:K1011"/>
    <mergeCell ref="J1012:K1012"/>
    <mergeCell ref="J1013:K1013"/>
    <mergeCell ref="J1014:K1014"/>
    <mergeCell ref="J1015:K1015"/>
    <mergeCell ref="J1004:K1004"/>
    <mergeCell ref="J1005:K1005"/>
    <mergeCell ref="J1006:K1006"/>
    <mergeCell ref="J1007:K1007"/>
    <mergeCell ref="J1008:K1008"/>
    <mergeCell ref="J1009:K1009"/>
    <mergeCell ref="J997:K997"/>
    <mergeCell ref="J998:K998"/>
    <mergeCell ref="J999:K999"/>
    <mergeCell ref="J1000:K1000"/>
    <mergeCell ref="J1001:K1001"/>
    <mergeCell ref="J1003:K1003"/>
    <mergeCell ref="J1034:K1034"/>
    <mergeCell ref="J1035:K1035"/>
    <mergeCell ref="J1036:K1036"/>
    <mergeCell ref="J1037:K1037"/>
    <mergeCell ref="J1038:K1038"/>
    <mergeCell ref="J1028:K1028"/>
    <mergeCell ref="J1029:K1029"/>
    <mergeCell ref="J1030:K1030"/>
    <mergeCell ref="J1031:K1031"/>
    <mergeCell ref="J1032:K1032"/>
    <mergeCell ref="J1022:K1022"/>
    <mergeCell ref="J1023:K1023"/>
    <mergeCell ref="J1024:K1024"/>
    <mergeCell ref="J1025:K1025"/>
    <mergeCell ref="J1026:K1026"/>
    <mergeCell ref="J1027:K1027"/>
    <mergeCell ref="J1016:K1016"/>
    <mergeCell ref="J1017:K1017"/>
    <mergeCell ref="J1018:K1018"/>
    <mergeCell ref="J1019:K1019"/>
    <mergeCell ref="J1020:K1020"/>
    <mergeCell ref="J1021:K1021"/>
    <mergeCell ref="J1053:K1053"/>
    <mergeCell ref="J1054:K1054"/>
    <mergeCell ref="J1055:K1055"/>
    <mergeCell ref="J1057:K1057"/>
    <mergeCell ref="J1058:K1058"/>
    <mergeCell ref="J1059:K1059"/>
    <mergeCell ref="J1046:K1046"/>
    <mergeCell ref="J1047:K1047"/>
    <mergeCell ref="J1048:K1048"/>
    <mergeCell ref="J1049:K1049"/>
    <mergeCell ref="J1050:K1050"/>
    <mergeCell ref="J1052:K1052"/>
    <mergeCell ref="J1039:K1039"/>
    <mergeCell ref="J1040:K1040"/>
    <mergeCell ref="J1041:K1041"/>
    <mergeCell ref="J1043:K1043"/>
    <mergeCell ref="J1044:K1044"/>
    <mergeCell ref="J1045:K1045"/>
    <mergeCell ref="J1075:K1075"/>
    <mergeCell ref="J1076:K1076"/>
    <mergeCell ref="J1077:K1077"/>
    <mergeCell ref="J1078:K1078"/>
    <mergeCell ref="J1079:K1079"/>
    <mergeCell ref="J1081:K1081"/>
    <mergeCell ref="J1068:K1068"/>
    <mergeCell ref="J1069:K1069"/>
    <mergeCell ref="J1070:K1070"/>
    <mergeCell ref="J1071:K1071"/>
    <mergeCell ref="J1072:K1072"/>
    <mergeCell ref="J1073:K1073"/>
    <mergeCell ref="J1060:K1060"/>
    <mergeCell ref="J1062:K1062"/>
    <mergeCell ref="J1063:K1063"/>
    <mergeCell ref="J1064:K1064"/>
    <mergeCell ref="J1065:K1065"/>
    <mergeCell ref="J1067:K1067"/>
    <mergeCell ref="J1095:K1095"/>
    <mergeCell ref="J1096:K1096"/>
    <mergeCell ref="J1097:K1097"/>
    <mergeCell ref="J1098:K1098"/>
    <mergeCell ref="J1099:K1099"/>
    <mergeCell ref="J1100:K1100"/>
    <mergeCell ref="J1088:K1088"/>
    <mergeCell ref="J1089:K1089"/>
    <mergeCell ref="J1090:K1090"/>
    <mergeCell ref="J1092:K1092"/>
    <mergeCell ref="J1093:K1093"/>
    <mergeCell ref="J1094:K1094"/>
    <mergeCell ref="J1082:K1082"/>
    <mergeCell ref="J1083:K1083"/>
    <mergeCell ref="J1084:K1084"/>
    <mergeCell ref="J1085:K1085"/>
    <mergeCell ref="J1086:K1086"/>
    <mergeCell ref="J1087:K1087"/>
    <mergeCell ref="J1115:K1115"/>
    <mergeCell ref="J1116:K1116"/>
    <mergeCell ref="J1117:K1117"/>
    <mergeCell ref="J1118:K1118"/>
    <mergeCell ref="J1119:K1119"/>
    <mergeCell ref="J1121:K1121"/>
    <mergeCell ref="J1108:K1108"/>
    <mergeCell ref="J1109:K1109"/>
    <mergeCell ref="J1110:K1110"/>
    <mergeCell ref="J1111:K1111"/>
    <mergeCell ref="J1112:K1112"/>
    <mergeCell ref="J1114:K1114"/>
    <mergeCell ref="J1101:K1101"/>
    <mergeCell ref="J1103:K1103"/>
    <mergeCell ref="J1104:K1104"/>
    <mergeCell ref="J1105:K1105"/>
    <mergeCell ref="J1106:K1106"/>
    <mergeCell ref="J1107:K1107"/>
    <mergeCell ref="J1135:K1135"/>
    <mergeCell ref="J1136:K1136"/>
    <mergeCell ref="J1138:K1138"/>
    <mergeCell ref="J1139:K1139"/>
    <mergeCell ref="J1140:K1140"/>
    <mergeCell ref="J1141:K1141"/>
    <mergeCell ref="J1128:K1128"/>
    <mergeCell ref="J1129:K1129"/>
    <mergeCell ref="J1130:K1130"/>
    <mergeCell ref="J1131:K1131"/>
    <mergeCell ref="J1133:K1133"/>
    <mergeCell ref="J1134:K1134"/>
    <mergeCell ref="J1122:K1122"/>
    <mergeCell ref="J1123:K1123"/>
    <mergeCell ref="J1124:K1124"/>
    <mergeCell ref="J1125:K1125"/>
    <mergeCell ref="J1126:K1126"/>
    <mergeCell ref="J1127:K1127"/>
    <mergeCell ref="J1156:K1156"/>
    <mergeCell ref="J1157:K1157"/>
    <mergeCell ref="J1158:K1158"/>
    <mergeCell ref="J1159:K1159"/>
    <mergeCell ref="J1160:K1160"/>
    <mergeCell ref="J1162:K1162"/>
    <mergeCell ref="J1149:K1149"/>
    <mergeCell ref="J1150:K1150"/>
    <mergeCell ref="J1151:K1151"/>
    <mergeCell ref="J1153:K1153"/>
    <mergeCell ref="J1154:K1154"/>
    <mergeCell ref="J1155:K1155"/>
    <mergeCell ref="J1142:K1142"/>
    <mergeCell ref="J1143:K1143"/>
    <mergeCell ref="J1144:K1144"/>
    <mergeCell ref="J1146:K1146"/>
    <mergeCell ref="J1147:K1147"/>
    <mergeCell ref="J1148:K1148"/>
    <mergeCell ref="J1177:K1177"/>
    <mergeCell ref="J1179:K1179"/>
    <mergeCell ref="J1180:K1180"/>
    <mergeCell ref="J1181:K1181"/>
    <mergeCell ref="J1182:K1182"/>
    <mergeCell ref="J1183:K1183"/>
    <mergeCell ref="J1170:K1170"/>
    <mergeCell ref="J1171:K1171"/>
    <mergeCell ref="J1173:K1173"/>
    <mergeCell ref="J1174:K1174"/>
    <mergeCell ref="J1175:K1175"/>
    <mergeCell ref="J1176:K1176"/>
    <mergeCell ref="J1163:K1163"/>
    <mergeCell ref="J1164:K1164"/>
    <mergeCell ref="J1165:K1165"/>
    <mergeCell ref="J1166:K1166"/>
    <mergeCell ref="J1168:K1168"/>
    <mergeCell ref="J1169:K1169"/>
    <mergeCell ref="J1198:K1198"/>
    <mergeCell ref="J1199:K1199"/>
    <mergeCell ref="J1200:K1200"/>
    <mergeCell ref="J1201:K1201"/>
    <mergeCell ref="J1202:K1202"/>
    <mergeCell ref="J1203:K1203"/>
    <mergeCell ref="J1191:K1191"/>
    <mergeCell ref="J1192:K1192"/>
    <mergeCell ref="J1193:K1193"/>
    <mergeCell ref="J1194:K1194"/>
    <mergeCell ref="J1195:K1195"/>
    <mergeCell ref="J1197:K1197"/>
    <mergeCell ref="J1184:K1184"/>
    <mergeCell ref="J1185:K1185"/>
    <mergeCell ref="J1186:K1186"/>
    <mergeCell ref="J1188:K1188"/>
    <mergeCell ref="J1189:K1189"/>
    <mergeCell ref="J1190:K1190"/>
    <mergeCell ref="J1218:K1218"/>
    <mergeCell ref="J1219:K1219"/>
    <mergeCell ref="J1220:K1220"/>
    <mergeCell ref="J1221:K1221"/>
    <mergeCell ref="J1222:K1222"/>
    <mergeCell ref="J1223:K1223"/>
    <mergeCell ref="J1211:K1211"/>
    <mergeCell ref="J1213:K1213"/>
    <mergeCell ref="J1214:K1214"/>
    <mergeCell ref="J1215:K1215"/>
    <mergeCell ref="J1216:K1216"/>
    <mergeCell ref="J1217:K1217"/>
    <mergeCell ref="J1205:K1205"/>
    <mergeCell ref="J1206:K1206"/>
    <mergeCell ref="J1207:K1207"/>
    <mergeCell ref="J1208:K1208"/>
    <mergeCell ref="J1209:K1209"/>
    <mergeCell ref="J1210:K1210"/>
    <mergeCell ref="J1237:K1237"/>
    <mergeCell ref="J1238:K1238"/>
    <mergeCell ref="J1239:K1239"/>
    <mergeCell ref="J1240:K1240"/>
    <mergeCell ref="J1241:K1241"/>
    <mergeCell ref="J1242:K1242"/>
    <mergeCell ref="J1231:K1231"/>
    <mergeCell ref="J1232:K1232"/>
    <mergeCell ref="J1233:K1233"/>
    <mergeCell ref="J1234:K1234"/>
    <mergeCell ref="J1235:K1235"/>
    <mergeCell ref="J1236:K1236"/>
    <mergeCell ref="J1224:K1224"/>
    <mergeCell ref="J1225:K1225"/>
    <mergeCell ref="J1226:K1226"/>
    <mergeCell ref="J1227:K1227"/>
    <mergeCell ref="J1228:K1228"/>
    <mergeCell ref="J1229:K1229"/>
    <mergeCell ref="J1256:K1256"/>
    <mergeCell ref="J1257:K1257"/>
    <mergeCell ref="J1258:K1258"/>
    <mergeCell ref="J1259:K1259"/>
    <mergeCell ref="J1260:K1260"/>
    <mergeCell ref="J1261:K1261"/>
    <mergeCell ref="J1250:K1250"/>
    <mergeCell ref="J1251:K1251"/>
    <mergeCell ref="J1252:K1252"/>
    <mergeCell ref="J1253:K1253"/>
    <mergeCell ref="J1254:K1254"/>
    <mergeCell ref="J1255:K1255"/>
    <mergeCell ref="J1243:K1243"/>
    <mergeCell ref="J1244:K1244"/>
    <mergeCell ref="J1245:K1245"/>
    <mergeCell ref="J1246:K1246"/>
    <mergeCell ref="J1247:K1247"/>
    <mergeCell ref="J1249:K1249"/>
    <mergeCell ref="J1277:K1277"/>
    <mergeCell ref="J1278:K1278"/>
    <mergeCell ref="J1279:K1279"/>
    <mergeCell ref="J1280:K1280"/>
    <mergeCell ref="J1281:K1281"/>
    <mergeCell ref="J1282:K1282"/>
    <mergeCell ref="J1270:K1270"/>
    <mergeCell ref="J1271:K1271"/>
    <mergeCell ref="J1272:K1272"/>
    <mergeCell ref="J1273:K1273"/>
    <mergeCell ref="J1274:K1274"/>
    <mergeCell ref="J1276:K1276"/>
    <mergeCell ref="J1263:K1263"/>
    <mergeCell ref="J1264:K1264"/>
    <mergeCell ref="J1265:K1265"/>
    <mergeCell ref="J1266:K1266"/>
    <mergeCell ref="J1267:K1267"/>
    <mergeCell ref="J1268:K1268"/>
    <mergeCell ref="J1295:K1295"/>
    <mergeCell ref="J1297:K1297"/>
    <mergeCell ref="J1298:K1298"/>
    <mergeCell ref="J1299:K1299"/>
    <mergeCell ref="J1300:K1300"/>
    <mergeCell ref="J1301:K1301"/>
    <mergeCell ref="J1289:K1289"/>
    <mergeCell ref="J1290:K1290"/>
    <mergeCell ref="J1291:K1291"/>
    <mergeCell ref="J1292:K1292"/>
    <mergeCell ref="J1293:K1293"/>
    <mergeCell ref="J1294:K1294"/>
    <mergeCell ref="J1283:K1283"/>
    <mergeCell ref="J1284:K1284"/>
    <mergeCell ref="J1285:K1285"/>
    <mergeCell ref="J1286:K1286"/>
    <mergeCell ref="J1287:K1287"/>
    <mergeCell ref="J1288:K1288"/>
    <mergeCell ref="J1317:K1317"/>
    <mergeCell ref="J1318:K1318"/>
    <mergeCell ref="J1319:K1319"/>
    <mergeCell ref="J1321:K1321"/>
    <mergeCell ref="J1322:K1322"/>
    <mergeCell ref="J1323:K1323"/>
    <mergeCell ref="J1310:K1310"/>
    <mergeCell ref="J1311:K1311"/>
    <mergeCell ref="J1312:K1312"/>
    <mergeCell ref="J1313:K1313"/>
    <mergeCell ref="J1315:K1315"/>
    <mergeCell ref="J1316:K1316"/>
    <mergeCell ref="J1303:K1303"/>
    <mergeCell ref="J1304:K1304"/>
    <mergeCell ref="J1305:K1305"/>
    <mergeCell ref="J1306:K1306"/>
    <mergeCell ref="J1307:K1307"/>
    <mergeCell ref="J1309:K1309"/>
    <mergeCell ref="J1338:K1338"/>
    <mergeCell ref="J1340:K1340"/>
    <mergeCell ref="J1341:K1341"/>
    <mergeCell ref="J1342:K1342"/>
    <mergeCell ref="J1343:K1343"/>
    <mergeCell ref="J1344:K1344"/>
    <mergeCell ref="J1331:K1331"/>
    <mergeCell ref="J1333:K1333"/>
    <mergeCell ref="J1334:K1334"/>
    <mergeCell ref="J1335:K1335"/>
    <mergeCell ref="J1336:K1336"/>
    <mergeCell ref="J1337:K1337"/>
    <mergeCell ref="J1324:K1324"/>
    <mergeCell ref="J1325:K1325"/>
    <mergeCell ref="J1327:K1327"/>
    <mergeCell ref="J1328:K1328"/>
    <mergeCell ref="J1329:K1329"/>
    <mergeCell ref="J1330:K1330"/>
    <mergeCell ref="J1359:K1359"/>
    <mergeCell ref="J1361:K1361"/>
    <mergeCell ref="J1362:K1362"/>
    <mergeCell ref="J1363:K1363"/>
    <mergeCell ref="J1364:K1364"/>
    <mergeCell ref="J1365:K1365"/>
    <mergeCell ref="J1353:K1353"/>
    <mergeCell ref="J1354:K1354"/>
    <mergeCell ref="J1355:K1355"/>
    <mergeCell ref="J1356:K1356"/>
    <mergeCell ref="J1357:K1357"/>
    <mergeCell ref="J1358:K1358"/>
    <mergeCell ref="J1346:K1346"/>
    <mergeCell ref="J1347:K1347"/>
    <mergeCell ref="J1348:K1348"/>
    <mergeCell ref="J1349:K1349"/>
    <mergeCell ref="J1350:K1350"/>
    <mergeCell ref="J1352:K1352"/>
    <mergeCell ref="J1381:K1381"/>
    <mergeCell ref="J1382:K1382"/>
    <mergeCell ref="J1384:K1384"/>
    <mergeCell ref="J1385:K1385"/>
    <mergeCell ref="J1386:K1386"/>
    <mergeCell ref="J1387:K1387"/>
    <mergeCell ref="J1374:K1374"/>
    <mergeCell ref="J1375:K1375"/>
    <mergeCell ref="J1376:K1376"/>
    <mergeCell ref="J1378:K1378"/>
    <mergeCell ref="J1379:K1379"/>
    <mergeCell ref="J1380:K1380"/>
    <mergeCell ref="J1367:K1367"/>
    <mergeCell ref="J1368:K1368"/>
    <mergeCell ref="J1369:K1369"/>
    <mergeCell ref="J1370:K1370"/>
    <mergeCell ref="J1371:K1371"/>
    <mergeCell ref="J1373:K1373"/>
    <mergeCell ref="J1403:K1403"/>
    <mergeCell ref="J1404:K1404"/>
    <mergeCell ref="J1405:K1405"/>
    <mergeCell ref="J1406:K1406"/>
    <mergeCell ref="J1408:K1408"/>
    <mergeCell ref="J1409:K1409"/>
    <mergeCell ref="J1396:K1396"/>
    <mergeCell ref="J1397:K1397"/>
    <mergeCell ref="J1398:K1398"/>
    <mergeCell ref="J1399:K1399"/>
    <mergeCell ref="J1400:K1400"/>
    <mergeCell ref="J1402:K1402"/>
    <mergeCell ref="J1388:K1388"/>
    <mergeCell ref="J1389:K1389"/>
    <mergeCell ref="J1391:K1391"/>
    <mergeCell ref="J1392:K1392"/>
    <mergeCell ref="J1393:K1393"/>
    <mergeCell ref="J1394:K1394"/>
    <mergeCell ref="J1425:K1425"/>
    <mergeCell ref="J1426:K1426"/>
    <mergeCell ref="J1427:K1427"/>
    <mergeCell ref="J1428:K1428"/>
    <mergeCell ref="J1430:K1430"/>
    <mergeCell ref="J1431:K1431"/>
    <mergeCell ref="J1417:K1417"/>
    <mergeCell ref="J1419:K1419"/>
    <mergeCell ref="J1420:K1420"/>
    <mergeCell ref="J1421:K1421"/>
    <mergeCell ref="J1422:K1422"/>
    <mergeCell ref="J1423:K1423"/>
    <mergeCell ref="J1410:K1410"/>
    <mergeCell ref="J1411:K1411"/>
    <mergeCell ref="J1413:K1413"/>
    <mergeCell ref="J1414:K1414"/>
    <mergeCell ref="J1415:K1415"/>
    <mergeCell ref="J1416:K1416"/>
    <mergeCell ref="J1447:K1447"/>
    <mergeCell ref="J1448:K1448"/>
    <mergeCell ref="J1449:K1449"/>
    <mergeCell ref="J1450:K1450"/>
    <mergeCell ref="J1452:K1452"/>
    <mergeCell ref="J1453:K1453"/>
    <mergeCell ref="J1439:K1439"/>
    <mergeCell ref="J1440:K1440"/>
    <mergeCell ref="J1442:K1442"/>
    <mergeCell ref="J1443:K1443"/>
    <mergeCell ref="J1444:K1444"/>
    <mergeCell ref="J1446:K1446"/>
    <mergeCell ref="J1432:K1432"/>
    <mergeCell ref="J1433:K1433"/>
    <mergeCell ref="J1435:K1435"/>
    <mergeCell ref="J1436:K1436"/>
    <mergeCell ref="J1437:K1437"/>
    <mergeCell ref="J1438:K1438"/>
    <mergeCell ref="J1467:K1467"/>
    <mergeCell ref="J1468:K1468"/>
    <mergeCell ref="J1470:K1470"/>
    <mergeCell ref="J1471:K1471"/>
    <mergeCell ref="J1472:K1472"/>
    <mergeCell ref="J1473:K1473"/>
    <mergeCell ref="J1460:K1460"/>
    <mergeCell ref="J1462:K1462"/>
    <mergeCell ref="J1463:K1463"/>
    <mergeCell ref="J1464:K1464"/>
    <mergeCell ref="J1465:K1465"/>
    <mergeCell ref="J1466:K1466"/>
    <mergeCell ref="J1454:K1454"/>
    <mergeCell ref="J1455:K1455"/>
    <mergeCell ref="J1456:K1456"/>
    <mergeCell ref="J1457:K1457"/>
    <mergeCell ref="J1458:K1458"/>
    <mergeCell ref="J1459:K1459"/>
    <mergeCell ref="J1489:K1489"/>
    <mergeCell ref="J1490:K1490"/>
    <mergeCell ref="J1491:K1491"/>
    <mergeCell ref="J1492:K1492"/>
    <mergeCell ref="J1493:K1493"/>
    <mergeCell ref="J1495:K1495"/>
    <mergeCell ref="J1481:K1481"/>
    <mergeCell ref="J1483:K1483"/>
    <mergeCell ref="J1484:K1484"/>
    <mergeCell ref="J1485:K1485"/>
    <mergeCell ref="J1486:K1486"/>
    <mergeCell ref="J1487:K1487"/>
    <mergeCell ref="J1474:K1474"/>
    <mergeCell ref="J1476:K1476"/>
    <mergeCell ref="J1477:K1477"/>
    <mergeCell ref="J1478:K1478"/>
    <mergeCell ref="J1479:K1479"/>
    <mergeCell ref="J1480:K1480"/>
    <mergeCell ref="J1511:K1511"/>
    <mergeCell ref="J1512:K1512"/>
    <mergeCell ref="J1513:K1513"/>
    <mergeCell ref="J1514:K1514"/>
    <mergeCell ref="J1515:K1515"/>
    <mergeCell ref="J1517:K1517"/>
    <mergeCell ref="J1503:K1503"/>
    <mergeCell ref="J1504:K1504"/>
    <mergeCell ref="J1506:K1506"/>
    <mergeCell ref="J1507:K1507"/>
    <mergeCell ref="J1508:K1508"/>
    <mergeCell ref="J1509:K1509"/>
    <mergeCell ref="J1496:K1496"/>
    <mergeCell ref="J1497:K1497"/>
    <mergeCell ref="J1498:K1498"/>
    <mergeCell ref="J1499:K1499"/>
    <mergeCell ref="J1501:K1501"/>
    <mergeCell ref="J1502:K1502"/>
    <mergeCell ref="J1532:K1532"/>
    <mergeCell ref="J1533:K1533"/>
    <mergeCell ref="J1535:K1535"/>
    <mergeCell ref="J1536:K1536"/>
    <mergeCell ref="J1537:K1537"/>
    <mergeCell ref="J1538:K1538"/>
    <mergeCell ref="J1525:K1525"/>
    <mergeCell ref="J1526:K1526"/>
    <mergeCell ref="J1527:K1527"/>
    <mergeCell ref="J1529:K1529"/>
    <mergeCell ref="J1530:K1530"/>
    <mergeCell ref="J1531:K1531"/>
    <mergeCell ref="J1518:K1518"/>
    <mergeCell ref="J1519:K1519"/>
    <mergeCell ref="J1520:K1520"/>
    <mergeCell ref="J1521:K1521"/>
    <mergeCell ref="J1523:K1523"/>
    <mergeCell ref="J1524:K1524"/>
    <mergeCell ref="J1554:K1554"/>
    <mergeCell ref="J1555:K1555"/>
    <mergeCell ref="J1557:K1557"/>
    <mergeCell ref="J1558:K1558"/>
    <mergeCell ref="J1559:K1559"/>
    <mergeCell ref="J1560:K1560"/>
    <mergeCell ref="J1547:K1547"/>
    <mergeCell ref="J1548:K1548"/>
    <mergeCell ref="J1549:K1549"/>
    <mergeCell ref="J1550:K1550"/>
    <mergeCell ref="J1552:K1552"/>
    <mergeCell ref="J1553:K1553"/>
    <mergeCell ref="J1539:K1539"/>
    <mergeCell ref="J1541:K1541"/>
    <mergeCell ref="J1542:K1542"/>
    <mergeCell ref="J1543:K1543"/>
    <mergeCell ref="J1544:K1544"/>
    <mergeCell ref="J1545:K1545"/>
    <mergeCell ref="J1576:K1576"/>
    <mergeCell ref="J1577:K1577"/>
    <mergeCell ref="J1579:K1579"/>
    <mergeCell ref="J1580:K1580"/>
    <mergeCell ref="J1581:K1581"/>
    <mergeCell ref="J1582:K1582"/>
    <mergeCell ref="J1569:K1569"/>
    <mergeCell ref="J1570:K1570"/>
    <mergeCell ref="J1571:K1571"/>
    <mergeCell ref="J1572:K1572"/>
    <mergeCell ref="J1574:K1574"/>
    <mergeCell ref="J1575:K1575"/>
    <mergeCell ref="J1561:K1561"/>
    <mergeCell ref="J1563:K1563"/>
    <mergeCell ref="J1564:K1564"/>
    <mergeCell ref="J1565:K1565"/>
    <mergeCell ref="J1566:K1566"/>
    <mergeCell ref="J1567:K1567"/>
    <mergeCell ref="J1597:K1597"/>
    <mergeCell ref="J1598:K1598"/>
    <mergeCell ref="J1600:K1600"/>
    <mergeCell ref="J1601:K1601"/>
    <mergeCell ref="J1602:K1602"/>
    <mergeCell ref="J1603:K1603"/>
    <mergeCell ref="J1590:K1590"/>
    <mergeCell ref="J1591:K1591"/>
    <mergeCell ref="J1592:K1592"/>
    <mergeCell ref="J1594:K1594"/>
    <mergeCell ref="J1595:K1595"/>
    <mergeCell ref="J1596:K1596"/>
    <mergeCell ref="J1583:K1583"/>
    <mergeCell ref="J1584:K1584"/>
    <mergeCell ref="J1585:K1585"/>
    <mergeCell ref="J1587:K1587"/>
    <mergeCell ref="J1588:K1588"/>
    <mergeCell ref="J1589:K1589"/>
    <mergeCell ref="J1618:K1618"/>
    <mergeCell ref="J1619:K1619"/>
    <mergeCell ref="J1620:K1620"/>
    <mergeCell ref="J1621:K1621"/>
    <mergeCell ref="J1623:K1623"/>
    <mergeCell ref="J1624:K1624"/>
    <mergeCell ref="J1611:K1611"/>
    <mergeCell ref="J1612:K1612"/>
    <mergeCell ref="J1613:K1613"/>
    <mergeCell ref="J1614:K1614"/>
    <mergeCell ref="J1616:K1616"/>
    <mergeCell ref="J1617:K1617"/>
    <mergeCell ref="J1604:K1604"/>
    <mergeCell ref="J1605:K1605"/>
    <mergeCell ref="J1606:K1606"/>
    <mergeCell ref="J1608:K1608"/>
    <mergeCell ref="J1609:K1609"/>
    <mergeCell ref="J1610:K1610"/>
    <mergeCell ref="J1639:K1639"/>
    <mergeCell ref="J1641:K1641"/>
    <mergeCell ref="J1642:K1642"/>
    <mergeCell ref="J1643:K1643"/>
    <mergeCell ref="J1644:K1644"/>
    <mergeCell ref="J1645:K1645"/>
    <mergeCell ref="J1632:K1632"/>
    <mergeCell ref="J1633:K1633"/>
    <mergeCell ref="J1635:K1635"/>
    <mergeCell ref="J1636:K1636"/>
    <mergeCell ref="J1637:K1637"/>
    <mergeCell ref="J1638:K1638"/>
    <mergeCell ref="J1625:K1625"/>
    <mergeCell ref="J1626:K1626"/>
    <mergeCell ref="J1627:K1627"/>
    <mergeCell ref="J1629:K1629"/>
    <mergeCell ref="J1630:K1630"/>
    <mergeCell ref="J1631:K1631"/>
    <mergeCell ref="J1661:K1661"/>
    <mergeCell ref="J1662:K1662"/>
    <mergeCell ref="J1664:K1664"/>
    <mergeCell ref="J1665:K1665"/>
    <mergeCell ref="J1666:K1666"/>
    <mergeCell ref="J1667:K1667"/>
    <mergeCell ref="J1654:K1654"/>
    <mergeCell ref="J1655:K1655"/>
    <mergeCell ref="J1656:K1656"/>
    <mergeCell ref="J1657:K1657"/>
    <mergeCell ref="J1659:K1659"/>
    <mergeCell ref="J1660:K1660"/>
    <mergeCell ref="J1647:K1647"/>
    <mergeCell ref="J1648:K1648"/>
    <mergeCell ref="J1649:K1649"/>
    <mergeCell ref="J1650:K1650"/>
    <mergeCell ref="J1651:K1651"/>
    <mergeCell ref="J1653:K1653"/>
    <mergeCell ref="J1682:K1682"/>
    <mergeCell ref="J1683:K1683"/>
    <mergeCell ref="J1684:K1684"/>
    <mergeCell ref="J1685:K1685"/>
    <mergeCell ref="J1687:K1687"/>
    <mergeCell ref="J1688:K1688"/>
    <mergeCell ref="J1675:K1675"/>
    <mergeCell ref="J1676:K1676"/>
    <mergeCell ref="J1677:K1677"/>
    <mergeCell ref="J1679:K1679"/>
    <mergeCell ref="J1680:K1680"/>
    <mergeCell ref="J1681:K1681"/>
    <mergeCell ref="J1669:K1669"/>
    <mergeCell ref="J1670:K1670"/>
    <mergeCell ref="J1671:K1671"/>
    <mergeCell ref="J1672:K1672"/>
    <mergeCell ref="J1673:K1673"/>
    <mergeCell ref="J1674:K1674"/>
    <mergeCell ref="J1703:K1703"/>
    <mergeCell ref="J1705:K1705"/>
    <mergeCell ref="J1706:K1706"/>
    <mergeCell ref="J1707:K1707"/>
    <mergeCell ref="J1708:K1708"/>
    <mergeCell ref="J1710:K1710"/>
    <mergeCell ref="J1696:K1696"/>
    <mergeCell ref="J1697:K1697"/>
    <mergeCell ref="J1699:K1699"/>
    <mergeCell ref="J1700:K1700"/>
    <mergeCell ref="J1701:K1701"/>
    <mergeCell ref="J1702:K1702"/>
    <mergeCell ref="J1689:K1689"/>
    <mergeCell ref="J1690:K1690"/>
    <mergeCell ref="J1691:K1691"/>
    <mergeCell ref="J1693:K1693"/>
    <mergeCell ref="J1694:K1694"/>
    <mergeCell ref="J1695:K1695"/>
    <mergeCell ref="J1726:K1726"/>
    <mergeCell ref="J1727:K1727"/>
    <mergeCell ref="J1728:K1728"/>
    <mergeCell ref="J1731:K1731"/>
    <mergeCell ref="J1732:K1732"/>
    <mergeCell ref="J1733:K1733"/>
    <mergeCell ref="J1718:K1718"/>
    <mergeCell ref="J1719:K1719"/>
    <mergeCell ref="A1721:K1721"/>
    <mergeCell ref="J1723:K1723"/>
    <mergeCell ref="J1724:K1724"/>
    <mergeCell ref="J1725:K1725"/>
    <mergeCell ref="J1711:K1711"/>
    <mergeCell ref="J1712:K1712"/>
    <mergeCell ref="J1713:K1713"/>
    <mergeCell ref="J1715:K1715"/>
    <mergeCell ref="J1716:K1716"/>
    <mergeCell ref="J1717:K1717"/>
    <mergeCell ref="J1757:K1757"/>
    <mergeCell ref="J1758:K1758"/>
    <mergeCell ref="J1759:K1759"/>
    <mergeCell ref="J1760:K1760"/>
    <mergeCell ref="J1749:K1749"/>
    <mergeCell ref="J1750:K1750"/>
    <mergeCell ref="J1751:K1751"/>
    <mergeCell ref="J1754:K1754"/>
    <mergeCell ref="J1755:K1755"/>
    <mergeCell ref="J1756:K1756"/>
    <mergeCell ref="J1742:K1742"/>
    <mergeCell ref="J1743:K1743"/>
    <mergeCell ref="J1744:K1744"/>
    <mergeCell ref="J1746:K1746"/>
    <mergeCell ref="J1747:K1747"/>
    <mergeCell ref="J1748:K1748"/>
    <mergeCell ref="J1734:K1734"/>
    <mergeCell ref="J1735:K1735"/>
    <mergeCell ref="J1738:K1738"/>
    <mergeCell ref="J1739:K1739"/>
    <mergeCell ref="J1740:K1740"/>
    <mergeCell ref="J1741:K1741"/>
  </mergeCells>
  <pageMargins left="0.51181102362204722" right="0.51181102362204722" top="0.59055118110236227" bottom="0.59055118110236227" header="0" footer="0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46"/>
  <sheetViews>
    <sheetView view="pageBreakPreview" topLeftCell="A49" zoomScaleNormal="90" zoomScaleSheetLayoutView="100" workbookViewId="0">
      <selection activeCell="J79" sqref="J79:J81"/>
    </sheetView>
  </sheetViews>
  <sheetFormatPr defaultRowHeight="15"/>
  <cols>
    <col min="1" max="1" width="10.42578125" style="574" bestFit="1" customWidth="1"/>
    <col min="2" max="2" width="43" style="701" bestFit="1" customWidth="1"/>
    <col min="3" max="3" width="38.85546875" style="702" bestFit="1" customWidth="1"/>
    <col min="4" max="4" width="17.85546875" style="574" bestFit="1" customWidth="1"/>
    <col min="5" max="5" width="13.5703125" style="574" customWidth="1"/>
    <col min="6" max="6" width="13" style="574" bestFit="1" customWidth="1"/>
    <col min="7" max="7" width="8.28515625" style="574" bestFit="1" customWidth="1"/>
    <col min="8" max="8" width="5.42578125" style="574" bestFit="1" customWidth="1"/>
    <col min="9" max="9" width="10.7109375" style="574" bestFit="1" customWidth="1"/>
    <col min="10" max="10" width="20.85546875" style="574" customWidth="1"/>
    <col min="11" max="16384" width="9.140625" style="574"/>
  </cols>
  <sheetData>
    <row r="1" spans="1:10" ht="15" customHeight="1">
      <c r="A1" s="828" t="s">
        <v>3311</v>
      </c>
      <c r="B1" s="828"/>
      <c r="C1" s="828"/>
      <c r="D1" s="828"/>
      <c r="E1" s="828"/>
      <c r="F1" s="828"/>
      <c r="G1" s="828"/>
      <c r="H1" s="828"/>
      <c r="I1" s="828"/>
      <c r="J1" s="828"/>
    </row>
    <row r="2" spans="1:10" ht="51" customHeight="1">
      <c r="A2" s="646" t="s">
        <v>4</v>
      </c>
      <c r="B2" s="647" t="s">
        <v>1</v>
      </c>
      <c r="C2" s="648" t="s">
        <v>3314</v>
      </c>
      <c r="D2" s="646" t="s">
        <v>1151</v>
      </c>
      <c r="E2" s="646" t="s">
        <v>1150</v>
      </c>
      <c r="F2" s="646" t="s">
        <v>1149</v>
      </c>
      <c r="G2" s="649" t="s">
        <v>2531</v>
      </c>
      <c r="H2" s="646" t="s">
        <v>3315</v>
      </c>
      <c r="I2" s="650" t="s">
        <v>3316</v>
      </c>
      <c r="J2" s="650" t="s">
        <v>3317</v>
      </c>
    </row>
    <row r="3" spans="1:10" ht="15" customHeight="1">
      <c r="A3" s="804">
        <v>179</v>
      </c>
      <c r="B3" s="805" t="s">
        <v>1156</v>
      </c>
      <c r="C3" s="651" t="s">
        <v>3318</v>
      </c>
      <c r="D3" s="652" t="s">
        <v>1603</v>
      </c>
      <c r="E3" s="651">
        <v>36644374</v>
      </c>
      <c r="F3" s="651" t="s">
        <v>3319</v>
      </c>
      <c r="G3" s="653">
        <v>42795</v>
      </c>
      <c r="H3" s="654" t="s">
        <v>3320</v>
      </c>
      <c r="I3" s="655">
        <v>8.0399999999999991</v>
      </c>
      <c r="J3" s="806">
        <v>4.88</v>
      </c>
    </row>
    <row r="4" spans="1:10">
      <c r="A4" s="804"/>
      <c r="B4" s="805"/>
      <c r="C4" s="651" t="s">
        <v>3321</v>
      </c>
      <c r="D4" s="652" t="s">
        <v>3322</v>
      </c>
      <c r="E4" s="651">
        <v>36344700</v>
      </c>
      <c r="F4" s="651" t="s">
        <v>3323</v>
      </c>
      <c r="G4" s="653">
        <v>42795</v>
      </c>
      <c r="H4" s="654" t="s">
        <v>3320</v>
      </c>
      <c r="I4" s="655">
        <v>4.42</v>
      </c>
      <c r="J4" s="806"/>
    </row>
    <row r="5" spans="1:10">
      <c r="A5" s="804"/>
      <c r="B5" s="805"/>
      <c r="C5" s="651" t="s">
        <v>3324</v>
      </c>
      <c r="D5" s="652" t="s">
        <v>3325</v>
      </c>
      <c r="E5" s="651">
        <v>36461605</v>
      </c>
      <c r="F5" s="651" t="s">
        <v>3326</v>
      </c>
      <c r="G5" s="653">
        <v>42795</v>
      </c>
      <c r="H5" s="654" t="s">
        <v>3320</v>
      </c>
      <c r="I5" s="655">
        <v>4.88</v>
      </c>
      <c r="J5" s="806"/>
    </row>
    <row r="6" spans="1:10">
      <c r="A6" s="804">
        <v>157</v>
      </c>
      <c r="B6" s="805" t="s">
        <v>1248</v>
      </c>
      <c r="C6" s="656" t="s">
        <v>3327</v>
      </c>
      <c r="D6" s="657"/>
      <c r="E6" s="656" t="s">
        <v>3328</v>
      </c>
      <c r="F6" s="656" t="s">
        <v>3329</v>
      </c>
      <c r="G6" s="658">
        <v>42826</v>
      </c>
      <c r="H6" s="654" t="s">
        <v>70</v>
      </c>
      <c r="I6" s="655">
        <v>2310</v>
      </c>
      <c r="J6" s="806">
        <v>2310</v>
      </c>
    </row>
    <row r="7" spans="1:10">
      <c r="A7" s="804"/>
      <c r="B7" s="805"/>
      <c r="C7" s="656" t="s">
        <v>1251</v>
      </c>
      <c r="D7" s="657" t="s">
        <v>1252</v>
      </c>
      <c r="E7" s="656" t="s">
        <v>1250</v>
      </c>
      <c r="F7" s="656" t="s">
        <v>1249</v>
      </c>
      <c r="G7" s="658">
        <v>42826</v>
      </c>
      <c r="H7" s="654" t="s">
        <v>70</v>
      </c>
      <c r="I7" s="655">
        <v>2650</v>
      </c>
      <c r="J7" s="806"/>
    </row>
    <row r="8" spans="1:10">
      <c r="A8" s="804"/>
      <c r="B8" s="805"/>
      <c r="C8" s="656" t="s">
        <v>1254</v>
      </c>
      <c r="D8" s="657" t="s">
        <v>1255</v>
      </c>
      <c r="E8" s="656" t="s">
        <v>1253</v>
      </c>
      <c r="F8" s="656"/>
      <c r="G8" s="658">
        <v>42826</v>
      </c>
      <c r="H8" s="654" t="s">
        <v>70</v>
      </c>
      <c r="I8" s="655">
        <v>2268</v>
      </c>
      <c r="J8" s="806"/>
    </row>
    <row r="9" spans="1:10">
      <c r="A9" s="804">
        <v>195</v>
      </c>
      <c r="B9" s="805" t="s">
        <v>1175</v>
      </c>
      <c r="C9" s="659" t="s">
        <v>3330</v>
      </c>
      <c r="D9" s="660"/>
      <c r="E9" s="659" t="s">
        <v>3331</v>
      </c>
      <c r="F9" s="659" t="s">
        <v>3332</v>
      </c>
      <c r="G9" s="661">
        <v>42754</v>
      </c>
      <c r="H9" s="654" t="s">
        <v>70</v>
      </c>
      <c r="I9" s="662">
        <v>1100</v>
      </c>
      <c r="J9" s="806">
        <v>1100</v>
      </c>
    </row>
    <row r="10" spans="1:10">
      <c r="A10" s="804"/>
      <c r="B10" s="805"/>
      <c r="C10" s="659" t="s">
        <v>3333</v>
      </c>
      <c r="D10" s="660"/>
      <c r="E10" s="659" t="s">
        <v>3334</v>
      </c>
      <c r="F10" s="659" t="s">
        <v>1394</v>
      </c>
      <c r="G10" s="661">
        <v>42736</v>
      </c>
      <c r="H10" s="654" t="s">
        <v>70</v>
      </c>
      <c r="I10" s="662">
        <v>1050</v>
      </c>
      <c r="J10" s="806"/>
    </row>
    <row r="11" spans="1:10">
      <c r="A11" s="804"/>
      <c r="B11" s="805"/>
      <c r="C11" s="659" t="s">
        <v>1178</v>
      </c>
      <c r="D11" s="660" t="s">
        <v>1179</v>
      </c>
      <c r="E11" s="659">
        <v>36532049</v>
      </c>
      <c r="F11" s="659" t="s">
        <v>1177</v>
      </c>
      <c r="G11" s="661">
        <v>42736</v>
      </c>
      <c r="H11" s="654" t="s">
        <v>70</v>
      </c>
      <c r="I11" s="662">
        <v>1100</v>
      </c>
      <c r="J11" s="806"/>
    </row>
    <row r="12" spans="1:10">
      <c r="A12" s="804">
        <v>193</v>
      </c>
      <c r="B12" s="805" t="s">
        <v>1872</v>
      </c>
      <c r="C12" s="659" t="s">
        <v>3330</v>
      </c>
      <c r="D12" s="660"/>
      <c r="E12" s="659" t="s">
        <v>3331</v>
      </c>
      <c r="F12" s="659" t="s">
        <v>3332</v>
      </c>
      <c r="G12" s="661">
        <v>42754</v>
      </c>
      <c r="H12" s="654" t="s">
        <v>70</v>
      </c>
      <c r="I12" s="662">
        <v>990</v>
      </c>
      <c r="J12" s="806">
        <v>990</v>
      </c>
    </row>
    <row r="13" spans="1:10">
      <c r="A13" s="804"/>
      <c r="B13" s="805"/>
      <c r="C13" s="659" t="s">
        <v>3333</v>
      </c>
      <c r="D13" s="660"/>
      <c r="E13" s="659" t="s">
        <v>3334</v>
      </c>
      <c r="F13" s="659" t="s">
        <v>1394</v>
      </c>
      <c r="G13" s="661">
        <v>42736</v>
      </c>
      <c r="H13" s="654" t="s">
        <v>70</v>
      </c>
      <c r="I13" s="662">
        <v>990</v>
      </c>
      <c r="J13" s="806"/>
    </row>
    <row r="14" spans="1:10">
      <c r="A14" s="804"/>
      <c r="B14" s="805"/>
      <c r="C14" s="659" t="s">
        <v>1178</v>
      </c>
      <c r="D14" s="660" t="s">
        <v>1179</v>
      </c>
      <c r="E14" s="659">
        <v>36532049</v>
      </c>
      <c r="F14" s="659" t="s">
        <v>1177</v>
      </c>
      <c r="G14" s="661">
        <v>42736</v>
      </c>
      <c r="H14" s="654" t="s">
        <v>70</v>
      </c>
      <c r="I14" s="663">
        <v>1400</v>
      </c>
      <c r="J14" s="806"/>
    </row>
    <row r="15" spans="1:10">
      <c r="A15" s="804">
        <v>194</v>
      </c>
      <c r="B15" s="805" t="s">
        <v>1185</v>
      </c>
      <c r="C15" s="659" t="s">
        <v>3330</v>
      </c>
      <c r="D15" s="660"/>
      <c r="E15" s="659" t="s">
        <v>3331</v>
      </c>
      <c r="F15" s="659" t="s">
        <v>3332</v>
      </c>
      <c r="G15" s="661">
        <v>42754</v>
      </c>
      <c r="H15" s="654" t="s">
        <v>70</v>
      </c>
      <c r="I15" s="662">
        <v>1250</v>
      </c>
      <c r="J15" s="806">
        <v>1350</v>
      </c>
    </row>
    <row r="16" spans="1:10">
      <c r="A16" s="804"/>
      <c r="B16" s="805"/>
      <c r="C16" s="659" t="s">
        <v>3333</v>
      </c>
      <c r="D16" s="660"/>
      <c r="E16" s="659" t="s">
        <v>3334</v>
      </c>
      <c r="F16" s="659" t="s">
        <v>1394</v>
      </c>
      <c r="G16" s="661">
        <v>42736</v>
      </c>
      <c r="H16" s="654" t="s">
        <v>70</v>
      </c>
      <c r="I16" s="662">
        <v>1350</v>
      </c>
      <c r="J16" s="806"/>
    </row>
    <row r="17" spans="1:10">
      <c r="A17" s="804"/>
      <c r="B17" s="805"/>
      <c r="C17" s="659" t="s">
        <v>1178</v>
      </c>
      <c r="D17" s="660" t="s">
        <v>1179</v>
      </c>
      <c r="E17" s="659">
        <v>36532049</v>
      </c>
      <c r="F17" s="659" t="s">
        <v>1177</v>
      </c>
      <c r="G17" s="661">
        <v>42736</v>
      </c>
      <c r="H17" s="654" t="s">
        <v>70</v>
      </c>
      <c r="I17" s="662">
        <v>1400</v>
      </c>
      <c r="J17" s="806"/>
    </row>
    <row r="18" spans="1:10">
      <c r="A18" s="804">
        <v>218</v>
      </c>
      <c r="B18" s="805" t="s">
        <v>4534</v>
      </c>
      <c r="C18" s="651" t="s">
        <v>4535</v>
      </c>
      <c r="D18" s="711" t="s">
        <v>4536</v>
      </c>
      <c r="E18" s="651" t="s">
        <v>1189</v>
      </c>
      <c r="F18" s="651" t="s">
        <v>4537</v>
      </c>
      <c r="G18" s="653">
        <v>42736</v>
      </c>
      <c r="H18" s="712" t="s">
        <v>1163</v>
      </c>
      <c r="I18" s="713">
        <v>68.025000000000006</v>
      </c>
      <c r="J18" s="806">
        <v>45.3125</v>
      </c>
    </row>
    <row r="19" spans="1:10">
      <c r="A19" s="804"/>
      <c r="B19" s="805"/>
      <c r="C19" s="651" t="s">
        <v>4538</v>
      </c>
      <c r="D19" s="711" t="s">
        <v>4539</v>
      </c>
      <c r="E19" s="651">
        <v>36273030</v>
      </c>
      <c r="F19" s="651" t="s">
        <v>4540</v>
      </c>
      <c r="G19" s="653">
        <v>42736</v>
      </c>
      <c r="H19" s="712" t="s">
        <v>1163</v>
      </c>
      <c r="I19" s="713">
        <v>45.3125</v>
      </c>
      <c r="J19" s="806"/>
    </row>
    <row r="20" spans="1:10">
      <c r="A20" s="804"/>
      <c r="B20" s="805"/>
      <c r="C20" s="651" t="s">
        <v>4541</v>
      </c>
      <c r="D20" s="711" t="s">
        <v>1192</v>
      </c>
      <c r="E20" s="651">
        <v>36159000</v>
      </c>
      <c r="F20" s="651" t="s">
        <v>4542</v>
      </c>
      <c r="G20" s="653">
        <v>42736</v>
      </c>
      <c r="H20" s="712" t="s">
        <v>1163</v>
      </c>
      <c r="I20" s="713">
        <v>27.803124999999998</v>
      </c>
      <c r="J20" s="806"/>
    </row>
    <row r="21" spans="1:10">
      <c r="A21" s="804">
        <v>217</v>
      </c>
      <c r="B21" s="805" t="s">
        <v>4543</v>
      </c>
      <c r="C21" s="651" t="s">
        <v>4535</v>
      </c>
      <c r="D21" s="711" t="s">
        <v>4536</v>
      </c>
      <c r="E21" s="651" t="s">
        <v>1189</v>
      </c>
      <c r="F21" s="651" t="s">
        <v>4537</v>
      </c>
      <c r="G21" s="653">
        <v>42736</v>
      </c>
      <c r="H21" s="712" t="s">
        <v>1163</v>
      </c>
      <c r="I21" s="655">
        <v>43.412500000000001</v>
      </c>
      <c r="J21" s="806">
        <v>37.131249999999994</v>
      </c>
    </row>
    <row r="22" spans="1:10">
      <c r="A22" s="804"/>
      <c r="B22" s="805"/>
      <c r="C22" s="651" t="s">
        <v>4538</v>
      </c>
      <c r="D22" s="711" t="s">
        <v>4539</v>
      </c>
      <c r="E22" s="651">
        <v>36273030</v>
      </c>
      <c r="F22" s="651" t="s">
        <v>4540</v>
      </c>
      <c r="G22" s="653">
        <v>42736</v>
      </c>
      <c r="H22" s="712" t="s">
        <v>1163</v>
      </c>
      <c r="I22" s="655">
        <v>37.131249999999994</v>
      </c>
      <c r="J22" s="806"/>
    </row>
    <row r="23" spans="1:10">
      <c r="A23" s="804"/>
      <c r="B23" s="805"/>
      <c r="C23" s="651" t="s">
        <v>4541</v>
      </c>
      <c r="D23" s="711" t="s">
        <v>1192</v>
      </c>
      <c r="E23" s="651">
        <v>36159000</v>
      </c>
      <c r="F23" s="651" t="s">
        <v>4542</v>
      </c>
      <c r="G23" s="653">
        <v>42736</v>
      </c>
      <c r="H23" s="712" t="s">
        <v>1163</v>
      </c>
      <c r="I23" s="655">
        <v>34.690624999999997</v>
      </c>
      <c r="J23" s="806"/>
    </row>
    <row r="24" spans="1:10">
      <c r="A24" s="804">
        <v>237</v>
      </c>
      <c r="B24" s="805" t="s">
        <v>2113</v>
      </c>
      <c r="C24" s="656" t="s">
        <v>4544</v>
      </c>
      <c r="D24" s="711"/>
      <c r="E24" s="656">
        <v>33650588</v>
      </c>
      <c r="F24" s="656" t="s">
        <v>4545</v>
      </c>
      <c r="G24" s="666">
        <v>42795</v>
      </c>
      <c r="H24" s="665" t="s">
        <v>161</v>
      </c>
      <c r="I24" s="655">
        <v>450</v>
      </c>
      <c r="J24" s="806">
        <v>322.5</v>
      </c>
    </row>
    <row r="25" spans="1:10">
      <c r="A25" s="804"/>
      <c r="B25" s="805"/>
      <c r="C25" s="656" t="s">
        <v>4546</v>
      </c>
      <c r="D25" s="711"/>
      <c r="E25" s="656">
        <v>36861507</v>
      </c>
      <c r="F25" s="656" t="s">
        <v>4547</v>
      </c>
      <c r="G25" s="666">
        <v>42795</v>
      </c>
      <c r="H25" s="665" t="s">
        <v>161</v>
      </c>
      <c r="I25" s="655">
        <v>195</v>
      </c>
      <c r="J25" s="806"/>
    </row>
    <row r="26" spans="1:10">
      <c r="A26" s="804"/>
      <c r="B26" s="805"/>
      <c r="C26" s="651"/>
      <c r="D26" s="711"/>
      <c r="E26" s="651"/>
      <c r="F26" s="651"/>
      <c r="G26" s="666">
        <v>42795</v>
      </c>
      <c r="H26" s="712"/>
      <c r="I26" s="655"/>
      <c r="J26" s="806"/>
    </row>
    <row r="27" spans="1:10">
      <c r="A27" s="804">
        <v>126</v>
      </c>
      <c r="B27" s="805" t="s">
        <v>1474</v>
      </c>
      <c r="C27" s="656" t="s">
        <v>1477</v>
      </c>
      <c r="D27" s="657" t="s">
        <v>1478</v>
      </c>
      <c r="E27" s="656" t="s">
        <v>1476</v>
      </c>
      <c r="F27" s="656" t="s">
        <v>1475</v>
      </c>
      <c r="G27" s="664">
        <v>42767</v>
      </c>
      <c r="H27" s="665" t="s">
        <v>73</v>
      </c>
      <c r="I27" s="655">
        <v>420</v>
      </c>
      <c r="J27" s="806">
        <v>455</v>
      </c>
    </row>
    <row r="28" spans="1:10">
      <c r="A28" s="804"/>
      <c r="B28" s="805"/>
      <c r="C28" s="656" t="s">
        <v>1480</v>
      </c>
      <c r="D28" s="657" t="s">
        <v>1481</v>
      </c>
      <c r="E28" s="656" t="s">
        <v>1479</v>
      </c>
      <c r="F28" s="656" t="s">
        <v>1281</v>
      </c>
      <c r="G28" s="664">
        <v>42767</v>
      </c>
      <c r="H28" s="665" t="s">
        <v>73</v>
      </c>
      <c r="I28" s="655">
        <v>455</v>
      </c>
      <c r="J28" s="806"/>
    </row>
    <row r="29" spans="1:10">
      <c r="A29" s="804"/>
      <c r="B29" s="805"/>
      <c r="C29" s="656" t="s">
        <v>1483</v>
      </c>
      <c r="D29" s="657" t="s">
        <v>1484</v>
      </c>
      <c r="E29" s="656" t="s">
        <v>1482</v>
      </c>
      <c r="F29" s="656"/>
      <c r="G29" s="664">
        <v>42767</v>
      </c>
      <c r="H29" s="665" t="s">
        <v>73</v>
      </c>
      <c r="I29" s="655">
        <v>480</v>
      </c>
      <c r="J29" s="806"/>
    </row>
    <row r="30" spans="1:10">
      <c r="A30" s="804">
        <v>208</v>
      </c>
      <c r="B30" s="805" t="s">
        <v>4548</v>
      </c>
      <c r="C30" s="656" t="s">
        <v>1477</v>
      </c>
      <c r="D30" s="657" t="s">
        <v>1478</v>
      </c>
      <c r="E30" s="656" t="s">
        <v>1476</v>
      </c>
      <c r="F30" s="656" t="s">
        <v>1475</v>
      </c>
      <c r="G30" s="664">
        <v>42767</v>
      </c>
      <c r="H30" s="665" t="s">
        <v>73</v>
      </c>
      <c r="I30" s="655">
        <v>420</v>
      </c>
      <c r="J30" s="806">
        <v>455</v>
      </c>
    </row>
    <row r="31" spans="1:10">
      <c r="A31" s="804"/>
      <c r="B31" s="805"/>
      <c r="C31" s="656" t="s">
        <v>1480</v>
      </c>
      <c r="D31" s="657" t="s">
        <v>1481</v>
      </c>
      <c r="E31" s="656" t="s">
        <v>1479</v>
      </c>
      <c r="F31" s="656" t="s">
        <v>1281</v>
      </c>
      <c r="G31" s="664">
        <v>42767</v>
      </c>
      <c r="H31" s="665" t="s">
        <v>73</v>
      </c>
      <c r="I31" s="655">
        <v>455</v>
      </c>
      <c r="J31" s="806"/>
    </row>
    <row r="32" spans="1:10">
      <c r="A32" s="804"/>
      <c r="B32" s="805"/>
      <c r="C32" s="656" t="s">
        <v>1483</v>
      </c>
      <c r="D32" s="657" t="s">
        <v>1484</v>
      </c>
      <c r="E32" s="656" t="s">
        <v>1482</v>
      </c>
      <c r="F32" s="656"/>
      <c r="G32" s="664">
        <v>42767</v>
      </c>
      <c r="H32" s="665" t="s">
        <v>73</v>
      </c>
      <c r="I32" s="655">
        <v>480</v>
      </c>
      <c r="J32" s="806"/>
    </row>
    <row r="33" spans="1:10">
      <c r="A33" s="804">
        <v>281</v>
      </c>
      <c r="B33" s="805" t="s">
        <v>3137</v>
      </c>
      <c r="C33" s="656" t="s">
        <v>3337</v>
      </c>
      <c r="D33" s="657"/>
      <c r="E33" s="656" t="s">
        <v>3338</v>
      </c>
      <c r="F33" s="656" t="s">
        <v>3339</v>
      </c>
      <c r="G33" s="666">
        <v>42826</v>
      </c>
      <c r="H33" s="665" t="s">
        <v>161</v>
      </c>
      <c r="I33" s="667">
        <v>280</v>
      </c>
      <c r="J33" s="806">
        <v>280</v>
      </c>
    </row>
    <row r="34" spans="1:10">
      <c r="A34" s="804"/>
      <c r="B34" s="805"/>
      <c r="C34" s="656" t="s">
        <v>2507</v>
      </c>
      <c r="D34" s="657" t="s">
        <v>1179</v>
      </c>
      <c r="E34" s="656" t="s">
        <v>3340</v>
      </c>
      <c r="F34" s="656"/>
      <c r="G34" s="666">
        <v>42826</v>
      </c>
      <c r="H34" s="665" t="s">
        <v>161</v>
      </c>
      <c r="I34" s="667">
        <v>280</v>
      </c>
      <c r="J34" s="806"/>
    </row>
    <row r="35" spans="1:10">
      <c r="A35" s="804"/>
      <c r="B35" s="805"/>
      <c r="C35" s="656" t="s">
        <v>2462</v>
      </c>
      <c r="D35" s="657" t="s">
        <v>1255</v>
      </c>
      <c r="E35" s="656" t="s">
        <v>1253</v>
      </c>
      <c r="F35" s="656"/>
      <c r="G35" s="666">
        <v>42826</v>
      </c>
      <c r="H35" s="665" t="s">
        <v>161</v>
      </c>
      <c r="I35" s="667">
        <v>390</v>
      </c>
      <c r="J35" s="806"/>
    </row>
    <row r="36" spans="1:10">
      <c r="A36" s="804">
        <v>231</v>
      </c>
      <c r="B36" s="805" t="s">
        <v>1148</v>
      </c>
      <c r="C36" s="656" t="s">
        <v>4549</v>
      </c>
      <c r="D36" s="657"/>
      <c r="E36" s="656" t="s">
        <v>4550</v>
      </c>
      <c r="F36" s="656"/>
      <c r="G36" s="666">
        <v>42795</v>
      </c>
      <c r="H36" s="665" t="s">
        <v>161</v>
      </c>
      <c r="I36" s="667">
        <v>40.68</v>
      </c>
      <c r="J36" s="806">
        <v>41.95</v>
      </c>
    </row>
    <row r="37" spans="1:10">
      <c r="A37" s="804"/>
      <c r="B37" s="805"/>
      <c r="C37" s="656" t="s">
        <v>4551</v>
      </c>
      <c r="D37" s="657" t="s">
        <v>4552</v>
      </c>
      <c r="E37" s="656" t="s">
        <v>4553</v>
      </c>
      <c r="F37" s="656"/>
      <c r="G37" s="666">
        <v>42826</v>
      </c>
      <c r="H37" s="665" t="s">
        <v>161</v>
      </c>
      <c r="I37" s="667">
        <v>42</v>
      </c>
      <c r="J37" s="806"/>
    </row>
    <row r="38" spans="1:10">
      <c r="A38" s="804"/>
      <c r="B38" s="805"/>
      <c r="C38" s="656" t="s">
        <v>4554</v>
      </c>
      <c r="D38" s="657"/>
      <c r="E38" s="656" t="s">
        <v>4555</v>
      </c>
      <c r="F38" s="656" t="s">
        <v>4556</v>
      </c>
      <c r="G38" s="666">
        <v>42856</v>
      </c>
      <c r="H38" s="665" t="s">
        <v>161</v>
      </c>
      <c r="I38" s="667">
        <v>41.95</v>
      </c>
      <c r="J38" s="806"/>
    </row>
    <row r="39" spans="1:10">
      <c r="A39" s="804">
        <v>202</v>
      </c>
      <c r="B39" s="805" t="s">
        <v>4557</v>
      </c>
      <c r="C39" s="669" t="s">
        <v>2026</v>
      </c>
      <c r="D39" s="670" t="s">
        <v>2027</v>
      </c>
      <c r="E39" s="671" t="s">
        <v>2025</v>
      </c>
      <c r="F39" s="671" t="s">
        <v>2024</v>
      </c>
      <c r="G39" s="666">
        <v>42767</v>
      </c>
      <c r="H39" s="672" t="s">
        <v>70</v>
      </c>
      <c r="I39" s="667">
        <v>11700</v>
      </c>
      <c r="J39" s="806">
        <v>11300</v>
      </c>
    </row>
    <row r="40" spans="1:10">
      <c r="A40" s="804"/>
      <c r="B40" s="805"/>
      <c r="C40" s="669" t="s">
        <v>2030</v>
      </c>
      <c r="D40" s="670"/>
      <c r="E40" s="671" t="s">
        <v>2029</v>
      </c>
      <c r="F40" s="671" t="s">
        <v>2028</v>
      </c>
      <c r="G40" s="666">
        <v>42767</v>
      </c>
      <c r="H40" s="672" t="s">
        <v>70</v>
      </c>
      <c r="I40" s="667">
        <v>5450</v>
      </c>
      <c r="J40" s="806"/>
    </row>
    <row r="41" spans="1:10">
      <c r="A41" s="804"/>
      <c r="B41" s="805"/>
      <c r="C41" s="669" t="s">
        <v>2033</v>
      </c>
      <c r="D41" s="670" t="s">
        <v>2034</v>
      </c>
      <c r="E41" s="671" t="s">
        <v>2032</v>
      </c>
      <c r="F41" s="671" t="s">
        <v>2031</v>
      </c>
      <c r="G41" s="666">
        <v>42767</v>
      </c>
      <c r="H41" s="672" t="s">
        <v>70</v>
      </c>
      <c r="I41" s="667">
        <v>11300</v>
      </c>
      <c r="J41" s="806"/>
    </row>
    <row r="42" spans="1:10">
      <c r="A42" s="804">
        <v>219</v>
      </c>
      <c r="B42" s="805" t="s">
        <v>1322</v>
      </c>
      <c r="C42" s="656" t="s">
        <v>1324</v>
      </c>
      <c r="D42" s="657" t="s">
        <v>1325</v>
      </c>
      <c r="E42" s="656">
        <v>33141000</v>
      </c>
      <c r="F42" s="656" t="s">
        <v>1323</v>
      </c>
      <c r="G42" s="668">
        <v>42802</v>
      </c>
      <c r="H42" s="665" t="s">
        <v>70</v>
      </c>
      <c r="I42" s="655">
        <v>454.61</v>
      </c>
      <c r="J42" s="806">
        <v>496.02</v>
      </c>
    </row>
    <row r="43" spans="1:10">
      <c r="A43" s="804"/>
      <c r="B43" s="805"/>
      <c r="C43" s="656" t="s">
        <v>1327</v>
      </c>
      <c r="D43" s="657" t="s">
        <v>1152</v>
      </c>
      <c r="E43" s="656">
        <v>36175000</v>
      </c>
      <c r="F43" s="656" t="s">
        <v>2611</v>
      </c>
      <c r="G43" s="668">
        <v>42802</v>
      </c>
      <c r="H43" s="665" t="s">
        <v>70</v>
      </c>
      <c r="I43" s="655">
        <v>496.02</v>
      </c>
      <c r="J43" s="806"/>
    </row>
    <row r="44" spans="1:10">
      <c r="A44" s="804"/>
      <c r="B44" s="805"/>
      <c r="C44" s="656" t="s">
        <v>2613</v>
      </c>
      <c r="D44" s="657" t="s">
        <v>1321</v>
      </c>
      <c r="E44" s="656" t="s">
        <v>2612</v>
      </c>
      <c r="F44" s="656" t="s">
        <v>1320</v>
      </c>
      <c r="G44" s="668">
        <v>42802</v>
      </c>
      <c r="H44" s="665" t="s">
        <v>70</v>
      </c>
      <c r="I44" s="655">
        <v>498.85</v>
      </c>
      <c r="J44" s="806"/>
    </row>
    <row r="45" spans="1:10">
      <c r="A45" s="804">
        <v>68</v>
      </c>
      <c r="B45" s="805" t="s">
        <v>2038</v>
      </c>
      <c r="C45" s="656" t="s">
        <v>1259</v>
      </c>
      <c r="D45" s="657" t="s">
        <v>1260</v>
      </c>
      <c r="E45" s="656" t="s">
        <v>1258</v>
      </c>
      <c r="F45" s="651"/>
      <c r="G45" s="666">
        <v>42767</v>
      </c>
      <c r="H45" s="665" t="s">
        <v>70</v>
      </c>
      <c r="I45" s="714">
        <v>3160</v>
      </c>
      <c r="J45" s="806">
        <v>3160</v>
      </c>
    </row>
    <row r="46" spans="1:10">
      <c r="A46" s="804"/>
      <c r="B46" s="805"/>
      <c r="C46" s="656" t="s">
        <v>1262</v>
      </c>
      <c r="D46" s="657" t="s">
        <v>1263</v>
      </c>
      <c r="E46" s="656" t="s">
        <v>1261</v>
      </c>
      <c r="F46" s="651"/>
      <c r="G46" s="666">
        <v>42767</v>
      </c>
      <c r="H46" s="665" t="s">
        <v>70</v>
      </c>
      <c r="I46" s="714">
        <v>5704</v>
      </c>
      <c r="J46" s="806"/>
    </row>
    <row r="47" spans="1:10">
      <c r="A47" s="804"/>
      <c r="B47" s="805"/>
      <c r="C47" s="656" t="s">
        <v>3341</v>
      </c>
      <c r="D47" s="657" t="s">
        <v>2039</v>
      </c>
      <c r="E47" s="656" t="s">
        <v>2460</v>
      </c>
      <c r="F47" s="651"/>
      <c r="G47" s="666">
        <v>42767</v>
      </c>
      <c r="H47" s="665" t="s">
        <v>70</v>
      </c>
      <c r="I47" s="714">
        <v>2835</v>
      </c>
      <c r="J47" s="806"/>
    </row>
    <row r="48" spans="1:10">
      <c r="A48" s="804">
        <v>69</v>
      </c>
      <c r="B48" s="805" t="s">
        <v>4558</v>
      </c>
      <c r="C48" s="656" t="s">
        <v>1259</v>
      </c>
      <c r="D48" s="657" t="s">
        <v>1260</v>
      </c>
      <c r="E48" s="656" t="s">
        <v>1258</v>
      </c>
      <c r="F48" s="651"/>
      <c r="G48" s="666">
        <v>42767</v>
      </c>
      <c r="H48" s="665" t="s">
        <v>70</v>
      </c>
      <c r="I48" s="714">
        <v>3300</v>
      </c>
      <c r="J48" s="806">
        <v>3300</v>
      </c>
    </row>
    <row r="49" spans="1:10">
      <c r="A49" s="804"/>
      <c r="B49" s="805"/>
      <c r="C49" s="656" t="s">
        <v>1262</v>
      </c>
      <c r="D49" s="657" t="s">
        <v>1263</v>
      </c>
      <c r="E49" s="656" t="s">
        <v>1261</v>
      </c>
      <c r="F49" s="651"/>
      <c r="G49" s="666">
        <v>42767</v>
      </c>
      <c r="H49" s="665" t="s">
        <v>70</v>
      </c>
      <c r="I49" s="714">
        <v>4255</v>
      </c>
      <c r="J49" s="806"/>
    </row>
    <row r="50" spans="1:10">
      <c r="A50" s="804"/>
      <c r="B50" s="805"/>
      <c r="C50" s="656" t="s">
        <v>3341</v>
      </c>
      <c r="D50" s="657" t="s">
        <v>2039</v>
      </c>
      <c r="E50" s="656" t="s">
        <v>2460</v>
      </c>
      <c r="F50" s="651"/>
      <c r="G50" s="666">
        <v>42767</v>
      </c>
      <c r="H50" s="665" t="s">
        <v>70</v>
      </c>
      <c r="I50" s="714">
        <v>2835</v>
      </c>
      <c r="J50" s="806"/>
    </row>
    <row r="51" spans="1:10">
      <c r="A51" s="804">
        <v>235</v>
      </c>
      <c r="B51" s="805" t="s">
        <v>3342</v>
      </c>
      <c r="C51" s="669" t="s">
        <v>2026</v>
      </c>
      <c r="D51" s="670" t="s">
        <v>2027</v>
      </c>
      <c r="E51" s="671" t="s">
        <v>2025</v>
      </c>
      <c r="F51" s="671" t="s">
        <v>2024</v>
      </c>
      <c r="G51" s="666">
        <v>42767</v>
      </c>
      <c r="H51" s="672" t="s">
        <v>70</v>
      </c>
      <c r="I51" s="667">
        <v>16900</v>
      </c>
      <c r="J51" s="806">
        <v>16900</v>
      </c>
    </row>
    <row r="52" spans="1:10">
      <c r="A52" s="804"/>
      <c r="B52" s="805"/>
      <c r="C52" s="669" t="s">
        <v>2030</v>
      </c>
      <c r="D52" s="670"/>
      <c r="E52" s="671" t="s">
        <v>2029</v>
      </c>
      <c r="F52" s="671" t="s">
        <v>2028</v>
      </c>
      <c r="G52" s="666">
        <v>42767</v>
      </c>
      <c r="H52" s="672" t="s">
        <v>70</v>
      </c>
      <c r="I52" s="667">
        <v>9450</v>
      </c>
      <c r="J52" s="806"/>
    </row>
    <row r="53" spans="1:10">
      <c r="A53" s="804"/>
      <c r="B53" s="805"/>
      <c r="C53" s="669" t="s">
        <v>2033</v>
      </c>
      <c r="D53" s="670" t="s">
        <v>2034</v>
      </c>
      <c r="E53" s="671" t="s">
        <v>2032</v>
      </c>
      <c r="F53" s="671" t="s">
        <v>2031</v>
      </c>
      <c r="G53" s="666">
        <v>42767</v>
      </c>
      <c r="H53" s="672" t="s">
        <v>70</v>
      </c>
      <c r="I53" s="667">
        <v>17250</v>
      </c>
      <c r="J53" s="806"/>
    </row>
    <row r="54" spans="1:10">
      <c r="A54" s="804">
        <v>229</v>
      </c>
      <c r="B54" s="805" t="s">
        <v>2046</v>
      </c>
      <c r="C54" s="656" t="s">
        <v>1318</v>
      </c>
      <c r="D54" s="657" t="s">
        <v>1319</v>
      </c>
      <c r="E54" s="656">
        <v>30283000</v>
      </c>
      <c r="F54" s="656" t="s">
        <v>3343</v>
      </c>
      <c r="G54" s="666">
        <v>42795</v>
      </c>
      <c r="H54" s="665" t="s">
        <v>70</v>
      </c>
      <c r="I54" s="655">
        <v>69.900000000000006</v>
      </c>
      <c r="J54" s="806">
        <v>83.1</v>
      </c>
    </row>
    <row r="55" spans="1:10">
      <c r="A55" s="804"/>
      <c r="B55" s="805"/>
      <c r="C55" s="669" t="s">
        <v>1324</v>
      </c>
      <c r="D55" s="670" t="s">
        <v>1325</v>
      </c>
      <c r="E55" s="671">
        <v>33141000</v>
      </c>
      <c r="F55" s="671" t="s">
        <v>1323</v>
      </c>
      <c r="G55" s="666">
        <v>42795</v>
      </c>
      <c r="H55" s="672" t="s">
        <v>70</v>
      </c>
      <c r="I55" s="667">
        <v>93.94</v>
      </c>
      <c r="J55" s="806"/>
    </row>
    <row r="56" spans="1:10">
      <c r="A56" s="804"/>
      <c r="B56" s="805"/>
      <c r="C56" s="669" t="s">
        <v>1327</v>
      </c>
      <c r="D56" s="670" t="s">
        <v>1152</v>
      </c>
      <c r="E56" s="671">
        <v>36175000</v>
      </c>
      <c r="F56" s="671" t="s">
        <v>1326</v>
      </c>
      <c r="G56" s="666">
        <v>42795</v>
      </c>
      <c r="H56" s="672" t="s">
        <v>70</v>
      </c>
      <c r="I56" s="667">
        <v>83.1</v>
      </c>
      <c r="J56" s="806"/>
    </row>
    <row r="57" spans="1:10">
      <c r="A57" s="804">
        <v>55</v>
      </c>
      <c r="B57" s="805" t="s">
        <v>2047</v>
      </c>
      <c r="C57" s="673" t="s">
        <v>3344</v>
      </c>
      <c r="D57" s="674" t="s">
        <v>1321</v>
      </c>
      <c r="E57" s="673">
        <v>33175000</v>
      </c>
      <c r="F57" s="673" t="s">
        <v>1320</v>
      </c>
      <c r="G57" s="675">
        <v>42795</v>
      </c>
      <c r="H57" s="676" t="s">
        <v>70</v>
      </c>
      <c r="I57" s="663">
        <v>395.17</v>
      </c>
      <c r="J57" s="806">
        <v>455.89</v>
      </c>
    </row>
    <row r="58" spans="1:10">
      <c r="A58" s="804"/>
      <c r="B58" s="805"/>
      <c r="C58" s="677" t="s">
        <v>1324</v>
      </c>
      <c r="D58" s="678" t="s">
        <v>1325</v>
      </c>
      <c r="E58" s="679">
        <v>33141000</v>
      </c>
      <c r="F58" s="679" t="s">
        <v>1323</v>
      </c>
      <c r="G58" s="675">
        <v>42795</v>
      </c>
      <c r="H58" s="680" t="s">
        <v>70</v>
      </c>
      <c r="I58" s="681">
        <v>455.89</v>
      </c>
      <c r="J58" s="806"/>
    </row>
    <row r="59" spans="1:10">
      <c r="A59" s="804"/>
      <c r="B59" s="805"/>
      <c r="C59" s="677" t="s">
        <v>1327</v>
      </c>
      <c r="D59" s="678" t="s">
        <v>1152</v>
      </c>
      <c r="E59" s="679">
        <v>36175000</v>
      </c>
      <c r="F59" s="679" t="s">
        <v>1326</v>
      </c>
      <c r="G59" s="675">
        <v>42795</v>
      </c>
      <c r="H59" s="680" t="s">
        <v>70</v>
      </c>
      <c r="I59" s="681">
        <v>488.74</v>
      </c>
      <c r="J59" s="806"/>
    </row>
    <row r="60" spans="1:10">
      <c r="A60" s="804">
        <v>242</v>
      </c>
      <c r="B60" s="805" t="s">
        <v>2482</v>
      </c>
      <c r="C60" s="656" t="s">
        <v>2484</v>
      </c>
      <c r="D60" s="657" t="s">
        <v>2485</v>
      </c>
      <c r="E60" s="656">
        <v>34392016</v>
      </c>
      <c r="F60" s="656" t="s">
        <v>2483</v>
      </c>
      <c r="G60" s="666">
        <v>42736</v>
      </c>
      <c r="H60" s="665" t="s">
        <v>70</v>
      </c>
      <c r="I60" s="682">
        <v>2195</v>
      </c>
      <c r="J60" s="806">
        <v>2430.8200000000002</v>
      </c>
    </row>
    <row r="61" spans="1:10">
      <c r="A61" s="804"/>
      <c r="B61" s="805"/>
      <c r="C61" s="656" t="s">
        <v>2487</v>
      </c>
      <c r="D61" s="657" t="s">
        <v>2488</v>
      </c>
      <c r="E61" s="656">
        <v>36824971</v>
      </c>
      <c r="F61" s="656" t="s">
        <v>2486</v>
      </c>
      <c r="G61" s="666">
        <v>42767</v>
      </c>
      <c r="H61" s="665" t="s">
        <v>70</v>
      </c>
      <c r="I61" s="682">
        <v>2493.7600000000002</v>
      </c>
      <c r="J61" s="806"/>
    </row>
    <row r="62" spans="1:10">
      <c r="A62" s="804"/>
      <c r="B62" s="805"/>
      <c r="C62" s="656" t="s">
        <v>1419</v>
      </c>
      <c r="D62" s="657" t="s">
        <v>2490</v>
      </c>
      <c r="E62" s="656">
        <v>36342266</v>
      </c>
      <c r="F62" s="656" t="s">
        <v>2489</v>
      </c>
      <c r="G62" s="666">
        <v>42767</v>
      </c>
      <c r="H62" s="665" t="s">
        <v>70</v>
      </c>
      <c r="I62" s="682">
        <v>2430.8200000000002</v>
      </c>
      <c r="J62" s="806"/>
    </row>
    <row r="63" spans="1:10">
      <c r="A63" s="804">
        <v>70</v>
      </c>
      <c r="B63" s="805" t="s">
        <v>1313</v>
      </c>
      <c r="C63" s="656" t="s">
        <v>1259</v>
      </c>
      <c r="D63" s="657" t="s">
        <v>1260</v>
      </c>
      <c r="E63" s="656" t="s">
        <v>1258</v>
      </c>
      <c r="F63" s="656" t="s">
        <v>1257</v>
      </c>
      <c r="G63" s="666">
        <v>42767</v>
      </c>
      <c r="H63" s="665" t="s">
        <v>70</v>
      </c>
      <c r="I63" s="655">
        <v>4100</v>
      </c>
      <c r="J63" s="806">
        <v>4100</v>
      </c>
    </row>
    <row r="64" spans="1:10">
      <c r="A64" s="804"/>
      <c r="B64" s="805"/>
      <c r="C64" s="656" t="s">
        <v>1262</v>
      </c>
      <c r="D64" s="657" t="s">
        <v>1263</v>
      </c>
      <c r="E64" s="656" t="s">
        <v>1261</v>
      </c>
      <c r="F64" s="656"/>
      <c r="G64" s="666">
        <v>42767</v>
      </c>
      <c r="H64" s="665" t="s">
        <v>70</v>
      </c>
      <c r="I64" s="655">
        <v>5370</v>
      </c>
      <c r="J64" s="806"/>
    </row>
    <row r="65" spans="1:10">
      <c r="A65" s="804"/>
      <c r="B65" s="805"/>
      <c r="C65" s="656" t="s">
        <v>3348</v>
      </c>
      <c r="D65" s="657" t="s">
        <v>2461</v>
      </c>
      <c r="E65" s="656" t="s">
        <v>1253</v>
      </c>
      <c r="F65" s="656"/>
      <c r="G65" s="666">
        <v>42767</v>
      </c>
      <c r="H65" s="665" t="s">
        <v>70</v>
      </c>
      <c r="I65" s="655">
        <v>3386</v>
      </c>
      <c r="J65" s="806"/>
    </row>
    <row r="66" spans="1:10">
      <c r="A66" s="804">
        <v>230</v>
      </c>
      <c r="B66" s="805" t="s">
        <v>3349</v>
      </c>
      <c r="C66" s="656" t="s">
        <v>1269</v>
      </c>
      <c r="D66" s="657" t="s">
        <v>1270</v>
      </c>
      <c r="E66" s="656" t="s">
        <v>1268</v>
      </c>
      <c r="F66" s="656" t="s">
        <v>1267</v>
      </c>
      <c r="G66" s="666">
        <v>42829</v>
      </c>
      <c r="H66" s="665" t="s">
        <v>70</v>
      </c>
      <c r="I66" s="655">
        <v>158.36000000000001</v>
      </c>
      <c r="J66" s="806">
        <v>158.36000000000001</v>
      </c>
    </row>
    <row r="67" spans="1:10">
      <c r="A67" s="804"/>
      <c r="B67" s="805"/>
      <c r="C67" s="656" t="s">
        <v>1273</v>
      </c>
      <c r="D67" s="657" t="s">
        <v>1274</v>
      </c>
      <c r="E67" s="656" t="s">
        <v>1272</v>
      </c>
      <c r="F67" s="656" t="s">
        <v>1271</v>
      </c>
      <c r="G67" s="666">
        <v>42829</v>
      </c>
      <c r="H67" s="665" t="s">
        <v>70</v>
      </c>
      <c r="I67" s="655">
        <v>165.76</v>
      </c>
      <c r="J67" s="806"/>
    </row>
    <row r="68" spans="1:10">
      <c r="A68" s="804"/>
      <c r="B68" s="805"/>
      <c r="C68" s="656" t="s">
        <v>3350</v>
      </c>
      <c r="D68" s="657" t="s">
        <v>3351</v>
      </c>
      <c r="E68" s="656">
        <v>36143509</v>
      </c>
      <c r="F68" s="656" t="s">
        <v>3352</v>
      </c>
      <c r="G68" s="666">
        <v>42829</v>
      </c>
      <c r="H68" s="665" t="s">
        <v>70</v>
      </c>
      <c r="I68" s="655">
        <v>125.84</v>
      </c>
      <c r="J68" s="806"/>
    </row>
    <row r="69" spans="1:10">
      <c r="A69" s="804">
        <v>138</v>
      </c>
      <c r="B69" s="805" t="s">
        <v>1266</v>
      </c>
      <c r="C69" s="656" t="s">
        <v>1269</v>
      </c>
      <c r="D69" s="657" t="s">
        <v>1270</v>
      </c>
      <c r="E69" s="656" t="s">
        <v>1268</v>
      </c>
      <c r="F69" s="656" t="s">
        <v>1267</v>
      </c>
      <c r="G69" s="666">
        <v>42829</v>
      </c>
      <c r="H69" s="665" t="s">
        <v>70</v>
      </c>
      <c r="I69" s="655">
        <v>188.24</v>
      </c>
      <c r="J69" s="806">
        <v>188.24</v>
      </c>
    </row>
    <row r="70" spans="1:10">
      <c r="A70" s="804"/>
      <c r="B70" s="805"/>
      <c r="C70" s="656" t="s">
        <v>1273</v>
      </c>
      <c r="D70" s="657" t="s">
        <v>1274</v>
      </c>
      <c r="E70" s="656" t="s">
        <v>1272</v>
      </c>
      <c r="F70" s="656" t="s">
        <v>1271</v>
      </c>
      <c r="G70" s="666">
        <v>42829</v>
      </c>
      <c r="H70" s="665" t="s">
        <v>70</v>
      </c>
      <c r="I70" s="655">
        <v>252.87</v>
      </c>
      <c r="J70" s="806"/>
    </row>
    <row r="71" spans="1:10">
      <c r="A71" s="804"/>
      <c r="B71" s="805"/>
      <c r="C71" s="656" t="s">
        <v>3350</v>
      </c>
      <c r="D71" s="657" t="s">
        <v>3351</v>
      </c>
      <c r="E71" s="656">
        <v>36143509</v>
      </c>
      <c r="F71" s="656" t="s">
        <v>3352</v>
      </c>
      <c r="G71" s="666">
        <v>42829</v>
      </c>
      <c r="H71" s="665" t="s">
        <v>70</v>
      </c>
      <c r="I71" s="655">
        <v>178</v>
      </c>
      <c r="J71" s="806"/>
    </row>
    <row r="72" spans="1:10" ht="24">
      <c r="A72" s="804">
        <v>77</v>
      </c>
      <c r="B72" s="827" t="s">
        <v>1359</v>
      </c>
      <c r="C72" s="669" t="s">
        <v>1361</v>
      </c>
      <c r="D72" s="670" t="s">
        <v>1270</v>
      </c>
      <c r="E72" s="671" t="s">
        <v>1385</v>
      </c>
      <c r="F72" s="671" t="s">
        <v>1360</v>
      </c>
      <c r="G72" s="691">
        <v>42856</v>
      </c>
      <c r="H72" s="672" t="s">
        <v>70</v>
      </c>
      <c r="I72" s="667">
        <v>42.33</v>
      </c>
      <c r="J72" s="806">
        <v>36.33</v>
      </c>
    </row>
    <row r="73" spans="1:10">
      <c r="A73" s="804"/>
      <c r="B73" s="827"/>
      <c r="C73" s="669" t="s">
        <v>1363</v>
      </c>
      <c r="D73" s="684" t="s">
        <v>1364</v>
      </c>
      <c r="E73" s="685" t="s">
        <v>1388</v>
      </c>
      <c r="F73" s="685" t="s">
        <v>1362</v>
      </c>
      <c r="G73" s="691">
        <v>42856</v>
      </c>
      <c r="H73" s="672" t="s">
        <v>70</v>
      </c>
      <c r="I73" s="667">
        <v>11.54</v>
      </c>
      <c r="J73" s="806"/>
    </row>
    <row r="74" spans="1:10">
      <c r="A74" s="804"/>
      <c r="B74" s="827"/>
      <c r="C74" s="669" t="s">
        <v>4559</v>
      </c>
      <c r="D74" s="670" t="s">
        <v>4560</v>
      </c>
      <c r="E74" s="671" t="s">
        <v>4561</v>
      </c>
      <c r="F74" s="671" t="s">
        <v>4562</v>
      </c>
      <c r="G74" s="691">
        <v>42887</v>
      </c>
      <c r="H74" s="672" t="s">
        <v>70</v>
      </c>
      <c r="I74" s="667">
        <v>36.33</v>
      </c>
      <c r="J74" s="806"/>
    </row>
    <row r="75" spans="1:10" ht="24">
      <c r="A75" s="804">
        <v>78</v>
      </c>
      <c r="B75" s="805" t="s">
        <v>1365</v>
      </c>
      <c r="C75" s="669" t="s">
        <v>1361</v>
      </c>
      <c r="D75" s="670" t="s">
        <v>1270</v>
      </c>
      <c r="E75" s="671" t="s">
        <v>1385</v>
      </c>
      <c r="F75" s="671" t="s">
        <v>1360</v>
      </c>
      <c r="G75" s="691">
        <v>42856</v>
      </c>
      <c r="H75" s="672" t="s">
        <v>70</v>
      </c>
      <c r="I75" s="667">
        <v>42.33</v>
      </c>
      <c r="J75" s="806">
        <v>36.4</v>
      </c>
    </row>
    <row r="76" spans="1:10">
      <c r="A76" s="804"/>
      <c r="B76" s="805"/>
      <c r="C76" s="669" t="s">
        <v>1363</v>
      </c>
      <c r="D76" s="684" t="s">
        <v>1364</v>
      </c>
      <c r="E76" s="685" t="s">
        <v>1388</v>
      </c>
      <c r="F76" s="685" t="s">
        <v>1362</v>
      </c>
      <c r="G76" s="691">
        <v>42856</v>
      </c>
      <c r="H76" s="672" t="s">
        <v>70</v>
      </c>
      <c r="I76" s="667">
        <v>11.54</v>
      </c>
      <c r="J76" s="806"/>
    </row>
    <row r="77" spans="1:10">
      <c r="A77" s="804"/>
      <c r="B77" s="805"/>
      <c r="C77" s="669" t="s">
        <v>4559</v>
      </c>
      <c r="D77" s="670" t="s">
        <v>4560</v>
      </c>
      <c r="E77" s="671" t="s">
        <v>4561</v>
      </c>
      <c r="F77" s="671" t="s">
        <v>4562</v>
      </c>
      <c r="G77" s="691">
        <v>42887</v>
      </c>
      <c r="H77" s="672" t="s">
        <v>70</v>
      </c>
      <c r="I77" s="667">
        <v>36.4</v>
      </c>
      <c r="J77" s="806"/>
    </row>
    <row r="78" spans="1:10" ht="25.5">
      <c r="A78" s="708">
        <v>462</v>
      </c>
      <c r="B78" s="709" t="s">
        <v>1366</v>
      </c>
      <c r="C78" s="669" t="s">
        <v>1361</v>
      </c>
      <c r="D78" s="670" t="s">
        <v>1270</v>
      </c>
      <c r="E78" s="671" t="s">
        <v>1385</v>
      </c>
      <c r="F78" s="671" t="s">
        <v>1360</v>
      </c>
      <c r="G78" s="691">
        <v>42856</v>
      </c>
      <c r="H78" s="672" t="s">
        <v>70</v>
      </c>
      <c r="I78" s="667">
        <v>662.67</v>
      </c>
      <c r="J78" s="710">
        <f>I78</f>
        <v>662.67</v>
      </c>
    </row>
    <row r="79" spans="1:10">
      <c r="A79" s="804">
        <v>101</v>
      </c>
      <c r="B79" s="805" t="s">
        <v>1398</v>
      </c>
      <c r="C79" s="669" t="s">
        <v>1395</v>
      </c>
      <c r="D79" s="657" t="s">
        <v>1371</v>
      </c>
      <c r="E79" s="671" t="s">
        <v>1370</v>
      </c>
      <c r="F79" s="671" t="s">
        <v>1394</v>
      </c>
      <c r="G79" s="683">
        <v>42758</v>
      </c>
      <c r="H79" s="672" t="s">
        <v>70</v>
      </c>
      <c r="I79" s="667">
        <v>17.989999999999998</v>
      </c>
      <c r="J79" s="806">
        <v>14.43</v>
      </c>
    </row>
    <row r="80" spans="1:10">
      <c r="A80" s="804"/>
      <c r="B80" s="805"/>
      <c r="C80" s="656" t="s">
        <v>1389</v>
      </c>
      <c r="D80" s="657" t="s">
        <v>1397</v>
      </c>
      <c r="E80" s="656" t="s">
        <v>1396</v>
      </c>
      <c r="F80" s="671" t="s">
        <v>1349</v>
      </c>
      <c r="G80" s="683">
        <v>42758</v>
      </c>
      <c r="H80" s="672" t="s">
        <v>70</v>
      </c>
      <c r="I80" s="667">
        <v>13.03</v>
      </c>
      <c r="J80" s="806"/>
    </row>
    <row r="81" spans="1:10">
      <c r="A81" s="804"/>
      <c r="B81" s="805"/>
      <c r="C81" s="656" t="s">
        <v>1269</v>
      </c>
      <c r="D81" s="657" t="s">
        <v>1270</v>
      </c>
      <c r="E81" s="656" t="s">
        <v>1268</v>
      </c>
      <c r="F81" s="685" t="s">
        <v>1267</v>
      </c>
      <c r="G81" s="683">
        <v>42758</v>
      </c>
      <c r="H81" s="672" t="s">
        <v>70</v>
      </c>
      <c r="I81" s="667">
        <v>14.43</v>
      </c>
      <c r="J81" s="806"/>
    </row>
    <row r="82" spans="1:10">
      <c r="A82" s="804">
        <v>112</v>
      </c>
      <c r="B82" s="805" t="s">
        <v>1400</v>
      </c>
      <c r="C82" s="669" t="s">
        <v>1395</v>
      </c>
      <c r="D82" s="657" t="s">
        <v>1371</v>
      </c>
      <c r="E82" s="671" t="s">
        <v>1370</v>
      </c>
      <c r="F82" s="671" t="s">
        <v>1394</v>
      </c>
      <c r="G82" s="683">
        <v>42758</v>
      </c>
      <c r="H82" s="672" t="s">
        <v>70</v>
      </c>
      <c r="I82" s="667">
        <v>11.01</v>
      </c>
      <c r="J82" s="806">
        <v>8.15</v>
      </c>
    </row>
    <row r="83" spans="1:10">
      <c r="A83" s="804"/>
      <c r="B83" s="805"/>
      <c r="C83" s="656" t="s">
        <v>1389</v>
      </c>
      <c r="D83" s="657" t="s">
        <v>1397</v>
      </c>
      <c r="E83" s="656" t="s">
        <v>1396</v>
      </c>
      <c r="F83" s="671" t="s">
        <v>1349</v>
      </c>
      <c r="G83" s="683">
        <v>42758</v>
      </c>
      <c r="H83" s="672" t="s">
        <v>70</v>
      </c>
      <c r="I83" s="667">
        <v>6.68</v>
      </c>
      <c r="J83" s="806"/>
    </row>
    <row r="84" spans="1:10">
      <c r="A84" s="804"/>
      <c r="B84" s="805"/>
      <c r="C84" s="656" t="s">
        <v>1269</v>
      </c>
      <c r="D84" s="657" t="s">
        <v>1270</v>
      </c>
      <c r="E84" s="656" t="s">
        <v>1268</v>
      </c>
      <c r="F84" s="685" t="s">
        <v>1267</v>
      </c>
      <c r="G84" s="683">
        <v>42758</v>
      </c>
      <c r="H84" s="672" t="s">
        <v>70</v>
      </c>
      <c r="I84" s="667">
        <v>8.15</v>
      </c>
      <c r="J84" s="806"/>
    </row>
    <row r="85" spans="1:10">
      <c r="A85" s="804">
        <v>107</v>
      </c>
      <c r="B85" s="805" t="s">
        <v>1401</v>
      </c>
      <c r="C85" s="669" t="s">
        <v>1395</v>
      </c>
      <c r="D85" s="657" t="s">
        <v>1371</v>
      </c>
      <c r="E85" s="671" t="s">
        <v>1370</v>
      </c>
      <c r="F85" s="671" t="s">
        <v>1394</v>
      </c>
      <c r="G85" s="683">
        <v>42758</v>
      </c>
      <c r="H85" s="672" t="s">
        <v>70</v>
      </c>
      <c r="I85" s="667">
        <v>318.47000000000003</v>
      </c>
      <c r="J85" s="806">
        <v>307.27</v>
      </c>
    </row>
    <row r="86" spans="1:10">
      <c r="A86" s="804"/>
      <c r="B86" s="805"/>
      <c r="C86" s="656" t="s">
        <v>1269</v>
      </c>
      <c r="D86" s="657" t="s">
        <v>1270</v>
      </c>
      <c r="E86" s="656" t="s">
        <v>1268</v>
      </c>
      <c r="F86" s="685" t="s">
        <v>1267</v>
      </c>
      <c r="G86" s="683">
        <v>42758</v>
      </c>
      <c r="H86" s="672" t="s">
        <v>70</v>
      </c>
      <c r="I86" s="667">
        <v>296.07</v>
      </c>
      <c r="J86" s="806"/>
    </row>
    <row r="87" spans="1:10">
      <c r="A87" s="804"/>
      <c r="B87" s="805"/>
      <c r="C87" s="673"/>
      <c r="D87" s="674"/>
      <c r="E87" s="673"/>
      <c r="F87" s="673"/>
      <c r="G87" s="675"/>
      <c r="H87" s="676"/>
      <c r="I87" s="663"/>
      <c r="J87" s="806"/>
    </row>
    <row r="88" spans="1:10">
      <c r="A88" s="804">
        <v>164</v>
      </c>
      <c r="B88" s="805" t="s">
        <v>2601</v>
      </c>
      <c r="C88" s="671" t="s">
        <v>1374</v>
      </c>
      <c r="D88" s="670" t="s">
        <v>1369</v>
      </c>
      <c r="E88" s="671">
        <v>30291234</v>
      </c>
      <c r="F88" s="671" t="s">
        <v>1373</v>
      </c>
      <c r="G88" s="683">
        <v>42795</v>
      </c>
      <c r="H88" s="672" t="s">
        <v>70</v>
      </c>
      <c r="I88" s="667">
        <v>2512</v>
      </c>
      <c r="J88" s="806">
        <v>2512</v>
      </c>
    </row>
    <row r="89" spans="1:10">
      <c r="A89" s="804"/>
      <c r="B89" s="805"/>
      <c r="C89" s="685" t="s">
        <v>1375</v>
      </c>
      <c r="D89" s="684" t="s">
        <v>1274</v>
      </c>
      <c r="E89" s="685">
        <v>33883800</v>
      </c>
      <c r="F89" s="685" t="s">
        <v>1323</v>
      </c>
      <c r="G89" s="683">
        <v>42775</v>
      </c>
      <c r="H89" s="672" t="s">
        <v>70</v>
      </c>
      <c r="I89" s="667">
        <v>1686</v>
      </c>
      <c r="J89" s="806"/>
    </row>
    <row r="90" spans="1:10">
      <c r="A90" s="804"/>
      <c r="B90" s="805"/>
      <c r="C90" s="686" t="s">
        <v>1377</v>
      </c>
      <c r="D90" s="687" t="s">
        <v>1378</v>
      </c>
      <c r="E90" s="686">
        <v>21276585</v>
      </c>
      <c r="F90" s="686" t="s">
        <v>1376</v>
      </c>
      <c r="G90" s="688">
        <v>42821</v>
      </c>
      <c r="H90" s="689" t="s">
        <v>70</v>
      </c>
      <c r="I90" s="690">
        <v>2964.92</v>
      </c>
      <c r="J90" s="806"/>
    </row>
    <row r="91" spans="1:10">
      <c r="A91" s="804">
        <v>199</v>
      </c>
      <c r="B91" s="805" t="s">
        <v>1453</v>
      </c>
      <c r="C91" s="671" t="s">
        <v>1374</v>
      </c>
      <c r="D91" s="670" t="s">
        <v>1369</v>
      </c>
      <c r="E91" s="671">
        <v>30291234</v>
      </c>
      <c r="F91" s="671" t="s">
        <v>1373</v>
      </c>
      <c r="G91" s="688">
        <v>42821</v>
      </c>
      <c r="H91" s="672" t="s">
        <v>70</v>
      </c>
      <c r="I91" s="667">
        <v>796.5</v>
      </c>
      <c r="J91" s="806">
        <v>1314.28</v>
      </c>
    </row>
    <row r="92" spans="1:10">
      <c r="A92" s="804"/>
      <c r="B92" s="805"/>
      <c r="C92" s="685" t="s">
        <v>1455</v>
      </c>
      <c r="D92" s="684" t="s">
        <v>1456</v>
      </c>
      <c r="E92" s="685">
        <v>30256848</v>
      </c>
      <c r="F92" s="685" t="s">
        <v>1454</v>
      </c>
      <c r="G92" s="688">
        <v>42821</v>
      </c>
      <c r="H92" s="672" t="s">
        <v>70</v>
      </c>
      <c r="I92" s="667">
        <v>1390</v>
      </c>
      <c r="J92" s="806"/>
    </row>
    <row r="93" spans="1:10">
      <c r="A93" s="804"/>
      <c r="B93" s="805"/>
      <c r="C93" s="671" t="s">
        <v>1377</v>
      </c>
      <c r="D93" s="670" t="s">
        <v>1378</v>
      </c>
      <c r="E93" s="671">
        <v>21276585</v>
      </c>
      <c r="F93" s="671" t="s">
        <v>1376</v>
      </c>
      <c r="G93" s="688">
        <v>42821</v>
      </c>
      <c r="H93" s="672" t="s">
        <v>70</v>
      </c>
      <c r="I93" s="667">
        <v>1314.28</v>
      </c>
      <c r="J93" s="806"/>
    </row>
    <row r="94" spans="1:10">
      <c r="A94" s="804">
        <v>73</v>
      </c>
      <c r="B94" s="805" t="s">
        <v>1597</v>
      </c>
      <c r="C94" s="671" t="s">
        <v>1412</v>
      </c>
      <c r="D94" s="670" t="s">
        <v>1371</v>
      </c>
      <c r="E94" s="671">
        <v>33210009</v>
      </c>
      <c r="F94" s="671" t="s">
        <v>1529</v>
      </c>
      <c r="G94" s="683">
        <v>42736</v>
      </c>
      <c r="H94" s="672" t="s">
        <v>70</v>
      </c>
      <c r="I94" s="667">
        <v>58.93</v>
      </c>
      <c r="J94" s="806">
        <v>58.93</v>
      </c>
    </row>
    <row r="95" spans="1:10">
      <c r="A95" s="804"/>
      <c r="B95" s="805"/>
      <c r="C95" s="685" t="s">
        <v>1600</v>
      </c>
      <c r="D95" s="684" t="s">
        <v>1601</v>
      </c>
      <c r="E95" s="685" t="s">
        <v>1599</v>
      </c>
      <c r="F95" s="685" t="s">
        <v>1598</v>
      </c>
      <c r="G95" s="683">
        <v>42767</v>
      </c>
      <c r="H95" s="672" t="s">
        <v>70</v>
      </c>
      <c r="I95" s="667">
        <v>37.19</v>
      </c>
      <c r="J95" s="806"/>
    </row>
    <row r="96" spans="1:10">
      <c r="A96" s="804"/>
      <c r="B96" s="805"/>
      <c r="C96" s="671" t="s">
        <v>1602</v>
      </c>
      <c r="D96" s="670" t="s">
        <v>1603</v>
      </c>
      <c r="E96" s="671">
        <v>21276585</v>
      </c>
      <c r="F96" s="671" t="s">
        <v>1376</v>
      </c>
      <c r="G96" s="683">
        <v>42781</v>
      </c>
      <c r="H96" s="672" t="s">
        <v>70</v>
      </c>
      <c r="I96" s="667">
        <v>66.849999999999994</v>
      </c>
      <c r="J96" s="806"/>
    </row>
    <row r="97" spans="1:10">
      <c r="A97" s="804">
        <v>266</v>
      </c>
      <c r="B97" s="805" t="s">
        <v>3355</v>
      </c>
      <c r="C97" s="656" t="s">
        <v>1536</v>
      </c>
      <c r="D97" s="657" t="s">
        <v>1274</v>
      </c>
      <c r="E97" s="656" t="s">
        <v>1272</v>
      </c>
      <c r="F97" s="671" t="s">
        <v>1535</v>
      </c>
      <c r="G97" s="683">
        <v>42795</v>
      </c>
      <c r="H97" s="672" t="s">
        <v>70</v>
      </c>
      <c r="I97" s="667">
        <v>13.58</v>
      </c>
      <c r="J97" s="807">
        <v>13.58</v>
      </c>
    </row>
    <row r="98" spans="1:10">
      <c r="A98" s="804"/>
      <c r="B98" s="805"/>
      <c r="C98" s="656" t="s">
        <v>1528</v>
      </c>
      <c r="D98" s="657" t="s">
        <v>1390</v>
      </c>
      <c r="E98" s="656" t="s">
        <v>1396</v>
      </c>
      <c r="F98" s="656" t="s">
        <v>1527</v>
      </c>
      <c r="G98" s="683">
        <v>42795</v>
      </c>
      <c r="H98" s="689" t="s">
        <v>70</v>
      </c>
      <c r="I98" s="655">
        <v>10.48</v>
      </c>
      <c r="J98" s="807"/>
    </row>
    <row r="99" spans="1:10">
      <c r="A99" s="804"/>
      <c r="B99" s="805"/>
      <c r="C99" s="656" t="s">
        <v>1530</v>
      </c>
      <c r="D99" s="657" t="s">
        <v>1371</v>
      </c>
      <c r="E99" s="656">
        <v>36342266</v>
      </c>
      <c r="F99" s="656" t="s">
        <v>1529</v>
      </c>
      <c r="G99" s="691">
        <v>42795</v>
      </c>
      <c r="H99" s="689" t="s">
        <v>70</v>
      </c>
      <c r="I99" s="655">
        <v>13.69</v>
      </c>
      <c r="J99" s="807"/>
    </row>
    <row r="100" spans="1:10">
      <c r="A100" s="804">
        <v>267</v>
      </c>
      <c r="B100" s="805" t="s">
        <v>3181</v>
      </c>
      <c r="C100" s="656" t="s">
        <v>1536</v>
      </c>
      <c r="D100" s="657" t="s">
        <v>1274</v>
      </c>
      <c r="E100" s="656" t="s">
        <v>1272</v>
      </c>
      <c r="F100" s="671" t="s">
        <v>1535</v>
      </c>
      <c r="G100" s="683">
        <v>42795</v>
      </c>
      <c r="H100" s="672" t="s">
        <v>70</v>
      </c>
      <c r="I100" s="667">
        <v>1.57</v>
      </c>
      <c r="J100" s="807">
        <v>1.52</v>
      </c>
    </row>
    <row r="101" spans="1:10">
      <c r="A101" s="804"/>
      <c r="B101" s="805"/>
      <c r="C101" s="656" t="s">
        <v>1528</v>
      </c>
      <c r="D101" s="657" t="s">
        <v>1390</v>
      </c>
      <c r="E101" s="656" t="s">
        <v>1396</v>
      </c>
      <c r="F101" s="656" t="s">
        <v>1527</v>
      </c>
      <c r="G101" s="683">
        <v>42795</v>
      </c>
      <c r="H101" s="689" t="s">
        <v>70</v>
      </c>
      <c r="I101" s="655">
        <v>0.89</v>
      </c>
      <c r="J101" s="807"/>
    </row>
    <row r="102" spans="1:10">
      <c r="A102" s="804"/>
      <c r="B102" s="805"/>
      <c r="C102" s="656" t="s">
        <v>1530</v>
      </c>
      <c r="D102" s="657" t="s">
        <v>1371</v>
      </c>
      <c r="E102" s="656">
        <v>36342266</v>
      </c>
      <c r="F102" s="656" t="s">
        <v>1529</v>
      </c>
      <c r="G102" s="691">
        <v>42795</v>
      </c>
      <c r="H102" s="689" t="s">
        <v>70</v>
      </c>
      <c r="I102" s="655">
        <v>1.52</v>
      </c>
      <c r="J102" s="807"/>
    </row>
    <row r="103" spans="1:10">
      <c r="A103" s="804">
        <v>269</v>
      </c>
      <c r="B103" s="805" t="s">
        <v>3356</v>
      </c>
      <c r="C103" s="656" t="s">
        <v>1536</v>
      </c>
      <c r="D103" s="657" t="s">
        <v>1274</v>
      </c>
      <c r="E103" s="656" t="s">
        <v>1272</v>
      </c>
      <c r="F103" s="671" t="s">
        <v>1535</v>
      </c>
      <c r="G103" s="683">
        <v>42795</v>
      </c>
      <c r="H103" s="672" t="s">
        <v>70</v>
      </c>
      <c r="I103" s="682">
        <v>2.63</v>
      </c>
      <c r="J103" s="806">
        <v>2.2400000000000002</v>
      </c>
    </row>
    <row r="104" spans="1:10">
      <c r="A104" s="804"/>
      <c r="B104" s="805"/>
      <c r="C104" s="656" t="s">
        <v>1528</v>
      </c>
      <c r="D104" s="657" t="s">
        <v>1390</v>
      </c>
      <c r="E104" s="656" t="s">
        <v>1396</v>
      </c>
      <c r="F104" s="656" t="s">
        <v>1527</v>
      </c>
      <c r="G104" s="683">
        <v>42795</v>
      </c>
      <c r="H104" s="689" t="s">
        <v>70</v>
      </c>
      <c r="I104" s="682">
        <v>1.33</v>
      </c>
      <c r="J104" s="806"/>
    </row>
    <row r="105" spans="1:10">
      <c r="A105" s="804"/>
      <c r="B105" s="805"/>
      <c r="C105" s="656" t="s">
        <v>1530</v>
      </c>
      <c r="D105" s="657" t="s">
        <v>1371</v>
      </c>
      <c r="E105" s="656">
        <v>36342266</v>
      </c>
      <c r="F105" s="656" t="s">
        <v>1529</v>
      </c>
      <c r="G105" s="691">
        <v>42795</v>
      </c>
      <c r="H105" s="689" t="s">
        <v>70</v>
      </c>
      <c r="I105" s="682">
        <v>2.2400000000000002</v>
      </c>
      <c r="J105" s="806"/>
    </row>
    <row r="106" spans="1:10" ht="24">
      <c r="A106" s="804">
        <v>245</v>
      </c>
      <c r="B106" s="805" t="s">
        <v>4563</v>
      </c>
      <c r="C106" s="656" t="s">
        <v>4564</v>
      </c>
      <c r="D106" s="657" t="s">
        <v>4565</v>
      </c>
      <c r="E106" s="656" t="s">
        <v>1272</v>
      </c>
      <c r="F106" s="671" t="s">
        <v>1535</v>
      </c>
      <c r="G106" s="683">
        <v>42826</v>
      </c>
      <c r="H106" s="672" t="s">
        <v>70</v>
      </c>
      <c r="I106" s="655">
        <v>930.26</v>
      </c>
      <c r="J106" s="806">
        <v>1252.67</v>
      </c>
    </row>
    <row r="107" spans="1:10" ht="24">
      <c r="A107" s="804"/>
      <c r="B107" s="805"/>
      <c r="C107" s="669" t="s">
        <v>1361</v>
      </c>
      <c r="D107" s="670" t="s">
        <v>1270</v>
      </c>
      <c r="E107" s="671">
        <v>30279000</v>
      </c>
      <c r="F107" s="685" t="s">
        <v>4566</v>
      </c>
      <c r="G107" s="683">
        <v>42826</v>
      </c>
      <c r="H107" s="689" t="s">
        <v>70</v>
      </c>
      <c r="I107" s="655">
        <v>1756.38</v>
      </c>
      <c r="J107" s="806"/>
    </row>
    <row r="108" spans="1:10" ht="24">
      <c r="A108" s="804"/>
      <c r="B108" s="805"/>
      <c r="C108" s="669" t="s">
        <v>4567</v>
      </c>
      <c r="D108" s="669" t="s">
        <v>4568</v>
      </c>
      <c r="E108" s="669" t="s">
        <v>1379</v>
      </c>
      <c r="F108" s="669" t="s">
        <v>4569</v>
      </c>
      <c r="G108" s="683">
        <v>42826</v>
      </c>
      <c r="H108" s="669" t="s">
        <v>70</v>
      </c>
      <c r="I108" s="655">
        <v>1252.67</v>
      </c>
      <c r="J108" s="806"/>
    </row>
    <row r="109" spans="1:10">
      <c r="A109" s="804">
        <v>83</v>
      </c>
      <c r="B109" s="805" t="s">
        <v>1533</v>
      </c>
      <c r="C109" s="692" t="s">
        <v>1386</v>
      </c>
      <c r="D109" s="687" t="s">
        <v>1387</v>
      </c>
      <c r="E109" s="686" t="s">
        <v>1385</v>
      </c>
      <c r="F109" s="686" t="s">
        <v>1384</v>
      </c>
      <c r="G109" s="683">
        <v>42767</v>
      </c>
      <c r="H109" s="665" t="s">
        <v>70</v>
      </c>
      <c r="I109" s="655">
        <v>4.55</v>
      </c>
      <c r="J109" s="806">
        <v>4.55</v>
      </c>
    </row>
    <row r="110" spans="1:10">
      <c r="A110" s="804"/>
      <c r="B110" s="805"/>
      <c r="C110" s="692" t="s">
        <v>1382</v>
      </c>
      <c r="D110" s="687" t="s">
        <v>1383</v>
      </c>
      <c r="E110" s="686" t="s">
        <v>1381</v>
      </c>
      <c r="F110" s="686" t="s">
        <v>1380</v>
      </c>
      <c r="G110" s="683">
        <v>42767</v>
      </c>
      <c r="H110" s="665" t="s">
        <v>70</v>
      </c>
      <c r="I110" s="655">
        <v>4.55</v>
      </c>
      <c r="J110" s="806"/>
    </row>
    <row r="111" spans="1:10">
      <c r="A111" s="804"/>
      <c r="B111" s="805"/>
      <c r="C111" s="692" t="s">
        <v>1536</v>
      </c>
      <c r="D111" s="687" t="s">
        <v>1274</v>
      </c>
      <c r="E111" s="686" t="s">
        <v>1272</v>
      </c>
      <c r="F111" s="686" t="s">
        <v>1535</v>
      </c>
      <c r="G111" s="683">
        <v>42767</v>
      </c>
      <c r="H111" s="665" t="s">
        <v>70</v>
      </c>
      <c r="I111" s="655">
        <v>4.75</v>
      </c>
      <c r="J111" s="806"/>
    </row>
    <row r="112" spans="1:10">
      <c r="A112" s="804">
        <v>84</v>
      </c>
      <c r="B112" s="805" t="s">
        <v>3155</v>
      </c>
      <c r="C112" s="692" t="s">
        <v>1386</v>
      </c>
      <c r="D112" s="687" t="s">
        <v>1387</v>
      </c>
      <c r="E112" s="686" t="s">
        <v>1385</v>
      </c>
      <c r="F112" s="686" t="s">
        <v>1384</v>
      </c>
      <c r="G112" s="683">
        <v>42767</v>
      </c>
      <c r="H112" s="665" t="s">
        <v>70</v>
      </c>
      <c r="I112" s="655">
        <v>50.57</v>
      </c>
      <c r="J112" s="806">
        <v>50.57</v>
      </c>
    </row>
    <row r="113" spans="1:10">
      <c r="A113" s="804"/>
      <c r="B113" s="805"/>
      <c r="C113" s="692" t="s">
        <v>1382</v>
      </c>
      <c r="D113" s="687" t="s">
        <v>1383</v>
      </c>
      <c r="E113" s="686" t="s">
        <v>1381</v>
      </c>
      <c r="F113" s="686" t="s">
        <v>1380</v>
      </c>
      <c r="G113" s="683">
        <v>42767</v>
      </c>
      <c r="H113" s="665" t="s">
        <v>70</v>
      </c>
      <c r="I113" s="655">
        <v>48.95</v>
      </c>
      <c r="J113" s="806"/>
    </row>
    <row r="114" spans="1:10">
      <c r="A114" s="804"/>
      <c r="B114" s="805"/>
      <c r="C114" s="692" t="s">
        <v>1536</v>
      </c>
      <c r="D114" s="687" t="s">
        <v>1274</v>
      </c>
      <c r="E114" s="686" t="s">
        <v>1272</v>
      </c>
      <c r="F114" s="686" t="s">
        <v>1535</v>
      </c>
      <c r="G114" s="683">
        <v>42767</v>
      </c>
      <c r="H114" s="665" t="s">
        <v>70</v>
      </c>
      <c r="I114" s="655">
        <v>55.31</v>
      </c>
      <c r="J114" s="806"/>
    </row>
    <row r="115" spans="1:10">
      <c r="A115" s="804">
        <v>86</v>
      </c>
      <c r="B115" s="805" t="s">
        <v>3147</v>
      </c>
      <c r="C115" s="692" t="s">
        <v>1386</v>
      </c>
      <c r="D115" s="687" t="s">
        <v>1387</v>
      </c>
      <c r="E115" s="686" t="s">
        <v>1385</v>
      </c>
      <c r="F115" s="686" t="s">
        <v>1384</v>
      </c>
      <c r="G115" s="683">
        <v>42767</v>
      </c>
      <c r="H115" s="665" t="s">
        <v>70</v>
      </c>
      <c r="I115" s="655">
        <v>6.85</v>
      </c>
      <c r="J115" s="807">
        <v>6.85</v>
      </c>
    </row>
    <row r="116" spans="1:10">
      <c r="A116" s="804"/>
      <c r="B116" s="805"/>
      <c r="C116" s="692" t="s">
        <v>1382</v>
      </c>
      <c r="D116" s="687" t="s">
        <v>1383</v>
      </c>
      <c r="E116" s="686" t="s">
        <v>1381</v>
      </c>
      <c r="F116" s="686" t="s">
        <v>1380</v>
      </c>
      <c r="G116" s="683">
        <v>42767</v>
      </c>
      <c r="H116" s="665" t="s">
        <v>70</v>
      </c>
      <c r="I116" s="655">
        <v>6.65</v>
      </c>
      <c r="J116" s="807"/>
    </row>
    <row r="117" spans="1:10">
      <c r="A117" s="804"/>
      <c r="B117" s="805"/>
      <c r="C117" s="692" t="s">
        <v>1536</v>
      </c>
      <c r="D117" s="687" t="s">
        <v>1274</v>
      </c>
      <c r="E117" s="686" t="s">
        <v>1272</v>
      </c>
      <c r="F117" s="686" t="s">
        <v>1535</v>
      </c>
      <c r="G117" s="683">
        <v>42767</v>
      </c>
      <c r="H117" s="665" t="s">
        <v>70</v>
      </c>
      <c r="I117" s="655">
        <v>7.25</v>
      </c>
      <c r="J117" s="807"/>
    </row>
    <row r="118" spans="1:10">
      <c r="A118" s="804">
        <v>89</v>
      </c>
      <c r="B118" s="805" t="s">
        <v>3149</v>
      </c>
      <c r="C118" s="692" t="s">
        <v>1386</v>
      </c>
      <c r="D118" s="687" t="s">
        <v>1387</v>
      </c>
      <c r="E118" s="686" t="s">
        <v>1385</v>
      </c>
      <c r="F118" s="686" t="s">
        <v>1384</v>
      </c>
      <c r="G118" s="683">
        <v>42767</v>
      </c>
      <c r="H118" s="665" t="s">
        <v>70</v>
      </c>
      <c r="I118" s="655">
        <v>9.7899999999999991</v>
      </c>
      <c r="J118" s="807">
        <v>10.35</v>
      </c>
    </row>
    <row r="119" spans="1:10">
      <c r="A119" s="804"/>
      <c r="B119" s="805"/>
      <c r="C119" s="692" t="s">
        <v>1382</v>
      </c>
      <c r="D119" s="687" t="s">
        <v>1383</v>
      </c>
      <c r="E119" s="686" t="s">
        <v>1381</v>
      </c>
      <c r="F119" s="686" t="s">
        <v>1380</v>
      </c>
      <c r="G119" s="683">
        <v>42767</v>
      </c>
      <c r="H119" s="665" t="s">
        <v>70</v>
      </c>
      <c r="I119" s="655">
        <v>10.35</v>
      </c>
      <c r="J119" s="807"/>
    </row>
    <row r="120" spans="1:10">
      <c r="A120" s="804"/>
      <c r="B120" s="805"/>
      <c r="C120" s="692" t="s">
        <v>1536</v>
      </c>
      <c r="D120" s="687" t="s">
        <v>1274</v>
      </c>
      <c r="E120" s="686" t="s">
        <v>1272</v>
      </c>
      <c r="F120" s="686" t="s">
        <v>1535</v>
      </c>
      <c r="G120" s="683">
        <v>42767</v>
      </c>
      <c r="H120" s="665" t="s">
        <v>70</v>
      </c>
      <c r="I120" s="655">
        <v>11.29</v>
      </c>
      <c r="J120" s="807"/>
    </row>
    <row r="121" spans="1:10">
      <c r="A121" s="804">
        <v>90</v>
      </c>
      <c r="B121" s="805" t="s">
        <v>3151</v>
      </c>
      <c r="C121" s="692" t="s">
        <v>1386</v>
      </c>
      <c r="D121" s="687" t="s">
        <v>1387</v>
      </c>
      <c r="E121" s="686" t="s">
        <v>1385</v>
      </c>
      <c r="F121" s="686" t="s">
        <v>1384</v>
      </c>
      <c r="G121" s="683">
        <v>42767</v>
      </c>
      <c r="H121" s="665" t="s">
        <v>70</v>
      </c>
      <c r="I121" s="655">
        <v>14.01</v>
      </c>
      <c r="J121" s="807">
        <v>14.36</v>
      </c>
    </row>
    <row r="122" spans="1:10">
      <c r="A122" s="804"/>
      <c r="B122" s="805"/>
      <c r="C122" s="692" t="s">
        <v>1382</v>
      </c>
      <c r="D122" s="687" t="s">
        <v>1383</v>
      </c>
      <c r="E122" s="686" t="s">
        <v>1381</v>
      </c>
      <c r="F122" s="686" t="s">
        <v>1380</v>
      </c>
      <c r="G122" s="683">
        <v>42767</v>
      </c>
      <c r="H122" s="665" t="s">
        <v>70</v>
      </c>
      <c r="I122" s="655">
        <v>14.36</v>
      </c>
      <c r="J122" s="807"/>
    </row>
    <row r="123" spans="1:10">
      <c r="A123" s="804"/>
      <c r="B123" s="805"/>
      <c r="C123" s="692" t="s">
        <v>1536</v>
      </c>
      <c r="D123" s="687" t="s">
        <v>1274</v>
      </c>
      <c r="E123" s="686" t="s">
        <v>1272</v>
      </c>
      <c r="F123" s="686" t="s">
        <v>1535</v>
      </c>
      <c r="G123" s="683">
        <v>42767</v>
      </c>
      <c r="H123" s="665" t="s">
        <v>70</v>
      </c>
      <c r="I123" s="655">
        <v>15.74</v>
      </c>
      <c r="J123" s="807"/>
    </row>
    <row r="124" spans="1:10">
      <c r="A124" s="804">
        <v>91</v>
      </c>
      <c r="B124" s="805" t="s">
        <v>3048</v>
      </c>
      <c r="C124" s="692" t="s">
        <v>1386</v>
      </c>
      <c r="D124" s="687" t="s">
        <v>1387</v>
      </c>
      <c r="E124" s="686" t="s">
        <v>1385</v>
      </c>
      <c r="F124" s="686" t="s">
        <v>1384</v>
      </c>
      <c r="G124" s="683">
        <v>42767</v>
      </c>
      <c r="H124" s="665" t="s">
        <v>70</v>
      </c>
      <c r="I124" s="655">
        <v>20.61</v>
      </c>
      <c r="J124" s="807">
        <v>20.82</v>
      </c>
    </row>
    <row r="125" spans="1:10">
      <c r="A125" s="804"/>
      <c r="B125" s="805"/>
      <c r="C125" s="692" t="s">
        <v>1382</v>
      </c>
      <c r="D125" s="687" t="s">
        <v>1383</v>
      </c>
      <c r="E125" s="686" t="s">
        <v>1381</v>
      </c>
      <c r="F125" s="686" t="s">
        <v>1380</v>
      </c>
      <c r="G125" s="683">
        <v>42767</v>
      </c>
      <c r="H125" s="665" t="s">
        <v>70</v>
      </c>
      <c r="I125" s="655">
        <v>20.82</v>
      </c>
      <c r="J125" s="807"/>
    </row>
    <row r="126" spans="1:10">
      <c r="A126" s="804"/>
      <c r="B126" s="805"/>
      <c r="C126" s="692" t="s">
        <v>1536</v>
      </c>
      <c r="D126" s="687" t="s">
        <v>1274</v>
      </c>
      <c r="E126" s="686" t="s">
        <v>1272</v>
      </c>
      <c r="F126" s="686" t="s">
        <v>1535</v>
      </c>
      <c r="G126" s="683">
        <v>42767</v>
      </c>
      <c r="H126" s="665" t="s">
        <v>70</v>
      </c>
      <c r="I126" s="655">
        <v>22.53</v>
      </c>
      <c r="J126" s="807"/>
    </row>
    <row r="127" spans="1:10">
      <c r="A127" s="804">
        <v>92</v>
      </c>
      <c r="B127" s="805" t="s">
        <v>3153</v>
      </c>
      <c r="C127" s="692" t="s">
        <v>1386</v>
      </c>
      <c r="D127" s="687" t="s">
        <v>1387</v>
      </c>
      <c r="E127" s="686" t="s">
        <v>1385</v>
      </c>
      <c r="F127" s="686" t="s">
        <v>1384</v>
      </c>
      <c r="G127" s="683">
        <v>42767</v>
      </c>
      <c r="H127" s="665" t="s">
        <v>70</v>
      </c>
      <c r="I127" s="655">
        <v>27.72</v>
      </c>
      <c r="J127" s="806">
        <v>27.72</v>
      </c>
    </row>
    <row r="128" spans="1:10">
      <c r="A128" s="804"/>
      <c r="B128" s="805"/>
      <c r="C128" s="692" t="s">
        <v>1382</v>
      </c>
      <c r="D128" s="687" t="s">
        <v>1383</v>
      </c>
      <c r="E128" s="686" t="s">
        <v>1381</v>
      </c>
      <c r="F128" s="686" t="s">
        <v>1380</v>
      </c>
      <c r="G128" s="683">
        <v>42767</v>
      </c>
      <c r="H128" s="665" t="s">
        <v>70</v>
      </c>
      <c r="I128" s="655">
        <v>29.17</v>
      </c>
      <c r="J128" s="806"/>
    </row>
    <row r="129" spans="1:10">
      <c r="A129" s="804"/>
      <c r="B129" s="805"/>
      <c r="C129" s="692" t="s">
        <v>1536</v>
      </c>
      <c r="D129" s="687" t="s">
        <v>1274</v>
      </c>
      <c r="E129" s="686" t="s">
        <v>1272</v>
      </c>
      <c r="F129" s="686" t="s">
        <v>1535</v>
      </c>
      <c r="G129" s="683">
        <v>42767</v>
      </c>
      <c r="H129" s="665" t="s">
        <v>70</v>
      </c>
      <c r="I129" s="655">
        <v>26.08</v>
      </c>
      <c r="J129" s="806"/>
    </row>
    <row r="130" spans="1:10">
      <c r="A130" s="804">
        <v>277</v>
      </c>
      <c r="B130" s="805" t="s">
        <v>3335</v>
      </c>
      <c r="C130" s="656" t="s">
        <v>1536</v>
      </c>
      <c r="D130" s="657" t="s">
        <v>1274</v>
      </c>
      <c r="E130" s="656" t="s">
        <v>1272</v>
      </c>
      <c r="F130" s="671" t="s">
        <v>1535</v>
      </c>
      <c r="G130" s="683">
        <v>42795</v>
      </c>
      <c r="H130" s="672" t="s">
        <v>70</v>
      </c>
      <c r="I130" s="667">
        <v>17.37</v>
      </c>
      <c r="J130" s="807">
        <v>17.37</v>
      </c>
    </row>
    <row r="131" spans="1:10">
      <c r="A131" s="804"/>
      <c r="B131" s="805"/>
      <c r="C131" s="656" t="s">
        <v>1528</v>
      </c>
      <c r="D131" s="657" t="s">
        <v>1390</v>
      </c>
      <c r="E131" s="656" t="s">
        <v>1396</v>
      </c>
      <c r="F131" s="656" t="s">
        <v>1527</v>
      </c>
      <c r="G131" s="683">
        <v>42795</v>
      </c>
      <c r="H131" s="689" t="s">
        <v>70</v>
      </c>
      <c r="I131" s="655">
        <v>14.48</v>
      </c>
      <c r="J131" s="807"/>
    </row>
    <row r="132" spans="1:10">
      <c r="A132" s="804"/>
      <c r="B132" s="805"/>
      <c r="C132" s="656" t="s">
        <v>1530</v>
      </c>
      <c r="D132" s="657" t="s">
        <v>1371</v>
      </c>
      <c r="E132" s="656">
        <v>36342266</v>
      </c>
      <c r="F132" s="656" t="s">
        <v>1529</v>
      </c>
      <c r="G132" s="691">
        <v>42795</v>
      </c>
      <c r="H132" s="689" t="s">
        <v>70</v>
      </c>
      <c r="I132" s="655">
        <v>17.43</v>
      </c>
      <c r="J132" s="807"/>
    </row>
    <row r="133" spans="1:10">
      <c r="A133" s="804">
        <v>278</v>
      </c>
      <c r="B133" s="805" t="s">
        <v>4570</v>
      </c>
      <c r="C133" s="656" t="s">
        <v>1536</v>
      </c>
      <c r="D133" s="657" t="s">
        <v>1274</v>
      </c>
      <c r="E133" s="656" t="s">
        <v>1272</v>
      </c>
      <c r="F133" s="671" t="s">
        <v>1535</v>
      </c>
      <c r="G133" s="683">
        <v>42795</v>
      </c>
      <c r="H133" s="672" t="s">
        <v>70</v>
      </c>
      <c r="I133" s="667">
        <v>2.2000000000000002</v>
      </c>
      <c r="J133" s="807">
        <v>1.65</v>
      </c>
    </row>
    <row r="134" spans="1:10">
      <c r="A134" s="804"/>
      <c r="B134" s="805"/>
      <c r="C134" s="656" t="s">
        <v>1528</v>
      </c>
      <c r="D134" s="657" t="s">
        <v>1390</v>
      </c>
      <c r="E134" s="656" t="s">
        <v>1396</v>
      </c>
      <c r="F134" s="656" t="s">
        <v>1527</v>
      </c>
      <c r="G134" s="683">
        <v>42795</v>
      </c>
      <c r="H134" s="689" t="s">
        <v>70</v>
      </c>
      <c r="I134" s="655">
        <v>1.53</v>
      </c>
      <c r="J134" s="807"/>
    </row>
    <row r="135" spans="1:10">
      <c r="A135" s="804"/>
      <c r="B135" s="805"/>
      <c r="C135" s="656" t="s">
        <v>1530</v>
      </c>
      <c r="D135" s="657" t="s">
        <v>1371</v>
      </c>
      <c r="E135" s="656">
        <v>36342266</v>
      </c>
      <c r="F135" s="656" t="s">
        <v>1529</v>
      </c>
      <c r="G135" s="691">
        <v>42795</v>
      </c>
      <c r="H135" s="689" t="s">
        <v>70</v>
      </c>
      <c r="I135" s="655">
        <v>1.65</v>
      </c>
      <c r="J135" s="807"/>
    </row>
    <row r="136" spans="1:10">
      <c r="A136" s="804">
        <v>279</v>
      </c>
      <c r="B136" s="805" t="s">
        <v>3185</v>
      </c>
      <c r="C136" s="656" t="s">
        <v>1536</v>
      </c>
      <c r="D136" s="657" t="s">
        <v>1274</v>
      </c>
      <c r="E136" s="656" t="s">
        <v>1272</v>
      </c>
      <c r="F136" s="671" t="s">
        <v>1535</v>
      </c>
      <c r="G136" s="683">
        <v>42795</v>
      </c>
      <c r="H136" s="672" t="s">
        <v>70</v>
      </c>
      <c r="I136" s="667">
        <v>5</v>
      </c>
      <c r="J136" s="807">
        <v>4.47</v>
      </c>
    </row>
    <row r="137" spans="1:10">
      <c r="A137" s="804"/>
      <c r="B137" s="805"/>
      <c r="C137" s="656" t="s">
        <v>1528</v>
      </c>
      <c r="D137" s="657" t="s">
        <v>1390</v>
      </c>
      <c r="E137" s="656" t="s">
        <v>1396</v>
      </c>
      <c r="F137" s="656" t="s">
        <v>1527</v>
      </c>
      <c r="G137" s="683">
        <v>42795</v>
      </c>
      <c r="H137" s="689" t="s">
        <v>70</v>
      </c>
      <c r="I137" s="655">
        <v>3.65</v>
      </c>
      <c r="J137" s="807"/>
    </row>
    <row r="138" spans="1:10">
      <c r="A138" s="804"/>
      <c r="B138" s="805"/>
      <c r="C138" s="656" t="s">
        <v>1530</v>
      </c>
      <c r="D138" s="657" t="s">
        <v>1371</v>
      </c>
      <c r="E138" s="656">
        <v>36342266</v>
      </c>
      <c r="F138" s="656" t="s">
        <v>1529</v>
      </c>
      <c r="G138" s="691">
        <v>42795</v>
      </c>
      <c r="H138" s="689" t="s">
        <v>70</v>
      </c>
      <c r="I138" s="655">
        <v>4.47</v>
      </c>
      <c r="J138" s="807"/>
    </row>
    <row r="139" spans="1:10">
      <c r="A139" s="804">
        <v>280</v>
      </c>
      <c r="B139" s="805" t="s">
        <v>3336</v>
      </c>
      <c r="C139" s="656" t="s">
        <v>1536</v>
      </c>
      <c r="D139" s="657" t="s">
        <v>1274</v>
      </c>
      <c r="E139" s="656" t="s">
        <v>1272</v>
      </c>
      <c r="F139" s="671" t="s">
        <v>1535</v>
      </c>
      <c r="G139" s="683">
        <v>42795</v>
      </c>
      <c r="H139" s="672" t="s">
        <v>70</v>
      </c>
      <c r="I139" s="682">
        <v>3.33</v>
      </c>
      <c r="J139" s="806">
        <v>3.26</v>
      </c>
    </row>
    <row r="140" spans="1:10">
      <c r="A140" s="804"/>
      <c r="B140" s="805"/>
      <c r="C140" s="656" t="s">
        <v>1528</v>
      </c>
      <c r="D140" s="657" t="s">
        <v>1390</v>
      </c>
      <c r="E140" s="656" t="s">
        <v>1396</v>
      </c>
      <c r="F140" s="656" t="s">
        <v>1527</v>
      </c>
      <c r="G140" s="683">
        <v>42795</v>
      </c>
      <c r="H140" s="689" t="s">
        <v>70</v>
      </c>
      <c r="I140" s="682">
        <v>1.92</v>
      </c>
      <c r="J140" s="806"/>
    </row>
    <row r="141" spans="1:10" ht="15.75" thickBot="1">
      <c r="A141" s="804"/>
      <c r="B141" s="805"/>
      <c r="C141" s="656" t="s">
        <v>1530</v>
      </c>
      <c r="D141" s="657" t="s">
        <v>1371</v>
      </c>
      <c r="E141" s="656">
        <v>36342266</v>
      </c>
      <c r="F141" s="656" t="s">
        <v>1529</v>
      </c>
      <c r="G141" s="691">
        <v>42795</v>
      </c>
      <c r="H141" s="689" t="s">
        <v>70</v>
      </c>
      <c r="I141" s="682">
        <v>3.26</v>
      </c>
      <c r="J141" s="806"/>
    </row>
    <row r="142" spans="1:10">
      <c r="A142" s="818">
        <v>137</v>
      </c>
      <c r="B142" s="821" t="s">
        <v>4571</v>
      </c>
      <c r="C142" s="715" t="s">
        <v>3345</v>
      </c>
      <c r="D142" s="716" t="s">
        <v>3346</v>
      </c>
      <c r="E142" s="715"/>
      <c r="F142" s="715" t="s">
        <v>3347</v>
      </c>
      <c r="G142" s="717">
        <v>42856</v>
      </c>
      <c r="H142" s="718" t="s">
        <v>70</v>
      </c>
      <c r="I142" s="719">
        <v>3200</v>
      </c>
      <c r="J142" s="824">
        <v>3200</v>
      </c>
    </row>
    <row r="143" spans="1:10">
      <c r="A143" s="819"/>
      <c r="B143" s="822"/>
      <c r="C143" s="685" t="s">
        <v>4572</v>
      </c>
      <c r="D143" s="720" t="s">
        <v>1263</v>
      </c>
      <c r="E143" s="685" t="s">
        <v>1261</v>
      </c>
      <c r="F143" s="685"/>
      <c r="G143" s="668">
        <v>42856</v>
      </c>
      <c r="H143" s="694" t="s">
        <v>70</v>
      </c>
      <c r="I143" s="693">
        <v>4005.3</v>
      </c>
      <c r="J143" s="825"/>
    </row>
    <row r="144" spans="1:10" ht="15.75" thickBot="1">
      <c r="A144" s="820"/>
      <c r="B144" s="823"/>
      <c r="C144" s="721" t="s">
        <v>4573</v>
      </c>
      <c r="D144" s="722" t="s">
        <v>4574</v>
      </c>
      <c r="E144" s="721" t="s">
        <v>4575</v>
      </c>
      <c r="F144" s="721" t="s">
        <v>4576</v>
      </c>
      <c r="G144" s="723">
        <v>42917</v>
      </c>
      <c r="H144" s="724" t="s">
        <v>70</v>
      </c>
      <c r="I144" s="725">
        <v>1194</v>
      </c>
      <c r="J144" s="826"/>
    </row>
    <row r="145" spans="1:10">
      <c r="A145" s="804">
        <v>186</v>
      </c>
      <c r="B145" s="827" t="s">
        <v>1208</v>
      </c>
      <c r="C145" s="656" t="s">
        <v>1210</v>
      </c>
      <c r="D145" s="657" t="s">
        <v>1198</v>
      </c>
      <c r="E145" s="656">
        <v>33226142</v>
      </c>
      <c r="F145" s="656" t="s">
        <v>1209</v>
      </c>
      <c r="G145" s="666">
        <v>42795</v>
      </c>
      <c r="H145" s="665" t="s">
        <v>70</v>
      </c>
      <c r="I145" s="655">
        <v>140</v>
      </c>
      <c r="J145" s="806">
        <v>140</v>
      </c>
    </row>
    <row r="146" spans="1:10">
      <c r="A146" s="804"/>
      <c r="B146" s="827"/>
      <c r="C146" s="656" t="s">
        <v>2517</v>
      </c>
      <c r="D146" s="657" t="s">
        <v>2518</v>
      </c>
      <c r="E146" s="656" t="s">
        <v>2523</v>
      </c>
      <c r="F146" s="656" t="s">
        <v>2522</v>
      </c>
      <c r="G146" s="666">
        <v>42795</v>
      </c>
      <c r="H146" s="665" t="s">
        <v>70</v>
      </c>
      <c r="I146" s="655">
        <v>54.9</v>
      </c>
      <c r="J146" s="806"/>
    </row>
    <row r="147" spans="1:10">
      <c r="A147" s="804"/>
      <c r="B147" s="827"/>
      <c r="C147" s="685" t="s">
        <v>1211</v>
      </c>
      <c r="D147" s="684" t="s">
        <v>1212</v>
      </c>
      <c r="E147" s="685">
        <v>21368272</v>
      </c>
      <c r="F147" s="685"/>
      <c r="G147" s="666">
        <v>42795</v>
      </c>
      <c r="H147" s="694" t="s">
        <v>70</v>
      </c>
      <c r="I147" s="693">
        <v>300</v>
      </c>
      <c r="J147" s="806"/>
    </row>
    <row r="148" spans="1:10">
      <c r="A148" s="804">
        <v>185</v>
      </c>
      <c r="B148" s="805" t="s">
        <v>3357</v>
      </c>
      <c r="C148" s="656" t="s">
        <v>3358</v>
      </c>
      <c r="D148" s="657" t="s">
        <v>3359</v>
      </c>
      <c r="E148" s="656" t="s">
        <v>3360</v>
      </c>
      <c r="F148" s="656" t="s">
        <v>1196</v>
      </c>
      <c r="G148" s="666">
        <v>42795</v>
      </c>
      <c r="H148" s="665" t="s">
        <v>70</v>
      </c>
      <c r="I148" s="667">
        <v>4.6100000000000003</v>
      </c>
      <c r="J148" s="806">
        <v>7.1</v>
      </c>
    </row>
    <row r="149" spans="1:10">
      <c r="A149" s="804"/>
      <c r="B149" s="805"/>
      <c r="C149" s="656" t="s">
        <v>3361</v>
      </c>
      <c r="D149" s="657"/>
      <c r="E149" s="656">
        <v>36143500</v>
      </c>
      <c r="F149" s="656" t="s">
        <v>3362</v>
      </c>
      <c r="G149" s="666">
        <v>42795</v>
      </c>
      <c r="H149" s="665" t="s">
        <v>70</v>
      </c>
      <c r="I149" s="667">
        <v>7.1</v>
      </c>
      <c r="J149" s="806"/>
    </row>
    <row r="150" spans="1:10">
      <c r="A150" s="804"/>
      <c r="B150" s="805"/>
      <c r="C150" s="656" t="s">
        <v>2517</v>
      </c>
      <c r="D150" s="657" t="s">
        <v>2518</v>
      </c>
      <c r="E150" s="695" t="s">
        <v>2516</v>
      </c>
      <c r="F150" s="656" t="s">
        <v>2522</v>
      </c>
      <c r="G150" s="666">
        <v>42795</v>
      </c>
      <c r="H150" s="665" t="s">
        <v>70</v>
      </c>
      <c r="I150" s="667">
        <v>12.72</v>
      </c>
      <c r="J150" s="806"/>
    </row>
    <row r="151" spans="1:10">
      <c r="A151" s="804">
        <v>148</v>
      </c>
      <c r="B151" s="805" t="s">
        <v>825</v>
      </c>
      <c r="C151" s="673" t="s">
        <v>3363</v>
      </c>
      <c r="D151" s="674" t="s">
        <v>3364</v>
      </c>
      <c r="E151" s="673" t="s">
        <v>3365</v>
      </c>
      <c r="F151" s="673" t="s">
        <v>3366</v>
      </c>
      <c r="G151" s="675">
        <v>42826</v>
      </c>
      <c r="H151" s="676" t="s">
        <v>70</v>
      </c>
      <c r="I151" s="663">
        <v>1450</v>
      </c>
      <c r="J151" s="806">
        <v>1500</v>
      </c>
    </row>
    <row r="152" spans="1:10">
      <c r="A152" s="804"/>
      <c r="B152" s="805"/>
      <c r="C152" s="673" t="s">
        <v>3367</v>
      </c>
      <c r="D152" s="674" t="s">
        <v>3368</v>
      </c>
      <c r="E152" s="673" t="s">
        <v>3369</v>
      </c>
      <c r="F152" s="673" t="s">
        <v>3370</v>
      </c>
      <c r="G152" s="675">
        <v>42795</v>
      </c>
      <c r="H152" s="676" t="s">
        <v>70</v>
      </c>
      <c r="I152" s="663">
        <v>1820</v>
      </c>
      <c r="J152" s="806"/>
    </row>
    <row r="153" spans="1:10">
      <c r="A153" s="804"/>
      <c r="B153" s="805"/>
      <c r="C153" s="677" t="s">
        <v>3371</v>
      </c>
      <c r="D153" s="674" t="s">
        <v>3372</v>
      </c>
      <c r="E153" s="673" t="s">
        <v>3373</v>
      </c>
      <c r="F153" s="673" t="s">
        <v>3374</v>
      </c>
      <c r="G153" s="691">
        <v>42826</v>
      </c>
      <c r="H153" s="680" t="s">
        <v>70</v>
      </c>
      <c r="I153" s="681">
        <v>1500</v>
      </c>
      <c r="J153" s="806"/>
    </row>
    <row r="154" spans="1:10">
      <c r="A154" s="804">
        <v>144</v>
      </c>
      <c r="B154" s="805" t="s">
        <v>3375</v>
      </c>
      <c r="C154" s="696" t="s">
        <v>2595</v>
      </c>
      <c r="D154" s="697" t="s">
        <v>2229</v>
      </c>
      <c r="E154" s="696">
        <v>36272588</v>
      </c>
      <c r="F154" s="696" t="s">
        <v>2228</v>
      </c>
      <c r="G154" s="664">
        <v>42758</v>
      </c>
      <c r="H154" s="698" t="s">
        <v>70</v>
      </c>
      <c r="I154" s="682">
        <v>3500</v>
      </c>
      <c r="J154" s="806">
        <v>3800</v>
      </c>
    </row>
    <row r="155" spans="1:10">
      <c r="A155" s="804"/>
      <c r="B155" s="805"/>
      <c r="C155" s="696" t="s">
        <v>1237</v>
      </c>
      <c r="D155" s="697" t="s">
        <v>1238</v>
      </c>
      <c r="E155" s="696">
        <v>33646642</v>
      </c>
      <c r="F155" s="696"/>
      <c r="G155" s="664">
        <v>42758</v>
      </c>
      <c r="H155" s="698" t="s">
        <v>70</v>
      </c>
      <c r="I155" s="682">
        <v>3800</v>
      </c>
      <c r="J155" s="806"/>
    </row>
    <row r="156" spans="1:10">
      <c r="A156" s="804"/>
      <c r="B156" s="805"/>
      <c r="C156" s="696" t="s">
        <v>2596</v>
      </c>
      <c r="D156" s="697" t="s">
        <v>2227</v>
      </c>
      <c r="E156" s="696">
        <v>36242644</v>
      </c>
      <c r="F156" s="696"/>
      <c r="G156" s="664">
        <v>42758</v>
      </c>
      <c r="H156" s="698" t="s">
        <v>70</v>
      </c>
      <c r="I156" s="682">
        <v>4000</v>
      </c>
      <c r="J156" s="806"/>
    </row>
    <row r="157" spans="1:10">
      <c r="A157" s="804">
        <v>116</v>
      </c>
      <c r="B157" s="805" t="s">
        <v>3376</v>
      </c>
      <c r="C157" s="656" t="s">
        <v>1306</v>
      </c>
      <c r="D157" s="657" t="s">
        <v>1307</v>
      </c>
      <c r="E157" s="656">
        <v>30272090</v>
      </c>
      <c r="F157" s="656" t="s">
        <v>1305</v>
      </c>
      <c r="G157" s="666">
        <v>42758</v>
      </c>
      <c r="H157" s="665" t="s">
        <v>70</v>
      </c>
      <c r="I157" s="655">
        <v>1840</v>
      </c>
      <c r="J157" s="806">
        <v>1630</v>
      </c>
    </row>
    <row r="158" spans="1:10">
      <c r="A158" s="804"/>
      <c r="B158" s="805"/>
      <c r="C158" s="656" t="s">
        <v>3377</v>
      </c>
      <c r="D158" s="657" t="s">
        <v>1309</v>
      </c>
      <c r="E158" s="656">
        <v>36315436</v>
      </c>
      <c r="F158" s="656" t="s">
        <v>1308</v>
      </c>
      <c r="G158" s="666">
        <v>42736</v>
      </c>
      <c r="H158" s="665" t="s">
        <v>70</v>
      </c>
      <c r="I158" s="655">
        <v>1420</v>
      </c>
      <c r="J158" s="806"/>
    </row>
    <row r="159" spans="1:10">
      <c r="A159" s="804"/>
      <c r="B159" s="805"/>
      <c r="C159" s="673"/>
      <c r="D159" s="674"/>
      <c r="E159" s="673"/>
      <c r="F159" s="673"/>
      <c r="G159" s="691"/>
      <c r="H159" s="680"/>
      <c r="I159" s="681"/>
      <c r="J159" s="806"/>
    </row>
    <row r="160" spans="1:10">
      <c r="A160" s="804">
        <v>54</v>
      </c>
      <c r="B160" s="805" t="s">
        <v>1280</v>
      </c>
      <c r="C160" s="656" t="s">
        <v>4577</v>
      </c>
      <c r="D160" s="657"/>
      <c r="E160" s="656">
        <v>993255573</v>
      </c>
      <c r="F160" s="656" t="s">
        <v>4578</v>
      </c>
      <c r="G160" s="675">
        <v>42917</v>
      </c>
      <c r="H160" s="665" t="s">
        <v>70</v>
      </c>
      <c r="I160" s="655">
        <v>10000</v>
      </c>
      <c r="J160" s="806">
        <v>7400</v>
      </c>
    </row>
    <row r="161" spans="1:10">
      <c r="A161" s="804"/>
      <c r="B161" s="805"/>
      <c r="C161" s="656" t="s">
        <v>4579</v>
      </c>
      <c r="D161" s="657"/>
      <c r="E161" s="656">
        <v>99067987</v>
      </c>
      <c r="F161" s="656" t="s">
        <v>4580</v>
      </c>
      <c r="G161" s="675">
        <v>42917</v>
      </c>
      <c r="H161" s="665" t="s">
        <v>70</v>
      </c>
      <c r="I161" s="655">
        <v>4800</v>
      </c>
      <c r="J161" s="806"/>
    </row>
    <row r="162" spans="1:10">
      <c r="A162" s="804"/>
      <c r="B162" s="805"/>
      <c r="C162" s="699"/>
      <c r="D162" s="657"/>
      <c r="E162" s="656"/>
      <c r="F162" s="656"/>
      <c r="G162" s="675"/>
      <c r="H162" s="665"/>
      <c r="I162" s="655"/>
      <c r="J162" s="806"/>
    </row>
    <row r="163" spans="1:10">
      <c r="A163" s="804">
        <v>161</v>
      </c>
      <c r="B163" s="805" t="s">
        <v>4581</v>
      </c>
      <c r="C163" s="669" t="s">
        <v>1195</v>
      </c>
      <c r="D163" s="670"/>
      <c r="E163" s="671">
        <v>36533888</v>
      </c>
      <c r="F163" s="671" t="s">
        <v>1194</v>
      </c>
      <c r="G163" s="683">
        <v>42736</v>
      </c>
      <c r="H163" s="672" t="s">
        <v>70</v>
      </c>
      <c r="I163" s="667">
        <v>245</v>
      </c>
      <c r="J163" s="806">
        <v>290</v>
      </c>
    </row>
    <row r="164" spans="1:10">
      <c r="A164" s="804"/>
      <c r="B164" s="805"/>
      <c r="C164" s="669" t="s">
        <v>4582</v>
      </c>
      <c r="D164" s="684"/>
      <c r="E164" s="685">
        <v>981347498</v>
      </c>
      <c r="F164" s="685" t="s">
        <v>4583</v>
      </c>
      <c r="G164" s="683">
        <v>42736</v>
      </c>
      <c r="H164" s="672" t="s">
        <v>70</v>
      </c>
      <c r="I164" s="667">
        <v>290</v>
      </c>
      <c r="J164" s="806"/>
    </row>
    <row r="165" spans="1:10">
      <c r="A165" s="804"/>
      <c r="B165" s="805"/>
      <c r="C165" s="669" t="s">
        <v>1197</v>
      </c>
      <c r="D165" s="670" t="s">
        <v>1198</v>
      </c>
      <c r="E165" s="671">
        <v>36242644</v>
      </c>
      <c r="F165" s="671" t="s">
        <v>1196</v>
      </c>
      <c r="G165" s="683">
        <v>42736</v>
      </c>
      <c r="H165" s="672" t="s">
        <v>70</v>
      </c>
      <c r="I165" s="667">
        <v>490</v>
      </c>
      <c r="J165" s="806"/>
    </row>
    <row r="166" spans="1:10">
      <c r="A166" s="804">
        <v>190</v>
      </c>
      <c r="B166" s="805" t="s">
        <v>1235</v>
      </c>
      <c r="C166" s="700" t="s">
        <v>1237</v>
      </c>
      <c r="D166" s="697" t="s">
        <v>1238</v>
      </c>
      <c r="E166" s="696">
        <v>36251845</v>
      </c>
      <c r="F166" s="696" t="s">
        <v>1236</v>
      </c>
      <c r="G166" s="664">
        <v>42736</v>
      </c>
      <c r="H166" s="698" t="s">
        <v>70</v>
      </c>
      <c r="I166" s="682">
        <v>240</v>
      </c>
      <c r="J166" s="806">
        <v>280</v>
      </c>
    </row>
    <row r="167" spans="1:10">
      <c r="A167" s="804"/>
      <c r="B167" s="805"/>
      <c r="C167" s="700" t="s">
        <v>1240</v>
      </c>
      <c r="D167" s="697" t="s">
        <v>1241</v>
      </c>
      <c r="E167" s="696">
        <v>33643885</v>
      </c>
      <c r="F167" s="696" t="s">
        <v>1239</v>
      </c>
      <c r="G167" s="664">
        <v>42736</v>
      </c>
      <c r="H167" s="698" t="s">
        <v>70</v>
      </c>
      <c r="I167" s="682">
        <v>310</v>
      </c>
      <c r="J167" s="806"/>
    </row>
    <row r="168" spans="1:10">
      <c r="A168" s="804"/>
      <c r="B168" s="805"/>
      <c r="C168" s="700" t="s">
        <v>1242</v>
      </c>
      <c r="D168" s="697" t="s">
        <v>1243</v>
      </c>
      <c r="E168" s="696">
        <v>36372827</v>
      </c>
      <c r="F168" s="696" t="s">
        <v>1196</v>
      </c>
      <c r="G168" s="664">
        <v>42736</v>
      </c>
      <c r="H168" s="698" t="s">
        <v>70</v>
      </c>
      <c r="I168" s="682">
        <v>280</v>
      </c>
      <c r="J168" s="806"/>
    </row>
    <row r="169" spans="1:10">
      <c r="A169" s="804">
        <v>145</v>
      </c>
      <c r="B169" s="805" t="s">
        <v>1348</v>
      </c>
      <c r="C169" s="673" t="s">
        <v>1351</v>
      </c>
      <c r="D169" s="674" t="s">
        <v>1352</v>
      </c>
      <c r="E169" s="673" t="s">
        <v>1350</v>
      </c>
      <c r="F169" s="679" t="s">
        <v>1349</v>
      </c>
      <c r="G169" s="691">
        <v>42795</v>
      </c>
      <c r="H169" s="680" t="s">
        <v>70</v>
      </c>
      <c r="I169" s="681">
        <v>941</v>
      </c>
      <c r="J169" s="806">
        <v>941</v>
      </c>
    </row>
    <row r="170" spans="1:10">
      <c r="A170" s="804"/>
      <c r="B170" s="805"/>
      <c r="C170" s="673"/>
      <c r="D170" s="674"/>
      <c r="E170" s="673"/>
      <c r="F170" s="679"/>
      <c r="G170" s="691"/>
      <c r="H170" s="680"/>
      <c r="I170" s="663"/>
      <c r="J170" s="806"/>
    </row>
    <row r="171" spans="1:10">
      <c r="A171" s="804"/>
      <c r="B171" s="805"/>
      <c r="C171" s="673"/>
      <c r="D171" s="678"/>
      <c r="E171" s="679"/>
      <c r="F171" s="673"/>
      <c r="G171" s="691"/>
      <c r="H171" s="680"/>
      <c r="I171" s="663"/>
      <c r="J171" s="806"/>
    </row>
    <row r="172" spans="1:10">
      <c r="A172" s="804">
        <v>75</v>
      </c>
      <c r="B172" s="805" t="s">
        <v>1799</v>
      </c>
      <c r="C172" s="669" t="s">
        <v>4584</v>
      </c>
      <c r="D172" s="657" t="s">
        <v>1369</v>
      </c>
      <c r="E172" s="671" t="s">
        <v>1368</v>
      </c>
      <c r="F172" s="665" t="s">
        <v>4585</v>
      </c>
      <c r="G172" s="683">
        <v>42948</v>
      </c>
      <c r="H172" s="672" t="s">
        <v>70</v>
      </c>
      <c r="I172" s="667">
        <v>129.9</v>
      </c>
      <c r="J172" s="806">
        <v>129.94999999999999</v>
      </c>
    </row>
    <row r="173" spans="1:10">
      <c r="A173" s="804"/>
      <c r="B173" s="805"/>
      <c r="C173" s="669" t="s">
        <v>4586</v>
      </c>
      <c r="D173" s="657" t="s">
        <v>1800</v>
      </c>
      <c r="E173" s="671" t="s">
        <v>4587</v>
      </c>
      <c r="F173" s="665" t="s">
        <v>4588</v>
      </c>
      <c r="G173" s="683">
        <v>42948</v>
      </c>
      <c r="H173" s="672" t="s">
        <v>70</v>
      </c>
      <c r="I173" s="667">
        <v>129.94999999999999</v>
      </c>
      <c r="J173" s="806"/>
    </row>
    <row r="174" spans="1:10">
      <c r="A174" s="804"/>
      <c r="B174" s="805"/>
      <c r="C174" s="669" t="s">
        <v>1190</v>
      </c>
      <c r="D174" s="657" t="s">
        <v>1191</v>
      </c>
      <c r="E174" s="671" t="s">
        <v>1189</v>
      </c>
      <c r="F174" s="665" t="s">
        <v>1801</v>
      </c>
      <c r="G174" s="683">
        <v>42948</v>
      </c>
      <c r="H174" s="672" t="s">
        <v>70</v>
      </c>
      <c r="I174" s="667">
        <v>142.38999999999999</v>
      </c>
      <c r="J174" s="806"/>
    </row>
    <row r="175" spans="1:10">
      <c r="A175" s="804">
        <v>162</v>
      </c>
      <c r="B175" s="805" t="s">
        <v>3378</v>
      </c>
      <c r="C175" s="669" t="s">
        <v>1195</v>
      </c>
      <c r="D175" s="670" t="s">
        <v>3379</v>
      </c>
      <c r="E175" s="671">
        <v>36533888</v>
      </c>
      <c r="F175" s="671" t="s">
        <v>1194</v>
      </c>
      <c r="G175" s="683">
        <v>42767</v>
      </c>
      <c r="H175" s="672" t="s">
        <v>70</v>
      </c>
      <c r="I175" s="667">
        <v>105</v>
      </c>
      <c r="J175" s="806">
        <v>180</v>
      </c>
    </row>
    <row r="176" spans="1:10">
      <c r="A176" s="804"/>
      <c r="B176" s="805"/>
      <c r="C176" s="669" t="s">
        <v>1197</v>
      </c>
      <c r="D176" s="670" t="s">
        <v>1198</v>
      </c>
      <c r="E176" s="671" t="s">
        <v>3380</v>
      </c>
      <c r="F176" s="671" t="s">
        <v>1196</v>
      </c>
      <c r="G176" s="683">
        <v>42767</v>
      </c>
      <c r="H176" s="672" t="s">
        <v>70</v>
      </c>
      <c r="I176" s="667">
        <v>200</v>
      </c>
      <c r="J176" s="806"/>
    </row>
    <row r="177" spans="1:10">
      <c r="A177" s="804"/>
      <c r="B177" s="805"/>
      <c r="C177" s="669" t="s">
        <v>3381</v>
      </c>
      <c r="D177" s="670" t="s">
        <v>1212</v>
      </c>
      <c r="E177" s="671" t="s">
        <v>1808</v>
      </c>
      <c r="F177" s="671" t="s">
        <v>1807</v>
      </c>
      <c r="G177" s="683">
        <v>42767</v>
      </c>
      <c r="H177" s="672" t="s">
        <v>70</v>
      </c>
      <c r="I177" s="667">
        <v>180</v>
      </c>
      <c r="J177" s="806"/>
    </row>
    <row r="178" spans="1:10">
      <c r="A178" s="804">
        <v>189</v>
      </c>
      <c r="B178" s="805" t="s">
        <v>1802</v>
      </c>
      <c r="C178" s="669" t="s">
        <v>1805</v>
      </c>
      <c r="D178" s="670" t="s">
        <v>1806</v>
      </c>
      <c r="E178" s="671" t="s">
        <v>1804</v>
      </c>
      <c r="F178" s="671" t="s">
        <v>1803</v>
      </c>
      <c r="G178" s="683">
        <v>42767</v>
      </c>
      <c r="H178" s="672" t="s">
        <v>70</v>
      </c>
      <c r="I178" s="667">
        <v>3600</v>
      </c>
      <c r="J178" s="806">
        <v>2250</v>
      </c>
    </row>
    <row r="179" spans="1:10">
      <c r="A179" s="804"/>
      <c r="B179" s="805"/>
      <c r="C179" s="700" t="s">
        <v>1809</v>
      </c>
      <c r="D179" s="697" t="s">
        <v>1810</v>
      </c>
      <c r="E179" s="700" t="s">
        <v>1808</v>
      </c>
      <c r="F179" s="700" t="s">
        <v>1807</v>
      </c>
      <c r="G179" s="664">
        <v>42767</v>
      </c>
      <c r="H179" s="698" t="s">
        <v>70</v>
      </c>
      <c r="I179" s="682">
        <v>2250</v>
      </c>
      <c r="J179" s="806"/>
    </row>
    <row r="180" spans="1:10">
      <c r="A180" s="804"/>
      <c r="B180" s="805"/>
      <c r="C180" s="700" t="s">
        <v>1813</v>
      </c>
      <c r="D180" s="697" t="s">
        <v>1814</v>
      </c>
      <c r="E180" s="696" t="s">
        <v>1812</v>
      </c>
      <c r="F180" s="696" t="s">
        <v>1811</v>
      </c>
      <c r="G180" s="664">
        <v>42767</v>
      </c>
      <c r="H180" s="698" t="s">
        <v>70</v>
      </c>
      <c r="I180" s="682">
        <v>1800</v>
      </c>
      <c r="J180" s="806"/>
    </row>
    <row r="181" spans="1:10">
      <c r="A181" s="804">
        <v>248</v>
      </c>
      <c r="B181" s="805" t="s">
        <v>2503</v>
      </c>
      <c r="C181" s="656" t="s">
        <v>2504</v>
      </c>
      <c r="D181" s="657" t="s">
        <v>2505</v>
      </c>
      <c r="E181" s="656">
        <v>92786775</v>
      </c>
      <c r="F181" s="656" t="s">
        <v>1529</v>
      </c>
      <c r="G181" s="666">
        <v>42767</v>
      </c>
      <c r="H181" s="665" t="s">
        <v>70</v>
      </c>
      <c r="I181" s="667">
        <v>1400</v>
      </c>
      <c r="J181" s="806">
        <v>1400</v>
      </c>
    </row>
    <row r="182" spans="1:10">
      <c r="A182" s="804"/>
      <c r="B182" s="805"/>
      <c r="C182" s="656" t="s">
        <v>2507</v>
      </c>
      <c r="D182" s="657" t="s">
        <v>1179</v>
      </c>
      <c r="E182" s="656">
        <v>36532049</v>
      </c>
      <c r="F182" s="656" t="s">
        <v>2506</v>
      </c>
      <c r="G182" s="666">
        <v>42767</v>
      </c>
      <c r="H182" s="665" t="s">
        <v>70</v>
      </c>
      <c r="I182" s="667">
        <v>450</v>
      </c>
      <c r="J182" s="806"/>
    </row>
    <row r="183" spans="1:10">
      <c r="A183" s="804"/>
      <c r="B183" s="805"/>
      <c r="C183" s="656" t="s">
        <v>2508</v>
      </c>
      <c r="D183" s="657" t="s">
        <v>2509</v>
      </c>
      <c r="E183" s="656">
        <v>84589142</v>
      </c>
      <c r="F183" s="656" t="s">
        <v>2028</v>
      </c>
      <c r="G183" s="666">
        <v>42767</v>
      </c>
      <c r="H183" s="665" t="s">
        <v>70</v>
      </c>
      <c r="I183" s="667">
        <v>1470</v>
      </c>
      <c r="J183" s="806"/>
    </row>
    <row r="184" spans="1:10">
      <c r="A184" s="804">
        <v>168</v>
      </c>
      <c r="B184" s="805" t="s">
        <v>2520</v>
      </c>
      <c r="C184" s="656" t="s">
        <v>1210</v>
      </c>
      <c r="D184" s="657" t="s">
        <v>1198</v>
      </c>
      <c r="E184" s="656">
        <v>33226142</v>
      </c>
      <c r="F184" s="656" t="s">
        <v>1209</v>
      </c>
      <c r="G184" s="666">
        <v>42795</v>
      </c>
      <c r="H184" s="665" t="s">
        <v>70</v>
      </c>
      <c r="I184" s="667">
        <v>4800</v>
      </c>
      <c r="J184" s="806">
        <v>3545</v>
      </c>
    </row>
    <row r="185" spans="1:10">
      <c r="A185" s="804"/>
      <c r="B185" s="805"/>
      <c r="C185" s="656" t="s">
        <v>2517</v>
      </c>
      <c r="D185" s="657" t="s">
        <v>2518</v>
      </c>
      <c r="E185" s="656" t="s">
        <v>2523</v>
      </c>
      <c r="F185" s="656" t="s">
        <v>2522</v>
      </c>
      <c r="G185" s="666">
        <v>42795</v>
      </c>
      <c r="H185" s="665" t="s">
        <v>70</v>
      </c>
      <c r="I185" s="667">
        <v>2290</v>
      </c>
      <c r="J185" s="806"/>
    </row>
    <row r="186" spans="1:10">
      <c r="A186" s="804"/>
      <c r="B186" s="805"/>
      <c r="C186" s="673"/>
      <c r="D186" s="674"/>
      <c r="E186" s="673"/>
      <c r="F186" s="673"/>
      <c r="G186" s="675"/>
      <c r="H186" s="676"/>
      <c r="I186" s="681"/>
      <c r="J186" s="806"/>
    </row>
    <row r="187" spans="1:10">
      <c r="A187" s="804">
        <v>252</v>
      </c>
      <c r="B187" s="805" t="s">
        <v>2575</v>
      </c>
      <c r="C187" s="656" t="s">
        <v>3382</v>
      </c>
      <c r="D187" s="657" t="s">
        <v>2577</v>
      </c>
      <c r="E187" s="656" t="s">
        <v>2576</v>
      </c>
      <c r="F187" s="656" t="s">
        <v>3383</v>
      </c>
      <c r="G187" s="675">
        <v>42675</v>
      </c>
      <c r="H187" s="665" t="s">
        <v>70</v>
      </c>
      <c r="I187" s="667">
        <v>2.5</v>
      </c>
      <c r="J187" s="806">
        <v>3</v>
      </c>
    </row>
    <row r="188" spans="1:10">
      <c r="A188" s="804"/>
      <c r="B188" s="805"/>
      <c r="C188" s="656" t="s">
        <v>3384</v>
      </c>
      <c r="D188" s="657" t="s">
        <v>2578</v>
      </c>
      <c r="E188" s="656"/>
      <c r="F188" s="656"/>
      <c r="G188" s="675">
        <v>42675</v>
      </c>
      <c r="H188" s="665" t="s">
        <v>70</v>
      </c>
      <c r="I188" s="667">
        <v>3</v>
      </c>
      <c r="J188" s="806"/>
    </row>
    <row r="189" spans="1:10">
      <c r="A189" s="804"/>
      <c r="B189" s="805"/>
      <c r="C189" s="656" t="s">
        <v>2580</v>
      </c>
      <c r="D189" s="657" t="s">
        <v>2581</v>
      </c>
      <c r="E189" s="656" t="s">
        <v>2579</v>
      </c>
      <c r="F189" s="656"/>
      <c r="G189" s="675">
        <v>42675</v>
      </c>
      <c r="H189" s="665" t="s">
        <v>70</v>
      </c>
      <c r="I189" s="667">
        <v>4</v>
      </c>
      <c r="J189" s="806"/>
    </row>
    <row r="190" spans="1:10">
      <c r="A190" s="804">
        <v>57</v>
      </c>
      <c r="B190" s="817" t="s">
        <v>1416</v>
      </c>
      <c r="C190" s="685" t="s">
        <v>1414</v>
      </c>
      <c r="D190" s="684" t="s">
        <v>1274</v>
      </c>
      <c r="E190" s="685">
        <v>33883800</v>
      </c>
      <c r="F190" s="685" t="s">
        <v>1413</v>
      </c>
      <c r="G190" s="668">
        <v>42795</v>
      </c>
      <c r="H190" s="694" t="s">
        <v>70</v>
      </c>
      <c r="I190" s="693">
        <v>70.58</v>
      </c>
      <c r="J190" s="806">
        <v>63.63</v>
      </c>
    </row>
    <row r="191" spans="1:10">
      <c r="A191" s="804"/>
      <c r="B191" s="817"/>
      <c r="C191" s="685" t="s">
        <v>1410</v>
      </c>
      <c r="D191" s="684" t="s">
        <v>1390</v>
      </c>
      <c r="E191" s="685">
        <v>36345253</v>
      </c>
      <c r="F191" s="685" t="s">
        <v>1409</v>
      </c>
      <c r="G191" s="668">
        <v>42795</v>
      </c>
      <c r="H191" s="694" t="s">
        <v>70</v>
      </c>
      <c r="I191" s="693">
        <v>63.63</v>
      </c>
      <c r="J191" s="806"/>
    </row>
    <row r="192" spans="1:10">
      <c r="A192" s="804"/>
      <c r="B192" s="817"/>
      <c r="C192" s="685" t="s">
        <v>1412</v>
      </c>
      <c r="D192" s="684" t="s">
        <v>1371</v>
      </c>
      <c r="E192" s="685">
        <v>33210009</v>
      </c>
      <c r="F192" s="685" t="s">
        <v>1411</v>
      </c>
      <c r="G192" s="668">
        <v>42856</v>
      </c>
      <c r="H192" s="694" t="s">
        <v>70</v>
      </c>
      <c r="I192" s="693">
        <v>33.21</v>
      </c>
      <c r="J192" s="806"/>
    </row>
    <row r="193" spans="1:10">
      <c r="A193" s="804">
        <v>79</v>
      </c>
      <c r="B193" s="808" t="s">
        <v>1423</v>
      </c>
      <c r="C193" s="685" t="s">
        <v>1410</v>
      </c>
      <c r="D193" s="684" t="s">
        <v>1390</v>
      </c>
      <c r="E193" s="685">
        <v>36345253</v>
      </c>
      <c r="F193" s="685" t="s">
        <v>1409</v>
      </c>
      <c r="G193" s="668">
        <v>42795</v>
      </c>
      <c r="H193" s="694" t="s">
        <v>70</v>
      </c>
      <c r="I193" s="693">
        <v>77.989999999999995</v>
      </c>
      <c r="J193" s="806">
        <v>121.71</v>
      </c>
    </row>
    <row r="194" spans="1:10">
      <c r="A194" s="804"/>
      <c r="B194" s="808"/>
      <c r="C194" s="685" t="s">
        <v>1412</v>
      </c>
      <c r="D194" s="684" t="s">
        <v>1371</v>
      </c>
      <c r="E194" s="685">
        <v>33210009</v>
      </c>
      <c r="F194" s="685" t="s">
        <v>1411</v>
      </c>
      <c r="G194" s="668">
        <v>42856</v>
      </c>
      <c r="H194" s="694" t="s">
        <v>70</v>
      </c>
      <c r="I194" s="693">
        <v>140.79</v>
      </c>
      <c r="J194" s="806"/>
    </row>
    <row r="195" spans="1:10">
      <c r="A195" s="804"/>
      <c r="B195" s="808"/>
      <c r="C195" s="685" t="s">
        <v>1414</v>
      </c>
      <c r="D195" s="684" t="s">
        <v>1274</v>
      </c>
      <c r="E195" s="685">
        <v>33883800</v>
      </c>
      <c r="F195" s="685" t="s">
        <v>1413</v>
      </c>
      <c r="G195" s="668">
        <v>42795</v>
      </c>
      <c r="H195" s="694" t="s">
        <v>70</v>
      </c>
      <c r="I195" s="693">
        <v>121.71</v>
      </c>
      <c r="J195" s="806"/>
    </row>
    <row r="196" spans="1:10">
      <c r="A196" s="804">
        <v>113</v>
      </c>
      <c r="B196" s="808" t="s">
        <v>1421</v>
      </c>
      <c r="C196" s="685" t="s">
        <v>1410</v>
      </c>
      <c r="D196" s="684" t="s">
        <v>1390</v>
      </c>
      <c r="E196" s="685">
        <v>36345253</v>
      </c>
      <c r="F196" s="685" t="s">
        <v>1409</v>
      </c>
      <c r="G196" s="668">
        <v>42795</v>
      </c>
      <c r="H196" s="694" t="s">
        <v>70</v>
      </c>
      <c r="I196" s="693">
        <v>414.33</v>
      </c>
      <c r="J196" s="806">
        <v>578.96</v>
      </c>
    </row>
    <row r="197" spans="1:10">
      <c r="A197" s="804"/>
      <c r="B197" s="808"/>
      <c r="C197" s="685" t="s">
        <v>1412</v>
      </c>
      <c r="D197" s="684" t="s">
        <v>1371</v>
      </c>
      <c r="E197" s="685">
        <v>33210009</v>
      </c>
      <c r="F197" s="685" t="s">
        <v>1411</v>
      </c>
      <c r="G197" s="668">
        <v>42856</v>
      </c>
      <c r="H197" s="694" t="s">
        <v>70</v>
      </c>
      <c r="I197" s="693">
        <v>578.96</v>
      </c>
      <c r="J197" s="806"/>
    </row>
    <row r="198" spans="1:10">
      <c r="A198" s="804"/>
      <c r="B198" s="808"/>
      <c r="C198" s="685" t="s">
        <v>1414</v>
      </c>
      <c r="D198" s="684" t="s">
        <v>1274</v>
      </c>
      <c r="E198" s="685">
        <v>33883800</v>
      </c>
      <c r="F198" s="685" t="s">
        <v>1413</v>
      </c>
      <c r="G198" s="668">
        <v>42795</v>
      </c>
      <c r="H198" s="694" t="s">
        <v>70</v>
      </c>
      <c r="I198" s="693">
        <v>770.67</v>
      </c>
      <c r="J198" s="806"/>
    </row>
    <row r="199" spans="1:10">
      <c r="A199" s="804">
        <v>187</v>
      </c>
      <c r="B199" s="808" t="s">
        <v>1403</v>
      </c>
      <c r="C199" s="671" t="s">
        <v>1405</v>
      </c>
      <c r="D199" s="670" t="s">
        <v>1371</v>
      </c>
      <c r="E199" s="671" t="s">
        <v>1370</v>
      </c>
      <c r="F199" s="671" t="s">
        <v>1404</v>
      </c>
      <c r="G199" s="668">
        <v>42856</v>
      </c>
      <c r="H199" s="672" t="s">
        <v>70</v>
      </c>
      <c r="I199" s="667">
        <v>11</v>
      </c>
      <c r="J199" s="806">
        <v>11</v>
      </c>
    </row>
    <row r="200" spans="1:10">
      <c r="A200" s="804"/>
      <c r="B200" s="808"/>
      <c r="C200" s="671" t="s">
        <v>1273</v>
      </c>
      <c r="D200" s="670" t="s">
        <v>1274</v>
      </c>
      <c r="E200" s="671" t="s">
        <v>1272</v>
      </c>
      <c r="F200" s="671" t="s">
        <v>1271</v>
      </c>
      <c r="G200" s="668">
        <v>42795</v>
      </c>
      <c r="H200" s="672" t="s">
        <v>70</v>
      </c>
      <c r="I200" s="667">
        <v>16.440000000000001</v>
      </c>
      <c r="J200" s="806"/>
    </row>
    <row r="201" spans="1:10">
      <c r="A201" s="804"/>
      <c r="B201" s="808"/>
      <c r="C201" s="671" t="s">
        <v>1389</v>
      </c>
      <c r="D201" s="670" t="s">
        <v>1397</v>
      </c>
      <c r="E201" s="671" t="s">
        <v>1396</v>
      </c>
      <c r="F201" s="671" t="s">
        <v>1176</v>
      </c>
      <c r="G201" s="668">
        <v>42795</v>
      </c>
      <c r="H201" s="672" t="s">
        <v>70</v>
      </c>
      <c r="I201" s="667">
        <v>6.75</v>
      </c>
      <c r="J201" s="806"/>
    </row>
    <row r="202" spans="1:10">
      <c r="A202" s="804">
        <v>188</v>
      </c>
      <c r="B202" s="808" t="s">
        <v>1408</v>
      </c>
      <c r="C202" s="685" t="s">
        <v>1410</v>
      </c>
      <c r="D202" s="684" t="s">
        <v>1390</v>
      </c>
      <c r="E202" s="685">
        <v>36345253</v>
      </c>
      <c r="F202" s="685" t="s">
        <v>1409</v>
      </c>
      <c r="G202" s="668">
        <v>42795</v>
      </c>
      <c r="H202" s="694" t="s">
        <v>70</v>
      </c>
      <c r="I202" s="693">
        <v>6.75</v>
      </c>
      <c r="J202" s="806">
        <v>14.87</v>
      </c>
    </row>
    <row r="203" spans="1:10">
      <c r="A203" s="804"/>
      <c r="B203" s="808"/>
      <c r="C203" s="685" t="s">
        <v>1412</v>
      </c>
      <c r="D203" s="684" t="s">
        <v>1371</v>
      </c>
      <c r="E203" s="685">
        <v>33210009</v>
      </c>
      <c r="F203" s="685" t="s">
        <v>1411</v>
      </c>
      <c r="G203" s="668">
        <v>42856</v>
      </c>
      <c r="H203" s="694" t="s">
        <v>70</v>
      </c>
      <c r="I203" s="693">
        <v>14.87</v>
      </c>
      <c r="J203" s="806"/>
    </row>
    <row r="204" spans="1:10">
      <c r="A204" s="804"/>
      <c r="B204" s="808"/>
      <c r="C204" s="685" t="s">
        <v>1414</v>
      </c>
      <c r="D204" s="684" t="s">
        <v>1274</v>
      </c>
      <c r="E204" s="685">
        <v>33883800</v>
      </c>
      <c r="F204" s="685" t="s">
        <v>1413</v>
      </c>
      <c r="G204" s="668">
        <v>42795</v>
      </c>
      <c r="H204" s="694" t="s">
        <v>70</v>
      </c>
      <c r="I204" s="693">
        <v>16.440000000000001</v>
      </c>
      <c r="J204" s="806"/>
    </row>
    <row r="205" spans="1:10">
      <c r="A205" s="804">
        <v>206</v>
      </c>
      <c r="B205" s="808" t="s">
        <v>1418</v>
      </c>
      <c r="C205" s="685" t="s">
        <v>1414</v>
      </c>
      <c r="D205" s="684" t="s">
        <v>1274</v>
      </c>
      <c r="E205" s="685">
        <v>33883800</v>
      </c>
      <c r="F205" s="685" t="s">
        <v>1413</v>
      </c>
      <c r="G205" s="668">
        <v>42795</v>
      </c>
      <c r="H205" s="694" t="s">
        <v>70</v>
      </c>
      <c r="I205" s="693">
        <v>16.920000000000002</v>
      </c>
      <c r="J205" s="806">
        <v>17.68</v>
      </c>
    </row>
    <row r="206" spans="1:10">
      <c r="A206" s="804"/>
      <c r="B206" s="808"/>
      <c r="C206" s="685" t="s">
        <v>1410</v>
      </c>
      <c r="D206" s="684" t="s">
        <v>1390</v>
      </c>
      <c r="E206" s="685">
        <v>36345253</v>
      </c>
      <c r="F206" s="685" t="s">
        <v>1409</v>
      </c>
      <c r="G206" s="668">
        <v>42795</v>
      </c>
      <c r="H206" s="694" t="s">
        <v>70</v>
      </c>
      <c r="I206" s="693">
        <v>20.13</v>
      </c>
      <c r="J206" s="806"/>
    </row>
    <row r="207" spans="1:10">
      <c r="A207" s="804"/>
      <c r="B207" s="808"/>
      <c r="C207" s="685" t="s">
        <v>1412</v>
      </c>
      <c r="D207" s="684" t="s">
        <v>1371</v>
      </c>
      <c r="E207" s="685">
        <v>33210009</v>
      </c>
      <c r="F207" s="685" t="s">
        <v>1411</v>
      </c>
      <c r="G207" s="668">
        <v>42856</v>
      </c>
      <c r="H207" s="694" t="s">
        <v>70</v>
      </c>
      <c r="I207" s="693">
        <v>17.68</v>
      </c>
      <c r="J207" s="806"/>
    </row>
    <row r="208" spans="1:10">
      <c r="A208" s="804">
        <v>244</v>
      </c>
      <c r="B208" s="808" t="s">
        <v>4589</v>
      </c>
      <c r="C208" s="685" t="s">
        <v>1414</v>
      </c>
      <c r="D208" s="684" t="s">
        <v>1274</v>
      </c>
      <c r="E208" s="685">
        <v>33883800</v>
      </c>
      <c r="F208" s="696" t="s">
        <v>1413</v>
      </c>
      <c r="G208" s="664">
        <v>42795</v>
      </c>
      <c r="H208" s="698" t="s">
        <v>70</v>
      </c>
      <c r="I208" s="682">
        <v>2.33</v>
      </c>
      <c r="J208" s="806">
        <v>1.92</v>
      </c>
    </row>
    <row r="209" spans="1:10">
      <c r="A209" s="804"/>
      <c r="B209" s="808"/>
      <c r="C209" s="696" t="s">
        <v>1412</v>
      </c>
      <c r="D209" s="697" t="s">
        <v>1371</v>
      </c>
      <c r="E209" s="696">
        <v>33210009</v>
      </c>
      <c r="F209" s="696" t="s">
        <v>1411</v>
      </c>
      <c r="G209" s="664">
        <v>42795</v>
      </c>
      <c r="H209" s="698" t="s">
        <v>70</v>
      </c>
      <c r="I209" s="682">
        <v>1.91</v>
      </c>
      <c r="J209" s="806"/>
    </row>
    <row r="210" spans="1:10">
      <c r="A210" s="804"/>
      <c r="B210" s="808"/>
      <c r="C210" s="669" t="s">
        <v>1363</v>
      </c>
      <c r="D210" s="684" t="s">
        <v>1364</v>
      </c>
      <c r="E210" s="685" t="s">
        <v>1388</v>
      </c>
      <c r="F210" s="685" t="s">
        <v>4590</v>
      </c>
      <c r="G210" s="664">
        <v>42856</v>
      </c>
      <c r="H210" s="672" t="s">
        <v>70</v>
      </c>
      <c r="I210" s="667">
        <v>1.92</v>
      </c>
      <c r="J210" s="806"/>
    </row>
    <row r="211" spans="1:10">
      <c r="A211" s="804">
        <v>246</v>
      </c>
      <c r="B211" s="808" t="s">
        <v>3385</v>
      </c>
      <c r="C211" s="696" t="s">
        <v>1410</v>
      </c>
      <c r="D211" s="697" t="s">
        <v>1390</v>
      </c>
      <c r="E211" s="696">
        <v>36341717</v>
      </c>
      <c r="F211" s="696" t="s">
        <v>3386</v>
      </c>
      <c r="G211" s="664">
        <v>42795</v>
      </c>
      <c r="H211" s="698" t="s">
        <v>70</v>
      </c>
      <c r="I211" s="682">
        <v>30.83</v>
      </c>
      <c r="J211" s="806">
        <v>41.21</v>
      </c>
    </row>
    <row r="212" spans="1:10">
      <c r="A212" s="804"/>
      <c r="B212" s="808"/>
      <c r="C212" s="696" t="s">
        <v>1412</v>
      </c>
      <c r="D212" s="697" t="s">
        <v>1371</v>
      </c>
      <c r="E212" s="696">
        <v>33210009</v>
      </c>
      <c r="F212" s="696" t="s">
        <v>1411</v>
      </c>
      <c r="G212" s="664">
        <v>42856</v>
      </c>
      <c r="H212" s="698" t="s">
        <v>70</v>
      </c>
      <c r="I212" s="682">
        <v>41.21</v>
      </c>
      <c r="J212" s="806"/>
    </row>
    <row r="213" spans="1:10" ht="24.75" thickBot="1">
      <c r="A213" s="804"/>
      <c r="B213" s="808"/>
      <c r="C213" s="669" t="s">
        <v>1361</v>
      </c>
      <c r="D213" s="670" t="s">
        <v>1270</v>
      </c>
      <c r="E213" s="671">
        <v>30279000</v>
      </c>
      <c r="F213" s="685" t="s">
        <v>1360</v>
      </c>
      <c r="G213" s="664">
        <v>42795</v>
      </c>
      <c r="H213" s="672" t="s">
        <v>70</v>
      </c>
      <c r="I213" s="667">
        <v>50</v>
      </c>
      <c r="J213" s="806"/>
    </row>
    <row r="214" spans="1:10">
      <c r="A214" s="812">
        <v>254</v>
      </c>
      <c r="B214" s="815" t="s">
        <v>2469</v>
      </c>
      <c r="C214" s="726" t="s">
        <v>4591</v>
      </c>
      <c r="D214" s="727" t="s">
        <v>1387</v>
      </c>
      <c r="E214" s="726"/>
      <c r="F214" s="726" t="s">
        <v>1360</v>
      </c>
      <c r="G214" s="728">
        <v>42895</v>
      </c>
      <c r="H214" s="729" t="s">
        <v>101</v>
      </c>
      <c r="I214" s="730">
        <v>18.63</v>
      </c>
      <c r="J214" s="809">
        <v>19.100000000000001</v>
      </c>
    </row>
    <row r="215" spans="1:10">
      <c r="A215" s="813"/>
      <c r="B215" s="808"/>
      <c r="C215" s="656" t="s">
        <v>4592</v>
      </c>
      <c r="D215" s="657" t="s">
        <v>1364</v>
      </c>
      <c r="E215" s="656" t="s">
        <v>1388</v>
      </c>
      <c r="F215" s="656" t="s">
        <v>1811</v>
      </c>
      <c r="G215" s="666">
        <v>42895</v>
      </c>
      <c r="H215" s="665" t="s">
        <v>101</v>
      </c>
      <c r="I215" s="655">
        <v>23.62</v>
      </c>
      <c r="J215" s="810"/>
    </row>
    <row r="216" spans="1:10" ht="15.75" thickBot="1">
      <c r="A216" s="814"/>
      <c r="B216" s="816"/>
      <c r="C216" s="731" t="s">
        <v>4559</v>
      </c>
      <c r="D216" s="732" t="s">
        <v>4560</v>
      </c>
      <c r="E216" s="731" t="s">
        <v>4561</v>
      </c>
      <c r="F216" s="731" t="s">
        <v>4562</v>
      </c>
      <c r="G216" s="733">
        <v>42895</v>
      </c>
      <c r="H216" s="734" t="s">
        <v>101</v>
      </c>
      <c r="I216" s="735">
        <v>19.100000000000001</v>
      </c>
      <c r="J216" s="811"/>
    </row>
    <row r="217" spans="1:10">
      <c r="A217" s="812">
        <v>255</v>
      </c>
      <c r="B217" s="815" t="s">
        <v>2471</v>
      </c>
      <c r="C217" s="726" t="s">
        <v>4591</v>
      </c>
      <c r="D217" s="727" t="s">
        <v>1387</v>
      </c>
      <c r="E217" s="726"/>
      <c r="F217" s="726" t="s">
        <v>1360</v>
      </c>
      <c r="G217" s="728">
        <v>42895</v>
      </c>
      <c r="H217" s="729" t="s">
        <v>101</v>
      </c>
      <c r="I217" s="730">
        <v>50.48</v>
      </c>
      <c r="J217" s="809">
        <v>51.28</v>
      </c>
    </row>
    <row r="218" spans="1:10">
      <c r="A218" s="813"/>
      <c r="B218" s="808"/>
      <c r="C218" s="656" t="s">
        <v>4592</v>
      </c>
      <c r="D218" s="657" t="s">
        <v>1364</v>
      </c>
      <c r="E218" s="656" t="s">
        <v>1388</v>
      </c>
      <c r="F218" s="656" t="s">
        <v>1811</v>
      </c>
      <c r="G218" s="666">
        <v>42895</v>
      </c>
      <c r="H218" s="665" t="s">
        <v>101</v>
      </c>
      <c r="I218" s="655">
        <v>61.51</v>
      </c>
      <c r="J218" s="810"/>
    </row>
    <row r="219" spans="1:10" ht="15.75" thickBot="1">
      <c r="A219" s="814"/>
      <c r="B219" s="816"/>
      <c r="C219" s="731" t="s">
        <v>4559</v>
      </c>
      <c r="D219" s="732" t="s">
        <v>4560</v>
      </c>
      <c r="E219" s="731" t="s">
        <v>4561</v>
      </c>
      <c r="F219" s="731" t="s">
        <v>4562</v>
      </c>
      <c r="G219" s="733">
        <v>42895</v>
      </c>
      <c r="H219" s="734" t="s">
        <v>101</v>
      </c>
      <c r="I219" s="735">
        <v>51.28</v>
      </c>
      <c r="J219" s="811"/>
    </row>
    <row r="220" spans="1:10">
      <c r="A220" s="804">
        <v>256</v>
      </c>
      <c r="B220" s="808" t="s">
        <v>2475</v>
      </c>
      <c r="C220" s="685" t="s">
        <v>1410</v>
      </c>
      <c r="D220" s="684" t="s">
        <v>1390</v>
      </c>
      <c r="E220" s="685">
        <v>36345253</v>
      </c>
      <c r="F220" s="685" t="s">
        <v>1409</v>
      </c>
      <c r="G220" s="668">
        <v>42795</v>
      </c>
      <c r="H220" s="694" t="s">
        <v>76</v>
      </c>
      <c r="I220" s="693">
        <v>3.78</v>
      </c>
      <c r="J220" s="806">
        <v>2.68</v>
      </c>
    </row>
    <row r="221" spans="1:10">
      <c r="A221" s="804"/>
      <c r="B221" s="808"/>
      <c r="C221" s="685" t="s">
        <v>1412</v>
      </c>
      <c r="D221" s="684" t="s">
        <v>1371</v>
      </c>
      <c r="E221" s="685">
        <v>33210009</v>
      </c>
      <c r="F221" s="685" t="s">
        <v>1411</v>
      </c>
      <c r="G221" s="668">
        <v>42856</v>
      </c>
      <c r="H221" s="694" t="s">
        <v>76</v>
      </c>
      <c r="I221" s="693">
        <v>2.4500000000000002</v>
      </c>
      <c r="J221" s="806"/>
    </row>
    <row r="222" spans="1:10">
      <c r="A222" s="804"/>
      <c r="B222" s="808"/>
      <c r="C222" s="685" t="s">
        <v>1414</v>
      </c>
      <c r="D222" s="684" t="s">
        <v>1274</v>
      </c>
      <c r="E222" s="685">
        <v>33883800</v>
      </c>
      <c r="F222" s="685" t="s">
        <v>1413</v>
      </c>
      <c r="G222" s="668">
        <v>42795</v>
      </c>
      <c r="H222" s="694" t="s">
        <v>76</v>
      </c>
      <c r="I222" s="693">
        <v>2.68</v>
      </c>
      <c r="J222" s="806"/>
    </row>
    <row r="223" spans="1:10">
      <c r="A223" s="804">
        <v>257</v>
      </c>
      <c r="B223" s="808" t="s">
        <v>4593</v>
      </c>
      <c r="C223" s="685" t="s">
        <v>1410</v>
      </c>
      <c r="D223" s="684" t="s">
        <v>1390</v>
      </c>
      <c r="E223" s="685">
        <v>36345253</v>
      </c>
      <c r="F223" s="685" t="s">
        <v>1409</v>
      </c>
      <c r="G223" s="668">
        <v>42795</v>
      </c>
      <c r="H223" s="694" t="s">
        <v>70</v>
      </c>
      <c r="I223" s="693">
        <v>175.68</v>
      </c>
      <c r="J223" s="806">
        <v>210.87</v>
      </c>
    </row>
    <row r="224" spans="1:10">
      <c r="A224" s="804"/>
      <c r="B224" s="808"/>
      <c r="C224" s="685" t="s">
        <v>1412</v>
      </c>
      <c r="D224" s="684" t="s">
        <v>1371</v>
      </c>
      <c r="E224" s="685">
        <v>33210009</v>
      </c>
      <c r="F224" s="685" t="s">
        <v>1411</v>
      </c>
      <c r="G224" s="668">
        <v>42795</v>
      </c>
      <c r="H224" s="694" t="s">
        <v>70</v>
      </c>
      <c r="I224" s="693">
        <v>230.11</v>
      </c>
      <c r="J224" s="806"/>
    </row>
    <row r="225" spans="1:10">
      <c r="A225" s="804"/>
      <c r="B225" s="808"/>
      <c r="C225" s="685" t="s">
        <v>4594</v>
      </c>
      <c r="D225" s="684" t="s">
        <v>4595</v>
      </c>
      <c r="E225" s="685" t="s">
        <v>4596</v>
      </c>
      <c r="F225" s="685" t="s">
        <v>4597</v>
      </c>
      <c r="G225" s="668">
        <v>42795</v>
      </c>
      <c r="H225" s="694" t="s">
        <v>70</v>
      </c>
      <c r="I225" s="693">
        <v>210.87</v>
      </c>
      <c r="J225" s="806"/>
    </row>
    <row r="226" spans="1:10">
      <c r="A226" s="804">
        <v>270</v>
      </c>
      <c r="B226" s="808" t="s">
        <v>4598</v>
      </c>
      <c r="C226" s="685" t="s">
        <v>1410</v>
      </c>
      <c r="D226" s="684" t="s">
        <v>1390</v>
      </c>
      <c r="E226" s="685">
        <v>36345253</v>
      </c>
      <c r="F226" s="685" t="s">
        <v>1409</v>
      </c>
      <c r="G226" s="668">
        <v>42795</v>
      </c>
      <c r="H226" s="694" t="s">
        <v>76</v>
      </c>
      <c r="I226" s="693">
        <v>121.05</v>
      </c>
      <c r="J226" s="806">
        <v>271.32</v>
      </c>
    </row>
    <row r="227" spans="1:10">
      <c r="A227" s="804"/>
      <c r="B227" s="808"/>
      <c r="C227" s="685" t="s">
        <v>1412</v>
      </c>
      <c r="D227" s="684" t="s">
        <v>1371</v>
      </c>
      <c r="E227" s="685">
        <v>33210009</v>
      </c>
      <c r="F227" s="685" t="s">
        <v>1411</v>
      </c>
      <c r="G227" s="668">
        <v>42856</v>
      </c>
      <c r="H227" s="694" t="s">
        <v>76</v>
      </c>
      <c r="I227" s="693">
        <v>280.5</v>
      </c>
      <c r="J227" s="806"/>
    </row>
    <row r="228" spans="1:10">
      <c r="A228" s="804"/>
      <c r="B228" s="808"/>
      <c r="C228" s="685" t="s">
        <v>1414</v>
      </c>
      <c r="D228" s="684" t="s">
        <v>1274</v>
      </c>
      <c r="E228" s="685">
        <v>33883800</v>
      </c>
      <c r="F228" s="685" t="s">
        <v>1413</v>
      </c>
      <c r="G228" s="668">
        <v>42795</v>
      </c>
      <c r="H228" s="694" t="s">
        <v>76</v>
      </c>
      <c r="I228" s="693">
        <v>271.32</v>
      </c>
      <c r="J228" s="806"/>
    </row>
    <row r="229" spans="1:10">
      <c r="A229" s="804">
        <v>284</v>
      </c>
      <c r="B229" s="808" t="s">
        <v>3139</v>
      </c>
      <c r="C229" s="736" t="s">
        <v>3337</v>
      </c>
      <c r="D229" s="678"/>
      <c r="E229" s="679" t="s">
        <v>4599</v>
      </c>
      <c r="F229" s="679" t="s">
        <v>3332</v>
      </c>
      <c r="G229" s="658">
        <v>42887</v>
      </c>
      <c r="H229" s="676" t="s">
        <v>70</v>
      </c>
      <c r="I229" s="663">
        <v>280</v>
      </c>
      <c r="J229" s="806">
        <v>280</v>
      </c>
    </row>
    <row r="230" spans="1:10">
      <c r="A230" s="804"/>
      <c r="B230" s="808"/>
      <c r="C230" s="736" t="s">
        <v>2462</v>
      </c>
      <c r="D230" s="678" t="s">
        <v>1255</v>
      </c>
      <c r="E230" s="679" t="s">
        <v>1253</v>
      </c>
      <c r="F230" s="679"/>
      <c r="G230" s="658">
        <v>42826</v>
      </c>
      <c r="H230" s="676" t="s">
        <v>70</v>
      </c>
      <c r="I230" s="663">
        <v>960</v>
      </c>
      <c r="J230" s="806"/>
    </row>
    <row r="231" spans="1:10">
      <c r="A231" s="804"/>
      <c r="B231" s="808"/>
      <c r="C231" s="736" t="s">
        <v>2507</v>
      </c>
      <c r="D231" s="678" t="s">
        <v>1179</v>
      </c>
      <c r="E231" s="679" t="s">
        <v>4600</v>
      </c>
      <c r="F231" s="679" t="s">
        <v>1177</v>
      </c>
      <c r="G231" s="658">
        <v>42736</v>
      </c>
      <c r="H231" s="676" t="s">
        <v>70</v>
      </c>
      <c r="I231" s="663">
        <v>150</v>
      </c>
      <c r="J231" s="806"/>
    </row>
    <row r="232" spans="1:10">
      <c r="A232" s="804">
        <v>285</v>
      </c>
      <c r="B232" s="808" t="s">
        <v>3204</v>
      </c>
      <c r="C232" s="736" t="s">
        <v>1536</v>
      </c>
      <c r="D232" s="678" t="s">
        <v>1274</v>
      </c>
      <c r="E232" s="679" t="s">
        <v>1272</v>
      </c>
      <c r="F232" s="679" t="s">
        <v>1535</v>
      </c>
      <c r="G232" s="658">
        <v>42795</v>
      </c>
      <c r="H232" s="676" t="s">
        <v>70</v>
      </c>
      <c r="I232" s="663">
        <v>35.82</v>
      </c>
      <c r="J232" s="806">
        <v>35.82</v>
      </c>
    </row>
    <row r="233" spans="1:10">
      <c r="A233" s="804"/>
      <c r="B233" s="808"/>
      <c r="C233" s="736" t="s">
        <v>1528</v>
      </c>
      <c r="D233" s="678" t="s">
        <v>1390</v>
      </c>
      <c r="E233" s="679" t="s">
        <v>1396</v>
      </c>
      <c r="F233" s="679" t="s">
        <v>1527</v>
      </c>
      <c r="G233" s="658">
        <v>42795</v>
      </c>
      <c r="H233" s="676" t="s">
        <v>70</v>
      </c>
      <c r="I233" s="663">
        <v>30.86</v>
      </c>
      <c r="J233" s="806"/>
    </row>
    <row r="234" spans="1:10">
      <c r="A234" s="804"/>
      <c r="B234" s="808"/>
      <c r="C234" s="736" t="s">
        <v>1530</v>
      </c>
      <c r="D234" s="737" t="s">
        <v>1371</v>
      </c>
      <c r="E234" s="679">
        <v>36342266</v>
      </c>
      <c r="F234" s="679" t="s">
        <v>1529</v>
      </c>
      <c r="G234" s="658">
        <v>42795</v>
      </c>
      <c r="H234" s="676" t="s">
        <v>70</v>
      </c>
      <c r="I234" s="663">
        <v>41.65</v>
      </c>
      <c r="J234" s="806"/>
    </row>
    <row r="235" spans="1:10">
      <c r="A235" s="804">
        <v>286</v>
      </c>
      <c r="B235" s="808" t="s">
        <v>4601</v>
      </c>
      <c r="C235" s="736" t="s">
        <v>1395</v>
      </c>
      <c r="D235" s="678" t="s">
        <v>1371</v>
      </c>
      <c r="E235" s="679" t="s">
        <v>1370</v>
      </c>
      <c r="F235" s="679" t="s">
        <v>1404</v>
      </c>
      <c r="G235" s="658">
        <v>42759</v>
      </c>
      <c r="H235" s="676" t="s">
        <v>70</v>
      </c>
      <c r="I235" s="663">
        <v>340.05</v>
      </c>
      <c r="J235" s="806">
        <v>323.19</v>
      </c>
    </row>
    <row r="236" spans="1:10" ht="24">
      <c r="A236" s="804"/>
      <c r="B236" s="808"/>
      <c r="C236" s="736" t="s">
        <v>1361</v>
      </c>
      <c r="D236" s="678" t="s">
        <v>1387</v>
      </c>
      <c r="E236" s="679" t="s">
        <v>1385</v>
      </c>
      <c r="F236" s="679" t="s">
        <v>1384</v>
      </c>
      <c r="G236" s="658">
        <v>42759</v>
      </c>
      <c r="H236" s="676" t="s">
        <v>70</v>
      </c>
      <c r="I236" s="663">
        <v>318.95999999999998</v>
      </c>
      <c r="J236" s="806"/>
    </row>
    <row r="237" spans="1:10">
      <c r="A237" s="804"/>
      <c r="B237" s="808"/>
      <c r="C237" s="736" t="s">
        <v>1419</v>
      </c>
      <c r="D237" s="737" t="s">
        <v>4602</v>
      </c>
      <c r="E237" s="679" t="s">
        <v>4603</v>
      </c>
      <c r="F237" s="679" t="s">
        <v>4604</v>
      </c>
      <c r="G237" s="658">
        <v>42759</v>
      </c>
      <c r="H237" s="676" t="s">
        <v>70</v>
      </c>
      <c r="I237" s="663">
        <v>323.19</v>
      </c>
      <c r="J237" s="806"/>
    </row>
    <row r="238" spans="1:10">
      <c r="A238" s="804">
        <v>233</v>
      </c>
      <c r="B238" s="805" t="s">
        <v>3353</v>
      </c>
      <c r="C238" s="669" t="s">
        <v>1395</v>
      </c>
      <c r="D238" s="657" t="s">
        <v>1371</v>
      </c>
      <c r="E238" s="671" t="s">
        <v>1370</v>
      </c>
      <c r="F238" s="671" t="s">
        <v>1394</v>
      </c>
      <c r="G238" s="683">
        <v>42758</v>
      </c>
      <c r="H238" s="672" t="s">
        <v>70</v>
      </c>
      <c r="I238" s="667">
        <v>13.29</v>
      </c>
      <c r="J238" s="806">
        <f>MEDIAN(I238:I240)</f>
        <v>13.29</v>
      </c>
    </row>
    <row r="239" spans="1:10">
      <c r="A239" s="804"/>
      <c r="B239" s="805"/>
      <c r="C239" s="656" t="s">
        <v>1389</v>
      </c>
      <c r="D239" s="657" t="s">
        <v>1397</v>
      </c>
      <c r="E239" s="656" t="s">
        <v>1396</v>
      </c>
      <c r="F239" s="671" t="s">
        <v>1349</v>
      </c>
      <c r="G239" s="683">
        <v>42758</v>
      </c>
      <c r="H239" s="672" t="s">
        <v>70</v>
      </c>
      <c r="I239" s="667">
        <v>11.36</v>
      </c>
      <c r="J239" s="806"/>
    </row>
    <row r="240" spans="1:10">
      <c r="A240" s="804"/>
      <c r="B240" s="805"/>
      <c r="C240" s="656" t="s">
        <v>1269</v>
      </c>
      <c r="D240" s="657" t="s">
        <v>1270</v>
      </c>
      <c r="E240" s="656" t="s">
        <v>1268</v>
      </c>
      <c r="F240" s="685" t="s">
        <v>1267</v>
      </c>
      <c r="G240" s="683">
        <v>42758</v>
      </c>
      <c r="H240" s="672" t="s">
        <v>70</v>
      </c>
      <c r="I240" s="667">
        <v>19.059999999999999</v>
      </c>
      <c r="J240" s="806"/>
    </row>
    <row r="241" spans="1:10">
      <c r="A241" s="804">
        <v>234</v>
      </c>
      <c r="B241" s="805" t="s">
        <v>3354</v>
      </c>
      <c r="C241" s="669" t="s">
        <v>1395</v>
      </c>
      <c r="D241" s="657" t="s">
        <v>1371</v>
      </c>
      <c r="E241" s="671" t="s">
        <v>1370</v>
      </c>
      <c r="F241" s="671" t="s">
        <v>1394</v>
      </c>
      <c r="G241" s="683">
        <v>42758</v>
      </c>
      <c r="H241" s="672" t="s">
        <v>70</v>
      </c>
      <c r="I241" s="667">
        <v>27.33</v>
      </c>
      <c r="J241" s="806">
        <f>MEDIAN(I241:I243)</f>
        <v>27.33</v>
      </c>
    </row>
    <row r="242" spans="1:10">
      <c r="A242" s="804"/>
      <c r="B242" s="805"/>
      <c r="C242" s="656" t="s">
        <v>1389</v>
      </c>
      <c r="D242" s="657" t="s">
        <v>1397</v>
      </c>
      <c r="E242" s="656" t="s">
        <v>1396</v>
      </c>
      <c r="F242" s="671" t="s">
        <v>1349</v>
      </c>
      <c r="G242" s="683">
        <v>42758</v>
      </c>
      <c r="H242" s="672" t="s">
        <v>70</v>
      </c>
      <c r="I242" s="667">
        <v>21.03</v>
      </c>
      <c r="J242" s="806"/>
    </row>
    <row r="243" spans="1:10">
      <c r="A243" s="804"/>
      <c r="B243" s="805"/>
      <c r="C243" s="656" t="s">
        <v>1269</v>
      </c>
      <c r="D243" s="657" t="s">
        <v>1270</v>
      </c>
      <c r="E243" s="656" t="s">
        <v>1268</v>
      </c>
      <c r="F243" s="685" t="s">
        <v>1267</v>
      </c>
      <c r="G243" s="683">
        <v>42758</v>
      </c>
      <c r="H243" s="672" t="s">
        <v>70</v>
      </c>
      <c r="I243" s="667">
        <v>31.55</v>
      </c>
      <c r="J243" s="806"/>
    </row>
    <row r="244" spans="1:10" ht="24">
      <c r="A244" s="804">
        <v>463</v>
      </c>
      <c r="B244" s="805" t="s">
        <v>1367</v>
      </c>
      <c r="C244" s="669" t="s">
        <v>1361</v>
      </c>
      <c r="D244" s="670" t="s">
        <v>1270</v>
      </c>
      <c r="E244" s="671" t="s">
        <v>1385</v>
      </c>
      <c r="F244" s="671" t="s">
        <v>1360</v>
      </c>
      <c r="G244" s="691">
        <v>42856</v>
      </c>
      <c r="H244" s="672" t="s">
        <v>70</v>
      </c>
      <c r="I244" s="667">
        <v>50.48</v>
      </c>
      <c r="J244" s="806">
        <f>MEDIAN(I244:I246)</f>
        <v>50.48</v>
      </c>
    </row>
    <row r="245" spans="1:10">
      <c r="A245" s="804"/>
      <c r="B245" s="805"/>
      <c r="C245" s="669" t="s">
        <v>1363</v>
      </c>
      <c r="D245" s="684" t="s">
        <v>1364</v>
      </c>
      <c r="E245" s="685" t="s">
        <v>1388</v>
      </c>
      <c r="F245" s="685" t="s">
        <v>1362</v>
      </c>
      <c r="G245" s="691">
        <v>42856</v>
      </c>
      <c r="H245" s="672" t="s">
        <v>70</v>
      </c>
      <c r="I245" s="667">
        <v>61.51</v>
      </c>
      <c r="J245" s="806"/>
    </row>
    <row r="246" spans="1:10">
      <c r="A246" s="804"/>
      <c r="B246" s="805"/>
      <c r="C246" s="669" t="s">
        <v>4605</v>
      </c>
      <c r="D246" s="670" t="s">
        <v>4560</v>
      </c>
      <c r="E246" s="671" t="s">
        <v>4561</v>
      </c>
      <c r="F246" s="671" t="s">
        <v>4562</v>
      </c>
      <c r="G246" s="691">
        <v>42856</v>
      </c>
      <c r="H246" s="672" t="s">
        <v>70</v>
      </c>
      <c r="I246" s="667">
        <v>48.93</v>
      </c>
      <c r="J246" s="806"/>
    </row>
  </sheetData>
  <mergeCells count="244">
    <mergeCell ref="A1:J1"/>
    <mergeCell ref="A3:A5"/>
    <mergeCell ref="B3:B5"/>
    <mergeCell ref="J3:J5"/>
    <mergeCell ref="A33:A35"/>
    <mergeCell ref="B33:B35"/>
    <mergeCell ref="J33:J35"/>
    <mergeCell ref="A36:A38"/>
    <mergeCell ref="A15:A17"/>
    <mergeCell ref="B15:B17"/>
    <mergeCell ref="J15:J17"/>
    <mergeCell ref="A18:A20"/>
    <mergeCell ref="B18:B20"/>
    <mergeCell ref="J18:J20"/>
    <mergeCell ref="A21:A23"/>
    <mergeCell ref="B21:B23"/>
    <mergeCell ref="J21:J23"/>
    <mergeCell ref="A27:A29"/>
    <mergeCell ref="B27:B29"/>
    <mergeCell ref="J27:J29"/>
    <mergeCell ref="A24:A26"/>
    <mergeCell ref="B24:B26"/>
    <mergeCell ref="J24:J26"/>
    <mergeCell ref="A30:A32"/>
    <mergeCell ref="B30:B32"/>
    <mergeCell ref="J30:J32"/>
    <mergeCell ref="A66:A68"/>
    <mergeCell ref="B66:B68"/>
    <mergeCell ref="J66:J68"/>
    <mergeCell ref="A51:A53"/>
    <mergeCell ref="B51:B53"/>
    <mergeCell ref="J51:J53"/>
    <mergeCell ref="A54:A56"/>
    <mergeCell ref="B54:B56"/>
    <mergeCell ref="J54:J56"/>
    <mergeCell ref="A63:A65"/>
    <mergeCell ref="B63:B65"/>
    <mergeCell ref="J63:J65"/>
    <mergeCell ref="A57:A59"/>
    <mergeCell ref="B57:B59"/>
    <mergeCell ref="J57:J59"/>
    <mergeCell ref="A60:A62"/>
    <mergeCell ref="B60:B62"/>
    <mergeCell ref="J60:J62"/>
    <mergeCell ref="B36:B38"/>
    <mergeCell ref="J36:J38"/>
    <mergeCell ref="A42:A44"/>
    <mergeCell ref="B42:B44"/>
    <mergeCell ref="A75:A77"/>
    <mergeCell ref="B75:B77"/>
    <mergeCell ref="J75:J77"/>
    <mergeCell ref="A79:A81"/>
    <mergeCell ref="B79:B81"/>
    <mergeCell ref="J79:J81"/>
    <mergeCell ref="A69:A71"/>
    <mergeCell ref="B69:B71"/>
    <mergeCell ref="J69:J71"/>
    <mergeCell ref="A72:A74"/>
    <mergeCell ref="B72:B74"/>
    <mergeCell ref="J72:J74"/>
    <mergeCell ref="A115:A117"/>
    <mergeCell ref="B115:B117"/>
    <mergeCell ref="A100:A102"/>
    <mergeCell ref="B100:B102"/>
    <mergeCell ref="J100:J102"/>
    <mergeCell ref="A97:A99"/>
    <mergeCell ref="B97:B99"/>
    <mergeCell ref="J97:J99"/>
    <mergeCell ref="A103:A105"/>
    <mergeCell ref="B103:B105"/>
    <mergeCell ref="J103:J105"/>
    <mergeCell ref="A112:A114"/>
    <mergeCell ref="B112:B114"/>
    <mergeCell ref="J112:J114"/>
    <mergeCell ref="A106:A108"/>
    <mergeCell ref="B106:B108"/>
    <mergeCell ref="J106:J108"/>
    <mergeCell ref="A109:A111"/>
    <mergeCell ref="B109:B111"/>
    <mergeCell ref="J109:J111"/>
    <mergeCell ref="A148:A150"/>
    <mergeCell ref="B148:B150"/>
    <mergeCell ref="J148:J150"/>
    <mergeCell ref="A136:A138"/>
    <mergeCell ref="B136:B138"/>
    <mergeCell ref="J136:J138"/>
    <mergeCell ref="A124:A126"/>
    <mergeCell ref="B124:B126"/>
    <mergeCell ref="J124:J126"/>
    <mergeCell ref="A130:A132"/>
    <mergeCell ref="B130:B132"/>
    <mergeCell ref="J130:J132"/>
    <mergeCell ref="A133:A135"/>
    <mergeCell ref="B133:B135"/>
    <mergeCell ref="J133:J135"/>
    <mergeCell ref="A139:A141"/>
    <mergeCell ref="B139:B141"/>
    <mergeCell ref="J139:J141"/>
    <mergeCell ref="A142:A144"/>
    <mergeCell ref="B142:B144"/>
    <mergeCell ref="J142:J144"/>
    <mergeCell ref="A145:A147"/>
    <mergeCell ref="B145:B147"/>
    <mergeCell ref="J145:J147"/>
    <mergeCell ref="A151:A153"/>
    <mergeCell ref="B151:B153"/>
    <mergeCell ref="J151:J153"/>
    <mergeCell ref="A154:A156"/>
    <mergeCell ref="B154:B156"/>
    <mergeCell ref="J154:J156"/>
    <mergeCell ref="A157:A159"/>
    <mergeCell ref="B157:B159"/>
    <mergeCell ref="J157:J159"/>
    <mergeCell ref="J160:J162"/>
    <mergeCell ref="A163:A165"/>
    <mergeCell ref="B163:B165"/>
    <mergeCell ref="J163:J165"/>
    <mergeCell ref="A166:A168"/>
    <mergeCell ref="B166:B168"/>
    <mergeCell ref="J166:J168"/>
    <mergeCell ref="A169:A171"/>
    <mergeCell ref="A160:A162"/>
    <mergeCell ref="B160:B162"/>
    <mergeCell ref="A202:A204"/>
    <mergeCell ref="B202:B204"/>
    <mergeCell ref="J202:J204"/>
    <mergeCell ref="A184:A186"/>
    <mergeCell ref="B184:B186"/>
    <mergeCell ref="J184:J186"/>
    <mergeCell ref="B169:B171"/>
    <mergeCell ref="J169:J171"/>
    <mergeCell ref="A172:A174"/>
    <mergeCell ref="B172:B174"/>
    <mergeCell ref="J172:J174"/>
    <mergeCell ref="A175:A177"/>
    <mergeCell ref="B175:B177"/>
    <mergeCell ref="J175:J177"/>
    <mergeCell ref="A178:A180"/>
    <mergeCell ref="B178:B180"/>
    <mergeCell ref="J178:J180"/>
    <mergeCell ref="A196:A198"/>
    <mergeCell ref="B196:B198"/>
    <mergeCell ref="A181:A183"/>
    <mergeCell ref="B181:B183"/>
    <mergeCell ref="J181:J183"/>
    <mergeCell ref="J196:J198"/>
    <mergeCell ref="A199:A201"/>
    <mergeCell ref="B199:B201"/>
    <mergeCell ref="J199:J201"/>
    <mergeCell ref="A187:A189"/>
    <mergeCell ref="B187:B189"/>
    <mergeCell ref="J187:J189"/>
    <mergeCell ref="A190:A192"/>
    <mergeCell ref="B190:B192"/>
    <mergeCell ref="J190:J192"/>
    <mergeCell ref="A193:A195"/>
    <mergeCell ref="B193:B195"/>
    <mergeCell ref="J193:J195"/>
    <mergeCell ref="A211:A213"/>
    <mergeCell ref="B211:B213"/>
    <mergeCell ref="J211:J213"/>
    <mergeCell ref="A214:A216"/>
    <mergeCell ref="B214:B216"/>
    <mergeCell ref="J214:J216"/>
    <mergeCell ref="A217:A219"/>
    <mergeCell ref="B217:B219"/>
    <mergeCell ref="B205:B207"/>
    <mergeCell ref="J205:J207"/>
    <mergeCell ref="A208:A210"/>
    <mergeCell ref="B208:B210"/>
    <mergeCell ref="J208:J210"/>
    <mergeCell ref="A205:A207"/>
    <mergeCell ref="J241:J243"/>
    <mergeCell ref="B226:B228"/>
    <mergeCell ref="J226:J228"/>
    <mergeCell ref="J217:J219"/>
    <mergeCell ref="A220:A222"/>
    <mergeCell ref="B220:B222"/>
    <mergeCell ref="J220:J222"/>
    <mergeCell ref="A223:A225"/>
    <mergeCell ref="B223:B225"/>
    <mergeCell ref="J223:J225"/>
    <mergeCell ref="A226:A228"/>
    <mergeCell ref="A229:A231"/>
    <mergeCell ref="B229:B231"/>
    <mergeCell ref="J229:J231"/>
    <mergeCell ref="A6:A8"/>
    <mergeCell ref="B6:B8"/>
    <mergeCell ref="J6:J8"/>
    <mergeCell ref="A9:A11"/>
    <mergeCell ref="B9:B11"/>
    <mergeCell ref="J9:J11"/>
    <mergeCell ref="A12:A14"/>
    <mergeCell ref="B12:B14"/>
    <mergeCell ref="J12:J14"/>
    <mergeCell ref="J42:J44"/>
    <mergeCell ref="A45:A47"/>
    <mergeCell ref="B45:B47"/>
    <mergeCell ref="J45:J47"/>
    <mergeCell ref="A48:A50"/>
    <mergeCell ref="B48:B50"/>
    <mergeCell ref="J48:J50"/>
    <mergeCell ref="A39:A41"/>
    <mergeCell ref="B39:B41"/>
    <mergeCell ref="J39:J41"/>
    <mergeCell ref="B82:B84"/>
    <mergeCell ref="J82:J84"/>
    <mergeCell ref="A85:A87"/>
    <mergeCell ref="B85:B87"/>
    <mergeCell ref="J85:J87"/>
    <mergeCell ref="A91:A93"/>
    <mergeCell ref="B91:B93"/>
    <mergeCell ref="J91:J93"/>
    <mergeCell ref="A94:A96"/>
    <mergeCell ref="B94:B96"/>
    <mergeCell ref="J94:J96"/>
    <mergeCell ref="A88:A90"/>
    <mergeCell ref="B88:B90"/>
    <mergeCell ref="J88:J90"/>
    <mergeCell ref="A82:A84"/>
    <mergeCell ref="A244:A246"/>
    <mergeCell ref="B244:B246"/>
    <mergeCell ref="J244:J246"/>
    <mergeCell ref="J115:J117"/>
    <mergeCell ref="A118:A120"/>
    <mergeCell ref="B118:B120"/>
    <mergeCell ref="J118:J120"/>
    <mergeCell ref="A121:A123"/>
    <mergeCell ref="B121:B123"/>
    <mergeCell ref="J121:J123"/>
    <mergeCell ref="A127:A129"/>
    <mergeCell ref="B127:B129"/>
    <mergeCell ref="J127:J129"/>
    <mergeCell ref="A238:A240"/>
    <mergeCell ref="B238:B240"/>
    <mergeCell ref="J238:J240"/>
    <mergeCell ref="A232:A234"/>
    <mergeCell ref="B232:B234"/>
    <mergeCell ref="J232:J234"/>
    <mergeCell ref="A235:A237"/>
    <mergeCell ref="B235:B237"/>
    <mergeCell ref="J235:J237"/>
    <mergeCell ref="A241:A243"/>
    <mergeCell ref="B241:B243"/>
  </mergeCells>
  <conditionalFormatting sqref="A72:A77">
    <cfRule type="duplicateValues" dxfId="2" priority="1"/>
  </conditionalFormatting>
  <conditionalFormatting sqref="B72:B77">
    <cfRule type="duplicateValues" dxfId="1" priority="2"/>
  </conditionalFormatting>
  <pageMargins left="0.51181102362204722" right="0.51181102362204722" top="0.78740157480314965" bottom="0.78740157480314965" header="0.31496062992125984" footer="0.31496062992125984"/>
  <pageSetup paperSize="9" scale="50" orientation="portrait" r:id="rId1"/>
  <headerFooter>
    <oddHeader>&amp;L&amp;G&amp;C&amp;8&amp;K01+047GOVERNO DO ESTADO DE MATO GROSSOSECRETARIA DE ESTADO DE EDUCAÇÃOSECRETARIA ADJUNTA DE ESTRUTURA ESCOLAR&amp;R&amp;G</oddHeader>
    <oddFooter>&amp;L&amp;9&amp;K01+049Secretaria de Estado de Educação, Esporte e Lazer de Mato GrossoRua Engenheiro Edgar Prado Arze, 215 - Centro Político AdministrativoCEP: 78049-909 | Cuiabá-MTFone: (65) 3613-6300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661"/>
  <sheetViews>
    <sheetView view="pageBreakPreview" topLeftCell="A367" zoomScaleSheetLayoutView="100" workbookViewId="0">
      <selection activeCell="G611" sqref="G611"/>
    </sheetView>
  </sheetViews>
  <sheetFormatPr defaultRowHeight="15"/>
  <cols>
    <col min="1" max="2" width="9.140625" style="574"/>
    <col min="3" max="3" width="64.42578125" style="574" customWidth="1"/>
    <col min="4" max="4" width="9.7109375" style="574" customWidth="1"/>
    <col min="5" max="16384" width="9.140625" style="574"/>
  </cols>
  <sheetData>
    <row r="1" spans="1:4" ht="16.5" thickBot="1">
      <c r="A1" s="836" t="s">
        <v>3387</v>
      </c>
      <c r="B1" s="837"/>
      <c r="C1" s="837"/>
      <c r="D1" s="838"/>
    </row>
    <row r="2" spans="1:4">
      <c r="A2" s="829">
        <v>1</v>
      </c>
      <c r="B2" s="703" t="s">
        <v>3312</v>
      </c>
      <c r="C2" s="751" t="s">
        <v>5202</v>
      </c>
      <c r="D2" s="704" t="s">
        <v>47</v>
      </c>
    </row>
    <row r="3" spans="1:4">
      <c r="A3" s="830"/>
      <c r="B3" s="705" t="s">
        <v>3313</v>
      </c>
      <c r="C3" s="752" t="s">
        <v>2731</v>
      </c>
      <c r="D3" s="832" t="s">
        <v>3389</v>
      </c>
    </row>
    <row r="4" spans="1:4">
      <c r="A4" s="830"/>
      <c r="B4" s="705" t="s">
        <v>3390</v>
      </c>
      <c r="C4" s="752" t="s">
        <v>3391</v>
      </c>
      <c r="D4" s="832"/>
    </row>
    <row r="5" spans="1:4" ht="15.75" thickBot="1">
      <c r="A5" s="831"/>
      <c r="B5" s="706" t="s">
        <v>3392</v>
      </c>
      <c r="C5" s="753" t="s">
        <v>57</v>
      </c>
      <c r="D5" s="833"/>
    </row>
    <row r="6" spans="1:4">
      <c r="A6" s="829">
        <v>2</v>
      </c>
      <c r="B6" s="703" t="s">
        <v>3312</v>
      </c>
      <c r="C6" s="751" t="s">
        <v>3393</v>
      </c>
      <c r="D6" s="704" t="s">
        <v>47</v>
      </c>
    </row>
    <row r="7" spans="1:4">
      <c r="A7" s="830"/>
      <c r="B7" s="705" t="s">
        <v>3313</v>
      </c>
      <c r="C7" s="752" t="s">
        <v>2733</v>
      </c>
      <c r="D7" s="832" t="s">
        <v>3394</v>
      </c>
    </row>
    <row r="8" spans="1:4">
      <c r="A8" s="830"/>
      <c r="B8" s="705" t="s">
        <v>3390</v>
      </c>
      <c r="C8" s="752" t="s">
        <v>3391</v>
      </c>
      <c r="D8" s="832"/>
    </row>
    <row r="9" spans="1:4" ht="15.75" thickBot="1">
      <c r="A9" s="831"/>
      <c r="B9" s="706" t="s">
        <v>3392</v>
      </c>
      <c r="C9" s="753" t="s">
        <v>57</v>
      </c>
      <c r="D9" s="833"/>
    </row>
    <row r="10" spans="1:4">
      <c r="A10" s="829">
        <v>3</v>
      </c>
      <c r="B10" s="703" t="s">
        <v>3312</v>
      </c>
      <c r="C10" s="751" t="s">
        <v>3395</v>
      </c>
      <c r="D10" s="704" t="s">
        <v>47</v>
      </c>
    </row>
    <row r="11" spans="1:4">
      <c r="A11" s="830"/>
      <c r="B11" s="705" t="s">
        <v>3313</v>
      </c>
      <c r="C11" s="752" t="s">
        <v>879</v>
      </c>
      <c r="D11" s="832" t="s">
        <v>3396</v>
      </c>
    </row>
    <row r="12" spans="1:4">
      <c r="A12" s="830"/>
      <c r="B12" s="705" t="s">
        <v>3390</v>
      </c>
      <c r="C12" s="752" t="s">
        <v>3391</v>
      </c>
      <c r="D12" s="832"/>
    </row>
    <row r="13" spans="1:4" ht="15.75" thickBot="1">
      <c r="A13" s="831"/>
      <c r="B13" s="706" t="s">
        <v>3392</v>
      </c>
      <c r="C13" s="753" t="s">
        <v>57</v>
      </c>
      <c r="D13" s="833"/>
    </row>
    <row r="14" spans="1:4">
      <c r="A14" s="829">
        <v>4</v>
      </c>
      <c r="B14" s="703" t="s">
        <v>3312</v>
      </c>
      <c r="C14" s="751" t="s">
        <v>3397</v>
      </c>
      <c r="D14" s="704" t="s">
        <v>47</v>
      </c>
    </row>
    <row r="15" spans="1:4">
      <c r="A15" s="830"/>
      <c r="B15" s="705" t="s">
        <v>3313</v>
      </c>
      <c r="C15" s="752" t="s">
        <v>884</v>
      </c>
      <c r="D15" s="832" t="s">
        <v>3398</v>
      </c>
    </row>
    <row r="16" spans="1:4">
      <c r="A16" s="830"/>
      <c r="B16" s="705" t="s">
        <v>3390</v>
      </c>
      <c r="C16" s="752" t="s">
        <v>3391</v>
      </c>
      <c r="D16" s="832"/>
    </row>
    <row r="17" spans="1:4" ht="15.75" thickBot="1">
      <c r="A17" s="831"/>
      <c r="B17" s="706" t="s">
        <v>3392</v>
      </c>
      <c r="C17" s="753" t="s">
        <v>57</v>
      </c>
      <c r="D17" s="833"/>
    </row>
    <row r="18" spans="1:4">
      <c r="A18" s="829">
        <v>5</v>
      </c>
      <c r="B18" s="703" t="s">
        <v>3312</v>
      </c>
      <c r="C18" s="751" t="s">
        <v>3399</v>
      </c>
      <c r="D18" s="704" t="s">
        <v>47</v>
      </c>
    </row>
    <row r="19" spans="1:4">
      <c r="A19" s="830"/>
      <c r="B19" s="705" t="s">
        <v>3313</v>
      </c>
      <c r="C19" s="752" t="s">
        <v>2794</v>
      </c>
      <c r="D19" s="832" t="s">
        <v>3400</v>
      </c>
    </row>
    <row r="20" spans="1:4">
      <c r="A20" s="830"/>
      <c r="B20" s="705" t="s">
        <v>3390</v>
      </c>
      <c r="C20" s="752" t="s">
        <v>3391</v>
      </c>
      <c r="D20" s="832"/>
    </row>
    <row r="21" spans="1:4" ht="15.75" thickBot="1">
      <c r="A21" s="831"/>
      <c r="B21" s="706" t="s">
        <v>3392</v>
      </c>
      <c r="C21" s="753" t="s">
        <v>57</v>
      </c>
      <c r="D21" s="833"/>
    </row>
    <row r="22" spans="1:4">
      <c r="A22" s="829">
        <v>6</v>
      </c>
      <c r="B22" s="703" t="s">
        <v>3312</v>
      </c>
      <c r="C22" s="751" t="s">
        <v>3401</v>
      </c>
      <c r="D22" s="704" t="s">
        <v>47</v>
      </c>
    </row>
    <row r="23" spans="1:4" ht="22.5">
      <c r="A23" s="830"/>
      <c r="B23" s="705" t="s">
        <v>3313</v>
      </c>
      <c r="C23" s="752" t="s">
        <v>834</v>
      </c>
      <c r="D23" s="832" t="s">
        <v>3402</v>
      </c>
    </row>
    <row r="24" spans="1:4">
      <c r="A24" s="830"/>
      <c r="B24" s="705" t="s">
        <v>3390</v>
      </c>
      <c r="C24" s="752" t="s">
        <v>3391</v>
      </c>
      <c r="D24" s="832"/>
    </row>
    <row r="25" spans="1:4" ht="15.75" thickBot="1">
      <c r="A25" s="831"/>
      <c r="B25" s="706" t="s">
        <v>3392</v>
      </c>
      <c r="C25" s="753" t="s">
        <v>57</v>
      </c>
      <c r="D25" s="833"/>
    </row>
    <row r="26" spans="1:4">
      <c r="A26" s="829">
        <v>7</v>
      </c>
      <c r="B26" s="703" t="s">
        <v>3312</v>
      </c>
      <c r="C26" s="751" t="s">
        <v>3403</v>
      </c>
      <c r="D26" s="704" t="s">
        <v>47</v>
      </c>
    </row>
    <row r="27" spans="1:4" ht="22.5">
      <c r="A27" s="830"/>
      <c r="B27" s="705" t="s">
        <v>3313</v>
      </c>
      <c r="C27" s="752" t="s">
        <v>887</v>
      </c>
      <c r="D27" s="832" t="s">
        <v>1333</v>
      </c>
    </row>
    <row r="28" spans="1:4">
      <c r="A28" s="830"/>
      <c r="B28" s="705" t="s">
        <v>3390</v>
      </c>
      <c r="C28" s="752" t="s">
        <v>3391</v>
      </c>
      <c r="D28" s="832"/>
    </row>
    <row r="29" spans="1:4" ht="15.75" thickBot="1">
      <c r="A29" s="831"/>
      <c r="B29" s="706" t="s">
        <v>3392</v>
      </c>
      <c r="C29" s="753" t="s">
        <v>57</v>
      </c>
      <c r="D29" s="833"/>
    </row>
    <row r="30" spans="1:4">
      <c r="A30" s="829">
        <v>8</v>
      </c>
      <c r="B30" s="703" t="s">
        <v>3312</v>
      </c>
      <c r="C30" s="751" t="s">
        <v>5014</v>
      </c>
      <c r="D30" s="704" t="s">
        <v>47</v>
      </c>
    </row>
    <row r="31" spans="1:4" ht="22.5">
      <c r="A31" s="830"/>
      <c r="B31" s="705" t="s">
        <v>3313</v>
      </c>
      <c r="C31" s="752" t="s">
        <v>5203</v>
      </c>
      <c r="D31" s="832" t="s">
        <v>760</v>
      </c>
    </row>
    <row r="32" spans="1:4">
      <c r="A32" s="830"/>
      <c r="B32" s="705" t="s">
        <v>3390</v>
      </c>
      <c r="C32" s="752" t="s">
        <v>3391</v>
      </c>
      <c r="D32" s="832"/>
    </row>
    <row r="33" spans="1:4" ht="15.75" thickBot="1">
      <c r="A33" s="831"/>
      <c r="B33" s="706" t="s">
        <v>3392</v>
      </c>
      <c r="C33" s="753" t="s">
        <v>57</v>
      </c>
      <c r="D33" s="833"/>
    </row>
    <row r="34" spans="1:4">
      <c r="A34" s="829">
        <v>9</v>
      </c>
      <c r="B34" s="703" t="s">
        <v>3312</v>
      </c>
      <c r="C34" s="751" t="s">
        <v>3404</v>
      </c>
      <c r="D34" s="704" t="s">
        <v>47</v>
      </c>
    </row>
    <row r="35" spans="1:4">
      <c r="A35" s="830"/>
      <c r="B35" s="705" t="s">
        <v>3313</v>
      </c>
      <c r="C35" s="752" t="s">
        <v>860</v>
      </c>
      <c r="D35" s="832" t="s">
        <v>3405</v>
      </c>
    </row>
    <row r="36" spans="1:4">
      <c r="A36" s="830"/>
      <c r="B36" s="705" t="s">
        <v>3390</v>
      </c>
      <c r="C36" s="752" t="s">
        <v>3391</v>
      </c>
      <c r="D36" s="832"/>
    </row>
    <row r="37" spans="1:4" ht="15.75" thickBot="1">
      <c r="A37" s="831"/>
      <c r="B37" s="706" t="s">
        <v>3392</v>
      </c>
      <c r="C37" s="753" t="s">
        <v>57</v>
      </c>
      <c r="D37" s="833"/>
    </row>
    <row r="38" spans="1:4">
      <c r="A38" s="829">
        <v>10</v>
      </c>
      <c r="B38" s="703" t="s">
        <v>3312</v>
      </c>
      <c r="C38" s="751" t="s">
        <v>3550</v>
      </c>
      <c r="D38" s="704" t="s">
        <v>47</v>
      </c>
    </row>
    <row r="39" spans="1:4">
      <c r="A39" s="830"/>
      <c r="B39" s="705" t="s">
        <v>3313</v>
      </c>
      <c r="C39" s="752" t="s">
        <v>862</v>
      </c>
      <c r="D39" s="832" t="s">
        <v>3551</v>
      </c>
    </row>
    <row r="40" spans="1:4">
      <c r="A40" s="830"/>
      <c r="B40" s="705" t="s">
        <v>3390</v>
      </c>
      <c r="C40" s="752" t="s">
        <v>3391</v>
      </c>
      <c r="D40" s="832"/>
    </row>
    <row r="41" spans="1:4" ht="15.75" thickBot="1">
      <c r="A41" s="831"/>
      <c r="B41" s="706" t="s">
        <v>3392</v>
      </c>
      <c r="C41" s="753" t="s">
        <v>57</v>
      </c>
      <c r="D41" s="833"/>
    </row>
    <row r="42" spans="1:4">
      <c r="A42" s="829">
        <v>11</v>
      </c>
      <c r="B42" s="703" t="s">
        <v>3312</v>
      </c>
      <c r="C42" s="751" t="s">
        <v>5238</v>
      </c>
      <c r="D42" s="704" t="s">
        <v>47</v>
      </c>
    </row>
    <row r="43" spans="1:4" ht="22.5">
      <c r="A43" s="830"/>
      <c r="B43" s="705" t="s">
        <v>3313</v>
      </c>
      <c r="C43" s="752" t="s">
        <v>3093</v>
      </c>
      <c r="D43" s="832" t="s">
        <v>760</v>
      </c>
    </row>
    <row r="44" spans="1:4">
      <c r="A44" s="830"/>
      <c r="B44" s="705" t="s">
        <v>3390</v>
      </c>
      <c r="C44" s="752" t="s">
        <v>3391</v>
      </c>
      <c r="D44" s="832"/>
    </row>
    <row r="45" spans="1:4" ht="15.75" thickBot="1">
      <c r="A45" s="831"/>
      <c r="B45" s="706" t="s">
        <v>3392</v>
      </c>
      <c r="C45" s="753" t="s">
        <v>57</v>
      </c>
      <c r="D45" s="833"/>
    </row>
    <row r="46" spans="1:4">
      <c r="A46" s="829">
        <v>12</v>
      </c>
      <c r="B46" s="703" t="s">
        <v>3312</v>
      </c>
      <c r="C46" s="751" t="s">
        <v>3406</v>
      </c>
      <c r="D46" s="704" t="s">
        <v>47</v>
      </c>
    </row>
    <row r="47" spans="1:4">
      <c r="A47" s="830"/>
      <c r="B47" s="705" t="s">
        <v>3313</v>
      </c>
      <c r="C47" s="752" t="s">
        <v>2734</v>
      </c>
      <c r="D47" s="832" t="s">
        <v>3407</v>
      </c>
    </row>
    <row r="48" spans="1:4">
      <c r="A48" s="830"/>
      <c r="B48" s="705" t="s">
        <v>3390</v>
      </c>
      <c r="C48" s="752" t="s">
        <v>3391</v>
      </c>
      <c r="D48" s="832"/>
    </row>
    <row r="49" spans="1:4" ht="15.75" thickBot="1">
      <c r="A49" s="831"/>
      <c r="B49" s="706" t="s">
        <v>3392</v>
      </c>
      <c r="C49" s="753" t="s">
        <v>57</v>
      </c>
      <c r="D49" s="833"/>
    </row>
    <row r="50" spans="1:4">
      <c r="A50" s="829">
        <v>13</v>
      </c>
      <c r="B50" s="703" t="s">
        <v>3312</v>
      </c>
      <c r="C50" s="751" t="s">
        <v>3408</v>
      </c>
      <c r="D50" s="704" t="s">
        <v>47</v>
      </c>
    </row>
    <row r="51" spans="1:4" ht="22.5">
      <c r="A51" s="830"/>
      <c r="B51" s="705" t="s">
        <v>3313</v>
      </c>
      <c r="C51" s="752" t="s">
        <v>536</v>
      </c>
      <c r="D51" s="832" t="s">
        <v>3409</v>
      </c>
    </row>
    <row r="52" spans="1:4">
      <c r="A52" s="830"/>
      <c r="B52" s="705" t="s">
        <v>3390</v>
      </c>
      <c r="C52" s="752" t="s">
        <v>3410</v>
      </c>
      <c r="D52" s="832"/>
    </row>
    <row r="53" spans="1:4" ht="15.75" thickBot="1">
      <c r="A53" s="831"/>
      <c r="B53" s="706" t="s">
        <v>3392</v>
      </c>
      <c r="C53" s="753" t="s">
        <v>162</v>
      </c>
      <c r="D53" s="833"/>
    </row>
    <row r="54" spans="1:4">
      <c r="A54" s="829">
        <v>14</v>
      </c>
      <c r="B54" s="703" t="s">
        <v>3312</v>
      </c>
      <c r="C54" s="751" t="s">
        <v>3411</v>
      </c>
      <c r="D54" s="704" t="s">
        <v>47</v>
      </c>
    </row>
    <row r="55" spans="1:4" ht="33.75">
      <c r="A55" s="830"/>
      <c r="B55" s="705" t="s">
        <v>3313</v>
      </c>
      <c r="C55" s="752" t="s">
        <v>537</v>
      </c>
      <c r="D55" s="832" t="s">
        <v>1136</v>
      </c>
    </row>
    <row r="56" spans="1:4">
      <c r="A56" s="830"/>
      <c r="B56" s="705" t="s">
        <v>3390</v>
      </c>
      <c r="C56" s="752" t="s">
        <v>3410</v>
      </c>
      <c r="D56" s="832"/>
    </row>
    <row r="57" spans="1:4" ht="15.75" thickBot="1">
      <c r="A57" s="831"/>
      <c r="B57" s="706" t="s">
        <v>3392</v>
      </c>
      <c r="C57" s="753" t="s">
        <v>94</v>
      </c>
      <c r="D57" s="833"/>
    </row>
    <row r="58" spans="1:4">
      <c r="A58" s="829">
        <v>15</v>
      </c>
      <c r="B58" s="703" t="s">
        <v>3312</v>
      </c>
      <c r="C58" s="751" t="s">
        <v>3412</v>
      </c>
      <c r="D58" s="704" t="s">
        <v>47</v>
      </c>
    </row>
    <row r="59" spans="1:4" ht="33.75">
      <c r="A59" s="830"/>
      <c r="B59" s="705" t="s">
        <v>3313</v>
      </c>
      <c r="C59" s="752" t="s">
        <v>539</v>
      </c>
      <c r="D59" s="832" t="s">
        <v>1138</v>
      </c>
    </row>
    <row r="60" spans="1:4">
      <c r="A60" s="830"/>
      <c r="B60" s="705" t="s">
        <v>3390</v>
      </c>
      <c r="C60" s="752" t="s">
        <v>3410</v>
      </c>
      <c r="D60" s="832"/>
    </row>
    <row r="61" spans="1:4" ht="15.75" thickBot="1">
      <c r="A61" s="831"/>
      <c r="B61" s="706" t="s">
        <v>3392</v>
      </c>
      <c r="C61" s="753" t="s">
        <v>94</v>
      </c>
      <c r="D61" s="833"/>
    </row>
    <row r="62" spans="1:4">
      <c r="A62" s="829">
        <v>16</v>
      </c>
      <c r="B62" s="703" t="s">
        <v>3312</v>
      </c>
      <c r="C62" s="751" t="s">
        <v>3413</v>
      </c>
      <c r="D62" s="704" t="s">
        <v>47</v>
      </c>
    </row>
    <row r="63" spans="1:4" ht="33.75">
      <c r="A63" s="830"/>
      <c r="B63" s="705" t="s">
        <v>3313</v>
      </c>
      <c r="C63" s="752" t="s">
        <v>541</v>
      </c>
      <c r="D63" s="832" t="s">
        <v>1139</v>
      </c>
    </row>
    <row r="64" spans="1:4">
      <c r="A64" s="830"/>
      <c r="B64" s="705" t="s">
        <v>3390</v>
      </c>
      <c r="C64" s="752" t="s">
        <v>3410</v>
      </c>
      <c r="D64" s="832"/>
    </row>
    <row r="65" spans="1:4" ht="15.75" thickBot="1">
      <c r="A65" s="831"/>
      <c r="B65" s="706" t="s">
        <v>3392</v>
      </c>
      <c r="C65" s="753" t="s">
        <v>94</v>
      </c>
      <c r="D65" s="833"/>
    </row>
    <row r="66" spans="1:4">
      <c r="A66" s="829">
        <v>17</v>
      </c>
      <c r="B66" s="703" t="s">
        <v>3312</v>
      </c>
      <c r="C66" s="751" t="s">
        <v>3414</v>
      </c>
      <c r="D66" s="704" t="s">
        <v>47</v>
      </c>
    </row>
    <row r="67" spans="1:4" ht="33.75">
      <c r="A67" s="830"/>
      <c r="B67" s="705" t="s">
        <v>3313</v>
      </c>
      <c r="C67" s="752" t="s">
        <v>543</v>
      </c>
      <c r="D67" s="832" t="s">
        <v>1140</v>
      </c>
    </row>
    <row r="68" spans="1:4">
      <c r="A68" s="830"/>
      <c r="B68" s="705" t="s">
        <v>3390</v>
      </c>
      <c r="C68" s="752" t="s">
        <v>3410</v>
      </c>
      <c r="D68" s="832"/>
    </row>
    <row r="69" spans="1:4" ht="15.75" thickBot="1">
      <c r="A69" s="831"/>
      <c r="B69" s="706" t="s">
        <v>3392</v>
      </c>
      <c r="C69" s="753" t="s">
        <v>94</v>
      </c>
      <c r="D69" s="833"/>
    </row>
    <row r="70" spans="1:4">
      <c r="A70" s="829">
        <v>18</v>
      </c>
      <c r="B70" s="703" t="s">
        <v>3312</v>
      </c>
      <c r="C70" s="751" t="s">
        <v>3415</v>
      </c>
      <c r="D70" s="704" t="s">
        <v>47</v>
      </c>
    </row>
    <row r="71" spans="1:4" ht="33.75">
      <c r="A71" s="830"/>
      <c r="B71" s="705" t="s">
        <v>3313</v>
      </c>
      <c r="C71" s="752" t="s">
        <v>545</v>
      </c>
      <c r="D71" s="832" t="s">
        <v>1141</v>
      </c>
    </row>
    <row r="72" spans="1:4">
      <c r="A72" s="830"/>
      <c r="B72" s="705" t="s">
        <v>3390</v>
      </c>
      <c r="C72" s="752" t="s">
        <v>3410</v>
      </c>
      <c r="D72" s="832"/>
    </row>
    <row r="73" spans="1:4" ht="15.75" thickBot="1">
      <c r="A73" s="831"/>
      <c r="B73" s="706" t="s">
        <v>3392</v>
      </c>
      <c r="C73" s="753" t="s">
        <v>94</v>
      </c>
      <c r="D73" s="833"/>
    </row>
    <row r="74" spans="1:4">
      <c r="A74" s="829">
        <v>19</v>
      </c>
      <c r="B74" s="703" t="s">
        <v>3312</v>
      </c>
      <c r="C74" s="751" t="s">
        <v>3416</v>
      </c>
      <c r="D74" s="704" t="s">
        <v>47</v>
      </c>
    </row>
    <row r="75" spans="1:4">
      <c r="A75" s="830"/>
      <c r="B75" s="705" t="s">
        <v>3313</v>
      </c>
      <c r="C75" s="752" t="s">
        <v>2679</v>
      </c>
      <c r="D75" s="832" t="s">
        <v>1199</v>
      </c>
    </row>
    <row r="76" spans="1:4">
      <c r="A76" s="830"/>
      <c r="B76" s="705" t="s">
        <v>3390</v>
      </c>
      <c r="C76" s="752" t="s">
        <v>3417</v>
      </c>
      <c r="D76" s="832"/>
    </row>
    <row r="77" spans="1:4" ht="15.75" thickBot="1">
      <c r="A77" s="831"/>
      <c r="B77" s="706" t="s">
        <v>3392</v>
      </c>
      <c r="C77" s="753" t="s">
        <v>161</v>
      </c>
      <c r="D77" s="833"/>
    </row>
    <row r="78" spans="1:4">
      <c r="A78" s="829">
        <v>20</v>
      </c>
      <c r="B78" s="703" t="s">
        <v>3312</v>
      </c>
      <c r="C78" s="751" t="s">
        <v>3418</v>
      </c>
      <c r="D78" s="704" t="s">
        <v>47</v>
      </c>
    </row>
    <row r="79" spans="1:4" ht="22.5">
      <c r="A79" s="830"/>
      <c r="B79" s="705" t="s">
        <v>3313</v>
      </c>
      <c r="C79" s="752" t="s">
        <v>601</v>
      </c>
      <c r="D79" s="832" t="s">
        <v>1143</v>
      </c>
    </row>
    <row r="80" spans="1:4">
      <c r="A80" s="830"/>
      <c r="B80" s="705" t="s">
        <v>3390</v>
      </c>
      <c r="C80" s="752" t="s">
        <v>3410</v>
      </c>
      <c r="D80" s="832"/>
    </row>
    <row r="81" spans="1:4" ht="15.75" thickBot="1">
      <c r="A81" s="831"/>
      <c r="B81" s="706" t="s">
        <v>3392</v>
      </c>
      <c r="C81" s="753" t="s">
        <v>161</v>
      </c>
      <c r="D81" s="833"/>
    </row>
    <row r="82" spans="1:4">
      <c r="A82" s="829">
        <v>21</v>
      </c>
      <c r="B82" s="703" t="s">
        <v>3312</v>
      </c>
      <c r="C82" s="751" t="s">
        <v>3419</v>
      </c>
      <c r="D82" s="704" t="s">
        <v>47</v>
      </c>
    </row>
    <row r="83" spans="1:4" ht="22.5">
      <c r="A83" s="830"/>
      <c r="B83" s="705" t="s">
        <v>3313</v>
      </c>
      <c r="C83" s="752" t="s">
        <v>606</v>
      </c>
      <c r="D83" s="832" t="s">
        <v>1155</v>
      </c>
    </row>
    <row r="84" spans="1:4">
      <c r="A84" s="830"/>
      <c r="B84" s="705" t="s">
        <v>3390</v>
      </c>
      <c r="C84" s="752" t="s">
        <v>3410</v>
      </c>
      <c r="D84" s="832"/>
    </row>
    <row r="85" spans="1:4" ht="15.75" thickBot="1">
      <c r="A85" s="831"/>
      <c r="B85" s="706" t="s">
        <v>3392</v>
      </c>
      <c r="C85" s="753" t="s">
        <v>94</v>
      </c>
      <c r="D85" s="833"/>
    </row>
    <row r="86" spans="1:4">
      <c r="A86" s="829">
        <v>22</v>
      </c>
      <c r="B86" s="703" t="s">
        <v>3312</v>
      </c>
      <c r="C86" s="751" t="s">
        <v>3420</v>
      </c>
      <c r="D86" s="704" t="s">
        <v>47</v>
      </c>
    </row>
    <row r="87" spans="1:4">
      <c r="A87" s="830"/>
      <c r="B87" s="705" t="s">
        <v>3313</v>
      </c>
      <c r="C87" s="752" t="s">
        <v>608</v>
      </c>
      <c r="D87" s="832" t="s">
        <v>3421</v>
      </c>
    </row>
    <row r="88" spans="1:4">
      <c r="A88" s="830"/>
      <c r="B88" s="705" t="s">
        <v>3390</v>
      </c>
      <c r="C88" s="752" t="s">
        <v>3410</v>
      </c>
      <c r="D88" s="832"/>
    </row>
    <row r="89" spans="1:4" ht="15.75" thickBot="1">
      <c r="A89" s="831"/>
      <c r="B89" s="706" t="s">
        <v>3392</v>
      </c>
      <c r="C89" s="753" t="s">
        <v>94</v>
      </c>
      <c r="D89" s="833"/>
    </row>
    <row r="90" spans="1:4">
      <c r="A90" s="829">
        <v>23</v>
      </c>
      <c r="B90" s="703" t="s">
        <v>3312</v>
      </c>
      <c r="C90" s="751" t="s">
        <v>3422</v>
      </c>
      <c r="D90" s="704" t="s">
        <v>47</v>
      </c>
    </row>
    <row r="91" spans="1:4">
      <c r="A91" s="830"/>
      <c r="B91" s="705" t="s">
        <v>3313</v>
      </c>
      <c r="C91" s="752" t="s">
        <v>2005</v>
      </c>
      <c r="D91" s="832" t="s">
        <v>2006</v>
      </c>
    </row>
    <row r="92" spans="1:4">
      <c r="A92" s="830"/>
      <c r="B92" s="705" t="s">
        <v>3390</v>
      </c>
      <c r="C92" s="752" t="s">
        <v>3423</v>
      </c>
      <c r="D92" s="832"/>
    </row>
    <row r="93" spans="1:4" ht="15.75" thickBot="1">
      <c r="A93" s="831"/>
      <c r="B93" s="706" t="s">
        <v>3392</v>
      </c>
      <c r="C93" s="753" t="s">
        <v>161</v>
      </c>
      <c r="D93" s="833"/>
    </row>
    <row r="94" spans="1:4">
      <c r="A94" s="829">
        <v>24</v>
      </c>
      <c r="B94" s="703" t="s">
        <v>3312</v>
      </c>
      <c r="C94" s="751" t="s">
        <v>3424</v>
      </c>
      <c r="D94" s="704" t="s">
        <v>47</v>
      </c>
    </row>
    <row r="95" spans="1:4">
      <c r="A95" s="830"/>
      <c r="B95" s="705" t="s">
        <v>3313</v>
      </c>
      <c r="C95" s="752" t="s">
        <v>653</v>
      </c>
      <c r="D95" s="832" t="s">
        <v>3425</v>
      </c>
    </row>
    <row r="96" spans="1:4">
      <c r="A96" s="830"/>
      <c r="B96" s="705" t="s">
        <v>3390</v>
      </c>
      <c r="C96" s="752" t="s">
        <v>3426</v>
      </c>
      <c r="D96" s="832"/>
    </row>
    <row r="97" spans="1:4" ht="15.75" thickBot="1">
      <c r="A97" s="831"/>
      <c r="B97" s="706" t="s">
        <v>3392</v>
      </c>
      <c r="C97" s="753" t="s">
        <v>162</v>
      </c>
      <c r="D97" s="833"/>
    </row>
    <row r="98" spans="1:4">
      <c r="A98" s="829">
        <v>25</v>
      </c>
      <c r="B98" s="703" t="s">
        <v>3312</v>
      </c>
      <c r="C98" s="751" t="s">
        <v>3427</v>
      </c>
      <c r="D98" s="704" t="s">
        <v>47</v>
      </c>
    </row>
    <row r="99" spans="1:4" ht="33.75">
      <c r="A99" s="830"/>
      <c r="B99" s="705" t="s">
        <v>3313</v>
      </c>
      <c r="C99" s="752" t="s">
        <v>827</v>
      </c>
      <c r="D99" s="832" t="s">
        <v>1246</v>
      </c>
    </row>
    <row r="100" spans="1:4">
      <c r="A100" s="830"/>
      <c r="B100" s="705" t="s">
        <v>3390</v>
      </c>
      <c r="C100" s="752" t="s">
        <v>3428</v>
      </c>
      <c r="D100" s="832"/>
    </row>
    <row r="101" spans="1:4" ht="15.75" thickBot="1">
      <c r="A101" s="831"/>
      <c r="B101" s="706" t="s">
        <v>3392</v>
      </c>
      <c r="C101" s="753" t="s">
        <v>57</v>
      </c>
      <c r="D101" s="833"/>
    </row>
    <row r="102" spans="1:4">
      <c r="A102" s="829">
        <v>26</v>
      </c>
      <c r="B102" s="703" t="s">
        <v>3312</v>
      </c>
      <c r="C102" s="751" t="s">
        <v>3429</v>
      </c>
      <c r="D102" s="704" t="s">
        <v>47</v>
      </c>
    </row>
    <row r="103" spans="1:4">
      <c r="A103" s="830"/>
      <c r="B103" s="705" t="s">
        <v>3313</v>
      </c>
      <c r="C103" s="752" t="s">
        <v>657</v>
      </c>
      <c r="D103" s="832" t="s">
        <v>1153</v>
      </c>
    </row>
    <row r="104" spans="1:4">
      <c r="A104" s="830"/>
      <c r="B104" s="705" t="s">
        <v>3390</v>
      </c>
      <c r="C104" s="752" t="s">
        <v>3430</v>
      </c>
      <c r="D104" s="832"/>
    </row>
    <row r="105" spans="1:4" ht="15.75" thickBot="1">
      <c r="A105" s="831"/>
      <c r="B105" s="706" t="s">
        <v>3392</v>
      </c>
      <c r="C105" s="753" t="s">
        <v>162</v>
      </c>
      <c r="D105" s="833"/>
    </row>
    <row r="106" spans="1:4">
      <c r="A106" s="829">
        <v>27</v>
      </c>
      <c r="B106" s="703" t="s">
        <v>3312</v>
      </c>
      <c r="C106" s="751" t="s">
        <v>3431</v>
      </c>
      <c r="D106" s="704" t="s">
        <v>47</v>
      </c>
    </row>
    <row r="107" spans="1:4" ht="33.75">
      <c r="A107" s="830"/>
      <c r="B107" s="705" t="s">
        <v>3313</v>
      </c>
      <c r="C107" s="752" t="s">
        <v>2667</v>
      </c>
      <c r="D107" s="832" t="s">
        <v>1244</v>
      </c>
    </row>
    <row r="108" spans="1:4">
      <c r="A108" s="830"/>
      <c r="B108" s="705" t="s">
        <v>3390</v>
      </c>
      <c r="C108" s="752" t="s">
        <v>3417</v>
      </c>
      <c r="D108" s="832"/>
    </row>
    <row r="109" spans="1:4" ht="15.75" thickBot="1">
      <c r="A109" s="831"/>
      <c r="B109" s="706" t="s">
        <v>3392</v>
      </c>
      <c r="C109" s="753" t="s">
        <v>161</v>
      </c>
      <c r="D109" s="833"/>
    </row>
    <row r="110" spans="1:4">
      <c r="A110" s="829">
        <v>28</v>
      </c>
      <c r="B110" s="703" t="s">
        <v>3312</v>
      </c>
      <c r="C110" s="751" t="s">
        <v>3432</v>
      </c>
      <c r="D110" s="704" t="s">
        <v>47</v>
      </c>
    </row>
    <row r="111" spans="1:4" ht="22.5">
      <c r="A111" s="830"/>
      <c r="B111" s="705" t="s">
        <v>3313</v>
      </c>
      <c r="C111" s="752" t="s">
        <v>802</v>
      </c>
      <c r="D111" s="832" t="s">
        <v>1180</v>
      </c>
    </row>
    <row r="112" spans="1:4">
      <c r="A112" s="830"/>
      <c r="B112" s="705" t="s">
        <v>3390</v>
      </c>
      <c r="C112" s="752" t="s">
        <v>3428</v>
      </c>
      <c r="D112" s="832"/>
    </row>
    <row r="113" spans="1:4" ht="15.75" thickBot="1">
      <c r="A113" s="831"/>
      <c r="B113" s="706" t="s">
        <v>3392</v>
      </c>
      <c r="C113" s="753" t="s">
        <v>57</v>
      </c>
      <c r="D113" s="833"/>
    </row>
    <row r="114" spans="1:4">
      <c r="A114" s="829">
        <v>29</v>
      </c>
      <c r="B114" s="703" t="s">
        <v>3312</v>
      </c>
      <c r="C114" s="751" t="s">
        <v>3433</v>
      </c>
      <c r="D114" s="704" t="s">
        <v>47</v>
      </c>
    </row>
    <row r="115" spans="1:4" ht="22.5">
      <c r="A115" s="830"/>
      <c r="B115" s="705" t="s">
        <v>3313</v>
      </c>
      <c r="C115" s="752" t="s">
        <v>804</v>
      </c>
      <c r="D115" s="832" t="s">
        <v>1180</v>
      </c>
    </row>
    <row r="116" spans="1:4">
      <c r="A116" s="830"/>
      <c r="B116" s="705" t="s">
        <v>3390</v>
      </c>
      <c r="C116" s="752" t="s">
        <v>3428</v>
      </c>
      <c r="D116" s="832"/>
    </row>
    <row r="117" spans="1:4" ht="15.75" thickBot="1">
      <c r="A117" s="831"/>
      <c r="B117" s="706" t="s">
        <v>3392</v>
      </c>
      <c r="C117" s="753" t="s">
        <v>57</v>
      </c>
      <c r="D117" s="833"/>
    </row>
    <row r="118" spans="1:4">
      <c r="A118" s="829">
        <v>30</v>
      </c>
      <c r="B118" s="703" t="s">
        <v>3312</v>
      </c>
      <c r="C118" s="751" t="s">
        <v>3434</v>
      </c>
      <c r="D118" s="704" t="s">
        <v>47</v>
      </c>
    </row>
    <row r="119" spans="1:4" ht="22.5">
      <c r="A119" s="830"/>
      <c r="B119" s="705" t="s">
        <v>3313</v>
      </c>
      <c r="C119" s="752" t="s">
        <v>830</v>
      </c>
      <c r="D119" s="832" t="s">
        <v>1166</v>
      </c>
    </row>
    <row r="120" spans="1:4">
      <c r="A120" s="830"/>
      <c r="B120" s="705" t="s">
        <v>3390</v>
      </c>
      <c r="C120" s="752" t="s">
        <v>3435</v>
      </c>
      <c r="D120" s="832"/>
    </row>
    <row r="121" spans="1:4" ht="15.75" thickBot="1">
      <c r="A121" s="831"/>
      <c r="B121" s="706" t="s">
        <v>3392</v>
      </c>
      <c r="C121" s="753" t="s">
        <v>161</v>
      </c>
      <c r="D121" s="833"/>
    </row>
    <row r="122" spans="1:4">
      <c r="A122" s="829">
        <v>31</v>
      </c>
      <c r="B122" s="703" t="s">
        <v>3312</v>
      </c>
      <c r="C122" s="751" t="s">
        <v>4817</v>
      </c>
      <c r="D122" s="704" t="s">
        <v>47</v>
      </c>
    </row>
    <row r="123" spans="1:4" ht="22.5">
      <c r="A123" s="830"/>
      <c r="B123" s="705" t="s">
        <v>3313</v>
      </c>
      <c r="C123" s="752" t="s">
        <v>982</v>
      </c>
      <c r="D123" s="832" t="s">
        <v>5204</v>
      </c>
    </row>
    <row r="124" spans="1:4">
      <c r="A124" s="830"/>
      <c r="B124" s="705" t="s">
        <v>3390</v>
      </c>
      <c r="C124" s="752" t="s">
        <v>3423</v>
      </c>
      <c r="D124" s="832"/>
    </row>
    <row r="125" spans="1:4" ht="15.75" thickBot="1">
      <c r="A125" s="831"/>
      <c r="B125" s="706" t="s">
        <v>3392</v>
      </c>
      <c r="C125" s="753" t="s">
        <v>161</v>
      </c>
      <c r="D125" s="833"/>
    </row>
    <row r="126" spans="1:4">
      <c r="A126" s="829">
        <v>32</v>
      </c>
      <c r="B126" s="703" t="s">
        <v>3312</v>
      </c>
      <c r="C126" s="751" t="s">
        <v>4812</v>
      </c>
      <c r="D126" s="704" t="s">
        <v>47</v>
      </c>
    </row>
    <row r="127" spans="1:4" ht="22.5">
      <c r="A127" s="830"/>
      <c r="B127" s="705" t="s">
        <v>3313</v>
      </c>
      <c r="C127" s="752" t="s">
        <v>1126</v>
      </c>
      <c r="D127" s="832" t="s">
        <v>5204</v>
      </c>
    </row>
    <row r="128" spans="1:4">
      <c r="A128" s="830"/>
      <c r="B128" s="705" t="s">
        <v>3390</v>
      </c>
      <c r="C128" s="752" t="s">
        <v>3423</v>
      </c>
      <c r="D128" s="832"/>
    </row>
    <row r="129" spans="1:4" ht="15.75" thickBot="1">
      <c r="A129" s="831"/>
      <c r="B129" s="706" t="s">
        <v>3392</v>
      </c>
      <c r="C129" s="753" t="s">
        <v>161</v>
      </c>
      <c r="D129" s="833"/>
    </row>
    <row r="130" spans="1:4">
      <c r="A130" s="829">
        <v>33</v>
      </c>
      <c r="B130" s="703" t="s">
        <v>3312</v>
      </c>
      <c r="C130" s="751" t="s">
        <v>3439</v>
      </c>
      <c r="D130" s="704" t="s">
        <v>47</v>
      </c>
    </row>
    <row r="131" spans="1:4">
      <c r="A131" s="830"/>
      <c r="B131" s="705" t="s">
        <v>3313</v>
      </c>
      <c r="C131" s="752" t="s">
        <v>923</v>
      </c>
      <c r="D131" s="832" t="s">
        <v>1355</v>
      </c>
    </row>
    <row r="132" spans="1:4">
      <c r="A132" s="830"/>
      <c r="B132" s="705" t="s">
        <v>3390</v>
      </c>
      <c r="C132" s="752" t="s">
        <v>3430</v>
      </c>
      <c r="D132" s="832"/>
    </row>
    <row r="133" spans="1:4" ht="15.75" thickBot="1">
      <c r="A133" s="831"/>
      <c r="B133" s="706" t="s">
        <v>3392</v>
      </c>
      <c r="C133" s="753" t="s">
        <v>57</v>
      </c>
      <c r="D133" s="833"/>
    </row>
    <row r="134" spans="1:4">
      <c r="A134" s="829">
        <v>34</v>
      </c>
      <c r="B134" s="703" t="s">
        <v>3312</v>
      </c>
      <c r="C134" s="751" t="s">
        <v>3440</v>
      </c>
      <c r="D134" s="704" t="s">
        <v>47</v>
      </c>
    </row>
    <row r="135" spans="1:4">
      <c r="A135" s="830"/>
      <c r="B135" s="705" t="s">
        <v>3313</v>
      </c>
      <c r="C135" s="752" t="s">
        <v>815</v>
      </c>
      <c r="D135" s="832" t="s">
        <v>1264</v>
      </c>
    </row>
    <row r="136" spans="1:4">
      <c r="A136" s="830"/>
      <c r="B136" s="705" t="s">
        <v>3390</v>
      </c>
      <c r="C136" s="752" t="s">
        <v>3430</v>
      </c>
      <c r="D136" s="832"/>
    </row>
    <row r="137" spans="1:4" ht="15.75" thickBot="1">
      <c r="A137" s="831"/>
      <c r="B137" s="706" t="s">
        <v>3392</v>
      </c>
      <c r="C137" s="753" t="s">
        <v>57</v>
      </c>
      <c r="D137" s="833"/>
    </row>
    <row r="138" spans="1:4">
      <c r="A138" s="829">
        <v>35</v>
      </c>
      <c r="B138" s="703" t="s">
        <v>3312</v>
      </c>
      <c r="C138" s="751" t="s">
        <v>3441</v>
      </c>
      <c r="D138" s="704" t="s">
        <v>47</v>
      </c>
    </row>
    <row r="139" spans="1:4">
      <c r="A139" s="830"/>
      <c r="B139" s="705" t="s">
        <v>3313</v>
      </c>
      <c r="C139" s="752" t="s">
        <v>898</v>
      </c>
      <c r="D139" s="832" t="s">
        <v>1425</v>
      </c>
    </row>
    <row r="140" spans="1:4">
      <c r="A140" s="830"/>
      <c r="B140" s="705" t="s">
        <v>3390</v>
      </c>
      <c r="C140" s="752" t="s">
        <v>3442</v>
      </c>
      <c r="D140" s="832"/>
    </row>
    <row r="141" spans="1:4" ht="15.75" thickBot="1">
      <c r="A141" s="831"/>
      <c r="B141" s="706" t="s">
        <v>3392</v>
      </c>
      <c r="C141" s="753" t="s">
        <v>57</v>
      </c>
      <c r="D141" s="833"/>
    </row>
    <row r="142" spans="1:4">
      <c r="A142" s="829">
        <v>36</v>
      </c>
      <c r="B142" s="703" t="s">
        <v>3312</v>
      </c>
      <c r="C142" s="751" t="s">
        <v>3557</v>
      </c>
      <c r="D142" s="704" t="s">
        <v>47</v>
      </c>
    </row>
    <row r="143" spans="1:4" ht="22.5">
      <c r="A143" s="830"/>
      <c r="B143" s="705" t="s">
        <v>3313</v>
      </c>
      <c r="C143" s="752" t="s">
        <v>914</v>
      </c>
      <c r="D143" s="832" t="s">
        <v>1425</v>
      </c>
    </row>
    <row r="144" spans="1:4">
      <c r="A144" s="830"/>
      <c r="B144" s="705" t="s">
        <v>3390</v>
      </c>
      <c r="C144" s="752" t="s">
        <v>3442</v>
      </c>
      <c r="D144" s="832"/>
    </row>
    <row r="145" spans="1:4" ht="15.75" thickBot="1">
      <c r="A145" s="831"/>
      <c r="B145" s="706" t="s">
        <v>3392</v>
      </c>
      <c r="C145" s="753" t="s">
        <v>57</v>
      </c>
      <c r="D145" s="833"/>
    </row>
    <row r="146" spans="1:4">
      <c r="A146" s="829">
        <v>37</v>
      </c>
      <c r="B146" s="703" t="s">
        <v>3312</v>
      </c>
      <c r="C146" s="751" t="s">
        <v>3443</v>
      </c>
      <c r="D146" s="704" t="s">
        <v>47</v>
      </c>
    </row>
    <row r="147" spans="1:4" ht="33.75">
      <c r="A147" s="830"/>
      <c r="B147" s="705" t="s">
        <v>3313</v>
      </c>
      <c r="C147" s="752" t="s">
        <v>1353</v>
      </c>
      <c r="D147" s="832" t="s">
        <v>1354</v>
      </c>
    </row>
    <row r="148" spans="1:4">
      <c r="A148" s="830"/>
      <c r="B148" s="705" t="s">
        <v>3390</v>
      </c>
      <c r="C148" s="752" t="s">
        <v>3442</v>
      </c>
      <c r="D148" s="832"/>
    </row>
    <row r="149" spans="1:4" ht="15.75" thickBot="1">
      <c r="A149" s="831"/>
      <c r="B149" s="706" t="s">
        <v>3392</v>
      </c>
      <c r="C149" s="753" t="s">
        <v>57</v>
      </c>
      <c r="D149" s="833"/>
    </row>
    <row r="150" spans="1:4">
      <c r="A150" s="829">
        <v>38</v>
      </c>
      <c r="B150" s="703" t="s">
        <v>3312</v>
      </c>
      <c r="C150" s="751" t="s">
        <v>3444</v>
      </c>
      <c r="D150" s="704" t="s">
        <v>47</v>
      </c>
    </row>
    <row r="151" spans="1:4" ht="22.5">
      <c r="A151" s="830"/>
      <c r="B151" s="705" t="s">
        <v>3313</v>
      </c>
      <c r="C151" s="752" t="s">
        <v>1521</v>
      </c>
      <c r="D151" s="832" t="s">
        <v>3445</v>
      </c>
    </row>
    <row r="152" spans="1:4">
      <c r="A152" s="830"/>
      <c r="B152" s="705" t="s">
        <v>3390</v>
      </c>
      <c r="C152" s="752" t="s">
        <v>3442</v>
      </c>
      <c r="D152" s="832"/>
    </row>
    <row r="153" spans="1:4" ht="15.75" thickBot="1">
      <c r="A153" s="831"/>
      <c r="B153" s="706" t="s">
        <v>3392</v>
      </c>
      <c r="C153" s="753" t="s">
        <v>57</v>
      </c>
      <c r="D153" s="833"/>
    </row>
    <row r="154" spans="1:4">
      <c r="A154" s="829">
        <v>39</v>
      </c>
      <c r="B154" s="703" t="s">
        <v>3312</v>
      </c>
      <c r="C154" s="751" t="s">
        <v>3558</v>
      </c>
      <c r="D154" s="704" t="s">
        <v>47</v>
      </c>
    </row>
    <row r="155" spans="1:4" ht="22.5">
      <c r="A155" s="830"/>
      <c r="B155" s="705" t="s">
        <v>3313</v>
      </c>
      <c r="C155" s="752" t="s">
        <v>928</v>
      </c>
      <c r="D155" s="832" t="s">
        <v>1424</v>
      </c>
    </row>
    <row r="156" spans="1:4">
      <c r="A156" s="830"/>
      <c r="B156" s="705" t="s">
        <v>3390</v>
      </c>
      <c r="C156" s="752" t="s">
        <v>3442</v>
      </c>
      <c r="D156" s="832"/>
    </row>
    <row r="157" spans="1:4" ht="15.75" thickBot="1">
      <c r="A157" s="831"/>
      <c r="B157" s="706" t="s">
        <v>3392</v>
      </c>
      <c r="C157" s="753" t="s">
        <v>57</v>
      </c>
      <c r="D157" s="833"/>
    </row>
    <row r="158" spans="1:4">
      <c r="A158" s="829">
        <v>40</v>
      </c>
      <c r="B158" s="703" t="s">
        <v>3312</v>
      </c>
      <c r="C158" s="751" t="s">
        <v>3446</v>
      </c>
      <c r="D158" s="704" t="s">
        <v>47</v>
      </c>
    </row>
    <row r="159" spans="1:4" ht="22.5">
      <c r="A159" s="830"/>
      <c r="B159" s="705" t="s">
        <v>3313</v>
      </c>
      <c r="C159" s="752" t="s">
        <v>930</v>
      </c>
      <c r="D159" s="832" t="s">
        <v>3447</v>
      </c>
    </row>
    <row r="160" spans="1:4">
      <c r="A160" s="830"/>
      <c r="B160" s="705" t="s">
        <v>3390</v>
      </c>
      <c r="C160" s="752" t="s">
        <v>3442</v>
      </c>
      <c r="D160" s="832"/>
    </row>
    <row r="161" spans="1:4" ht="15.75" thickBot="1">
      <c r="A161" s="831"/>
      <c r="B161" s="706" t="s">
        <v>3392</v>
      </c>
      <c r="C161" s="753" t="s">
        <v>57</v>
      </c>
      <c r="D161" s="833"/>
    </row>
    <row r="162" spans="1:4">
      <c r="A162" s="829">
        <v>41</v>
      </c>
      <c r="B162" s="703" t="s">
        <v>3312</v>
      </c>
      <c r="C162" s="751" t="s">
        <v>3448</v>
      </c>
      <c r="D162" s="704" t="s">
        <v>47</v>
      </c>
    </row>
    <row r="163" spans="1:4" ht="33.75">
      <c r="A163" s="830"/>
      <c r="B163" s="705" t="s">
        <v>3313</v>
      </c>
      <c r="C163" s="752" t="s">
        <v>2841</v>
      </c>
      <c r="D163" s="832" t="s">
        <v>1358</v>
      </c>
    </row>
    <row r="164" spans="1:4">
      <c r="A164" s="830"/>
      <c r="B164" s="705" t="s">
        <v>3390</v>
      </c>
      <c r="C164" s="752" t="s">
        <v>3442</v>
      </c>
      <c r="D164" s="832"/>
    </row>
    <row r="165" spans="1:4" ht="15.75" thickBot="1">
      <c r="A165" s="831"/>
      <c r="B165" s="706" t="s">
        <v>3392</v>
      </c>
      <c r="C165" s="753" t="s">
        <v>57</v>
      </c>
      <c r="D165" s="833"/>
    </row>
    <row r="166" spans="1:4">
      <c r="A166" s="829">
        <v>42</v>
      </c>
      <c r="B166" s="703" t="s">
        <v>3312</v>
      </c>
      <c r="C166" s="751" t="s">
        <v>3449</v>
      </c>
      <c r="D166" s="704" t="s">
        <v>47</v>
      </c>
    </row>
    <row r="167" spans="1:4" ht="22.5">
      <c r="A167" s="830"/>
      <c r="B167" s="705" t="s">
        <v>3313</v>
      </c>
      <c r="C167" s="752" t="s">
        <v>2872</v>
      </c>
      <c r="D167" s="832" t="s">
        <v>1393</v>
      </c>
    </row>
    <row r="168" spans="1:4">
      <c r="A168" s="830"/>
      <c r="B168" s="705" t="s">
        <v>3390</v>
      </c>
      <c r="C168" s="752" t="s">
        <v>3442</v>
      </c>
      <c r="D168" s="832"/>
    </row>
    <row r="169" spans="1:4" ht="15.75" thickBot="1">
      <c r="A169" s="831"/>
      <c r="B169" s="706" t="s">
        <v>3392</v>
      </c>
      <c r="C169" s="753" t="s">
        <v>57</v>
      </c>
      <c r="D169" s="833"/>
    </row>
    <row r="170" spans="1:4">
      <c r="A170" s="829">
        <v>43</v>
      </c>
      <c r="B170" s="703" t="s">
        <v>3312</v>
      </c>
      <c r="C170" s="751" t="s">
        <v>3450</v>
      </c>
      <c r="D170" s="704" t="s">
        <v>47</v>
      </c>
    </row>
    <row r="171" spans="1:4">
      <c r="A171" s="830"/>
      <c r="B171" s="705" t="s">
        <v>3313</v>
      </c>
      <c r="C171" s="752" t="s">
        <v>944</v>
      </c>
      <c r="D171" s="832" t="s">
        <v>3451</v>
      </c>
    </row>
    <row r="172" spans="1:4">
      <c r="A172" s="830"/>
      <c r="B172" s="705" t="s">
        <v>3390</v>
      </c>
      <c r="C172" s="752" t="s">
        <v>3442</v>
      </c>
      <c r="D172" s="832"/>
    </row>
    <row r="173" spans="1:4" ht="15.75" thickBot="1">
      <c r="A173" s="831"/>
      <c r="B173" s="706" t="s">
        <v>3392</v>
      </c>
      <c r="C173" s="753" t="s">
        <v>57</v>
      </c>
      <c r="D173" s="833"/>
    </row>
    <row r="174" spans="1:4">
      <c r="A174" s="829">
        <v>44</v>
      </c>
      <c r="B174" s="703" t="s">
        <v>3312</v>
      </c>
      <c r="C174" s="751" t="s">
        <v>3452</v>
      </c>
      <c r="D174" s="704" t="s">
        <v>47</v>
      </c>
    </row>
    <row r="175" spans="1:4" ht="22.5">
      <c r="A175" s="830"/>
      <c r="B175" s="705" t="s">
        <v>3313</v>
      </c>
      <c r="C175" s="752" t="s">
        <v>945</v>
      </c>
      <c r="D175" s="832" t="s">
        <v>3453</v>
      </c>
    </row>
    <row r="176" spans="1:4">
      <c r="A176" s="830"/>
      <c r="B176" s="705" t="s">
        <v>3390</v>
      </c>
      <c r="C176" s="752" t="s">
        <v>3442</v>
      </c>
      <c r="D176" s="832"/>
    </row>
    <row r="177" spans="1:4" ht="15.75" thickBot="1">
      <c r="A177" s="831"/>
      <c r="B177" s="706" t="s">
        <v>3392</v>
      </c>
      <c r="C177" s="753" t="s">
        <v>57</v>
      </c>
      <c r="D177" s="833"/>
    </row>
    <row r="178" spans="1:4">
      <c r="A178" s="829">
        <v>45</v>
      </c>
      <c r="B178" s="703" t="s">
        <v>3312</v>
      </c>
      <c r="C178" s="751" t="s">
        <v>3454</v>
      </c>
      <c r="D178" s="704" t="s">
        <v>47</v>
      </c>
    </row>
    <row r="179" spans="1:4">
      <c r="A179" s="830"/>
      <c r="B179" s="705" t="s">
        <v>3313</v>
      </c>
      <c r="C179" s="752" t="s">
        <v>1587</v>
      </c>
      <c r="D179" s="832" t="s">
        <v>1399</v>
      </c>
    </row>
    <row r="180" spans="1:4">
      <c r="A180" s="830"/>
      <c r="B180" s="705" t="s">
        <v>3390</v>
      </c>
      <c r="C180" s="752" t="s">
        <v>3442</v>
      </c>
      <c r="D180" s="832"/>
    </row>
    <row r="181" spans="1:4" ht="15.75" thickBot="1">
      <c r="A181" s="831"/>
      <c r="B181" s="706" t="s">
        <v>3392</v>
      </c>
      <c r="C181" s="753" t="s">
        <v>57</v>
      </c>
      <c r="D181" s="833"/>
    </row>
    <row r="182" spans="1:4">
      <c r="A182" s="829">
        <v>46</v>
      </c>
      <c r="B182" s="703" t="s">
        <v>3312</v>
      </c>
      <c r="C182" s="751" t="s">
        <v>3455</v>
      </c>
      <c r="D182" s="704" t="s">
        <v>47</v>
      </c>
    </row>
    <row r="183" spans="1:4">
      <c r="A183" s="830"/>
      <c r="B183" s="705" t="s">
        <v>3313</v>
      </c>
      <c r="C183" s="752" t="s">
        <v>950</v>
      </c>
      <c r="D183" s="832" t="s">
        <v>3456</v>
      </c>
    </row>
    <row r="184" spans="1:4">
      <c r="A184" s="830"/>
      <c r="B184" s="705" t="s">
        <v>3390</v>
      </c>
      <c r="C184" s="752" t="s">
        <v>3442</v>
      </c>
      <c r="D184" s="832"/>
    </row>
    <row r="185" spans="1:4" ht="15.75" thickBot="1">
      <c r="A185" s="831"/>
      <c r="B185" s="706" t="s">
        <v>3392</v>
      </c>
      <c r="C185" s="753" t="s">
        <v>57</v>
      </c>
      <c r="D185" s="833"/>
    </row>
    <row r="186" spans="1:4">
      <c r="A186" s="829">
        <v>47</v>
      </c>
      <c r="B186" s="703" t="s">
        <v>3312</v>
      </c>
      <c r="C186" s="751" t="s">
        <v>3457</v>
      </c>
      <c r="D186" s="704" t="s">
        <v>47</v>
      </c>
    </row>
    <row r="187" spans="1:4">
      <c r="A187" s="830"/>
      <c r="B187" s="705" t="s">
        <v>3313</v>
      </c>
      <c r="C187" s="752" t="s">
        <v>2862</v>
      </c>
      <c r="D187" s="834" t="s">
        <v>1372</v>
      </c>
    </row>
    <row r="188" spans="1:4">
      <c r="A188" s="830"/>
      <c r="B188" s="705" t="s">
        <v>3390</v>
      </c>
      <c r="C188" s="752" t="s">
        <v>3442</v>
      </c>
      <c r="D188" s="834"/>
    </row>
    <row r="189" spans="1:4" ht="15.75" thickBot="1">
      <c r="A189" s="831"/>
      <c r="B189" s="706" t="s">
        <v>3392</v>
      </c>
      <c r="C189" s="753" t="s">
        <v>57</v>
      </c>
      <c r="D189" s="835"/>
    </row>
    <row r="190" spans="1:4">
      <c r="A190" s="829">
        <v>48</v>
      </c>
      <c r="B190" s="703" t="s">
        <v>3312</v>
      </c>
      <c r="C190" s="751" t="s">
        <v>3458</v>
      </c>
      <c r="D190" s="704" t="s">
        <v>47</v>
      </c>
    </row>
    <row r="191" spans="1:4" ht="22.5">
      <c r="A191" s="830"/>
      <c r="B191" s="705" t="s">
        <v>3313</v>
      </c>
      <c r="C191" s="752" t="s">
        <v>1582</v>
      </c>
      <c r="D191" s="832" t="s">
        <v>3459</v>
      </c>
    </row>
    <row r="192" spans="1:4">
      <c r="A192" s="830"/>
      <c r="B192" s="705" t="s">
        <v>3390</v>
      </c>
      <c r="C192" s="752" t="s">
        <v>3442</v>
      </c>
      <c r="D192" s="832"/>
    </row>
    <row r="193" spans="1:4" ht="15.75" thickBot="1">
      <c r="A193" s="831"/>
      <c r="B193" s="706" t="s">
        <v>3392</v>
      </c>
      <c r="C193" s="753" t="s">
        <v>101</v>
      </c>
      <c r="D193" s="833"/>
    </row>
    <row r="194" spans="1:4">
      <c r="A194" s="829">
        <v>49</v>
      </c>
      <c r="B194" s="703" t="s">
        <v>3312</v>
      </c>
      <c r="C194" s="751" t="s">
        <v>3460</v>
      </c>
      <c r="D194" s="704" t="s">
        <v>47</v>
      </c>
    </row>
    <row r="195" spans="1:4">
      <c r="A195" s="830"/>
      <c r="B195" s="705" t="s">
        <v>3313</v>
      </c>
      <c r="C195" s="752" t="s">
        <v>2677</v>
      </c>
      <c r="D195" s="832" t="s">
        <v>3461</v>
      </c>
    </row>
    <row r="196" spans="1:4">
      <c r="A196" s="830"/>
      <c r="B196" s="705" t="s">
        <v>3390</v>
      </c>
      <c r="C196" s="752" t="s">
        <v>3423</v>
      </c>
      <c r="D196" s="832"/>
    </row>
    <row r="197" spans="1:4" ht="15.75" thickBot="1">
      <c r="A197" s="831"/>
      <c r="B197" s="706" t="s">
        <v>3392</v>
      </c>
      <c r="C197" s="753" t="s">
        <v>161</v>
      </c>
      <c r="D197" s="833"/>
    </row>
    <row r="198" spans="1:4">
      <c r="A198" s="829">
        <v>50</v>
      </c>
      <c r="B198" s="703" t="s">
        <v>3312</v>
      </c>
      <c r="C198" s="751" t="s">
        <v>3462</v>
      </c>
      <c r="D198" s="704" t="s">
        <v>47</v>
      </c>
    </row>
    <row r="199" spans="1:4" ht="33.75">
      <c r="A199" s="830"/>
      <c r="B199" s="705" t="s">
        <v>3313</v>
      </c>
      <c r="C199" s="752" t="s">
        <v>2688</v>
      </c>
      <c r="D199" s="832" t="s">
        <v>1142</v>
      </c>
    </row>
    <row r="200" spans="1:4">
      <c r="A200" s="830"/>
      <c r="B200" s="705" t="s">
        <v>3390</v>
      </c>
      <c r="C200" s="752" t="s">
        <v>3410</v>
      </c>
      <c r="D200" s="832"/>
    </row>
    <row r="201" spans="1:4" ht="15.75" thickBot="1">
      <c r="A201" s="831"/>
      <c r="B201" s="706" t="s">
        <v>3392</v>
      </c>
      <c r="C201" s="753" t="s">
        <v>94</v>
      </c>
      <c r="D201" s="833"/>
    </row>
    <row r="202" spans="1:4">
      <c r="A202" s="829">
        <v>51</v>
      </c>
      <c r="B202" s="703" t="s">
        <v>3312</v>
      </c>
      <c r="C202" s="751" t="s">
        <v>3463</v>
      </c>
      <c r="D202" s="704" t="s">
        <v>47</v>
      </c>
    </row>
    <row r="203" spans="1:4">
      <c r="A203" s="830"/>
      <c r="B203" s="705" t="s">
        <v>3313</v>
      </c>
      <c r="C203" s="752" t="s">
        <v>868</v>
      </c>
      <c r="D203" s="832" t="s">
        <v>3464</v>
      </c>
    </row>
    <row r="204" spans="1:4">
      <c r="A204" s="830"/>
      <c r="B204" s="705" t="s">
        <v>3390</v>
      </c>
      <c r="C204" s="752" t="s">
        <v>3391</v>
      </c>
      <c r="D204" s="832"/>
    </row>
    <row r="205" spans="1:4" ht="15.75" thickBot="1">
      <c r="A205" s="831"/>
      <c r="B205" s="706" t="s">
        <v>3392</v>
      </c>
      <c r="C205" s="753" t="s">
        <v>57</v>
      </c>
      <c r="D205" s="833"/>
    </row>
    <row r="206" spans="1:4">
      <c r="A206" s="829">
        <v>52</v>
      </c>
      <c r="B206" s="703" t="s">
        <v>3312</v>
      </c>
      <c r="C206" s="751" t="s">
        <v>3465</v>
      </c>
      <c r="D206" s="704" t="s">
        <v>47</v>
      </c>
    </row>
    <row r="207" spans="1:4" ht="22.5">
      <c r="A207" s="830"/>
      <c r="B207" s="705" t="s">
        <v>3313</v>
      </c>
      <c r="C207" s="752" t="s">
        <v>874</v>
      </c>
      <c r="D207" s="834" t="s">
        <v>760</v>
      </c>
    </row>
    <row r="208" spans="1:4">
      <c r="A208" s="830"/>
      <c r="B208" s="705" t="s">
        <v>3390</v>
      </c>
      <c r="C208" s="752" t="s">
        <v>3391</v>
      </c>
      <c r="D208" s="834"/>
    </row>
    <row r="209" spans="1:4" ht="15.75" thickBot="1">
      <c r="A209" s="831"/>
      <c r="B209" s="706" t="s">
        <v>3392</v>
      </c>
      <c r="C209" s="753" t="s">
        <v>57</v>
      </c>
      <c r="D209" s="835"/>
    </row>
    <row r="210" spans="1:4">
      <c r="A210" s="829">
        <v>53</v>
      </c>
      <c r="B210" s="703" t="s">
        <v>3312</v>
      </c>
      <c r="C210" s="751" t="s">
        <v>3467</v>
      </c>
      <c r="D210" s="704" t="s">
        <v>47</v>
      </c>
    </row>
    <row r="211" spans="1:4">
      <c r="A211" s="830"/>
      <c r="B211" s="705" t="s">
        <v>3313</v>
      </c>
      <c r="C211" s="752" t="s">
        <v>870</v>
      </c>
      <c r="D211" s="832" t="s">
        <v>1301</v>
      </c>
    </row>
    <row r="212" spans="1:4">
      <c r="A212" s="830"/>
      <c r="B212" s="705" t="s">
        <v>3390</v>
      </c>
      <c r="C212" s="752" t="s">
        <v>3391</v>
      </c>
      <c r="D212" s="832"/>
    </row>
    <row r="213" spans="1:4" ht="15.75" thickBot="1">
      <c r="A213" s="831"/>
      <c r="B213" s="706" t="s">
        <v>3392</v>
      </c>
      <c r="C213" s="753" t="s">
        <v>57</v>
      </c>
      <c r="D213" s="833"/>
    </row>
    <row r="214" spans="1:4">
      <c r="A214" s="829">
        <v>54</v>
      </c>
      <c r="B214" s="703" t="s">
        <v>3312</v>
      </c>
      <c r="C214" s="751" t="s">
        <v>3468</v>
      </c>
      <c r="D214" s="704" t="s">
        <v>47</v>
      </c>
    </row>
    <row r="215" spans="1:4" ht="22.5">
      <c r="A215" s="830"/>
      <c r="B215" s="705" t="s">
        <v>3313</v>
      </c>
      <c r="C215" s="752" t="s">
        <v>877</v>
      </c>
      <c r="D215" s="832" t="s">
        <v>1279</v>
      </c>
    </row>
    <row r="216" spans="1:4">
      <c r="A216" s="830"/>
      <c r="B216" s="705" t="s">
        <v>3390</v>
      </c>
      <c r="C216" s="752" t="s">
        <v>3391</v>
      </c>
      <c r="D216" s="832"/>
    </row>
    <row r="217" spans="1:4" ht="15.75" thickBot="1">
      <c r="A217" s="831"/>
      <c r="B217" s="706" t="s">
        <v>3392</v>
      </c>
      <c r="C217" s="753" t="s">
        <v>57</v>
      </c>
      <c r="D217" s="833"/>
    </row>
    <row r="218" spans="1:4">
      <c r="A218" s="829">
        <v>55</v>
      </c>
      <c r="B218" s="703" t="s">
        <v>3312</v>
      </c>
      <c r="C218" s="751" t="s">
        <v>3469</v>
      </c>
      <c r="D218" s="704" t="s">
        <v>47</v>
      </c>
    </row>
    <row r="219" spans="1:4" ht="33.75">
      <c r="A219" s="830"/>
      <c r="B219" s="705" t="s">
        <v>3313</v>
      </c>
      <c r="C219" s="752" t="s">
        <v>2804</v>
      </c>
      <c r="D219" s="832" t="s">
        <v>760</v>
      </c>
    </row>
    <row r="220" spans="1:4">
      <c r="A220" s="830"/>
      <c r="B220" s="705" t="s">
        <v>3390</v>
      </c>
      <c r="C220" s="752" t="s">
        <v>3391</v>
      </c>
      <c r="D220" s="832"/>
    </row>
    <row r="221" spans="1:4" ht="15.75" thickBot="1">
      <c r="A221" s="831"/>
      <c r="B221" s="706" t="s">
        <v>3392</v>
      </c>
      <c r="C221" s="753" t="s">
        <v>57</v>
      </c>
      <c r="D221" s="833"/>
    </row>
    <row r="222" spans="1:4">
      <c r="A222" s="829">
        <v>56</v>
      </c>
      <c r="B222" s="703" t="s">
        <v>3312</v>
      </c>
      <c r="C222" s="751" t="s">
        <v>3470</v>
      </c>
      <c r="D222" s="704" t="s">
        <v>47</v>
      </c>
    </row>
    <row r="223" spans="1:4">
      <c r="A223" s="830"/>
      <c r="B223" s="705" t="s">
        <v>3313</v>
      </c>
      <c r="C223" s="752" t="s">
        <v>937</v>
      </c>
      <c r="D223" s="832" t="s">
        <v>760</v>
      </c>
    </row>
    <row r="224" spans="1:4">
      <c r="A224" s="830"/>
      <c r="B224" s="705" t="s">
        <v>3390</v>
      </c>
      <c r="C224" s="752" t="s">
        <v>3391</v>
      </c>
      <c r="D224" s="832"/>
    </row>
    <row r="225" spans="1:4" ht="15.75" thickBot="1">
      <c r="A225" s="831"/>
      <c r="B225" s="706" t="s">
        <v>3392</v>
      </c>
      <c r="C225" s="753" t="s">
        <v>57</v>
      </c>
      <c r="D225" s="833"/>
    </row>
    <row r="226" spans="1:4">
      <c r="A226" s="829">
        <v>57</v>
      </c>
      <c r="B226" s="703" t="s">
        <v>3312</v>
      </c>
      <c r="C226" s="751" t="s">
        <v>3473</v>
      </c>
      <c r="D226" s="704" t="s">
        <v>47</v>
      </c>
    </row>
    <row r="227" spans="1:4" ht="22.5">
      <c r="A227" s="830"/>
      <c r="B227" s="705" t="s">
        <v>3313</v>
      </c>
      <c r="C227" s="752" t="s">
        <v>2019</v>
      </c>
      <c r="D227" s="832" t="s">
        <v>3474</v>
      </c>
    </row>
    <row r="228" spans="1:4">
      <c r="A228" s="830"/>
      <c r="B228" s="705" t="s">
        <v>3390</v>
      </c>
      <c r="C228" s="752" t="s">
        <v>3391</v>
      </c>
      <c r="D228" s="832"/>
    </row>
    <row r="229" spans="1:4" ht="15.75" thickBot="1">
      <c r="A229" s="831"/>
      <c r="B229" s="706" t="s">
        <v>3392</v>
      </c>
      <c r="C229" s="753" t="s">
        <v>57</v>
      </c>
      <c r="D229" s="833"/>
    </row>
    <row r="230" spans="1:4">
      <c r="A230" s="829">
        <v>58</v>
      </c>
      <c r="B230" s="703" t="s">
        <v>3312</v>
      </c>
      <c r="C230" s="751" t="s">
        <v>3475</v>
      </c>
      <c r="D230" s="704" t="s">
        <v>47</v>
      </c>
    </row>
    <row r="231" spans="1:4" ht="22.5">
      <c r="A231" s="830"/>
      <c r="B231" s="705" t="s">
        <v>3313</v>
      </c>
      <c r="C231" s="752" t="s">
        <v>2014</v>
      </c>
      <c r="D231" s="834" t="s">
        <v>3476</v>
      </c>
    </row>
    <row r="232" spans="1:4">
      <c r="A232" s="830"/>
      <c r="B232" s="705" t="s">
        <v>3390</v>
      </c>
      <c r="C232" s="752" t="s">
        <v>3391</v>
      </c>
      <c r="D232" s="834"/>
    </row>
    <row r="233" spans="1:4" ht="15.75" thickBot="1">
      <c r="A233" s="831"/>
      <c r="B233" s="706" t="s">
        <v>3392</v>
      </c>
      <c r="C233" s="753" t="s">
        <v>57</v>
      </c>
      <c r="D233" s="835"/>
    </row>
    <row r="234" spans="1:4">
      <c r="A234" s="829">
        <v>59</v>
      </c>
      <c r="B234" s="703" t="s">
        <v>3312</v>
      </c>
      <c r="C234" s="751" t="s">
        <v>4168</v>
      </c>
      <c r="D234" s="704" t="s">
        <v>47</v>
      </c>
    </row>
    <row r="235" spans="1:4" ht="67.5">
      <c r="A235" s="830"/>
      <c r="B235" s="705" t="s">
        <v>3313</v>
      </c>
      <c r="C235" s="752" t="s">
        <v>2041</v>
      </c>
      <c r="D235" s="832" t="s">
        <v>760</v>
      </c>
    </row>
    <row r="236" spans="1:4">
      <c r="A236" s="830"/>
      <c r="B236" s="705" t="s">
        <v>3390</v>
      </c>
      <c r="C236" s="752" t="s">
        <v>3391</v>
      </c>
      <c r="D236" s="832"/>
    </row>
    <row r="237" spans="1:4" ht="15.75" thickBot="1">
      <c r="A237" s="831"/>
      <c r="B237" s="706" t="s">
        <v>3392</v>
      </c>
      <c r="C237" s="753" t="s">
        <v>57</v>
      </c>
      <c r="D237" s="833"/>
    </row>
    <row r="238" spans="1:4">
      <c r="A238" s="829">
        <v>60</v>
      </c>
      <c r="B238" s="703" t="s">
        <v>3312</v>
      </c>
      <c r="C238" s="751" t="s">
        <v>4985</v>
      </c>
      <c r="D238" s="704" t="s">
        <v>47</v>
      </c>
    </row>
    <row r="239" spans="1:4" ht="67.5">
      <c r="A239" s="830"/>
      <c r="B239" s="705" t="s">
        <v>3313</v>
      </c>
      <c r="C239" s="752" t="s">
        <v>2037</v>
      </c>
      <c r="D239" s="832" t="s">
        <v>760</v>
      </c>
    </row>
    <row r="240" spans="1:4">
      <c r="A240" s="830"/>
      <c r="B240" s="705" t="s">
        <v>3390</v>
      </c>
      <c r="C240" s="752" t="s">
        <v>3391</v>
      </c>
      <c r="D240" s="832"/>
    </row>
    <row r="241" spans="1:4" ht="15.75" thickBot="1">
      <c r="A241" s="831"/>
      <c r="B241" s="706" t="s">
        <v>3392</v>
      </c>
      <c r="C241" s="753" t="s">
        <v>57</v>
      </c>
      <c r="D241" s="833"/>
    </row>
    <row r="242" spans="1:4">
      <c r="A242" s="829">
        <v>61</v>
      </c>
      <c r="B242" s="703" t="s">
        <v>3312</v>
      </c>
      <c r="C242" s="751" t="s">
        <v>3477</v>
      </c>
      <c r="D242" s="704" t="s">
        <v>47</v>
      </c>
    </row>
    <row r="243" spans="1:4" ht="22.5">
      <c r="A243" s="830"/>
      <c r="B243" s="705" t="s">
        <v>3313</v>
      </c>
      <c r="C243" s="752" t="s">
        <v>2022</v>
      </c>
      <c r="D243" s="832" t="s">
        <v>760</v>
      </c>
    </row>
    <row r="244" spans="1:4">
      <c r="A244" s="830"/>
      <c r="B244" s="705" t="s">
        <v>3390</v>
      </c>
      <c r="C244" s="752" t="s">
        <v>3391</v>
      </c>
      <c r="D244" s="832"/>
    </row>
    <row r="245" spans="1:4" ht="15.75" thickBot="1">
      <c r="A245" s="831"/>
      <c r="B245" s="706" t="s">
        <v>3392</v>
      </c>
      <c r="C245" s="753" t="s">
        <v>57</v>
      </c>
      <c r="D245" s="833"/>
    </row>
    <row r="246" spans="1:4">
      <c r="A246" s="829">
        <v>62</v>
      </c>
      <c r="B246" s="703" t="s">
        <v>3312</v>
      </c>
      <c r="C246" s="751" t="s">
        <v>3478</v>
      </c>
      <c r="D246" s="704" t="s">
        <v>47</v>
      </c>
    </row>
    <row r="247" spans="1:4" ht="22.5">
      <c r="A247" s="830"/>
      <c r="B247" s="705" t="s">
        <v>3313</v>
      </c>
      <c r="C247" s="752" t="s">
        <v>2043</v>
      </c>
      <c r="D247" s="832" t="s">
        <v>2044</v>
      </c>
    </row>
    <row r="248" spans="1:4">
      <c r="A248" s="830"/>
      <c r="B248" s="705" t="s">
        <v>3390</v>
      </c>
      <c r="C248" s="752" t="s">
        <v>3391</v>
      </c>
      <c r="D248" s="832"/>
    </row>
    <row r="249" spans="1:4" ht="15.75" thickBot="1">
      <c r="A249" s="831"/>
      <c r="B249" s="706" t="s">
        <v>3392</v>
      </c>
      <c r="C249" s="753" t="s">
        <v>57</v>
      </c>
      <c r="D249" s="833"/>
    </row>
    <row r="250" spans="1:4">
      <c r="A250" s="829">
        <v>63</v>
      </c>
      <c r="B250" s="703" t="s">
        <v>3312</v>
      </c>
      <c r="C250" s="751" t="s">
        <v>3479</v>
      </c>
      <c r="D250" s="704" t="s">
        <v>47</v>
      </c>
    </row>
    <row r="251" spans="1:4" ht="22.5">
      <c r="A251" s="830"/>
      <c r="B251" s="705" t="s">
        <v>3313</v>
      </c>
      <c r="C251" s="752" t="s">
        <v>2701</v>
      </c>
      <c r="D251" s="834" t="s">
        <v>2511</v>
      </c>
    </row>
    <row r="252" spans="1:4">
      <c r="A252" s="830"/>
      <c r="B252" s="705" t="s">
        <v>3390</v>
      </c>
      <c r="C252" s="752" t="s">
        <v>3480</v>
      </c>
      <c r="D252" s="834"/>
    </row>
    <row r="253" spans="1:4" ht="15.75" thickBot="1">
      <c r="A253" s="831"/>
      <c r="B253" s="706" t="s">
        <v>3392</v>
      </c>
      <c r="C253" s="753" t="s">
        <v>101</v>
      </c>
      <c r="D253" s="835"/>
    </row>
    <row r="254" spans="1:4">
      <c r="A254" s="829">
        <v>64</v>
      </c>
      <c r="B254" s="703" t="s">
        <v>3312</v>
      </c>
      <c r="C254" s="751" t="s">
        <v>4651</v>
      </c>
      <c r="D254" s="704" t="s">
        <v>47</v>
      </c>
    </row>
    <row r="255" spans="1:4" ht="22.5">
      <c r="A255" s="830"/>
      <c r="B255" s="705" t="s">
        <v>3313</v>
      </c>
      <c r="C255" s="752" t="s">
        <v>2113</v>
      </c>
      <c r="D255" s="834" t="s">
        <v>5205</v>
      </c>
    </row>
    <row r="256" spans="1:4">
      <c r="A256" s="830"/>
      <c r="B256" s="705" t="s">
        <v>3390</v>
      </c>
      <c r="C256" s="752" t="s">
        <v>3435</v>
      </c>
      <c r="D256" s="834"/>
    </row>
    <row r="257" spans="1:4" ht="15.75" thickBot="1">
      <c r="A257" s="831"/>
      <c r="B257" s="706" t="s">
        <v>3392</v>
      </c>
      <c r="C257" s="753" t="s">
        <v>161</v>
      </c>
      <c r="D257" s="835"/>
    </row>
    <row r="258" spans="1:4">
      <c r="A258" s="829">
        <v>65</v>
      </c>
      <c r="B258" s="703" t="s">
        <v>3312</v>
      </c>
      <c r="C258" s="751" t="s">
        <v>4780</v>
      </c>
      <c r="D258" s="704" t="s">
        <v>47</v>
      </c>
    </row>
    <row r="259" spans="1:4" ht="22.5">
      <c r="A259" s="830"/>
      <c r="B259" s="705" t="s">
        <v>3313</v>
      </c>
      <c r="C259" s="752" t="s">
        <v>2054</v>
      </c>
      <c r="D259" s="834" t="s">
        <v>5206</v>
      </c>
    </row>
    <row r="260" spans="1:4">
      <c r="A260" s="830"/>
      <c r="B260" s="705" t="s">
        <v>3390</v>
      </c>
      <c r="C260" s="752" t="s">
        <v>3435</v>
      </c>
      <c r="D260" s="834"/>
    </row>
    <row r="261" spans="1:4" ht="15.75" thickBot="1">
      <c r="A261" s="831"/>
      <c r="B261" s="706" t="s">
        <v>3392</v>
      </c>
      <c r="C261" s="753" t="s">
        <v>101</v>
      </c>
      <c r="D261" s="835"/>
    </row>
    <row r="262" spans="1:4">
      <c r="A262" s="829">
        <v>66</v>
      </c>
      <c r="B262" s="703" t="s">
        <v>3312</v>
      </c>
      <c r="C262" s="751" t="s">
        <v>4080</v>
      </c>
      <c r="D262" s="704" t="s">
        <v>47</v>
      </c>
    </row>
    <row r="263" spans="1:4" ht="33.75">
      <c r="A263" s="830"/>
      <c r="B263" s="705" t="s">
        <v>3313</v>
      </c>
      <c r="C263" s="752" t="s">
        <v>3088</v>
      </c>
      <c r="D263" s="832" t="s">
        <v>5207</v>
      </c>
    </row>
    <row r="264" spans="1:4">
      <c r="A264" s="830"/>
      <c r="B264" s="705" t="s">
        <v>3390</v>
      </c>
      <c r="C264" s="752" t="s">
        <v>3391</v>
      </c>
      <c r="D264" s="832"/>
    </row>
    <row r="265" spans="1:4" ht="15.75" thickBot="1">
      <c r="A265" s="831"/>
      <c r="B265" s="706" t="s">
        <v>3392</v>
      </c>
      <c r="C265" s="753" t="s">
        <v>57</v>
      </c>
      <c r="D265" s="833"/>
    </row>
    <row r="266" spans="1:4">
      <c r="A266" s="829">
        <v>67</v>
      </c>
      <c r="B266" s="703" t="s">
        <v>3312</v>
      </c>
      <c r="C266" s="751" t="s">
        <v>4911</v>
      </c>
      <c r="D266" s="704" t="s">
        <v>47</v>
      </c>
    </row>
    <row r="267" spans="1:4" ht="22.5">
      <c r="A267" s="830"/>
      <c r="B267" s="705" t="s">
        <v>3313</v>
      </c>
      <c r="C267" s="752" t="s">
        <v>1984</v>
      </c>
      <c r="D267" s="834" t="s">
        <v>5208</v>
      </c>
    </row>
    <row r="268" spans="1:4">
      <c r="A268" s="830"/>
      <c r="B268" s="705" t="s">
        <v>3390</v>
      </c>
      <c r="C268" s="752" t="s">
        <v>3391</v>
      </c>
      <c r="D268" s="834"/>
    </row>
    <row r="269" spans="1:4" ht="15.75" thickBot="1">
      <c r="A269" s="831"/>
      <c r="B269" s="706" t="s">
        <v>3392</v>
      </c>
      <c r="C269" s="753" t="s">
        <v>57</v>
      </c>
      <c r="D269" s="835"/>
    </row>
    <row r="270" spans="1:4">
      <c r="A270" s="829">
        <v>68</v>
      </c>
      <c r="B270" s="703" t="s">
        <v>3312</v>
      </c>
      <c r="C270" s="751" t="s">
        <v>3481</v>
      </c>
      <c r="D270" s="704" t="s">
        <v>47</v>
      </c>
    </row>
    <row r="271" spans="1:4">
      <c r="A271" s="830"/>
      <c r="B271" s="705" t="s">
        <v>3313</v>
      </c>
      <c r="C271" s="752" t="s">
        <v>2000</v>
      </c>
      <c r="D271" s="834" t="s">
        <v>3482</v>
      </c>
    </row>
    <row r="272" spans="1:4">
      <c r="A272" s="830"/>
      <c r="B272" s="705" t="s">
        <v>3390</v>
      </c>
      <c r="C272" s="752" t="s">
        <v>3391</v>
      </c>
      <c r="D272" s="834"/>
    </row>
    <row r="273" spans="1:4" ht="15.75" thickBot="1">
      <c r="A273" s="831"/>
      <c r="B273" s="706" t="s">
        <v>3392</v>
      </c>
      <c r="C273" s="753" t="s">
        <v>57</v>
      </c>
      <c r="D273" s="835"/>
    </row>
    <row r="274" spans="1:4">
      <c r="A274" s="829">
        <v>69</v>
      </c>
      <c r="B274" s="703" t="s">
        <v>3312</v>
      </c>
      <c r="C274" s="751" t="s">
        <v>3483</v>
      </c>
      <c r="D274" s="704" t="s">
        <v>47</v>
      </c>
    </row>
    <row r="275" spans="1:4">
      <c r="A275" s="830"/>
      <c r="B275" s="705" t="s">
        <v>3313</v>
      </c>
      <c r="C275" s="752" t="s">
        <v>2479</v>
      </c>
      <c r="D275" s="834" t="s">
        <v>2480</v>
      </c>
    </row>
    <row r="276" spans="1:4">
      <c r="A276" s="830"/>
      <c r="B276" s="705" t="s">
        <v>3390</v>
      </c>
      <c r="C276" s="752" t="s">
        <v>3391</v>
      </c>
      <c r="D276" s="834"/>
    </row>
    <row r="277" spans="1:4" ht="15.75" thickBot="1">
      <c r="A277" s="831"/>
      <c r="B277" s="706" t="s">
        <v>3392</v>
      </c>
      <c r="C277" s="753" t="s">
        <v>57</v>
      </c>
      <c r="D277" s="835"/>
    </row>
    <row r="278" spans="1:4">
      <c r="A278" s="829">
        <v>70</v>
      </c>
      <c r="B278" s="703" t="s">
        <v>3312</v>
      </c>
      <c r="C278" s="751" t="s">
        <v>3484</v>
      </c>
      <c r="D278" s="704" t="s">
        <v>47</v>
      </c>
    </row>
    <row r="279" spans="1:4" ht="67.5">
      <c r="A279" s="830"/>
      <c r="B279" s="705" t="s">
        <v>3313</v>
      </c>
      <c r="C279" s="752" t="s">
        <v>872</v>
      </c>
      <c r="D279" s="834" t="s">
        <v>760</v>
      </c>
    </row>
    <row r="280" spans="1:4">
      <c r="A280" s="830"/>
      <c r="B280" s="705" t="s">
        <v>3390</v>
      </c>
      <c r="C280" s="752" t="s">
        <v>3391</v>
      </c>
      <c r="D280" s="834"/>
    </row>
    <row r="281" spans="1:4" ht="15.75" thickBot="1">
      <c r="A281" s="831"/>
      <c r="B281" s="706" t="s">
        <v>3392</v>
      </c>
      <c r="C281" s="753" t="s">
        <v>57</v>
      </c>
      <c r="D281" s="835"/>
    </row>
    <row r="282" spans="1:4">
      <c r="A282" s="829">
        <v>71</v>
      </c>
      <c r="B282" s="703" t="s">
        <v>3312</v>
      </c>
      <c r="C282" s="751" t="s">
        <v>3485</v>
      </c>
      <c r="D282" s="704" t="s">
        <v>47</v>
      </c>
    </row>
    <row r="283" spans="1:4" ht="22.5">
      <c r="A283" s="830"/>
      <c r="B283" s="705" t="s">
        <v>3313</v>
      </c>
      <c r="C283" s="752" t="s">
        <v>3486</v>
      </c>
      <c r="D283" s="832" t="s">
        <v>760</v>
      </c>
    </row>
    <row r="284" spans="1:4">
      <c r="A284" s="830"/>
      <c r="B284" s="705" t="s">
        <v>3390</v>
      </c>
      <c r="C284" s="752" t="s">
        <v>3391</v>
      </c>
      <c r="D284" s="832"/>
    </row>
    <row r="285" spans="1:4" ht="15.75" thickBot="1">
      <c r="A285" s="831"/>
      <c r="B285" s="706" t="s">
        <v>3392</v>
      </c>
      <c r="C285" s="753" t="s">
        <v>57</v>
      </c>
      <c r="D285" s="833"/>
    </row>
    <row r="286" spans="1:4">
      <c r="A286" s="829">
        <v>72</v>
      </c>
      <c r="B286" s="703" t="s">
        <v>3312</v>
      </c>
      <c r="C286" s="751" t="s">
        <v>3487</v>
      </c>
      <c r="D286" s="704" t="s">
        <v>47</v>
      </c>
    </row>
    <row r="287" spans="1:4">
      <c r="A287" s="830"/>
      <c r="B287" s="705" t="s">
        <v>3313</v>
      </c>
      <c r="C287" s="752" t="s">
        <v>2458</v>
      </c>
      <c r="D287" s="832" t="s">
        <v>2459</v>
      </c>
    </row>
    <row r="288" spans="1:4">
      <c r="A288" s="830"/>
      <c r="B288" s="705" t="s">
        <v>3390</v>
      </c>
      <c r="C288" s="752" t="s">
        <v>3391</v>
      </c>
      <c r="D288" s="832"/>
    </row>
    <row r="289" spans="1:4" ht="15.75" thickBot="1">
      <c r="A289" s="831"/>
      <c r="B289" s="706" t="s">
        <v>3392</v>
      </c>
      <c r="C289" s="753" t="s">
        <v>57</v>
      </c>
      <c r="D289" s="833"/>
    </row>
    <row r="290" spans="1:4">
      <c r="A290" s="829">
        <v>73</v>
      </c>
      <c r="B290" s="703" t="s">
        <v>3312</v>
      </c>
      <c r="C290" s="751" t="s">
        <v>3488</v>
      </c>
      <c r="D290" s="704" t="s">
        <v>47</v>
      </c>
    </row>
    <row r="291" spans="1:4" ht="45">
      <c r="A291" s="830"/>
      <c r="B291" s="705" t="s">
        <v>3313</v>
      </c>
      <c r="C291" s="752" t="s">
        <v>2775</v>
      </c>
      <c r="D291" s="832" t="s">
        <v>2616</v>
      </c>
    </row>
    <row r="292" spans="1:4">
      <c r="A292" s="830"/>
      <c r="B292" s="705" t="s">
        <v>3390</v>
      </c>
      <c r="C292" s="752" t="s">
        <v>3391</v>
      </c>
      <c r="D292" s="832"/>
    </row>
    <row r="293" spans="1:4" ht="15.75" thickBot="1">
      <c r="A293" s="831"/>
      <c r="B293" s="706" t="s">
        <v>3392</v>
      </c>
      <c r="C293" s="753" t="s">
        <v>57</v>
      </c>
      <c r="D293" s="833"/>
    </row>
    <row r="294" spans="1:4">
      <c r="A294" s="829">
        <v>74</v>
      </c>
      <c r="B294" s="703" t="s">
        <v>3312</v>
      </c>
      <c r="C294" s="751" t="s">
        <v>3489</v>
      </c>
      <c r="D294" s="704" t="s">
        <v>47</v>
      </c>
    </row>
    <row r="295" spans="1:4" ht="22.5">
      <c r="A295" s="830"/>
      <c r="B295" s="705" t="s">
        <v>3313</v>
      </c>
      <c r="C295" s="752" t="s">
        <v>1469</v>
      </c>
      <c r="D295" s="832" t="s">
        <v>1470</v>
      </c>
    </row>
    <row r="296" spans="1:4">
      <c r="A296" s="830"/>
      <c r="B296" s="705" t="s">
        <v>3390</v>
      </c>
      <c r="C296" s="752" t="s">
        <v>3490</v>
      </c>
      <c r="D296" s="832"/>
    </row>
    <row r="297" spans="1:4" ht="15.75" thickBot="1">
      <c r="A297" s="831"/>
      <c r="B297" s="706" t="s">
        <v>3392</v>
      </c>
      <c r="C297" s="753" t="s">
        <v>161</v>
      </c>
      <c r="D297" s="833"/>
    </row>
    <row r="298" spans="1:4">
      <c r="A298" s="829">
        <v>75</v>
      </c>
      <c r="B298" s="703" t="s">
        <v>3312</v>
      </c>
      <c r="C298" s="751" t="s">
        <v>4772</v>
      </c>
      <c r="D298" s="704" t="s">
        <v>47</v>
      </c>
    </row>
    <row r="299" spans="1:4">
      <c r="A299" s="830"/>
      <c r="B299" s="705" t="s">
        <v>3313</v>
      </c>
      <c r="C299" s="752" t="s">
        <v>1486</v>
      </c>
      <c r="D299" s="832" t="s">
        <v>5209</v>
      </c>
    </row>
    <row r="300" spans="1:4">
      <c r="A300" s="830"/>
      <c r="B300" s="705" t="s">
        <v>3390</v>
      </c>
      <c r="C300" s="752" t="s">
        <v>3493</v>
      </c>
      <c r="D300" s="832"/>
    </row>
    <row r="301" spans="1:4" ht="15.75" thickBot="1">
      <c r="A301" s="831"/>
      <c r="B301" s="706" t="s">
        <v>3392</v>
      </c>
      <c r="C301" s="753" t="s">
        <v>161</v>
      </c>
      <c r="D301" s="833"/>
    </row>
    <row r="302" spans="1:4">
      <c r="A302" s="829">
        <v>76</v>
      </c>
      <c r="B302" s="703" t="s">
        <v>3312</v>
      </c>
      <c r="C302" s="751" t="s">
        <v>3491</v>
      </c>
      <c r="D302" s="704" t="s">
        <v>47</v>
      </c>
    </row>
    <row r="303" spans="1:4" ht="22.5">
      <c r="A303" s="830"/>
      <c r="B303" s="705" t="s">
        <v>3313</v>
      </c>
      <c r="C303" s="752" t="s">
        <v>2599</v>
      </c>
      <c r="D303" s="834" t="s">
        <v>3492</v>
      </c>
    </row>
    <row r="304" spans="1:4">
      <c r="A304" s="830"/>
      <c r="B304" s="705" t="s">
        <v>3390</v>
      </c>
      <c r="C304" s="752" t="s">
        <v>3493</v>
      </c>
      <c r="D304" s="834"/>
    </row>
    <row r="305" spans="1:4" ht="15.75" thickBot="1">
      <c r="A305" s="831"/>
      <c r="B305" s="706" t="s">
        <v>3392</v>
      </c>
      <c r="C305" s="753" t="s">
        <v>101</v>
      </c>
      <c r="D305" s="835"/>
    </row>
    <row r="306" spans="1:4">
      <c r="A306" s="829">
        <v>77</v>
      </c>
      <c r="B306" s="703" t="s">
        <v>3312</v>
      </c>
      <c r="C306" s="751" t="s">
        <v>3494</v>
      </c>
      <c r="D306" s="704" t="s">
        <v>47</v>
      </c>
    </row>
    <row r="307" spans="1:4">
      <c r="A307" s="830"/>
      <c r="B307" s="705" t="s">
        <v>3313</v>
      </c>
      <c r="C307" s="752" t="s">
        <v>832</v>
      </c>
      <c r="D307" s="834" t="s">
        <v>1299</v>
      </c>
    </row>
    <row r="308" spans="1:4">
      <c r="A308" s="830"/>
      <c r="B308" s="705" t="s">
        <v>3390</v>
      </c>
      <c r="C308" s="752" t="s">
        <v>3430</v>
      </c>
      <c r="D308" s="834"/>
    </row>
    <row r="309" spans="1:4" ht="15.75" thickBot="1">
      <c r="A309" s="831"/>
      <c r="B309" s="706" t="s">
        <v>3392</v>
      </c>
      <c r="C309" s="753" t="s">
        <v>57</v>
      </c>
      <c r="D309" s="835"/>
    </row>
    <row r="310" spans="1:4">
      <c r="A310" s="829">
        <v>78</v>
      </c>
      <c r="B310" s="703" t="s">
        <v>3312</v>
      </c>
      <c r="C310" s="751" t="s">
        <v>3495</v>
      </c>
      <c r="D310" s="704" t="s">
        <v>47</v>
      </c>
    </row>
    <row r="311" spans="1:4" ht="22.5">
      <c r="A311" s="830"/>
      <c r="B311" s="705" t="s">
        <v>3313</v>
      </c>
      <c r="C311" s="752" t="s">
        <v>836</v>
      </c>
      <c r="D311" s="832" t="s">
        <v>760</v>
      </c>
    </row>
    <row r="312" spans="1:4">
      <c r="A312" s="830"/>
      <c r="B312" s="705" t="s">
        <v>3390</v>
      </c>
      <c r="C312" s="752" t="s">
        <v>3430</v>
      </c>
      <c r="D312" s="832"/>
    </row>
    <row r="313" spans="1:4" ht="15.75" thickBot="1">
      <c r="A313" s="831"/>
      <c r="B313" s="706" t="s">
        <v>3392</v>
      </c>
      <c r="C313" s="753" t="s">
        <v>57</v>
      </c>
      <c r="D313" s="833"/>
    </row>
    <row r="314" spans="1:4">
      <c r="A314" s="829">
        <v>79</v>
      </c>
      <c r="B314" s="703" t="s">
        <v>3312</v>
      </c>
      <c r="C314" s="751" t="s">
        <v>3496</v>
      </c>
      <c r="D314" s="704" t="s">
        <v>47</v>
      </c>
    </row>
    <row r="315" spans="1:4" ht="33.75">
      <c r="A315" s="830"/>
      <c r="B315" s="705" t="s">
        <v>3313</v>
      </c>
      <c r="C315" s="752" t="s">
        <v>812</v>
      </c>
      <c r="D315" s="832" t="s">
        <v>760</v>
      </c>
    </row>
    <row r="316" spans="1:4">
      <c r="A316" s="830"/>
      <c r="B316" s="705" t="s">
        <v>3390</v>
      </c>
      <c r="C316" s="752" t="s">
        <v>3430</v>
      </c>
      <c r="D316" s="832"/>
    </row>
    <row r="317" spans="1:4" ht="15.75" thickBot="1">
      <c r="A317" s="831"/>
      <c r="B317" s="706" t="s">
        <v>3392</v>
      </c>
      <c r="C317" s="753" t="s">
        <v>57</v>
      </c>
      <c r="D317" s="833"/>
    </row>
    <row r="318" spans="1:4">
      <c r="A318" s="829">
        <v>80</v>
      </c>
      <c r="B318" s="703" t="s">
        <v>3312</v>
      </c>
      <c r="C318" s="751" t="s">
        <v>3497</v>
      </c>
      <c r="D318" s="704" t="s">
        <v>47</v>
      </c>
    </row>
    <row r="319" spans="1:4" ht="22.5">
      <c r="A319" s="830"/>
      <c r="B319" s="705" t="s">
        <v>3313</v>
      </c>
      <c r="C319" s="752" t="s">
        <v>806</v>
      </c>
      <c r="D319" s="832" t="s">
        <v>3425</v>
      </c>
    </row>
    <row r="320" spans="1:4">
      <c r="A320" s="830"/>
      <c r="B320" s="705" t="s">
        <v>3390</v>
      </c>
      <c r="C320" s="752" t="s">
        <v>3430</v>
      </c>
      <c r="D320" s="832"/>
    </row>
    <row r="321" spans="1:4" ht="15.75" thickBot="1">
      <c r="A321" s="831"/>
      <c r="B321" s="706" t="s">
        <v>3392</v>
      </c>
      <c r="C321" s="753" t="s">
        <v>57</v>
      </c>
      <c r="D321" s="833"/>
    </row>
    <row r="322" spans="1:4">
      <c r="A322" s="829">
        <v>81</v>
      </c>
      <c r="B322" s="703" t="s">
        <v>3312</v>
      </c>
      <c r="C322" s="751" t="s">
        <v>3498</v>
      </c>
      <c r="D322" s="704" t="s">
        <v>47</v>
      </c>
    </row>
    <row r="323" spans="1:4" ht="22.5">
      <c r="A323" s="830"/>
      <c r="B323" s="705" t="s">
        <v>3313</v>
      </c>
      <c r="C323" s="752" t="s">
        <v>808</v>
      </c>
      <c r="D323" s="832" t="s">
        <v>5210</v>
      </c>
    </row>
    <row r="324" spans="1:4">
      <c r="A324" s="830"/>
      <c r="B324" s="705" t="s">
        <v>3390</v>
      </c>
      <c r="C324" s="752" t="s">
        <v>3430</v>
      </c>
      <c r="D324" s="832"/>
    </row>
    <row r="325" spans="1:4" ht="15.75" thickBot="1">
      <c r="A325" s="831"/>
      <c r="B325" s="706" t="s">
        <v>3392</v>
      </c>
      <c r="C325" s="753" t="s">
        <v>161</v>
      </c>
      <c r="D325" s="833"/>
    </row>
    <row r="326" spans="1:4">
      <c r="A326" s="829">
        <v>82</v>
      </c>
      <c r="B326" s="703" t="s">
        <v>3312</v>
      </c>
      <c r="C326" s="751" t="s">
        <v>3499</v>
      </c>
      <c r="D326" s="704" t="s">
        <v>47</v>
      </c>
    </row>
    <row r="327" spans="1:4" ht="33.75">
      <c r="A327" s="830"/>
      <c r="B327" s="705" t="s">
        <v>3313</v>
      </c>
      <c r="C327" s="752" t="s">
        <v>810</v>
      </c>
      <c r="D327" s="832" t="s">
        <v>1230</v>
      </c>
    </row>
    <row r="328" spans="1:4">
      <c r="A328" s="830"/>
      <c r="B328" s="705" t="s">
        <v>3390</v>
      </c>
      <c r="C328" s="752" t="s">
        <v>3430</v>
      </c>
      <c r="D328" s="832"/>
    </row>
    <row r="329" spans="1:4" ht="15.75" thickBot="1">
      <c r="A329" s="831"/>
      <c r="B329" s="706" t="s">
        <v>3392</v>
      </c>
      <c r="C329" s="753" t="s">
        <v>161</v>
      </c>
      <c r="D329" s="833"/>
    </row>
    <row r="330" spans="1:4">
      <c r="A330" s="829">
        <v>83</v>
      </c>
      <c r="B330" s="703" t="s">
        <v>3312</v>
      </c>
      <c r="C330" s="751" t="s">
        <v>3500</v>
      </c>
      <c r="D330" s="704" t="s">
        <v>47</v>
      </c>
    </row>
    <row r="331" spans="1:4">
      <c r="A331" s="830"/>
      <c r="B331" s="705" t="s">
        <v>3313</v>
      </c>
      <c r="C331" s="752" t="s">
        <v>814</v>
      </c>
      <c r="D331" s="832" t="s">
        <v>3501</v>
      </c>
    </row>
    <row r="332" spans="1:4">
      <c r="A332" s="830"/>
      <c r="B332" s="705" t="s">
        <v>3390</v>
      </c>
      <c r="C332" s="752" t="s">
        <v>3430</v>
      </c>
      <c r="D332" s="832"/>
    </row>
    <row r="333" spans="1:4" ht="15.75" thickBot="1">
      <c r="A333" s="831"/>
      <c r="B333" s="706" t="s">
        <v>3392</v>
      </c>
      <c r="C333" s="753" t="s">
        <v>57</v>
      </c>
      <c r="D333" s="833"/>
    </row>
    <row r="334" spans="1:4">
      <c r="A334" s="829">
        <v>84</v>
      </c>
      <c r="B334" s="703" t="s">
        <v>3312</v>
      </c>
      <c r="C334" s="751" t="s">
        <v>3502</v>
      </c>
      <c r="D334" s="704" t="s">
        <v>47</v>
      </c>
    </row>
    <row r="335" spans="1:4" ht="22.5">
      <c r="A335" s="830"/>
      <c r="B335" s="705" t="s">
        <v>3313</v>
      </c>
      <c r="C335" s="752" t="s">
        <v>2680</v>
      </c>
      <c r="D335" s="832" t="s">
        <v>1213</v>
      </c>
    </row>
    <row r="336" spans="1:4">
      <c r="A336" s="830"/>
      <c r="B336" s="705" t="s">
        <v>3390</v>
      </c>
      <c r="C336" s="752" t="s">
        <v>3430</v>
      </c>
      <c r="D336" s="832"/>
    </row>
    <row r="337" spans="1:4" ht="15.75" thickBot="1">
      <c r="A337" s="831"/>
      <c r="B337" s="706" t="s">
        <v>3392</v>
      </c>
      <c r="C337" s="753" t="s">
        <v>161</v>
      </c>
      <c r="D337" s="833"/>
    </row>
    <row r="338" spans="1:4">
      <c r="A338" s="829">
        <v>85</v>
      </c>
      <c r="B338" s="703" t="s">
        <v>3312</v>
      </c>
      <c r="C338" s="751" t="s">
        <v>3503</v>
      </c>
      <c r="D338" s="704" t="s">
        <v>47</v>
      </c>
    </row>
    <row r="339" spans="1:4" ht="22.5">
      <c r="A339" s="830"/>
      <c r="B339" s="705" t="s">
        <v>3313</v>
      </c>
      <c r="C339" s="752" t="s">
        <v>822</v>
      </c>
      <c r="D339" s="832" t="s">
        <v>1217</v>
      </c>
    </row>
    <row r="340" spans="1:4">
      <c r="A340" s="830"/>
      <c r="B340" s="705" t="s">
        <v>3390</v>
      </c>
      <c r="C340" s="752" t="s">
        <v>3430</v>
      </c>
      <c r="D340" s="832"/>
    </row>
    <row r="341" spans="1:4" ht="15.75" thickBot="1">
      <c r="A341" s="831"/>
      <c r="B341" s="706" t="s">
        <v>3392</v>
      </c>
      <c r="C341" s="753" t="s">
        <v>57</v>
      </c>
      <c r="D341" s="833"/>
    </row>
    <row r="342" spans="1:4">
      <c r="A342" s="829">
        <v>86</v>
      </c>
      <c r="B342" s="703" t="s">
        <v>3312</v>
      </c>
      <c r="C342" s="751" t="s">
        <v>3504</v>
      </c>
      <c r="D342" s="704" t="s">
        <v>47</v>
      </c>
    </row>
    <row r="343" spans="1:4">
      <c r="A343" s="830"/>
      <c r="B343" s="705" t="s">
        <v>3313</v>
      </c>
      <c r="C343" s="752" t="s">
        <v>825</v>
      </c>
      <c r="D343" s="832" t="s">
        <v>3505</v>
      </c>
    </row>
    <row r="344" spans="1:4">
      <c r="A344" s="830"/>
      <c r="B344" s="705" t="s">
        <v>3390</v>
      </c>
      <c r="C344" s="752" t="s">
        <v>3430</v>
      </c>
      <c r="D344" s="832"/>
    </row>
    <row r="345" spans="1:4" ht="15.75" thickBot="1">
      <c r="A345" s="831"/>
      <c r="B345" s="706" t="s">
        <v>3392</v>
      </c>
      <c r="C345" s="753" t="s">
        <v>57</v>
      </c>
      <c r="D345" s="833"/>
    </row>
    <row r="346" spans="1:4">
      <c r="A346" s="829">
        <v>87</v>
      </c>
      <c r="B346" s="703" t="s">
        <v>3312</v>
      </c>
      <c r="C346" s="751" t="s">
        <v>3506</v>
      </c>
      <c r="D346" s="704" t="s">
        <v>47</v>
      </c>
    </row>
    <row r="347" spans="1:4" ht="22.5">
      <c r="A347" s="830"/>
      <c r="B347" s="705" t="s">
        <v>3313</v>
      </c>
      <c r="C347" s="752" t="s">
        <v>2594</v>
      </c>
      <c r="D347" s="832" t="s">
        <v>3425</v>
      </c>
    </row>
    <row r="348" spans="1:4">
      <c r="A348" s="830"/>
      <c r="B348" s="705" t="s">
        <v>3390</v>
      </c>
      <c r="C348" s="752" t="s">
        <v>3430</v>
      </c>
      <c r="D348" s="832"/>
    </row>
    <row r="349" spans="1:4" ht="15.75" thickBot="1">
      <c r="A349" s="831"/>
      <c r="B349" s="706" t="s">
        <v>3392</v>
      </c>
      <c r="C349" s="753" t="s">
        <v>57</v>
      </c>
      <c r="D349" s="833"/>
    </row>
    <row r="350" spans="1:4">
      <c r="A350" s="829">
        <v>88</v>
      </c>
      <c r="B350" s="703" t="s">
        <v>3312</v>
      </c>
      <c r="C350" s="751" t="s">
        <v>4835</v>
      </c>
      <c r="D350" s="704" t="s">
        <v>47</v>
      </c>
    </row>
    <row r="351" spans="1:4" ht="33.75">
      <c r="A351" s="830"/>
      <c r="B351" s="705" t="s">
        <v>3313</v>
      </c>
      <c r="C351" s="752" t="s">
        <v>850</v>
      </c>
      <c r="D351" s="832" t="s">
        <v>5211</v>
      </c>
    </row>
    <row r="352" spans="1:4">
      <c r="A352" s="830"/>
      <c r="B352" s="705" t="s">
        <v>3390</v>
      </c>
      <c r="C352" s="752" t="s">
        <v>3430</v>
      </c>
      <c r="D352" s="832"/>
    </row>
    <row r="353" spans="1:4" ht="15.75" thickBot="1">
      <c r="A353" s="831"/>
      <c r="B353" s="706" t="s">
        <v>3392</v>
      </c>
      <c r="C353" s="753" t="s">
        <v>283</v>
      </c>
      <c r="D353" s="833"/>
    </row>
    <row r="354" spans="1:4">
      <c r="A354" s="829">
        <v>89</v>
      </c>
      <c r="B354" s="703" t="s">
        <v>3312</v>
      </c>
      <c r="C354" s="751" t="s">
        <v>4840</v>
      </c>
      <c r="D354" s="704" t="s">
        <v>47</v>
      </c>
    </row>
    <row r="355" spans="1:4" ht="33.75">
      <c r="A355" s="830"/>
      <c r="B355" s="705" t="s">
        <v>3313</v>
      </c>
      <c r="C355" s="752" t="s">
        <v>852</v>
      </c>
      <c r="D355" s="832" t="s">
        <v>5212</v>
      </c>
    </row>
    <row r="356" spans="1:4">
      <c r="A356" s="830"/>
      <c r="B356" s="705" t="s">
        <v>3390</v>
      </c>
      <c r="C356" s="752" t="s">
        <v>3430</v>
      </c>
      <c r="D356" s="832"/>
    </row>
    <row r="357" spans="1:4" ht="15.75" thickBot="1">
      <c r="A357" s="831"/>
      <c r="B357" s="706" t="s">
        <v>3392</v>
      </c>
      <c r="C357" s="753" t="s">
        <v>283</v>
      </c>
      <c r="D357" s="833"/>
    </row>
    <row r="358" spans="1:4">
      <c r="A358" s="829">
        <v>90</v>
      </c>
      <c r="B358" s="703" t="s">
        <v>3312</v>
      </c>
      <c r="C358" s="751" t="s">
        <v>4845</v>
      </c>
      <c r="D358" s="704" t="s">
        <v>47</v>
      </c>
    </row>
    <row r="359" spans="1:4" ht="22.5">
      <c r="A359" s="830"/>
      <c r="B359" s="705" t="s">
        <v>3313</v>
      </c>
      <c r="C359" s="752" t="s">
        <v>854</v>
      </c>
      <c r="D359" s="832" t="s">
        <v>5213</v>
      </c>
    </row>
    <row r="360" spans="1:4">
      <c r="A360" s="830"/>
      <c r="B360" s="705" t="s">
        <v>3390</v>
      </c>
      <c r="C360" s="752" t="s">
        <v>3430</v>
      </c>
      <c r="D360" s="832"/>
    </row>
    <row r="361" spans="1:4" ht="15.75" thickBot="1">
      <c r="A361" s="831"/>
      <c r="B361" s="706" t="s">
        <v>3392</v>
      </c>
      <c r="C361" s="753" t="s">
        <v>57</v>
      </c>
      <c r="D361" s="833"/>
    </row>
    <row r="362" spans="1:4">
      <c r="A362" s="829">
        <v>91</v>
      </c>
      <c r="B362" s="703" t="s">
        <v>3312</v>
      </c>
      <c r="C362" s="751" t="s">
        <v>4874</v>
      </c>
      <c r="D362" s="704" t="s">
        <v>47</v>
      </c>
    </row>
    <row r="363" spans="1:4" ht="22.5">
      <c r="A363" s="830"/>
      <c r="B363" s="705" t="s">
        <v>3313</v>
      </c>
      <c r="C363" s="752" t="s">
        <v>856</v>
      </c>
      <c r="D363" s="832" t="s">
        <v>5214</v>
      </c>
    </row>
    <row r="364" spans="1:4">
      <c r="A364" s="830"/>
      <c r="B364" s="705" t="s">
        <v>3390</v>
      </c>
      <c r="C364" s="752" t="s">
        <v>3430</v>
      </c>
      <c r="D364" s="832"/>
    </row>
    <row r="365" spans="1:4" ht="15.75" thickBot="1">
      <c r="A365" s="831"/>
      <c r="B365" s="706" t="s">
        <v>3392</v>
      </c>
      <c r="C365" s="753" t="s">
        <v>283</v>
      </c>
      <c r="D365" s="833"/>
    </row>
    <row r="366" spans="1:4">
      <c r="A366" s="829">
        <v>92</v>
      </c>
      <c r="B366" s="703" t="s">
        <v>3312</v>
      </c>
      <c r="C366" s="751" t="s">
        <v>3507</v>
      </c>
      <c r="D366" s="704" t="s">
        <v>47</v>
      </c>
    </row>
    <row r="367" spans="1:4" ht="22.5">
      <c r="A367" s="830"/>
      <c r="B367" s="705" t="s">
        <v>3313</v>
      </c>
      <c r="C367" s="752" t="s">
        <v>4886</v>
      </c>
      <c r="D367" s="832" t="s">
        <v>760</v>
      </c>
    </row>
    <row r="368" spans="1:4">
      <c r="A368" s="830"/>
      <c r="B368" s="705" t="s">
        <v>3390</v>
      </c>
      <c r="C368" s="752" t="s">
        <v>3490</v>
      </c>
      <c r="D368" s="832"/>
    </row>
    <row r="369" spans="1:4" ht="15.75" thickBot="1">
      <c r="A369" s="831"/>
      <c r="B369" s="706" t="s">
        <v>3392</v>
      </c>
      <c r="C369" s="753" t="s">
        <v>101</v>
      </c>
      <c r="D369" s="833"/>
    </row>
    <row r="370" spans="1:4">
      <c r="A370" s="829">
        <v>93</v>
      </c>
      <c r="B370" s="703" t="s">
        <v>3312</v>
      </c>
      <c r="C370" s="751" t="s">
        <v>3508</v>
      </c>
      <c r="D370" s="704" t="s">
        <v>47</v>
      </c>
    </row>
    <row r="371" spans="1:4" ht="22.5">
      <c r="A371" s="830"/>
      <c r="B371" s="705" t="s">
        <v>3313</v>
      </c>
      <c r="C371" s="752" t="s">
        <v>871</v>
      </c>
      <c r="D371" s="832" t="s">
        <v>1304</v>
      </c>
    </row>
    <row r="372" spans="1:4">
      <c r="A372" s="830"/>
      <c r="B372" s="705" t="s">
        <v>3390</v>
      </c>
      <c r="C372" s="752" t="s">
        <v>3430</v>
      </c>
      <c r="D372" s="832"/>
    </row>
    <row r="373" spans="1:4" ht="15.75" thickBot="1">
      <c r="A373" s="831"/>
      <c r="B373" s="706" t="s">
        <v>3392</v>
      </c>
      <c r="C373" s="753" t="s">
        <v>57</v>
      </c>
      <c r="D373" s="833"/>
    </row>
    <row r="374" spans="1:4">
      <c r="A374" s="829">
        <v>94</v>
      </c>
      <c r="B374" s="703" t="s">
        <v>3312</v>
      </c>
      <c r="C374" s="751" t="s">
        <v>3509</v>
      </c>
      <c r="D374" s="704" t="s">
        <v>47</v>
      </c>
    </row>
    <row r="375" spans="1:4" ht="33.75">
      <c r="A375" s="830"/>
      <c r="B375" s="705" t="s">
        <v>3313</v>
      </c>
      <c r="C375" s="752" t="s">
        <v>892</v>
      </c>
      <c r="D375" s="832" t="s">
        <v>3425</v>
      </c>
    </row>
    <row r="376" spans="1:4">
      <c r="A376" s="830"/>
      <c r="B376" s="705" t="s">
        <v>3390</v>
      </c>
      <c r="C376" s="752" t="s">
        <v>3430</v>
      </c>
      <c r="D376" s="832"/>
    </row>
    <row r="377" spans="1:4" ht="15.75" thickBot="1">
      <c r="A377" s="831"/>
      <c r="B377" s="706" t="s">
        <v>3392</v>
      </c>
      <c r="C377" s="753" t="s">
        <v>57</v>
      </c>
      <c r="D377" s="833"/>
    </row>
    <row r="378" spans="1:4">
      <c r="A378" s="829">
        <v>95</v>
      </c>
      <c r="B378" s="703" t="s">
        <v>3312</v>
      </c>
      <c r="C378" s="751" t="s">
        <v>3510</v>
      </c>
      <c r="D378" s="704" t="s">
        <v>47</v>
      </c>
    </row>
    <row r="379" spans="1:4">
      <c r="A379" s="830"/>
      <c r="B379" s="705" t="s">
        <v>3313</v>
      </c>
      <c r="C379" s="752" t="s">
        <v>939</v>
      </c>
      <c r="D379" s="832" t="s">
        <v>1391</v>
      </c>
    </row>
    <row r="380" spans="1:4">
      <c r="A380" s="830"/>
      <c r="B380" s="705" t="s">
        <v>3390</v>
      </c>
      <c r="C380" s="752" t="s">
        <v>3442</v>
      </c>
      <c r="D380" s="832"/>
    </row>
    <row r="381" spans="1:4" ht="15.75" thickBot="1">
      <c r="A381" s="831"/>
      <c r="B381" s="706" t="s">
        <v>3392</v>
      </c>
      <c r="C381" s="753" t="s">
        <v>57</v>
      </c>
      <c r="D381" s="833"/>
    </row>
    <row r="382" spans="1:4">
      <c r="A382" s="829">
        <v>96</v>
      </c>
      <c r="B382" s="703" t="s">
        <v>3312</v>
      </c>
      <c r="C382" s="751" t="s">
        <v>3511</v>
      </c>
      <c r="D382" s="704" t="s">
        <v>47</v>
      </c>
    </row>
    <row r="383" spans="1:4">
      <c r="A383" s="830"/>
      <c r="B383" s="705" t="s">
        <v>3313</v>
      </c>
      <c r="C383" s="752" t="s">
        <v>952</v>
      </c>
      <c r="D383" s="834" t="s">
        <v>1496</v>
      </c>
    </row>
    <row r="384" spans="1:4">
      <c r="A384" s="830"/>
      <c r="B384" s="705" t="s">
        <v>3390</v>
      </c>
      <c r="C384" s="752" t="s">
        <v>3428</v>
      </c>
      <c r="D384" s="834"/>
    </row>
    <row r="385" spans="1:4" ht="15.75" thickBot="1">
      <c r="A385" s="831"/>
      <c r="B385" s="706" t="s">
        <v>3392</v>
      </c>
      <c r="C385" s="753" t="s">
        <v>161</v>
      </c>
      <c r="D385" s="835"/>
    </row>
    <row r="386" spans="1:4">
      <c r="A386" s="829">
        <v>97</v>
      </c>
      <c r="B386" s="703" t="s">
        <v>3312</v>
      </c>
      <c r="C386" s="751" t="s">
        <v>4728</v>
      </c>
      <c r="D386" s="704" t="s">
        <v>47</v>
      </c>
    </row>
    <row r="387" spans="1:4" ht="22.5">
      <c r="A387" s="830"/>
      <c r="B387" s="705" t="s">
        <v>3313</v>
      </c>
      <c r="C387" s="752" t="s">
        <v>5215</v>
      </c>
      <c r="D387" s="832" t="s">
        <v>3425</v>
      </c>
    </row>
    <row r="388" spans="1:4">
      <c r="A388" s="830"/>
      <c r="B388" s="705" t="s">
        <v>3390</v>
      </c>
      <c r="C388" s="752" t="s">
        <v>3430</v>
      </c>
      <c r="D388" s="832"/>
    </row>
    <row r="389" spans="1:4" ht="15.75" thickBot="1">
      <c r="A389" s="831"/>
      <c r="B389" s="706" t="s">
        <v>3392</v>
      </c>
      <c r="C389" s="753" t="s">
        <v>57</v>
      </c>
      <c r="D389" s="833"/>
    </row>
    <row r="390" spans="1:4">
      <c r="A390" s="829">
        <v>98</v>
      </c>
      <c r="B390" s="703" t="s">
        <v>3312</v>
      </c>
      <c r="C390" s="751" t="s">
        <v>3512</v>
      </c>
      <c r="D390" s="704" t="s">
        <v>47</v>
      </c>
    </row>
    <row r="391" spans="1:4" ht="22.5">
      <c r="A391" s="830"/>
      <c r="B391" s="705" t="s">
        <v>3313</v>
      </c>
      <c r="C391" s="752" t="s">
        <v>966</v>
      </c>
      <c r="D391" s="832" t="s">
        <v>1234</v>
      </c>
    </row>
    <row r="392" spans="1:4">
      <c r="A392" s="830"/>
      <c r="B392" s="705" t="s">
        <v>3390</v>
      </c>
      <c r="C392" s="752" t="s">
        <v>3430</v>
      </c>
      <c r="D392" s="832"/>
    </row>
    <row r="393" spans="1:4" ht="15.75" thickBot="1">
      <c r="A393" s="831"/>
      <c r="B393" s="706" t="s">
        <v>3392</v>
      </c>
      <c r="C393" s="753" t="s">
        <v>57</v>
      </c>
      <c r="D393" s="833"/>
    </row>
    <row r="394" spans="1:4">
      <c r="A394" s="829">
        <v>99</v>
      </c>
      <c r="B394" s="703" t="s">
        <v>3312</v>
      </c>
      <c r="C394" s="751" t="s">
        <v>3513</v>
      </c>
      <c r="D394" s="704" t="s">
        <v>47</v>
      </c>
    </row>
    <row r="395" spans="1:4" ht="22.5">
      <c r="A395" s="830"/>
      <c r="B395" s="705" t="s">
        <v>3313</v>
      </c>
      <c r="C395" s="752" t="s">
        <v>969</v>
      </c>
      <c r="D395" s="832" t="s">
        <v>760</v>
      </c>
    </row>
    <row r="396" spans="1:4">
      <c r="A396" s="830"/>
      <c r="B396" s="705" t="s">
        <v>3390</v>
      </c>
      <c r="C396" s="752" t="s">
        <v>3430</v>
      </c>
      <c r="D396" s="832"/>
    </row>
    <row r="397" spans="1:4" ht="15.75" thickBot="1">
      <c r="A397" s="831"/>
      <c r="B397" s="706" t="s">
        <v>3392</v>
      </c>
      <c r="C397" s="753" t="s">
        <v>57</v>
      </c>
      <c r="D397" s="833"/>
    </row>
    <row r="398" spans="1:4">
      <c r="A398" s="829">
        <v>100</v>
      </c>
      <c r="B398" s="703" t="s">
        <v>3312</v>
      </c>
      <c r="C398" s="751" t="s">
        <v>3517</v>
      </c>
      <c r="D398" s="704" t="s">
        <v>47</v>
      </c>
    </row>
    <row r="399" spans="1:4">
      <c r="A399" s="830"/>
      <c r="B399" s="705" t="s">
        <v>3313</v>
      </c>
      <c r="C399" s="752" t="s">
        <v>1798</v>
      </c>
      <c r="D399" s="832" t="s">
        <v>1232</v>
      </c>
    </row>
    <row r="400" spans="1:4">
      <c r="A400" s="830"/>
      <c r="B400" s="705" t="s">
        <v>3390</v>
      </c>
      <c r="C400" s="752" t="s">
        <v>3430</v>
      </c>
      <c r="D400" s="832"/>
    </row>
    <row r="401" spans="1:4" ht="15.75" thickBot="1">
      <c r="A401" s="831"/>
      <c r="B401" s="706" t="s">
        <v>3392</v>
      </c>
      <c r="C401" s="753" t="s">
        <v>57</v>
      </c>
      <c r="D401" s="833"/>
    </row>
    <row r="402" spans="1:4">
      <c r="A402" s="829">
        <v>101</v>
      </c>
      <c r="B402" s="703" t="s">
        <v>3312</v>
      </c>
      <c r="C402" s="751" t="s">
        <v>3588</v>
      </c>
      <c r="D402" s="704" t="s">
        <v>47</v>
      </c>
    </row>
    <row r="403" spans="1:4" ht="22.5">
      <c r="A403" s="830"/>
      <c r="B403" s="705" t="s">
        <v>3313</v>
      </c>
      <c r="C403" s="752" t="s">
        <v>2979</v>
      </c>
      <c r="D403" s="832" t="s">
        <v>1193</v>
      </c>
    </row>
    <row r="404" spans="1:4">
      <c r="A404" s="830"/>
      <c r="B404" s="705" t="s">
        <v>3390</v>
      </c>
      <c r="C404" s="752" t="s">
        <v>3430</v>
      </c>
      <c r="D404" s="832"/>
    </row>
    <row r="405" spans="1:4" ht="15.75" thickBot="1">
      <c r="A405" s="831"/>
      <c r="B405" s="706" t="s">
        <v>3392</v>
      </c>
      <c r="C405" s="753" t="s">
        <v>57</v>
      </c>
      <c r="D405" s="833"/>
    </row>
    <row r="406" spans="1:4">
      <c r="A406" s="829">
        <v>102</v>
      </c>
      <c r="B406" s="703" t="s">
        <v>3312</v>
      </c>
      <c r="C406" s="751" t="s">
        <v>3518</v>
      </c>
      <c r="D406" s="704" t="s">
        <v>47</v>
      </c>
    </row>
    <row r="407" spans="1:4" ht="22.5">
      <c r="A407" s="830"/>
      <c r="B407" s="705" t="s">
        <v>3313</v>
      </c>
      <c r="C407" s="752" t="s">
        <v>2683</v>
      </c>
      <c r="D407" s="832" t="s">
        <v>1193</v>
      </c>
    </row>
    <row r="408" spans="1:4">
      <c r="A408" s="830"/>
      <c r="B408" s="705" t="s">
        <v>3390</v>
      </c>
      <c r="C408" s="752" t="s">
        <v>3430</v>
      </c>
      <c r="D408" s="832"/>
    </row>
    <row r="409" spans="1:4" ht="15.75" thickBot="1">
      <c r="A409" s="831"/>
      <c r="B409" s="706" t="s">
        <v>3392</v>
      </c>
      <c r="C409" s="753" t="s">
        <v>57</v>
      </c>
      <c r="D409" s="833"/>
    </row>
    <row r="410" spans="1:4">
      <c r="A410" s="829">
        <v>103</v>
      </c>
      <c r="B410" s="703" t="s">
        <v>3312</v>
      </c>
      <c r="C410" s="751" t="s">
        <v>3589</v>
      </c>
      <c r="D410" s="704" t="s">
        <v>47</v>
      </c>
    </row>
    <row r="411" spans="1:4">
      <c r="A411" s="830"/>
      <c r="B411" s="705" t="s">
        <v>3313</v>
      </c>
      <c r="C411" s="752" t="s">
        <v>3219</v>
      </c>
      <c r="D411" s="832" t="s">
        <v>3590</v>
      </c>
    </row>
    <row r="412" spans="1:4">
      <c r="A412" s="830"/>
      <c r="B412" s="705" t="s">
        <v>3390</v>
      </c>
      <c r="C412" s="752" t="s">
        <v>3490</v>
      </c>
      <c r="D412" s="832"/>
    </row>
    <row r="413" spans="1:4" ht="15.75" thickBot="1">
      <c r="A413" s="831"/>
      <c r="B413" s="706" t="s">
        <v>3392</v>
      </c>
      <c r="C413" s="753" t="s">
        <v>161</v>
      </c>
      <c r="D413" s="833"/>
    </row>
    <row r="414" spans="1:4">
      <c r="A414" s="829">
        <v>104</v>
      </c>
      <c r="B414" s="703" t="s">
        <v>3312</v>
      </c>
      <c r="C414" s="751" t="s">
        <v>3519</v>
      </c>
      <c r="D414" s="704" t="s">
        <v>47</v>
      </c>
    </row>
    <row r="415" spans="1:4">
      <c r="A415" s="830"/>
      <c r="B415" s="705" t="s">
        <v>3313</v>
      </c>
      <c r="C415" s="752" t="s">
        <v>2520</v>
      </c>
      <c r="D415" s="832" t="s">
        <v>2521</v>
      </c>
    </row>
    <row r="416" spans="1:4">
      <c r="A416" s="830"/>
      <c r="B416" s="705" t="s">
        <v>3390</v>
      </c>
      <c r="C416" s="752" t="s">
        <v>3430</v>
      </c>
      <c r="D416" s="832"/>
    </row>
    <row r="417" spans="1:4" ht="15.75" thickBot="1">
      <c r="A417" s="831"/>
      <c r="B417" s="706" t="s">
        <v>3392</v>
      </c>
      <c r="C417" s="753" t="s">
        <v>57</v>
      </c>
      <c r="D417" s="833"/>
    </row>
    <row r="418" spans="1:4">
      <c r="A418" s="829">
        <v>105</v>
      </c>
      <c r="B418" s="703" t="s">
        <v>3312</v>
      </c>
      <c r="C418" s="751" t="s">
        <v>3520</v>
      </c>
      <c r="D418" s="704" t="s">
        <v>47</v>
      </c>
    </row>
    <row r="419" spans="1:4" ht="22.5">
      <c r="A419" s="830"/>
      <c r="B419" s="705" t="s">
        <v>3313</v>
      </c>
      <c r="C419" s="752" t="s">
        <v>1604</v>
      </c>
      <c r="D419" s="832" t="s">
        <v>1605</v>
      </c>
    </row>
    <row r="420" spans="1:4">
      <c r="A420" s="830"/>
      <c r="B420" s="705" t="s">
        <v>3390</v>
      </c>
      <c r="C420" s="752" t="s">
        <v>3442</v>
      </c>
      <c r="D420" s="832"/>
    </row>
    <row r="421" spans="1:4" ht="15.75" thickBot="1">
      <c r="A421" s="831"/>
      <c r="B421" s="706" t="s">
        <v>3392</v>
      </c>
      <c r="C421" s="753" t="s">
        <v>57</v>
      </c>
      <c r="D421" s="833"/>
    </row>
    <row r="422" spans="1:4">
      <c r="A422" s="829">
        <v>106</v>
      </c>
      <c r="B422" s="703" t="s">
        <v>3312</v>
      </c>
      <c r="C422" s="751" t="s">
        <v>3521</v>
      </c>
      <c r="D422" s="704" t="s">
        <v>47</v>
      </c>
    </row>
    <row r="423" spans="1:4">
      <c r="A423" s="830"/>
      <c r="B423" s="705" t="s">
        <v>3313</v>
      </c>
      <c r="C423" s="752" t="s">
        <v>2866</v>
      </c>
      <c r="D423" s="832" t="s">
        <v>3522</v>
      </c>
    </row>
    <row r="424" spans="1:4">
      <c r="A424" s="830"/>
      <c r="B424" s="705" t="s">
        <v>3390</v>
      </c>
      <c r="C424" s="752" t="s">
        <v>3442</v>
      </c>
      <c r="D424" s="832"/>
    </row>
    <row r="425" spans="1:4" ht="15.75" thickBot="1">
      <c r="A425" s="831"/>
      <c r="B425" s="706" t="s">
        <v>3392</v>
      </c>
      <c r="C425" s="753" t="s">
        <v>57</v>
      </c>
      <c r="D425" s="833"/>
    </row>
    <row r="426" spans="1:4">
      <c r="A426" s="829">
        <v>107</v>
      </c>
      <c r="B426" s="703" t="s">
        <v>3312</v>
      </c>
      <c r="C426" s="751" t="s">
        <v>3523</v>
      </c>
      <c r="D426" s="704" t="s">
        <v>47</v>
      </c>
    </row>
    <row r="427" spans="1:4" ht="22.5">
      <c r="A427" s="830"/>
      <c r="B427" s="705" t="s">
        <v>3313</v>
      </c>
      <c r="C427" s="752" t="s">
        <v>1610</v>
      </c>
      <c r="D427" s="832" t="s">
        <v>1611</v>
      </c>
    </row>
    <row r="428" spans="1:4">
      <c r="A428" s="830"/>
      <c r="B428" s="705" t="s">
        <v>3390</v>
      </c>
      <c r="C428" s="752" t="s">
        <v>3442</v>
      </c>
      <c r="D428" s="832"/>
    </row>
    <row r="429" spans="1:4" ht="15.75" thickBot="1">
      <c r="A429" s="831"/>
      <c r="B429" s="706" t="s">
        <v>3392</v>
      </c>
      <c r="C429" s="753" t="s">
        <v>57</v>
      </c>
      <c r="D429" s="833"/>
    </row>
    <row r="430" spans="1:4">
      <c r="A430" s="829">
        <v>108</v>
      </c>
      <c r="B430" s="703" t="s">
        <v>3312</v>
      </c>
      <c r="C430" s="751" t="s">
        <v>3524</v>
      </c>
      <c r="D430" s="704" t="s">
        <v>47</v>
      </c>
    </row>
    <row r="431" spans="1:4" ht="22.5">
      <c r="A431" s="830"/>
      <c r="B431" s="705" t="s">
        <v>3313</v>
      </c>
      <c r="C431" s="752" t="s">
        <v>2864</v>
      </c>
      <c r="D431" s="832" t="s">
        <v>3459</v>
      </c>
    </row>
    <row r="432" spans="1:4">
      <c r="A432" s="830"/>
      <c r="B432" s="705" t="s">
        <v>3390</v>
      </c>
      <c r="C432" s="752" t="s">
        <v>3442</v>
      </c>
      <c r="D432" s="832"/>
    </row>
    <row r="433" spans="1:4" ht="15.75" thickBot="1">
      <c r="A433" s="831"/>
      <c r="B433" s="706" t="s">
        <v>3392</v>
      </c>
      <c r="C433" s="753" t="s">
        <v>57</v>
      </c>
      <c r="D433" s="833"/>
    </row>
    <row r="434" spans="1:4">
      <c r="A434" s="829">
        <v>109</v>
      </c>
      <c r="B434" s="703" t="s">
        <v>3312</v>
      </c>
      <c r="C434" s="751" t="s">
        <v>3525</v>
      </c>
      <c r="D434" s="704" t="s">
        <v>47</v>
      </c>
    </row>
    <row r="435" spans="1:4">
      <c r="A435" s="830"/>
      <c r="B435" s="705" t="s">
        <v>3313</v>
      </c>
      <c r="C435" s="752" t="s">
        <v>3526</v>
      </c>
      <c r="D435" s="832" t="s">
        <v>1534</v>
      </c>
    </row>
    <row r="436" spans="1:4">
      <c r="A436" s="830"/>
      <c r="B436" s="705" t="s">
        <v>3390</v>
      </c>
      <c r="C436" s="752" t="s">
        <v>3442</v>
      </c>
      <c r="D436" s="832"/>
    </row>
    <row r="437" spans="1:4" ht="15.75" thickBot="1">
      <c r="A437" s="831"/>
      <c r="B437" s="706" t="s">
        <v>3392</v>
      </c>
      <c r="C437" s="753" t="s">
        <v>101</v>
      </c>
      <c r="D437" s="833"/>
    </row>
    <row r="438" spans="1:4">
      <c r="A438" s="829">
        <v>110</v>
      </c>
      <c r="B438" s="703" t="s">
        <v>3312</v>
      </c>
      <c r="C438" s="751" t="s">
        <v>3568</v>
      </c>
      <c r="D438" s="704" t="s">
        <v>47</v>
      </c>
    </row>
    <row r="439" spans="1:4">
      <c r="A439" s="830"/>
      <c r="B439" s="705" t="s">
        <v>3313</v>
      </c>
      <c r="C439" s="752" t="s">
        <v>3569</v>
      </c>
      <c r="D439" s="832" t="s">
        <v>3570</v>
      </c>
    </row>
    <row r="440" spans="1:4">
      <c r="A440" s="830"/>
      <c r="B440" s="705" t="s">
        <v>3390</v>
      </c>
      <c r="C440" s="752" t="s">
        <v>3442</v>
      </c>
      <c r="D440" s="832"/>
    </row>
    <row r="441" spans="1:4" ht="15.75" thickBot="1">
      <c r="A441" s="831"/>
      <c r="B441" s="706" t="s">
        <v>3392</v>
      </c>
      <c r="C441" s="753" t="s">
        <v>101</v>
      </c>
      <c r="D441" s="833"/>
    </row>
    <row r="442" spans="1:4">
      <c r="A442" s="829">
        <v>111</v>
      </c>
      <c r="B442" s="703" t="s">
        <v>3312</v>
      </c>
      <c r="C442" s="751" t="s">
        <v>3571</v>
      </c>
      <c r="D442" s="704" t="s">
        <v>47</v>
      </c>
    </row>
    <row r="443" spans="1:4">
      <c r="A443" s="830"/>
      <c r="B443" s="705" t="s">
        <v>3313</v>
      </c>
      <c r="C443" s="752" t="s">
        <v>3572</v>
      </c>
      <c r="D443" s="832" t="s">
        <v>3573</v>
      </c>
    </row>
    <row r="444" spans="1:4">
      <c r="A444" s="830"/>
      <c r="B444" s="705" t="s">
        <v>3390</v>
      </c>
      <c r="C444" s="752" t="s">
        <v>3442</v>
      </c>
      <c r="D444" s="832"/>
    </row>
    <row r="445" spans="1:4" ht="15.75" thickBot="1">
      <c r="A445" s="831"/>
      <c r="B445" s="706" t="s">
        <v>3392</v>
      </c>
      <c r="C445" s="753" t="s">
        <v>101</v>
      </c>
      <c r="D445" s="833"/>
    </row>
    <row r="446" spans="1:4">
      <c r="A446" s="829">
        <v>112</v>
      </c>
      <c r="B446" s="703" t="s">
        <v>3312</v>
      </c>
      <c r="C446" s="751" t="s">
        <v>3574</v>
      </c>
      <c r="D446" s="704" t="s">
        <v>47</v>
      </c>
    </row>
    <row r="447" spans="1:4">
      <c r="A447" s="830"/>
      <c r="B447" s="705" t="s">
        <v>3313</v>
      </c>
      <c r="C447" s="752" t="s">
        <v>3575</v>
      </c>
      <c r="D447" s="832" t="s">
        <v>3576</v>
      </c>
    </row>
    <row r="448" spans="1:4">
      <c r="A448" s="830"/>
      <c r="B448" s="705" t="s">
        <v>3390</v>
      </c>
      <c r="C448" s="752" t="s">
        <v>3442</v>
      </c>
      <c r="D448" s="832"/>
    </row>
    <row r="449" spans="1:4" ht="15.75" thickBot="1">
      <c r="A449" s="831"/>
      <c r="B449" s="706" t="s">
        <v>3392</v>
      </c>
      <c r="C449" s="753" t="s">
        <v>101</v>
      </c>
      <c r="D449" s="833"/>
    </row>
    <row r="450" spans="1:4">
      <c r="A450" s="829">
        <v>113</v>
      </c>
      <c r="B450" s="703" t="s">
        <v>3312</v>
      </c>
      <c r="C450" s="751" t="s">
        <v>5060</v>
      </c>
      <c r="D450" s="704" t="s">
        <v>47</v>
      </c>
    </row>
    <row r="451" spans="1:4">
      <c r="A451" s="830"/>
      <c r="B451" s="705" t="s">
        <v>3313</v>
      </c>
      <c r="C451" s="752" t="s">
        <v>5216</v>
      </c>
      <c r="D451" s="832" t="s">
        <v>5217</v>
      </c>
    </row>
    <row r="452" spans="1:4">
      <c r="A452" s="830"/>
      <c r="B452" s="705" t="s">
        <v>3390</v>
      </c>
      <c r="C452" s="752" t="s">
        <v>3442</v>
      </c>
      <c r="D452" s="832"/>
    </row>
    <row r="453" spans="1:4" ht="15.75" thickBot="1">
      <c r="A453" s="831"/>
      <c r="B453" s="706" t="s">
        <v>3392</v>
      </c>
      <c r="C453" s="753" t="s">
        <v>101</v>
      </c>
      <c r="D453" s="833"/>
    </row>
    <row r="454" spans="1:4">
      <c r="A454" s="829">
        <v>114</v>
      </c>
      <c r="B454" s="703" t="s">
        <v>3312</v>
      </c>
      <c r="C454" s="751" t="s">
        <v>3577</v>
      </c>
      <c r="D454" s="704" t="s">
        <v>47</v>
      </c>
    </row>
    <row r="455" spans="1:4">
      <c r="A455" s="830"/>
      <c r="B455" s="705" t="s">
        <v>3313</v>
      </c>
      <c r="C455" s="752" t="s">
        <v>3578</v>
      </c>
      <c r="D455" s="832" t="s">
        <v>3579</v>
      </c>
    </row>
    <row r="456" spans="1:4">
      <c r="A456" s="830"/>
      <c r="B456" s="705" t="s">
        <v>3390</v>
      </c>
      <c r="C456" s="752" t="s">
        <v>3442</v>
      </c>
      <c r="D456" s="832"/>
    </row>
    <row r="457" spans="1:4" ht="15.75" thickBot="1">
      <c r="A457" s="831"/>
      <c r="B457" s="706" t="s">
        <v>3392</v>
      </c>
      <c r="C457" s="753" t="s">
        <v>101</v>
      </c>
      <c r="D457" s="833"/>
    </row>
    <row r="458" spans="1:4">
      <c r="A458" s="829">
        <v>115</v>
      </c>
      <c r="B458" s="703" t="s">
        <v>3312</v>
      </c>
      <c r="C458" s="751" t="s">
        <v>3527</v>
      </c>
      <c r="D458" s="704" t="s">
        <v>47</v>
      </c>
    </row>
    <row r="459" spans="1:4" ht="22.5">
      <c r="A459" s="830"/>
      <c r="B459" s="705" t="s">
        <v>3313</v>
      </c>
      <c r="C459" s="752" t="s">
        <v>1537</v>
      </c>
      <c r="D459" s="832" t="s">
        <v>2474</v>
      </c>
    </row>
    <row r="460" spans="1:4">
      <c r="A460" s="830"/>
      <c r="B460" s="705" t="s">
        <v>3390</v>
      </c>
      <c r="C460" s="752" t="s">
        <v>3442</v>
      </c>
      <c r="D460" s="832"/>
    </row>
    <row r="461" spans="1:4" ht="15.75" thickBot="1">
      <c r="A461" s="831"/>
      <c r="B461" s="706" t="s">
        <v>3392</v>
      </c>
      <c r="C461" s="753" t="s">
        <v>101</v>
      </c>
      <c r="D461" s="833"/>
    </row>
    <row r="462" spans="1:4">
      <c r="A462" s="829">
        <v>116</v>
      </c>
      <c r="B462" s="703" t="s">
        <v>3312</v>
      </c>
      <c r="C462" s="751" t="s">
        <v>5170</v>
      </c>
      <c r="D462" s="704" t="s">
        <v>47</v>
      </c>
    </row>
    <row r="463" spans="1:4">
      <c r="A463" s="830"/>
      <c r="B463" s="705" t="s">
        <v>3313</v>
      </c>
      <c r="C463" s="752" t="s">
        <v>5171</v>
      </c>
      <c r="D463" s="834" t="s">
        <v>5218</v>
      </c>
    </row>
    <row r="464" spans="1:4">
      <c r="A464" s="830"/>
      <c r="B464" s="705" t="s">
        <v>3390</v>
      </c>
      <c r="C464" s="752" t="s">
        <v>3442</v>
      </c>
      <c r="D464" s="834"/>
    </row>
    <row r="465" spans="1:4" ht="15.75" thickBot="1">
      <c r="A465" s="831"/>
      <c r="B465" s="706" t="s">
        <v>3392</v>
      </c>
      <c r="C465" s="753" t="s">
        <v>57</v>
      </c>
      <c r="D465" s="835"/>
    </row>
    <row r="466" spans="1:4">
      <c r="A466" s="829">
        <v>117</v>
      </c>
      <c r="B466" s="703" t="s">
        <v>3312</v>
      </c>
      <c r="C466" s="751" t="s">
        <v>3528</v>
      </c>
      <c r="D466" s="704" t="s">
        <v>47</v>
      </c>
    </row>
    <row r="467" spans="1:4" ht="22.5">
      <c r="A467" s="830"/>
      <c r="B467" s="705" t="s">
        <v>3313</v>
      </c>
      <c r="C467" s="752" t="s">
        <v>1459</v>
      </c>
      <c r="D467" s="832" t="s">
        <v>3529</v>
      </c>
    </row>
    <row r="468" spans="1:4">
      <c r="A468" s="830"/>
      <c r="B468" s="705" t="s">
        <v>3390</v>
      </c>
      <c r="C468" s="752" t="s">
        <v>3530</v>
      </c>
      <c r="D468" s="832"/>
    </row>
    <row r="469" spans="1:4" ht="15.75" thickBot="1">
      <c r="A469" s="831"/>
      <c r="B469" s="706" t="s">
        <v>3392</v>
      </c>
      <c r="C469" s="753" t="s">
        <v>1460</v>
      </c>
      <c r="D469" s="833"/>
    </row>
    <row r="470" spans="1:4">
      <c r="A470" s="829">
        <v>118</v>
      </c>
      <c r="B470" s="703" t="s">
        <v>3312</v>
      </c>
      <c r="C470" s="751" t="s">
        <v>3531</v>
      </c>
      <c r="D470" s="704" t="s">
        <v>47</v>
      </c>
    </row>
    <row r="471" spans="1:4">
      <c r="A471" s="830"/>
      <c r="B471" s="705" t="s">
        <v>3313</v>
      </c>
      <c r="C471" s="752" t="s">
        <v>1462</v>
      </c>
      <c r="D471" s="834" t="s">
        <v>3532</v>
      </c>
    </row>
    <row r="472" spans="1:4">
      <c r="A472" s="830"/>
      <c r="B472" s="705" t="s">
        <v>3390</v>
      </c>
      <c r="C472" s="752" t="s">
        <v>3530</v>
      </c>
      <c r="D472" s="834"/>
    </row>
    <row r="473" spans="1:4" ht="15.75" thickBot="1">
      <c r="A473" s="831"/>
      <c r="B473" s="706" t="s">
        <v>3392</v>
      </c>
      <c r="C473" s="753" t="s">
        <v>57</v>
      </c>
      <c r="D473" s="835"/>
    </row>
    <row r="474" spans="1:4">
      <c r="A474" s="829">
        <v>119</v>
      </c>
      <c r="B474" s="703" t="s">
        <v>3312</v>
      </c>
      <c r="C474" s="751" t="s">
        <v>3533</v>
      </c>
      <c r="D474" s="704" t="s">
        <v>47</v>
      </c>
    </row>
    <row r="475" spans="1:4">
      <c r="A475" s="830"/>
      <c r="B475" s="705" t="s">
        <v>3313</v>
      </c>
      <c r="C475" s="752" t="s">
        <v>900</v>
      </c>
      <c r="D475" s="832" t="s">
        <v>1402</v>
      </c>
    </row>
    <row r="476" spans="1:4">
      <c r="A476" s="830"/>
      <c r="B476" s="705" t="s">
        <v>3390</v>
      </c>
      <c r="C476" s="752" t="s">
        <v>3430</v>
      </c>
      <c r="D476" s="832"/>
    </row>
    <row r="477" spans="1:4" ht="15.75" thickBot="1">
      <c r="A477" s="831"/>
      <c r="B477" s="706" t="s">
        <v>3392</v>
      </c>
      <c r="C477" s="753" t="s">
        <v>57</v>
      </c>
      <c r="D477" s="833"/>
    </row>
    <row r="478" spans="1:4">
      <c r="A478" s="829">
        <v>120</v>
      </c>
      <c r="B478" s="703" t="s">
        <v>3312</v>
      </c>
      <c r="C478" s="751" t="s">
        <v>3534</v>
      </c>
      <c r="D478" s="704" t="s">
        <v>47</v>
      </c>
    </row>
    <row r="479" spans="1:4" ht="22.5">
      <c r="A479" s="830"/>
      <c r="B479" s="705" t="s">
        <v>3313</v>
      </c>
      <c r="C479" s="752" t="s">
        <v>902</v>
      </c>
      <c r="D479" s="832" t="s">
        <v>1406</v>
      </c>
    </row>
    <row r="480" spans="1:4">
      <c r="A480" s="830"/>
      <c r="B480" s="705" t="s">
        <v>3390</v>
      </c>
      <c r="C480" s="752" t="s">
        <v>3430</v>
      </c>
      <c r="D480" s="832"/>
    </row>
    <row r="481" spans="1:4" ht="15.75" thickBot="1">
      <c r="A481" s="831"/>
      <c r="B481" s="706" t="s">
        <v>3392</v>
      </c>
      <c r="C481" s="753" t="s">
        <v>57</v>
      </c>
      <c r="D481" s="833"/>
    </row>
    <row r="482" spans="1:4">
      <c r="A482" s="829">
        <v>121</v>
      </c>
      <c r="B482" s="703" t="s">
        <v>3312</v>
      </c>
      <c r="C482" s="751" t="s">
        <v>3535</v>
      </c>
      <c r="D482" s="704" t="s">
        <v>47</v>
      </c>
    </row>
    <row r="483" spans="1:4" ht="33.75">
      <c r="A483" s="830"/>
      <c r="B483" s="705" t="s">
        <v>3313</v>
      </c>
      <c r="C483" s="752" t="s">
        <v>904</v>
      </c>
      <c r="D483" s="832" t="s">
        <v>1402</v>
      </c>
    </row>
    <row r="484" spans="1:4">
      <c r="A484" s="830"/>
      <c r="B484" s="705" t="s">
        <v>3390</v>
      </c>
      <c r="C484" s="752" t="s">
        <v>3430</v>
      </c>
      <c r="D484" s="832"/>
    </row>
    <row r="485" spans="1:4" ht="15.75" thickBot="1">
      <c r="A485" s="831"/>
      <c r="B485" s="706" t="s">
        <v>3392</v>
      </c>
      <c r="C485" s="753" t="s">
        <v>57</v>
      </c>
      <c r="D485" s="833"/>
    </row>
    <row r="486" spans="1:4">
      <c r="A486" s="829">
        <v>122</v>
      </c>
      <c r="B486" s="703" t="s">
        <v>3312</v>
      </c>
      <c r="C486" s="751" t="s">
        <v>3536</v>
      </c>
      <c r="D486" s="704" t="s">
        <v>47</v>
      </c>
    </row>
    <row r="487" spans="1:4" ht="22.5">
      <c r="A487" s="830"/>
      <c r="B487" s="705" t="s">
        <v>3313</v>
      </c>
      <c r="C487" s="752" t="s">
        <v>906</v>
      </c>
      <c r="D487" s="832" t="s">
        <v>1415</v>
      </c>
    </row>
    <row r="488" spans="1:4">
      <c r="A488" s="830"/>
      <c r="B488" s="705" t="s">
        <v>3390</v>
      </c>
      <c r="C488" s="752" t="s">
        <v>3516</v>
      </c>
      <c r="D488" s="832"/>
    </row>
    <row r="489" spans="1:4" ht="15.75" thickBot="1">
      <c r="A489" s="831"/>
      <c r="B489" s="706" t="s">
        <v>3392</v>
      </c>
      <c r="C489" s="753" t="s">
        <v>57</v>
      </c>
      <c r="D489" s="833"/>
    </row>
    <row r="490" spans="1:4">
      <c r="A490" s="829">
        <v>123</v>
      </c>
      <c r="B490" s="703" t="s">
        <v>3312</v>
      </c>
      <c r="C490" s="751" t="s">
        <v>3537</v>
      </c>
      <c r="D490" s="704" t="s">
        <v>47</v>
      </c>
    </row>
    <row r="491" spans="1:4" ht="22.5">
      <c r="A491" s="830"/>
      <c r="B491" s="705" t="s">
        <v>3313</v>
      </c>
      <c r="C491" s="752" t="s">
        <v>908</v>
      </c>
      <c r="D491" s="832" t="s">
        <v>1417</v>
      </c>
    </row>
    <row r="492" spans="1:4">
      <c r="A492" s="830"/>
      <c r="B492" s="705" t="s">
        <v>3390</v>
      </c>
      <c r="C492" s="752" t="s">
        <v>3516</v>
      </c>
      <c r="D492" s="832"/>
    </row>
    <row r="493" spans="1:4" ht="15.75" thickBot="1">
      <c r="A493" s="831"/>
      <c r="B493" s="706" t="s">
        <v>3392</v>
      </c>
      <c r="C493" s="753" t="s">
        <v>57</v>
      </c>
      <c r="D493" s="833"/>
    </row>
    <row r="494" spans="1:4">
      <c r="A494" s="829">
        <v>124</v>
      </c>
      <c r="B494" s="703" t="s">
        <v>3312</v>
      </c>
      <c r="C494" s="751" t="s">
        <v>3538</v>
      </c>
      <c r="D494" s="704" t="s">
        <v>47</v>
      </c>
    </row>
    <row r="495" spans="1:4" ht="22.5">
      <c r="A495" s="830"/>
      <c r="B495" s="705" t="s">
        <v>3313</v>
      </c>
      <c r="C495" s="752" t="s">
        <v>910</v>
      </c>
      <c r="D495" s="832" t="s">
        <v>1420</v>
      </c>
    </row>
    <row r="496" spans="1:4">
      <c r="A496" s="830"/>
      <c r="B496" s="705" t="s">
        <v>3390</v>
      </c>
      <c r="C496" s="752" t="s">
        <v>3516</v>
      </c>
      <c r="D496" s="832"/>
    </row>
    <row r="497" spans="1:4" ht="15.75" thickBot="1">
      <c r="A497" s="831"/>
      <c r="B497" s="706" t="s">
        <v>3392</v>
      </c>
      <c r="C497" s="753" t="s">
        <v>57</v>
      </c>
      <c r="D497" s="833"/>
    </row>
    <row r="498" spans="1:4">
      <c r="A498" s="829">
        <v>125</v>
      </c>
      <c r="B498" s="703" t="s">
        <v>3312</v>
      </c>
      <c r="C498" s="751" t="s">
        <v>3539</v>
      </c>
      <c r="D498" s="704" t="s">
        <v>47</v>
      </c>
    </row>
    <row r="499" spans="1:4" ht="22.5">
      <c r="A499" s="830"/>
      <c r="B499" s="705" t="s">
        <v>3313</v>
      </c>
      <c r="C499" s="752" t="s">
        <v>912</v>
      </c>
      <c r="D499" s="832" t="s">
        <v>1422</v>
      </c>
    </row>
    <row r="500" spans="1:4">
      <c r="A500" s="830"/>
      <c r="B500" s="705" t="s">
        <v>3390</v>
      </c>
      <c r="C500" s="752" t="s">
        <v>3516</v>
      </c>
      <c r="D500" s="832"/>
    </row>
    <row r="501" spans="1:4" ht="15.75" thickBot="1">
      <c r="A501" s="831"/>
      <c r="B501" s="706" t="s">
        <v>3392</v>
      </c>
      <c r="C501" s="753" t="s">
        <v>57</v>
      </c>
      <c r="D501" s="833"/>
    </row>
    <row r="502" spans="1:4">
      <c r="A502" s="829">
        <v>126</v>
      </c>
      <c r="B502" s="703" t="s">
        <v>3312</v>
      </c>
      <c r="C502" s="751" t="s">
        <v>3540</v>
      </c>
      <c r="D502" s="704" t="s">
        <v>47</v>
      </c>
    </row>
    <row r="503" spans="1:4" ht="33.75">
      <c r="A503" s="830"/>
      <c r="B503" s="705" t="s">
        <v>3313</v>
      </c>
      <c r="C503" s="752" t="s">
        <v>916</v>
      </c>
      <c r="D503" s="832" t="s">
        <v>1402</v>
      </c>
    </row>
    <row r="504" spans="1:4">
      <c r="A504" s="830"/>
      <c r="B504" s="705" t="s">
        <v>3390</v>
      </c>
      <c r="C504" s="752" t="s">
        <v>3516</v>
      </c>
      <c r="D504" s="832"/>
    </row>
    <row r="505" spans="1:4" ht="15.75" thickBot="1">
      <c r="A505" s="831"/>
      <c r="B505" s="706" t="s">
        <v>3392</v>
      </c>
      <c r="C505" s="753" t="s">
        <v>57</v>
      </c>
      <c r="D505" s="833"/>
    </row>
    <row r="506" spans="1:4">
      <c r="A506" s="829">
        <v>127</v>
      </c>
      <c r="B506" s="703" t="s">
        <v>3312</v>
      </c>
      <c r="C506" s="751" t="s">
        <v>5180</v>
      </c>
      <c r="D506" s="704" t="s">
        <v>47</v>
      </c>
    </row>
    <row r="507" spans="1:4">
      <c r="A507" s="830"/>
      <c r="B507" s="705" t="s">
        <v>3313</v>
      </c>
      <c r="C507" s="752" t="s">
        <v>1524</v>
      </c>
      <c r="D507" s="832" t="s">
        <v>5219</v>
      </c>
    </row>
    <row r="508" spans="1:4">
      <c r="A508" s="830"/>
      <c r="B508" s="705" t="s">
        <v>3390</v>
      </c>
      <c r="C508" s="752" t="s">
        <v>3442</v>
      </c>
      <c r="D508" s="832"/>
    </row>
    <row r="509" spans="1:4" ht="15.75" thickBot="1">
      <c r="A509" s="831"/>
      <c r="B509" s="706" t="s">
        <v>3392</v>
      </c>
      <c r="C509" s="753" t="s">
        <v>57</v>
      </c>
      <c r="D509" s="833"/>
    </row>
    <row r="510" spans="1:4">
      <c r="A510" s="829">
        <v>128</v>
      </c>
      <c r="B510" s="703" t="s">
        <v>3312</v>
      </c>
      <c r="C510" s="751" t="s">
        <v>3597</v>
      </c>
      <c r="D510" s="704" t="s">
        <v>47</v>
      </c>
    </row>
    <row r="511" spans="1:4" ht="22.5">
      <c r="A511" s="830"/>
      <c r="B511" s="705" t="s">
        <v>3313</v>
      </c>
      <c r="C511" s="752" t="s">
        <v>3212</v>
      </c>
      <c r="D511" s="832" t="s">
        <v>1415</v>
      </c>
    </row>
    <row r="512" spans="1:4">
      <c r="A512" s="830"/>
      <c r="B512" s="705" t="s">
        <v>3390</v>
      </c>
      <c r="C512" s="752" t="s">
        <v>3516</v>
      </c>
      <c r="D512" s="832"/>
    </row>
    <row r="513" spans="1:4" ht="15.75" thickBot="1">
      <c r="A513" s="831"/>
      <c r="B513" s="706" t="s">
        <v>3392</v>
      </c>
      <c r="C513" s="753" t="s">
        <v>57</v>
      </c>
      <c r="D513" s="833"/>
    </row>
    <row r="514" spans="1:4">
      <c r="A514" s="829">
        <v>129</v>
      </c>
      <c r="B514" s="703" t="s">
        <v>3312</v>
      </c>
      <c r="C514" s="751" t="s">
        <v>3598</v>
      </c>
      <c r="D514" s="704" t="s">
        <v>47</v>
      </c>
    </row>
    <row r="515" spans="1:4" ht="22.5">
      <c r="A515" s="830"/>
      <c r="B515" s="705" t="s">
        <v>3313</v>
      </c>
      <c r="C515" s="752" t="s">
        <v>3599</v>
      </c>
      <c r="D515" s="834" t="s">
        <v>3600</v>
      </c>
    </row>
    <row r="516" spans="1:4">
      <c r="A516" s="830"/>
      <c r="B516" s="705" t="s">
        <v>3390</v>
      </c>
      <c r="C516" s="752" t="s">
        <v>3516</v>
      </c>
      <c r="D516" s="834"/>
    </row>
    <row r="517" spans="1:4" ht="15.75" thickBot="1">
      <c r="A517" s="831"/>
      <c r="B517" s="706" t="s">
        <v>3392</v>
      </c>
      <c r="C517" s="753" t="s">
        <v>57</v>
      </c>
      <c r="D517" s="835"/>
    </row>
    <row r="518" spans="1:4">
      <c r="A518" s="829">
        <v>130</v>
      </c>
      <c r="B518" s="703" t="s">
        <v>3312</v>
      </c>
      <c r="C518" s="751" t="s">
        <v>3541</v>
      </c>
      <c r="D518" s="704" t="s">
        <v>47</v>
      </c>
    </row>
    <row r="519" spans="1:4" ht="22.5">
      <c r="A519" s="830"/>
      <c r="B519" s="705" t="s">
        <v>3313</v>
      </c>
      <c r="C519" s="752" t="s">
        <v>2502</v>
      </c>
      <c r="D519" s="834" t="s">
        <v>3425</v>
      </c>
    </row>
    <row r="520" spans="1:4">
      <c r="A520" s="830"/>
      <c r="B520" s="705" t="s">
        <v>3390</v>
      </c>
      <c r="C520" s="752" t="s">
        <v>3430</v>
      </c>
      <c r="D520" s="834"/>
    </row>
    <row r="521" spans="1:4" ht="15.75" thickBot="1">
      <c r="A521" s="831"/>
      <c r="B521" s="706" t="s">
        <v>3392</v>
      </c>
      <c r="C521" s="753" t="s">
        <v>57</v>
      </c>
      <c r="D521" s="835"/>
    </row>
    <row r="522" spans="1:4">
      <c r="A522" s="829">
        <v>131</v>
      </c>
      <c r="B522" s="703" t="s">
        <v>3312</v>
      </c>
      <c r="C522" s="751" t="s">
        <v>3542</v>
      </c>
      <c r="D522" s="704" t="s">
        <v>47</v>
      </c>
    </row>
    <row r="523" spans="1:4" ht="33.75">
      <c r="A523" s="830"/>
      <c r="B523" s="705" t="s">
        <v>3313</v>
      </c>
      <c r="C523" s="752" t="s">
        <v>2653</v>
      </c>
      <c r="D523" s="834" t="s">
        <v>3543</v>
      </c>
    </row>
    <row r="524" spans="1:4">
      <c r="A524" s="830"/>
      <c r="B524" s="705" t="s">
        <v>3390</v>
      </c>
      <c r="C524" s="752" t="s">
        <v>3428</v>
      </c>
      <c r="D524" s="834"/>
    </row>
    <row r="525" spans="1:4" ht="15.75" thickBot="1">
      <c r="A525" s="831"/>
      <c r="B525" s="706" t="s">
        <v>3392</v>
      </c>
      <c r="C525" s="753" t="s">
        <v>57</v>
      </c>
      <c r="D525" s="835"/>
    </row>
    <row r="526" spans="1:4">
      <c r="A526" s="829">
        <v>132</v>
      </c>
      <c r="B526" s="703" t="s">
        <v>3312</v>
      </c>
      <c r="C526" s="751" t="s">
        <v>3544</v>
      </c>
      <c r="D526" s="704" t="s">
        <v>47</v>
      </c>
    </row>
    <row r="527" spans="1:4" ht="33.75">
      <c r="A527" s="830"/>
      <c r="B527" s="705" t="s">
        <v>3313</v>
      </c>
      <c r="C527" s="752" t="s">
        <v>2610</v>
      </c>
      <c r="D527" s="834" t="s">
        <v>3543</v>
      </c>
    </row>
    <row r="528" spans="1:4">
      <c r="A528" s="830"/>
      <c r="B528" s="705" t="s">
        <v>3390</v>
      </c>
      <c r="C528" s="752" t="s">
        <v>3428</v>
      </c>
      <c r="D528" s="834"/>
    </row>
    <row r="529" spans="1:4" ht="15.75" thickBot="1">
      <c r="A529" s="831"/>
      <c r="B529" s="706" t="s">
        <v>3392</v>
      </c>
      <c r="C529" s="753" t="s">
        <v>57</v>
      </c>
      <c r="D529" s="835"/>
    </row>
    <row r="530" spans="1:4">
      <c r="A530" s="829">
        <v>133</v>
      </c>
      <c r="B530" s="703" t="s">
        <v>3312</v>
      </c>
      <c r="C530" s="751" t="s">
        <v>3545</v>
      </c>
      <c r="D530" s="704" t="s">
        <v>47</v>
      </c>
    </row>
    <row r="531" spans="1:4" ht="33.75">
      <c r="A531" s="830"/>
      <c r="B531" s="705" t="s">
        <v>3313</v>
      </c>
      <c r="C531" s="752" t="s">
        <v>817</v>
      </c>
      <c r="D531" s="834" t="s">
        <v>3543</v>
      </c>
    </row>
    <row r="532" spans="1:4">
      <c r="A532" s="830"/>
      <c r="B532" s="705" t="s">
        <v>3390</v>
      </c>
      <c r="C532" s="752" t="s">
        <v>3428</v>
      </c>
      <c r="D532" s="834"/>
    </row>
    <row r="533" spans="1:4" ht="15.75" thickBot="1">
      <c r="A533" s="831"/>
      <c r="B533" s="706" t="s">
        <v>3392</v>
      </c>
      <c r="C533" s="753" t="s">
        <v>57</v>
      </c>
      <c r="D533" s="835"/>
    </row>
    <row r="534" spans="1:4">
      <c r="A534" s="829">
        <v>134</v>
      </c>
      <c r="B534" s="703" t="s">
        <v>3312</v>
      </c>
      <c r="C534" s="751" t="s">
        <v>3552</v>
      </c>
      <c r="D534" s="704" t="s">
        <v>47</v>
      </c>
    </row>
    <row r="535" spans="1:4">
      <c r="A535" s="830"/>
      <c r="B535" s="705" t="s">
        <v>3313</v>
      </c>
      <c r="C535" s="752" t="s">
        <v>866</v>
      </c>
      <c r="D535" s="834"/>
    </row>
    <row r="536" spans="1:4">
      <c r="A536" s="830"/>
      <c r="B536" s="705" t="s">
        <v>3390</v>
      </c>
      <c r="C536" s="752" t="s">
        <v>3391</v>
      </c>
      <c r="D536" s="834"/>
    </row>
    <row r="537" spans="1:4" ht="15.75" thickBot="1">
      <c r="A537" s="831"/>
      <c r="B537" s="706" t="s">
        <v>3392</v>
      </c>
      <c r="C537" s="753" t="s">
        <v>57</v>
      </c>
      <c r="D537" s="835"/>
    </row>
    <row r="538" spans="1:4">
      <c r="A538" s="829">
        <v>135</v>
      </c>
      <c r="B538" s="754" t="s">
        <v>3312</v>
      </c>
      <c r="C538" s="755" t="s">
        <v>3552</v>
      </c>
      <c r="D538" s="756" t="s">
        <v>47</v>
      </c>
    </row>
    <row r="539" spans="1:4">
      <c r="A539" s="830"/>
      <c r="B539" s="757" t="s">
        <v>3313</v>
      </c>
      <c r="C539" s="758" t="s">
        <v>5220</v>
      </c>
      <c r="D539" s="834" t="s">
        <v>5221</v>
      </c>
    </row>
    <row r="540" spans="1:4">
      <c r="A540" s="830"/>
      <c r="B540" s="757" t="s">
        <v>3390</v>
      </c>
      <c r="C540" s="758" t="s">
        <v>3438</v>
      </c>
      <c r="D540" s="834"/>
    </row>
    <row r="541" spans="1:4" ht="15.75" thickBot="1">
      <c r="A541" s="831"/>
      <c r="B541" s="759" t="s">
        <v>3392</v>
      </c>
      <c r="C541" s="760" t="s">
        <v>57</v>
      </c>
      <c r="D541" s="835"/>
    </row>
    <row r="542" spans="1:4">
      <c r="A542" s="829">
        <v>136</v>
      </c>
      <c r="B542" s="703" t="s">
        <v>3312</v>
      </c>
      <c r="C542" s="751" t="s">
        <v>3580</v>
      </c>
      <c r="D542" s="704" t="s">
        <v>47</v>
      </c>
    </row>
    <row r="543" spans="1:4">
      <c r="A543" s="830"/>
      <c r="B543" s="705" t="s">
        <v>3313</v>
      </c>
      <c r="C543" s="752" t="s">
        <v>3179</v>
      </c>
      <c r="D543" s="832" t="s">
        <v>3581</v>
      </c>
    </row>
    <row r="544" spans="1:4">
      <c r="A544" s="830"/>
      <c r="B544" s="705" t="s">
        <v>3390</v>
      </c>
      <c r="C544" s="752" t="s">
        <v>3442</v>
      </c>
      <c r="D544" s="832"/>
    </row>
    <row r="545" spans="1:4" ht="15.75" thickBot="1">
      <c r="A545" s="831"/>
      <c r="B545" s="706" t="s">
        <v>3392</v>
      </c>
      <c r="C545" s="753" t="s">
        <v>101</v>
      </c>
      <c r="D545" s="833"/>
    </row>
    <row r="546" spans="1:4">
      <c r="A546" s="829">
        <v>137</v>
      </c>
      <c r="B546" s="703" t="s">
        <v>3312</v>
      </c>
      <c r="C546" s="751" t="s">
        <v>3582</v>
      </c>
      <c r="D546" s="704" t="s">
        <v>47</v>
      </c>
    </row>
    <row r="547" spans="1:4">
      <c r="A547" s="830"/>
      <c r="B547" s="705" t="s">
        <v>3313</v>
      </c>
      <c r="C547" s="752" t="s">
        <v>3181</v>
      </c>
      <c r="D547" s="832" t="s">
        <v>3583</v>
      </c>
    </row>
    <row r="548" spans="1:4">
      <c r="A548" s="830"/>
      <c r="B548" s="705" t="s">
        <v>3390</v>
      </c>
      <c r="C548" s="752" t="s">
        <v>3442</v>
      </c>
      <c r="D548" s="832"/>
    </row>
    <row r="549" spans="1:4" ht="15.75" thickBot="1">
      <c r="A549" s="831"/>
      <c r="B549" s="706" t="s">
        <v>3392</v>
      </c>
      <c r="C549" s="753" t="s">
        <v>57</v>
      </c>
      <c r="D549" s="833"/>
    </row>
    <row r="550" spans="1:4">
      <c r="A550" s="829">
        <v>138</v>
      </c>
      <c r="B550" s="703" t="s">
        <v>3312</v>
      </c>
      <c r="C550" s="751" t="s">
        <v>3586</v>
      </c>
      <c r="D550" s="704" t="s">
        <v>47</v>
      </c>
    </row>
    <row r="551" spans="1:4">
      <c r="A551" s="830"/>
      <c r="B551" s="705" t="s">
        <v>3313</v>
      </c>
      <c r="C551" s="752" t="s">
        <v>3188</v>
      </c>
      <c r="D551" s="832" t="s">
        <v>1531</v>
      </c>
    </row>
    <row r="552" spans="1:4">
      <c r="A552" s="830"/>
      <c r="B552" s="705" t="s">
        <v>3390</v>
      </c>
      <c r="C552" s="752" t="s">
        <v>3442</v>
      </c>
      <c r="D552" s="832"/>
    </row>
    <row r="553" spans="1:4" ht="15.75" thickBot="1">
      <c r="A553" s="831"/>
      <c r="B553" s="706" t="s">
        <v>3392</v>
      </c>
      <c r="C553" s="753" t="s">
        <v>57</v>
      </c>
      <c r="D553" s="833"/>
    </row>
    <row r="554" spans="1:4">
      <c r="A554" s="829">
        <v>139</v>
      </c>
      <c r="B554" s="703" t="s">
        <v>3312</v>
      </c>
      <c r="C554" s="751" t="s">
        <v>3592</v>
      </c>
      <c r="D554" s="704" t="s">
        <v>47</v>
      </c>
    </row>
    <row r="555" spans="1:4" ht="22.5">
      <c r="A555" s="830"/>
      <c r="B555" s="705" t="s">
        <v>3313</v>
      </c>
      <c r="C555" s="752" t="s">
        <v>3593</v>
      </c>
      <c r="D555" s="832" t="s">
        <v>3594</v>
      </c>
    </row>
    <row r="556" spans="1:4">
      <c r="A556" s="830"/>
      <c r="B556" s="705" t="s">
        <v>3390</v>
      </c>
      <c r="C556" s="752" t="s">
        <v>3516</v>
      </c>
      <c r="D556" s="832"/>
    </row>
    <row r="557" spans="1:4" ht="15.75" thickBot="1">
      <c r="A557" s="831"/>
      <c r="B557" s="706" t="s">
        <v>3392</v>
      </c>
      <c r="C557" s="753" t="s">
        <v>57</v>
      </c>
      <c r="D557" s="833"/>
    </row>
    <row r="558" spans="1:4">
      <c r="A558" s="829">
        <v>140</v>
      </c>
      <c r="B558" s="703" t="s">
        <v>3312</v>
      </c>
      <c r="C558" s="751" t="s">
        <v>5222</v>
      </c>
      <c r="D558" s="704" t="s">
        <v>47</v>
      </c>
    </row>
    <row r="559" spans="1:4" ht="22.5">
      <c r="A559" s="830"/>
      <c r="B559" s="705" t="s">
        <v>3313</v>
      </c>
      <c r="C559" s="752" t="s">
        <v>5151</v>
      </c>
      <c r="D559" s="832" t="s">
        <v>5223</v>
      </c>
    </row>
    <row r="560" spans="1:4">
      <c r="A560" s="830"/>
      <c r="B560" s="705" t="s">
        <v>3390</v>
      </c>
      <c r="C560" s="752" t="s">
        <v>3516</v>
      </c>
      <c r="D560" s="832"/>
    </row>
    <row r="561" spans="1:4" ht="15.75" thickBot="1">
      <c r="A561" s="831"/>
      <c r="B561" s="706" t="s">
        <v>3392</v>
      </c>
      <c r="C561" s="753" t="s">
        <v>57</v>
      </c>
      <c r="D561" s="833"/>
    </row>
    <row r="562" spans="1:4">
      <c r="A562" s="829">
        <v>141</v>
      </c>
      <c r="B562" s="703" t="s">
        <v>3312</v>
      </c>
      <c r="C562" s="751" t="s">
        <v>3566</v>
      </c>
      <c r="D562" s="704" t="s">
        <v>47</v>
      </c>
    </row>
    <row r="563" spans="1:4">
      <c r="A563" s="830"/>
      <c r="B563" s="705" t="s">
        <v>3313</v>
      </c>
      <c r="C563" s="752" t="s">
        <v>3155</v>
      </c>
      <c r="D563" s="832" t="s">
        <v>3567</v>
      </c>
    </row>
    <row r="564" spans="1:4">
      <c r="A564" s="830"/>
      <c r="B564" s="705" t="s">
        <v>3390</v>
      </c>
      <c r="C564" s="752" t="s">
        <v>3442</v>
      </c>
      <c r="D564" s="832"/>
    </row>
    <row r="565" spans="1:4" ht="15.75" thickBot="1">
      <c r="A565" s="831"/>
      <c r="B565" s="706" t="s">
        <v>3392</v>
      </c>
      <c r="C565" s="753" t="s">
        <v>101</v>
      </c>
      <c r="D565" s="833"/>
    </row>
    <row r="566" spans="1:4">
      <c r="A566" s="829">
        <v>142</v>
      </c>
      <c r="B566" s="703" t="s">
        <v>3312</v>
      </c>
      <c r="C566" s="751" t="s">
        <v>3591</v>
      </c>
      <c r="D566" s="704" t="s">
        <v>47</v>
      </c>
    </row>
    <row r="567" spans="1:4">
      <c r="A567" s="830"/>
      <c r="B567" s="705" t="s">
        <v>3313</v>
      </c>
      <c r="C567" s="752" t="s">
        <v>2573</v>
      </c>
      <c r="D567" s="832" t="s">
        <v>2574</v>
      </c>
    </row>
    <row r="568" spans="1:4">
      <c r="A568" s="830"/>
      <c r="B568" s="705" t="s">
        <v>3390</v>
      </c>
      <c r="C568" s="752" t="s">
        <v>3480</v>
      </c>
      <c r="D568" s="832"/>
    </row>
    <row r="569" spans="1:4" ht="15.75" thickBot="1">
      <c r="A569" s="831"/>
      <c r="B569" s="706" t="s">
        <v>3392</v>
      </c>
      <c r="C569" s="753" t="s">
        <v>57</v>
      </c>
      <c r="D569" s="833"/>
    </row>
    <row r="570" spans="1:4">
      <c r="A570" s="829">
        <v>143</v>
      </c>
      <c r="B570" s="703" t="s">
        <v>3312</v>
      </c>
      <c r="C570" s="751" t="s">
        <v>3584</v>
      </c>
      <c r="D570" s="704" t="s">
        <v>47</v>
      </c>
    </row>
    <row r="571" spans="1:4" ht="22.5">
      <c r="A571" s="830"/>
      <c r="B571" s="705" t="s">
        <v>3313</v>
      </c>
      <c r="C571" s="752" t="s">
        <v>1706</v>
      </c>
      <c r="D571" s="832" t="s">
        <v>2468</v>
      </c>
    </row>
    <row r="572" spans="1:4">
      <c r="A572" s="830"/>
      <c r="B572" s="705" t="s">
        <v>3390</v>
      </c>
      <c r="C572" s="752" t="s">
        <v>3442</v>
      </c>
      <c r="D572" s="832"/>
    </row>
    <row r="573" spans="1:4" ht="15.75" thickBot="1">
      <c r="A573" s="831"/>
      <c r="B573" s="706" t="s">
        <v>3392</v>
      </c>
      <c r="C573" s="753" t="s">
        <v>57</v>
      </c>
      <c r="D573" s="833"/>
    </row>
    <row r="574" spans="1:4">
      <c r="A574" s="829">
        <v>144</v>
      </c>
      <c r="B574" s="703" t="s">
        <v>3312</v>
      </c>
      <c r="C574" s="751" t="s">
        <v>3585</v>
      </c>
      <c r="D574" s="704" t="s">
        <v>47</v>
      </c>
    </row>
    <row r="575" spans="1:4" ht="22.5">
      <c r="A575" s="830"/>
      <c r="B575" s="705" t="s">
        <v>3313</v>
      </c>
      <c r="C575" s="752" t="s">
        <v>1707</v>
      </c>
      <c r="D575" s="832" t="s">
        <v>2468</v>
      </c>
    </row>
    <row r="576" spans="1:4">
      <c r="A576" s="830"/>
      <c r="B576" s="705" t="s">
        <v>3390</v>
      </c>
      <c r="C576" s="752" t="s">
        <v>3442</v>
      </c>
      <c r="D576" s="832"/>
    </row>
    <row r="577" spans="1:4" ht="15.75" thickBot="1">
      <c r="A577" s="831"/>
      <c r="B577" s="706" t="s">
        <v>3392</v>
      </c>
      <c r="C577" s="753" t="s">
        <v>57</v>
      </c>
      <c r="D577" s="833"/>
    </row>
    <row r="578" spans="1:4">
      <c r="A578" s="829">
        <v>145</v>
      </c>
      <c r="B578" s="703" t="s">
        <v>3312</v>
      </c>
      <c r="C578" s="751" t="s">
        <v>3587</v>
      </c>
      <c r="D578" s="704" t="s">
        <v>47</v>
      </c>
    </row>
    <row r="579" spans="1:4">
      <c r="A579" s="830"/>
      <c r="B579" s="705" t="s">
        <v>3313</v>
      </c>
      <c r="C579" s="752" t="s">
        <v>925</v>
      </c>
      <c r="D579" s="832" t="s">
        <v>1451</v>
      </c>
    </row>
    <row r="580" spans="1:4">
      <c r="A580" s="830"/>
      <c r="B580" s="705" t="s">
        <v>3390</v>
      </c>
      <c r="C580" s="752" t="s">
        <v>3442</v>
      </c>
      <c r="D580" s="832"/>
    </row>
    <row r="581" spans="1:4" ht="15.75" thickBot="1">
      <c r="A581" s="831"/>
      <c r="B581" s="706" t="s">
        <v>3392</v>
      </c>
      <c r="C581" s="753" t="s">
        <v>57</v>
      </c>
      <c r="D581" s="833"/>
    </row>
    <row r="582" spans="1:4">
      <c r="A582" s="829">
        <v>146</v>
      </c>
      <c r="B582" s="754" t="s">
        <v>3312</v>
      </c>
      <c r="C582" s="755" t="s">
        <v>3601</v>
      </c>
      <c r="D582" s="756" t="s">
        <v>47</v>
      </c>
    </row>
    <row r="583" spans="1:4" ht="22.5">
      <c r="A583" s="830"/>
      <c r="B583" s="757" t="s">
        <v>3313</v>
      </c>
      <c r="C583" s="758" t="s">
        <v>1532</v>
      </c>
      <c r="D583" s="834" t="s">
        <v>2474</v>
      </c>
    </row>
    <row r="584" spans="1:4">
      <c r="A584" s="830"/>
      <c r="B584" s="757" t="s">
        <v>3390</v>
      </c>
      <c r="C584" s="758" t="s">
        <v>3442</v>
      </c>
      <c r="D584" s="834"/>
    </row>
    <row r="585" spans="1:4" ht="15.75" thickBot="1">
      <c r="A585" s="831"/>
      <c r="B585" s="759" t="s">
        <v>3392</v>
      </c>
      <c r="C585" s="760" t="s">
        <v>101</v>
      </c>
      <c r="D585" s="835"/>
    </row>
    <row r="586" spans="1:4">
      <c r="A586" s="829">
        <v>147</v>
      </c>
      <c r="B586" s="703" t="s">
        <v>3312</v>
      </c>
      <c r="C586" s="751" t="s">
        <v>5224</v>
      </c>
      <c r="D586" s="704" t="s">
        <v>47</v>
      </c>
    </row>
    <row r="587" spans="1:4" ht="22.5">
      <c r="A587" s="830"/>
      <c r="B587" s="705" t="s">
        <v>3313</v>
      </c>
      <c r="C587" s="752" t="s">
        <v>1526</v>
      </c>
      <c r="D587" s="832" t="s">
        <v>5225</v>
      </c>
    </row>
    <row r="588" spans="1:4">
      <c r="A588" s="830"/>
      <c r="B588" s="705" t="s">
        <v>3390</v>
      </c>
      <c r="C588" s="752" t="s">
        <v>3442</v>
      </c>
      <c r="D588" s="832"/>
    </row>
    <row r="589" spans="1:4" ht="15.75" thickBot="1">
      <c r="A589" s="831"/>
      <c r="B589" s="706" t="s">
        <v>3392</v>
      </c>
      <c r="C589" s="753" t="s">
        <v>57</v>
      </c>
      <c r="D589" s="833"/>
    </row>
    <row r="590" spans="1:4">
      <c r="A590" s="829">
        <v>148</v>
      </c>
      <c r="B590" s="703" t="s">
        <v>3312</v>
      </c>
      <c r="C590" s="751" t="s">
        <v>5226</v>
      </c>
      <c r="D590" s="704" t="s">
        <v>47</v>
      </c>
    </row>
    <row r="591" spans="1:4">
      <c r="A591" s="830"/>
      <c r="B591" s="705" t="s">
        <v>3313</v>
      </c>
      <c r="C591" s="752" t="s">
        <v>3091</v>
      </c>
      <c r="D591" s="832" t="s">
        <v>5227</v>
      </c>
    </row>
    <row r="592" spans="1:4">
      <c r="A592" s="830"/>
      <c r="B592" s="705" t="s">
        <v>3390</v>
      </c>
      <c r="C592" s="752" t="s">
        <v>3391</v>
      </c>
      <c r="D592" s="832"/>
    </row>
    <row r="593" spans="1:4" ht="15.75" thickBot="1">
      <c r="A593" s="831"/>
      <c r="B593" s="706" t="s">
        <v>3392</v>
      </c>
      <c r="C593" s="753" t="s">
        <v>57</v>
      </c>
      <c r="D593" s="833"/>
    </row>
    <row r="594" spans="1:4">
      <c r="A594" s="829">
        <v>149</v>
      </c>
      <c r="B594" s="703" t="s">
        <v>3312</v>
      </c>
      <c r="C594" s="751" t="s">
        <v>5228</v>
      </c>
      <c r="D594" s="704" t="s">
        <v>47</v>
      </c>
    </row>
    <row r="595" spans="1:4">
      <c r="A595" s="830"/>
      <c r="B595" s="705" t="s">
        <v>3313</v>
      </c>
      <c r="C595" s="752" t="s">
        <v>3078</v>
      </c>
      <c r="D595" s="832" t="s">
        <v>5229</v>
      </c>
    </row>
    <row r="596" spans="1:4">
      <c r="A596" s="830"/>
      <c r="B596" s="705" t="s">
        <v>3390</v>
      </c>
      <c r="C596" s="752" t="s">
        <v>3391</v>
      </c>
      <c r="D596" s="832"/>
    </row>
    <row r="597" spans="1:4" ht="15.75" thickBot="1">
      <c r="A597" s="831"/>
      <c r="B597" s="706" t="s">
        <v>3392</v>
      </c>
      <c r="C597" s="753" t="s">
        <v>57</v>
      </c>
      <c r="D597" s="833"/>
    </row>
    <row r="598" spans="1:4">
      <c r="A598" s="829">
        <v>150</v>
      </c>
      <c r="B598" s="703" t="s">
        <v>3312</v>
      </c>
      <c r="C598" s="751" t="s">
        <v>3555</v>
      </c>
      <c r="D598" s="704" t="s">
        <v>47</v>
      </c>
    </row>
    <row r="599" spans="1:4">
      <c r="A599" s="830"/>
      <c r="B599" s="705" t="s">
        <v>3313</v>
      </c>
      <c r="C599" s="752" t="s">
        <v>3114</v>
      </c>
      <c r="D599" s="832" t="s">
        <v>3556</v>
      </c>
    </row>
    <row r="600" spans="1:4">
      <c r="A600" s="830"/>
      <c r="B600" s="705" t="s">
        <v>3390</v>
      </c>
      <c r="C600" s="752" t="s">
        <v>3391</v>
      </c>
      <c r="D600" s="832"/>
    </row>
    <row r="601" spans="1:4" ht="15.75" thickBot="1">
      <c r="A601" s="831"/>
      <c r="B601" s="706" t="s">
        <v>3392</v>
      </c>
      <c r="C601" s="753" t="s">
        <v>57</v>
      </c>
      <c r="D601" s="833"/>
    </row>
    <row r="602" spans="1:4">
      <c r="A602" s="829">
        <v>151</v>
      </c>
      <c r="B602" s="703" t="s">
        <v>3312</v>
      </c>
      <c r="C602" s="751" t="s">
        <v>3559</v>
      </c>
      <c r="D602" s="704" t="s">
        <v>47</v>
      </c>
    </row>
    <row r="603" spans="1:4">
      <c r="A603" s="830"/>
      <c r="B603" s="705" t="s">
        <v>3313</v>
      </c>
      <c r="C603" s="752" t="s">
        <v>3335</v>
      </c>
      <c r="D603" s="832" t="s">
        <v>3560</v>
      </c>
    </row>
    <row r="604" spans="1:4">
      <c r="A604" s="830"/>
      <c r="B604" s="705" t="s">
        <v>3390</v>
      </c>
      <c r="C604" s="752" t="s">
        <v>3442</v>
      </c>
      <c r="D604" s="832"/>
    </row>
    <row r="605" spans="1:4" ht="15.75" thickBot="1">
      <c r="A605" s="831"/>
      <c r="B605" s="706" t="s">
        <v>3392</v>
      </c>
      <c r="C605" s="753" t="s">
        <v>101</v>
      </c>
      <c r="D605" s="833"/>
    </row>
    <row r="606" spans="1:4">
      <c r="A606" s="829">
        <v>152</v>
      </c>
      <c r="B606" s="703" t="s">
        <v>3312</v>
      </c>
      <c r="C606" s="751" t="s">
        <v>3561</v>
      </c>
      <c r="D606" s="704" t="s">
        <v>47</v>
      </c>
    </row>
    <row r="607" spans="1:4">
      <c r="A607" s="830"/>
      <c r="B607" s="705" t="s">
        <v>3313</v>
      </c>
      <c r="C607" s="752" t="s">
        <v>3183</v>
      </c>
      <c r="D607" s="832" t="s">
        <v>3562</v>
      </c>
    </row>
    <row r="608" spans="1:4">
      <c r="A608" s="830"/>
      <c r="B608" s="705" t="s">
        <v>3390</v>
      </c>
      <c r="C608" s="752" t="s">
        <v>3442</v>
      </c>
      <c r="D608" s="832"/>
    </row>
    <row r="609" spans="1:4" ht="15.75" thickBot="1">
      <c r="A609" s="831"/>
      <c r="B609" s="706" t="s">
        <v>3392</v>
      </c>
      <c r="C609" s="753" t="s">
        <v>57</v>
      </c>
      <c r="D609" s="833"/>
    </row>
    <row r="610" spans="1:4">
      <c r="A610" s="829">
        <v>153</v>
      </c>
      <c r="B610" s="703" t="s">
        <v>3312</v>
      </c>
      <c r="C610" s="751" t="s">
        <v>3563</v>
      </c>
      <c r="D610" s="704" t="s">
        <v>47</v>
      </c>
    </row>
    <row r="611" spans="1:4">
      <c r="A611" s="830"/>
      <c r="B611" s="705" t="s">
        <v>3313</v>
      </c>
      <c r="C611" s="752" t="s">
        <v>3185</v>
      </c>
      <c r="D611" s="832" t="s">
        <v>3564</v>
      </c>
    </row>
    <row r="612" spans="1:4">
      <c r="A612" s="830"/>
      <c r="B612" s="705" t="s">
        <v>3390</v>
      </c>
      <c r="C612" s="752" t="s">
        <v>3442</v>
      </c>
      <c r="D612" s="832"/>
    </row>
    <row r="613" spans="1:4" ht="15.75" thickBot="1">
      <c r="A613" s="831"/>
      <c r="B613" s="706" t="s">
        <v>3392</v>
      </c>
      <c r="C613" s="753" t="s">
        <v>57</v>
      </c>
      <c r="D613" s="833"/>
    </row>
    <row r="614" spans="1:4">
      <c r="A614" s="829">
        <v>154</v>
      </c>
      <c r="B614" s="703" t="s">
        <v>3312</v>
      </c>
      <c r="C614" s="751" t="s">
        <v>3565</v>
      </c>
      <c r="D614" s="704" t="s">
        <v>47</v>
      </c>
    </row>
    <row r="615" spans="1:4">
      <c r="A615" s="830"/>
      <c r="B615" s="705" t="s">
        <v>3313</v>
      </c>
      <c r="C615" s="752" t="s">
        <v>3190</v>
      </c>
      <c r="D615" s="832" t="s">
        <v>1531</v>
      </c>
    </row>
    <row r="616" spans="1:4">
      <c r="A616" s="830"/>
      <c r="B616" s="705" t="s">
        <v>3390</v>
      </c>
      <c r="C616" s="752" t="s">
        <v>3442</v>
      </c>
      <c r="D616" s="832"/>
    </row>
    <row r="617" spans="1:4" ht="15.75" thickBot="1">
      <c r="A617" s="831"/>
      <c r="B617" s="706" t="s">
        <v>3392</v>
      </c>
      <c r="C617" s="753" t="s">
        <v>57</v>
      </c>
      <c r="D617" s="833"/>
    </row>
    <row r="618" spans="1:4">
      <c r="A618" s="829">
        <v>155</v>
      </c>
      <c r="B618" s="703" t="s">
        <v>3312</v>
      </c>
      <c r="C618" s="751" t="s">
        <v>3595</v>
      </c>
      <c r="D618" s="704" t="s">
        <v>47</v>
      </c>
    </row>
    <row r="619" spans="1:4" ht="22.5">
      <c r="A619" s="830"/>
      <c r="B619" s="705" t="s">
        <v>3313</v>
      </c>
      <c r="C619" s="752" t="s">
        <v>3199</v>
      </c>
      <c r="D619" s="832" t="s">
        <v>3596</v>
      </c>
    </row>
    <row r="620" spans="1:4">
      <c r="A620" s="830"/>
      <c r="B620" s="705" t="s">
        <v>3390</v>
      </c>
      <c r="C620" s="752" t="s">
        <v>3516</v>
      </c>
      <c r="D620" s="832"/>
    </row>
    <row r="621" spans="1:4" ht="15.75" thickBot="1">
      <c r="A621" s="831"/>
      <c r="B621" s="706" t="s">
        <v>3392</v>
      </c>
      <c r="C621" s="753" t="s">
        <v>57</v>
      </c>
      <c r="D621" s="833"/>
    </row>
    <row r="622" spans="1:4">
      <c r="A622" s="829">
        <v>156</v>
      </c>
      <c r="B622" s="703" t="s">
        <v>3312</v>
      </c>
      <c r="C622" s="751" t="s">
        <v>3553</v>
      </c>
      <c r="D622" s="704" t="s">
        <v>47</v>
      </c>
    </row>
    <row r="623" spans="1:4" ht="22.5">
      <c r="A623" s="830"/>
      <c r="B623" s="705" t="s">
        <v>3313</v>
      </c>
      <c r="C623" s="752" t="s">
        <v>3137</v>
      </c>
      <c r="D623" s="832" t="s">
        <v>3554</v>
      </c>
    </row>
    <row r="624" spans="1:4">
      <c r="A624" s="830"/>
      <c r="B624" s="705" t="s">
        <v>3390</v>
      </c>
      <c r="C624" s="752" t="s">
        <v>3428</v>
      </c>
      <c r="D624" s="832"/>
    </row>
    <row r="625" spans="1:4" ht="15.75" thickBot="1">
      <c r="A625" s="831"/>
      <c r="B625" s="706" t="s">
        <v>3392</v>
      </c>
      <c r="C625" s="753" t="s">
        <v>57</v>
      </c>
      <c r="D625" s="833"/>
    </row>
    <row r="626" spans="1:4">
      <c r="A626" s="829">
        <v>157</v>
      </c>
      <c r="B626" s="703" t="s">
        <v>3312</v>
      </c>
      <c r="C626" s="751" t="s">
        <v>3547</v>
      </c>
      <c r="D626" s="704" t="s">
        <v>47</v>
      </c>
    </row>
    <row r="627" spans="1:4" ht="22.5">
      <c r="A627" s="830"/>
      <c r="B627" s="705" t="s">
        <v>3313</v>
      </c>
      <c r="C627" s="752" t="s">
        <v>3092</v>
      </c>
      <c r="D627" s="832" t="s">
        <v>760</v>
      </c>
    </row>
    <row r="628" spans="1:4">
      <c r="A628" s="830"/>
      <c r="B628" s="705" t="s">
        <v>3390</v>
      </c>
      <c r="C628" s="752" t="s">
        <v>3410</v>
      </c>
      <c r="D628" s="832"/>
    </row>
    <row r="629" spans="1:4" ht="15.75" thickBot="1">
      <c r="A629" s="831"/>
      <c r="B629" s="706" t="s">
        <v>3392</v>
      </c>
      <c r="C629" s="753" t="s">
        <v>57</v>
      </c>
      <c r="D629" s="833"/>
    </row>
    <row r="630" spans="1:4">
      <c r="A630" s="829">
        <v>158</v>
      </c>
      <c r="B630" s="703" t="s">
        <v>3312</v>
      </c>
      <c r="C630" s="751" t="s">
        <v>3548</v>
      </c>
      <c r="D630" s="704" t="s">
        <v>47</v>
      </c>
    </row>
    <row r="631" spans="1:4" ht="22.5">
      <c r="A631" s="830"/>
      <c r="B631" s="705" t="s">
        <v>3313</v>
      </c>
      <c r="C631" s="752" t="s">
        <v>3139</v>
      </c>
      <c r="D631" s="832" t="s">
        <v>3549</v>
      </c>
    </row>
    <row r="632" spans="1:4">
      <c r="A632" s="830"/>
      <c r="B632" s="705" t="s">
        <v>3390</v>
      </c>
      <c r="C632" s="752" t="s">
        <v>3480</v>
      </c>
      <c r="D632" s="832"/>
    </row>
    <row r="633" spans="1:4" ht="15.75" thickBot="1">
      <c r="A633" s="831"/>
      <c r="B633" s="706" t="s">
        <v>3392</v>
      </c>
      <c r="C633" s="753" t="s">
        <v>57</v>
      </c>
      <c r="D633" s="833"/>
    </row>
    <row r="634" spans="1:4">
      <c r="A634" s="829">
        <v>159</v>
      </c>
      <c r="B634" s="703" t="s">
        <v>3312</v>
      </c>
      <c r="C634" s="751" t="s">
        <v>5230</v>
      </c>
      <c r="D634" s="704" t="s">
        <v>47</v>
      </c>
    </row>
    <row r="635" spans="1:4" ht="22.5">
      <c r="A635" s="830"/>
      <c r="B635" s="705" t="s">
        <v>3313</v>
      </c>
      <c r="C635" s="752" t="s">
        <v>3215</v>
      </c>
      <c r="D635" s="832" t="s">
        <v>5231</v>
      </c>
    </row>
    <row r="636" spans="1:4">
      <c r="A636" s="830"/>
      <c r="B636" s="705" t="s">
        <v>3390</v>
      </c>
      <c r="C636" s="752" t="s">
        <v>5232</v>
      </c>
      <c r="D636" s="832"/>
    </row>
    <row r="637" spans="1:4" ht="15.75" thickBot="1">
      <c r="A637" s="831"/>
      <c r="B637" s="706" t="s">
        <v>3392</v>
      </c>
      <c r="C637" s="753" t="s">
        <v>76</v>
      </c>
      <c r="D637" s="833"/>
    </row>
    <row r="638" spans="1:4">
      <c r="A638" s="829">
        <v>160</v>
      </c>
      <c r="B638" s="703" t="s">
        <v>3312</v>
      </c>
      <c r="C638" s="751" t="s">
        <v>5233</v>
      </c>
      <c r="D638" s="704" t="s">
        <v>47</v>
      </c>
    </row>
    <row r="639" spans="1:4" ht="22.5">
      <c r="A639" s="830"/>
      <c r="B639" s="705" t="s">
        <v>3313</v>
      </c>
      <c r="C639" s="752" t="s">
        <v>3197</v>
      </c>
      <c r="D639" s="832" t="s">
        <v>3600</v>
      </c>
    </row>
    <row r="640" spans="1:4">
      <c r="A640" s="830"/>
      <c r="B640" s="705" t="s">
        <v>3390</v>
      </c>
      <c r="C640" s="752" t="s">
        <v>5232</v>
      </c>
      <c r="D640" s="832"/>
    </row>
    <row r="641" spans="1:4" ht="15.75" thickBot="1">
      <c r="A641" s="831"/>
      <c r="B641" s="706" t="s">
        <v>3392</v>
      </c>
      <c r="C641" s="753" t="s">
        <v>76</v>
      </c>
      <c r="D641" s="833"/>
    </row>
    <row r="642" spans="1:4">
      <c r="A642" s="829">
        <v>161</v>
      </c>
      <c r="B642" s="703" t="s">
        <v>3312</v>
      </c>
      <c r="C642" s="751" t="s">
        <v>5234</v>
      </c>
      <c r="D642" s="704" t="s">
        <v>47</v>
      </c>
    </row>
    <row r="643" spans="1:4">
      <c r="A643" s="830"/>
      <c r="B643" s="705" t="s">
        <v>3313</v>
      </c>
      <c r="C643" s="752" t="s">
        <v>5144</v>
      </c>
      <c r="D643" s="832" t="s">
        <v>5235</v>
      </c>
    </row>
    <row r="644" spans="1:4">
      <c r="A644" s="830"/>
      <c r="B644" s="705" t="s">
        <v>3390</v>
      </c>
      <c r="C644" s="752" t="s">
        <v>5232</v>
      </c>
      <c r="D644" s="832"/>
    </row>
    <row r="645" spans="1:4" ht="15.75" thickBot="1">
      <c r="A645" s="831"/>
      <c r="B645" s="706" t="s">
        <v>3392</v>
      </c>
      <c r="C645" s="753" t="s">
        <v>76</v>
      </c>
      <c r="D645" s="833"/>
    </row>
    <row r="646" spans="1:4">
      <c r="A646" s="829">
        <v>162</v>
      </c>
      <c r="B646" s="703" t="s">
        <v>3312</v>
      </c>
      <c r="C646" s="751" t="s">
        <v>5236</v>
      </c>
      <c r="D646" s="704" t="s">
        <v>47</v>
      </c>
    </row>
    <row r="647" spans="1:4">
      <c r="A647" s="830"/>
      <c r="B647" s="705" t="s">
        <v>3313</v>
      </c>
      <c r="C647" s="752" t="s">
        <v>3204</v>
      </c>
      <c r="D647" s="832" t="s">
        <v>5237</v>
      </c>
    </row>
    <row r="648" spans="1:4">
      <c r="A648" s="830"/>
      <c r="B648" s="705" t="s">
        <v>3390</v>
      </c>
      <c r="C648" s="752" t="s">
        <v>5232</v>
      </c>
      <c r="D648" s="832"/>
    </row>
    <row r="649" spans="1:4" ht="15.75" thickBot="1">
      <c r="A649" s="831"/>
      <c r="B649" s="706" t="s">
        <v>3392</v>
      </c>
      <c r="C649" s="753" t="s">
        <v>76</v>
      </c>
      <c r="D649" s="833"/>
    </row>
    <row r="650" spans="1:4">
      <c r="A650" s="829">
        <v>163</v>
      </c>
      <c r="B650" s="703" t="s">
        <v>3312</v>
      </c>
      <c r="C650" s="751" t="s">
        <v>3408</v>
      </c>
      <c r="D650" s="704" t="s">
        <v>47</v>
      </c>
    </row>
    <row r="651" spans="1:4" ht="22.5">
      <c r="A651" s="830"/>
      <c r="B651" s="705" t="s">
        <v>3313</v>
      </c>
      <c r="C651" s="752" t="s">
        <v>536</v>
      </c>
      <c r="D651" s="832" t="s">
        <v>3409</v>
      </c>
    </row>
    <row r="652" spans="1:4">
      <c r="A652" s="830"/>
      <c r="B652" s="705" t="s">
        <v>3390</v>
      </c>
      <c r="C652" s="752" t="s">
        <v>3410</v>
      </c>
      <c r="D652" s="832"/>
    </row>
    <row r="653" spans="1:4" ht="15.75" thickBot="1">
      <c r="A653" s="831"/>
      <c r="B653" s="706" t="s">
        <v>3392</v>
      </c>
      <c r="C653" s="753" t="s">
        <v>162</v>
      </c>
      <c r="D653" s="833"/>
    </row>
    <row r="654" spans="1:4">
      <c r="A654" s="829">
        <v>164</v>
      </c>
      <c r="B654" s="703" t="s">
        <v>3312</v>
      </c>
      <c r="C654" s="751" t="s">
        <v>3418</v>
      </c>
      <c r="D654" s="704" t="s">
        <v>47</v>
      </c>
    </row>
    <row r="655" spans="1:4" ht="22.5">
      <c r="A655" s="830"/>
      <c r="B655" s="705" t="s">
        <v>3313</v>
      </c>
      <c r="C655" s="752" t="s">
        <v>601</v>
      </c>
      <c r="D655" s="832" t="s">
        <v>1143</v>
      </c>
    </row>
    <row r="656" spans="1:4">
      <c r="A656" s="830"/>
      <c r="B656" s="705" t="s">
        <v>3390</v>
      </c>
      <c r="C656" s="752" t="s">
        <v>3410</v>
      </c>
      <c r="D656" s="832"/>
    </row>
    <row r="657" spans="1:4" ht="15.75" thickBot="1">
      <c r="A657" s="831"/>
      <c r="B657" s="706" t="s">
        <v>3392</v>
      </c>
      <c r="C657" s="753" t="s">
        <v>161</v>
      </c>
      <c r="D657" s="833"/>
    </row>
    <row r="658" spans="1:4">
      <c r="A658" s="829">
        <v>165</v>
      </c>
      <c r="B658" s="703" t="s">
        <v>3312</v>
      </c>
      <c r="C658" s="751" t="s">
        <v>3448</v>
      </c>
      <c r="D658" s="704" t="s">
        <v>47</v>
      </c>
    </row>
    <row r="659" spans="1:4" ht="33.75">
      <c r="A659" s="830"/>
      <c r="B659" s="705" t="s">
        <v>3313</v>
      </c>
      <c r="C659" s="752" t="s">
        <v>2841</v>
      </c>
      <c r="D659" s="832" t="s">
        <v>1358</v>
      </c>
    </row>
    <row r="660" spans="1:4">
      <c r="A660" s="830"/>
      <c r="B660" s="705" t="s">
        <v>3390</v>
      </c>
      <c r="C660" s="752" t="s">
        <v>3442</v>
      </c>
      <c r="D660" s="832"/>
    </row>
    <row r="661" spans="1:4" ht="15.75" thickBot="1">
      <c r="A661" s="831"/>
      <c r="B661" s="706" t="s">
        <v>3392</v>
      </c>
      <c r="C661" s="753" t="s">
        <v>57</v>
      </c>
      <c r="D661" s="833"/>
    </row>
  </sheetData>
  <mergeCells count="331">
    <mergeCell ref="A14:A17"/>
    <mergeCell ref="D15:D17"/>
    <mergeCell ref="A18:A21"/>
    <mergeCell ref="D19:D21"/>
    <mergeCell ref="A22:A25"/>
    <mergeCell ref="D23:D25"/>
    <mergeCell ref="A1:D1"/>
    <mergeCell ref="A2:A5"/>
    <mergeCell ref="D3:D5"/>
    <mergeCell ref="A6:A9"/>
    <mergeCell ref="D7:D9"/>
    <mergeCell ref="A10:A13"/>
    <mergeCell ref="D11:D13"/>
    <mergeCell ref="A38:A41"/>
    <mergeCell ref="D39:D41"/>
    <mergeCell ref="A42:A45"/>
    <mergeCell ref="D43:D45"/>
    <mergeCell ref="A46:A49"/>
    <mergeCell ref="D47:D49"/>
    <mergeCell ref="A26:A29"/>
    <mergeCell ref="D27:D29"/>
    <mergeCell ref="A30:A33"/>
    <mergeCell ref="D31:D33"/>
    <mergeCell ref="A34:A37"/>
    <mergeCell ref="D35:D37"/>
    <mergeCell ref="A62:A65"/>
    <mergeCell ref="D63:D65"/>
    <mergeCell ref="A66:A69"/>
    <mergeCell ref="D67:D69"/>
    <mergeCell ref="A70:A73"/>
    <mergeCell ref="D71:D73"/>
    <mergeCell ref="A50:A53"/>
    <mergeCell ref="D51:D53"/>
    <mergeCell ref="A54:A57"/>
    <mergeCell ref="D55:D57"/>
    <mergeCell ref="A58:A61"/>
    <mergeCell ref="D59:D61"/>
    <mergeCell ref="A86:A89"/>
    <mergeCell ref="D87:D89"/>
    <mergeCell ref="A90:A93"/>
    <mergeCell ref="D91:D93"/>
    <mergeCell ref="A94:A97"/>
    <mergeCell ref="D95:D97"/>
    <mergeCell ref="A74:A77"/>
    <mergeCell ref="D75:D77"/>
    <mergeCell ref="A78:A81"/>
    <mergeCell ref="D79:D81"/>
    <mergeCell ref="A82:A85"/>
    <mergeCell ref="D83:D85"/>
    <mergeCell ref="A110:A113"/>
    <mergeCell ref="D111:D113"/>
    <mergeCell ref="A114:A117"/>
    <mergeCell ref="D115:D117"/>
    <mergeCell ref="A118:A121"/>
    <mergeCell ref="D119:D121"/>
    <mergeCell ref="A98:A101"/>
    <mergeCell ref="D99:D101"/>
    <mergeCell ref="A102:A105"/>
    <mergeCell ref="D103:D105"/>
    <mergeCell ref="A106:A109"/>
    <mergeCell ref="D107:D109"/>
    <mergeCell ref="A134:A137"/>
    <mergeCell ref="D135:D137"/>
    <mergeCell ref="A138:A141"/>
    <mergeCell ref="D139:D141"/>
    <mergeCell ref="A142:A145"/>
    <mergeCell ref="D143:D145"/>
    <mergeCell ref="A122:A125"/>
    <mergeCell ref="D123:D125"/>
    <mergeCell ref="A126:A129"/>
    <mergeCell ref="D127:D129"/>
    <mergeCell ref="A130:A133"/>
    <mergeCell ref="D131:D133"/>
    <mergeCell ref="A158:A161"/>
    <mergeCell ref="D159:D161"/>
    <mergeCell ref="A162:A165"/>
    <mergeCell ref="D163:D165"/>
    <mergeCell ref="A166:A169"/>
    <mergeCell ref="D167:D169"/>
    <mergeCell ref="A146:A149"/>
    <mergeCell ref="D147:D149"/>
    <mergeCell ref="A150:A153"/>
    <mergeCell ref="D151:D153"/>
    <mergeCell ref="A154:A157"/>
    <mergeCell ref="D155:D157"/>
    <mergeCell ref="A182:A185"/>
    <mergeCell ref="D183:D185"/>
    <mergeCell ref="A186:A189"/>
    <mergeCell ref="D187:D189"/>
    <mergeCell ref="A190:A193"/>
    <mergeCell ref="D191:D193"/>
    <mergeCell ref="A170:A173"/>
    <mergeCell ref="D171:D173"/>
    <mergeCell ref="A174:A177"/>
    <mergeCell ref="D175:D177"/>
    <mergeCell ref="A178:A181"/>
    <mergeCell ref="D179:D181"/>
    <mergeCell ref="A206:A209"/>
    <mergeCell ref="D207:D209"/>
    <mergeCell ref="A210:A213"/>
    <mergeCell ref="D211:D213"/>
    <mergeCell ref="A214:A217"/>
    <mergeCell ref="D215:D217"/>
    <mergeCell ref="A194:A197"/>
    <mergeCell ref="D195:D197"/>
    <mergeCell ref="A198:A201"/>
    <mergeCell ref="D199:D201"/>
    <mergeCell ref="A202:A205"/>
    <mergeCell ref="D203:D205"/>
    <mergeCell ref="A230:A233"/>
    <mergeCell ref="D231:D233"/>
    <mergeCell ref="A234:A237"/>
    <mergeCell ref="D235:D237"/>
    <mergeCell ref="A238:A241"/>
    <mergeCell ref="D239:D241"/>
    <mergeCell ref="A218:A221"/>
    <mergeCell ref="D219:D221"/>
    <mergeCell ref="A222:A225"/>
    <mergeCell ref="D223:D225"/>
    <mergeCell ref="A226:A229"/>
    <mergeCell ref="D227:D229"/>
    <mergeCell ref="A254:A257"/>
    <mergeCell ref="D255:D257"/>
    <mergeCell ref="A258:A261"/>
    <mergeCell ref="D259:D261"/>
    <mergeCell ref="A262:A265"/>
    <mergeCell ref="D263:D265"/>
    <mergeCell ref="A242:A245"/>
    <mergeCell ref="D243:D245"/>
    <mergeCell ref="A246:A249"/>
    <mergeCell ref="D247:D249"/>
    <mergeCell ref="A250:A253"/>
    <mergeCell ref="D251:D253"/>
    <mergeCell ref="A278:A281"/>
    <mergeCell ref="D279:D281"/>
    <mergeCell ref="A282:A285"/>
    <mergeCell ref="D283:D285"/>
    <mergeCell ref="A286:A289"/>
    <mergeCell ref="D287:D289"/>
    <mergeCell ref="A266:A269"/>
    <mergeCell ref="D267:D269"/>
    <mergeCell ref="A270:A273"/>
    <mergeCell ref="D271:D273"/>
    <mergeCell ref="A274:A277"/>
    <mergeCell ref="D275:D277"/>
    <mergeCell ref="A302:A305"/>
    <mergeCell ref="D303:D305"/>
    <mergeCell ref="A306:A309"/>
    <mergeCell ref="D307:D309"/>
    <mergeCell ref="A310:A313"/>
    <mergeCell ref="D311:D313"/>
    <mergeCell ref="A290:A293"/>
    <mergeCell ref="D291:D293"/>
    <mergeCell ref="A294:A297"/>
    <mergeCell ref="D295:D297"/>
    <mergeCell ref="A298:A301"/>
    <mergeCell ref="D299:D301"/>
    <mergeCell ref="A326:A329"/>
    <mergeCell ref="D327:D329"/>
    <mergeCell ref="A330:A333"/>
    <mergeCell ref="D331:D333"/>
    <mergeCell ref="A334:A337"/>
    <mergeCell ref="D335:D337"/>
    <mergeCell ref="A314:A317"/>
    <mergeCell ref="D315:D317"/>
    <mergeCell ref="A318:A321"/>
    <mergeCell ref="D319:D321"/>
    <mergeCell ref="A322:A325"/>
    <mergeCell ref="D323:D325"/>
    <mergeCell ref="A350:A353"/>
    <mergeCell ref="D351:D353"/>
    <mergeCell ref="A354:A357"/>
    <mergeCell ref="D355:D357"/>
    <mergeCell ref="A358:A361"/>
    <mergeCell ref="D359:D361"/>
    <mergeCell ref="A338:A341"/>
    <mergeCell ref="D339:D341"/>
    <mergeCell ref="A342:A345"/>
    <mergeCell ref="D343:D345"/>
    <mergeCell ref="A346:A349"/>
    <mergeCell ref="D347:D349"/>
    <mergeCell ref="A374:A377"/>
    <mergeCell ref="D375:D377"/>
    <mergeCell ref="A378:A381"/>
    <mergeCell ref="D379:D381"/>
    <mergeCell ref="A382:A385"/>
    <mergeCell ref="D383:D385"/>
    <mergeCell ref="A362:A365"/>
    <mergeCell ref="D363:D365"/>
    <mergeCell ref="A366:A369"/>
    <mergeCell ref="D367:D369"/>
    <mergeCell ref="A370:A373"/>
    <mergeCell ref="D371:D373"/>
    <mergeCell ref="A398:A401"/>
    <mergeCell ref="D399:D401"/>
    <mergeCell ref="A402:A405"/>
    <mergeCell ref="D403:D405"/>
    <mergeCell ref="A406:A409"/>
    <mergeCell ref="D407:D409"/>
    <mergeCell ref="A386:A389"/>
    <mergeCell ref="D387:D389"/>
    <mergeCell ref="A390:A393"/>
    <mergeCell ref="D391:D393"/>
    <mergeCell ref="A394:A397"/>
    <mergeCell ref="D395:D397"/>
    <mergeCell ref="A422:A425"/>
    <mergeCell ref="D423:D425"/>
    <mergeCell ref="A426:A429"/>
    <mergeCell ref="D427:D429"/>
    <mergeCell ref="A430:A433"/>
    <mergeCell ref="D431:D433"/>
    <mergeCell ref="A410:A413"/>
    <mergeCell ref="D411:D413"/>
    <mergeCell ref="A414:A417"/>
    <mergeCell ref="D415:D417"/>
    <mergeCell ref="A418:A421"/>
    <mergeCell ref="D419:D421"/>
    <mergeCell ref="A446:A449"/>
    <mergeCell ref="D447:D449"/>
    <mergeCell ref="A450:A453"/>
    <mergeCell ref="D451:D453"/>
    <mergeCell ref="A454:A457"/>
    <mergeCell ref="D455:D457"/>
    <mergeCell ref="A434:A437"/>
    <mergeCell ref="D435:D437"/>
    <mergeCell ref="A438:A441"/>
    <mergeCell ref="D439:D441"/>
    <mergeCell ref="A442:A445"/>
    <mergeCell ref="D443:D445"/>
    <mergeCell ref="A470:A473"/>
    <mergeCell ref="D471:D473"/>
    <mergeCell ref="A474:A477"/>
    <mergeCell ref="D475:D477"/>
    <mergeCell ref="A478:A481"/>
    <mergeCell ref="D479:D481"/>
    <mergeCell ref="A458:A461"/>
    <mergeCell ref="D459:D461"/>
    <mergeCell ref="A462:A465"/>
    <mergeCell ref="D463:D465"/>
    <mergeCell ref="A466:A469"/>
    <mergeCell ref="D467:D469"/>
    <mergeCell ref="A494:A497"/>
    <mergeCell ref="D495:D497"/>
    <mergeCell ref="A498:A501"/>
    <mergeCell ref="D499:D501"/>
    <mergeCell ref="A502:A505"/>
    <mergeCell ref="D503:D505"/>
    <mergeCell ref="A482:A485"/>
    <mergeCell ref="D483:D485"/>
    <mergeCell ref="A486:A489"/>
    <mergeCell ref="D487:D489"/>
    <mergeCell ref="A490:A493"/>
    <mergeCell ref="D491:D493"/>
    <mergeCell ref="A522:A525"/>
    <mergeCell ref="D523:D525"/>
    <mergeCell ref="A526:A529"/>
    <mergeCell ref="D527:D529"/>
    <mergeCell ref="A530:A533"/>
    <mergeCell ref="D531:D533"/>
    <mergeCell ref="A506:A509"/>
    <mergeCell ref="D507:D509"/>
    <mergeCell ref="A510:A513"/>
    <mergeCell ref="A514:A517"/>
    <mergeCell ref="D515:D517"/>
    <mergeCell ref="A518:A521"/>
    <mergeCell ref="D519:D521"/>
    <mergeCell ref="D511:D513"/>
    <mergeCell ref="A546:A549"/>
    <mergeCell ref="D547:D549"/>
    <mergeCell ref="A550:A553"/>
    <mergeCell ref="D551:D553"/>
    <mergeCell ref="A554:A557"/>
    <mergeCell ref="D555:D557"/>
    <mergeCell ref="A534:A537"/>
    <mergeCell ref="D535:D537"/>
    <mergeCell ref="A538:A541"/>
    <mergeCell ref="D539:D541"/>
    <mergeCell ref="A542:A545"/>
    <mergeCell ref="D543:D545"/>
    <mergeCell ref="A570:A573"/>
    <mergeCell ref="D571:D573"/>
    <mergeCell ref="A574:A577"/>
    <mergeCell ref="D575:D577"/>
    <mergeCell ref="A578:A581"/>
    <mergeCell ref="D579:D581"/>
    <mergeCell ref="A558:A561"/>
    <mergeCell ref="D559:D561"/>
    <mergeCell ref="A562:A565"/>
    <mergeCell ref="D563:D565"/>
    <mergeCell ref="A566:A569"/>
    <mergeCell ref="D567:D569"/>
    <mergeCell ref="A594:A597"/>
    <mergeCell ref="D595:D597"/>
    <mergeCell ref="A598:A601"/>
    <mergeCell ref="D599:D601"/>
    <mergeCell ref="A582:A585"/>
    <mergeCell ref="D583:D585"/>
    <mergeCell ref="A586:A589"/>
    <mergeCell ref="D587:D589"/>
    <mergeCell ref="A590:A593"/>
    <mergeCell ref="D591:D593"/>
    <mergeCell ref="A602:A605"/>
    <mergeCell ref="D603:D605"/>
    <mergeCell ref="A606:A609"/>
    <mergeCell ref="D607:D609"/>
    <mergeCell ref="A610:A613"/>
    <mergeCell ref="D611:D613"/>
    <mergeCell ref="A614:A617"/>
    <mergeCell ref="D615:D617"/>
    <mergeCell ref="A618:A621"/>
    <mergeCell ref="D619:D621"/>
    <mergeCell ref="A622:A625"/>
    <mergeCell ref="D623:D625"/>
    <mergeCell ref="A626:A629"/>
    <mergeCell ref="D627:D629"/>
    <mergeCell ref="A630:A633"/>
    <mergeCell ref="D631:D633"/>
    <mergeCell ref="A634:A637"/>
    <mergeCell ref="D635:D637"/>
    <mergeCell ref="A638:A641"/>
    <mergeCell ref="D639:D641"/>
    <mergeCell ref="A642:A645"/>
    <mergeCell ref="D643:D645"/>
    <mergeCell ref="A646:A649"/>
    <mergeCell ref="D647:D649"/>
    <mergeCell ref="A650:A653"/>
    <mergeCell ref="D651:D653"/>
    <mergeCell ref="A654:A657"/>
    <mergeCell ref="D655:D657"/>
    <mergeCell ref="A658:A661"/>
    <mergeCell ref="D659:D661"/>
  </mergeCells>
  <pageMargins left="0.51181102362204722" right="0.51181102362204722" top="0.86614173228346458" bottom="0.70866141732283472" header="0.31496062992125984" footer="0.19685039370078741"/>
  <pageSetup paperSize="9" scale="64" orientation="portrait" r:id="rId1"/>
  <headerFooter>
    <oddHeader>&amp;L&amp;G&amp;C&amp;8&amp;K01+049GOVERNO DO ESTADO DE MATO GROSSOSECRETARIA DE ESTADO DE EDUCAÇÃOSECRETARIA ADJUNTA DE ESTRUTURA ESCOLAR&amp;R&amp;G</oddHeader>
    <oddFooter>&amp;L&amp;8&amp;K01+049Secretaria de Estado de Educação, Esporte e Lazer de Mato GrossoRua Engenheiro Edgar Prado Arze, 215 - Centro Político AdministrativoCEP: 78049-909 | Cuiabá-MTFone: (65) 3613-6300</oddFooter>
  </headerFooter>
  <rowBreaks count="10" manualBreakCount="10">
    <brk id="65" max="16383" man="1"/>
    <brk id="129" max="16383" man="1"/>
    <brk id="193" max="16383" man="1"/>
    <brk id="257" max="16383" man="1"/>
    <brk id="321" max="16383" man="1"/>
    <brk id="385" max="16383" man="1"/>
    <brk id="449" max="16383" man="1"/>
    <brk id="513" max="16383" man="1"/>
    <brk id="577" max="16383" man="1"/>
    <brk id="641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9CC00"/>
  </sheetPr>
  <dimension ref="A1:I78"/>
  <sheetViews>
    <sheetView view="pageBreakPreview" topLeftCell="A61" zoomScale="60" zoomScaleNormal="85" workbookViewId="0">
      <selection activeCell="C16" sqref="C16"/>
    </sheetView>
  </sheetViews>
  <sheetFormatPr defaultRowHeight="15"/>
  <cols>
    <col min="1" max="1" width="9.140625" style="573"/>
    <col min="2" max="2" width="14.140625" style="573" customWidth="1"/>
    <col min="3" max="3" width="65.140625" style="238" bestFit="1" customWidth="1"/>
    <col min="4" max="4" width="5.85546875" style="573" customWidth="1"/>
    <col min="5" max="5" width="11.140625" style="246" bestFit="1" customWidth="1"/>
    <col min="6" max="6" width="9.140625" style="573"/>
    <col min="7" max="7" width="60.7109375" style="573" bestFit="1" customWidth="1"/>
    <col min="8" max="16384" width="9.140625" style="573"/>
  </cols>
  <sheetData>
    <row r="1" spans="1:6" ht="19.5" thickBot="1">
      <c r="A1" s="839" t="s">
        <v>1515</v>
      </c>
      <c r="B1" s="839"/>
      <c r="C1" s="839"/>
      <c r="D1" s="839"/>
      <c r="E1" s="839"/>
    </row>
    <row r="2" spans="1:6" ht="16.5" thickTop="1">
      <c r="A2" s="577" t="s">
        <v>352</v>
      </c>
      <c r="B2" s="577"/>
      <c r="C2" s="578" t="s">
        <v>1516</v>
      </c>
      <c r="D2" s="577"/>
      <c r="E2" s="579"/>
    </row>
    <row r="3" spans="1:6" ht="30">
      <c r="A3" s="115" t="s">
        <v>1047</v>
      </c>
      <c r="B3" s="115" t="s">
        <v>2881</v>
      </c>
      <c r="C3" s="116" t="s">
        <v>3226</v>
      </c>
      <c r="D3" s="115" t="s">
        <v>70</v>
      </c>
      <c r="E3" s="211">
        <v>9</v>
      </c>
      <c r="F3" s="580"/>
    </row>
    <row r="4" spans="1:6" ht="45">
      <c r="A4" s="115" t="s">
        <v>1048</v>
      </c>
      <c r="B4" s="115" t="s">
        <v>332</v>
      </c>
      <c r="C4" s="116" t="s">
        <v>3227</v>
      </c>
      <c r="D4" s="115" t="s">
        <v>70</v>
      </c>
      <c r="E4" s="211">
        <v>4</v>
      </c>
      <c r="F4" s="580"/>
    </row>
    <row r="5" spans="1:6" ht="30">
      <c r="A5" s="115" t="s">
        <v>1049</v>
      </c>
      <c r="B5" s="115" t="s">
        <v>899</v>
      </c>
      <c r="C5" s="116" t="s">
        <v>900</v>
      </c>
      <c r="D5" s="115" t="s">
        <v>70</v>
      </c>
      <c r="E5" s="211">
        <v>16</v>
      </c>
      <c r="F5" s="580"/>
    </row>
    <row r="6" spans="1:6" ht="15.75" thickBot="1">
      <c r="A6" s="115" t="s">
        <v>2140</v>
      </c>
      <c r="B6" s="115" t="s">
        <v>2704</v>
      </c>
      <c r="C6" s="116" t="s">
        <v>3228</v>
      </c>
      <c r="D6" s="115" t="s">
        <v>10</v>
      </c>
      <c r="E6" s="211">
        <v>20</v>
      </c>
      <c r="F6" s="580"/>
    </row>
    <row r="7" spans="1:6" ht="16.5" thickTop="1">
      <c r="A7" s="577" t="s">
        <v>353</v>
      </c>
      <c r="B7" s="577"/>
      <c r="C7" s="578" t="s">
        <v>1518</v>
      </c>
      <c r="D7" s="577"/>
      <c r="E7" s="579"/>
      <c r="F7" s="580"/>
    </row>
    <row r="8" spans="1:6" ht="45">
      <c r="A8" s="115" t="s">
        <v>1032</v>
      </c>
      <c r="B8" s="115" t="s">
        <v>901</v>
      </c>
      <c r="C8" s="116" t="s">
        <v>902</v>
      </c>
      <c r="D8" s="115" t="s">
        <v>70</v>
      </c>
      <c r="E8" s="211">
        <v>59</v>
      </c>
      <c r="F8" s="580"/>
    </row>
    <row r="9" spans="1:6" ht="60.75" thickBot="1">
      <c r="A9" s="115" t="s">
        <v>1050</v>
      </c>
      <c r="B9" s="115" t="s">
        <v>903</v>
      </c>
      <c r="C9" s="116" t="s">
        <v>904</v>
      </c>
      <c r="D9" s="115" t="s">
        <v>70</v>
      </c>
      <c r="E9" s="211">
        <v>5</v>
      </c>
      <c r="F9" s="580"/>
    </row>
    <row r="10" spans="1:6" ht="16.5" thickTop="1">
      <c r="A10" s="577" t="s">
        <v>2243</v>
      </c>
      <c r="B10" s="577"/>
      <c r="C10" s="578" t="s">
        <v>1519</v>
      </c>
      <c r="D10" s="577"/>
      <c r="E10" s="579"/>
      <c r="F10" s="580"/>
    </row>
    <row r="11" spans="1:6" ht="45">
      <c r="A11" s="115" t="s">
        <v>2244</v>
      </c>
      <c r="B11" s="115" t="s">
        <v>905</v>
      </c>
      <c r="C11" s="116" t="s">
        <v>906</v>
      </c>
      <c r="D11" s="115" t="s">
        <v>57</v>
      </c>
      <c r="E11" s="211">
        <v>6</v>
      </c>
      <c r="F11" s="580"/>
    </row>
    <row r="12" spans="1:6" ht="30">
      <c r="A12" s="115" t="s">
        <v>2245</v>
      </c>
      <c r="B12" s="115" t="s">
        <v>907</v>
      </c>
      <c r="C12" s="116" t="s">
        <v>908</v>
      </c>
      <c r="D12" s="115" t="s">
        <v>57</v>
      </c>
      <c r="E12" s="211">
        <v>6</v>
      </c>
      <c r="F12" s="580"/>
    </row>
    <row r="13" spans="1:6" ht="30">
      <c r="A13" s="115" t="s">
        <v>2246</v>
      </c>
      <c r="B13" s="115" t="s">
        <v>909</v>
      </c>
      <c r="C13" s="116" t="s">
        <v>910</v>
      </c>
      <c r="D13" s="115" t="s">
        <v>57</v>
      </c>
      <c r="E13" s="211">
        <v>1</v>
      </c>
      <c r="F13" s="580"/>
    </row>
    <row r="14" spans="1:6" ht="30">
      <c r="A14" s="115" t="s">
        <v>2247</v>
      </c>
      <c r="B14" s="115" t="s">
        <v>911</v>
      </c>
      <c r="C14" s="116" t="s">
        <v>912</v>
      </c>
      <c r="D14" s="115" t="s">
        <v>57</v>
      </c>
      <c r="E14" s="211">
        <v>2</v>
      </c>
      <c r="F14" s="580"/>
    </row>
    <row r="15" spans="1:6" ht="45">
      <c r="A15" s="115" t="s">
        <v>2248</v>
      </c>
      <c r="B15" s="115" t="s">
        <v>2877</v>
      </c>
      <c r="C15" s="116" t="s">
        <v>1520</v>
      </c>
      <c r="D15" s="115" t="s">
        <v>101</v>
      </c>
      <c r="E15" s="211">
        <v>1920</v>
      </c>
      <c r="F15" s="580"/>
    </row>
    <row r="16" spans="1:6" ht="45">
      <c r="A16" s="115" t="s">
        <v>2553</v>
      </c>
      <c r="B16" s="115" t="s">
        <v>2883</v>
      </c>
      <c r="C16" s="116" t="s">
        <v>754</v>
      </c>
      <c r="D16" s="115" t="s">
        <v>57</v>
      </c>
      <c r="E16" s="211">
        <v>25</v>
      </c>
      <c r="F16" s="580"/>
    </row>
    <row r="17" spans="1:6" ht="60">
      <c r="A17" s="115" t="s">
        <v>3229</v>
      </c>
      <c r="B17" s="115" t="s">
        <v>915</v>
      </c>
      <c r="C17" s="116" t="s">
        <v>916</v>
      </c>
      <c r="D17" s="115" t="s">
        <v>57</v>
      </c>
      <c r="E17" s="211">
        <v>8</v>
      </c>
      <c r="F17" s="580"/>
    </row>
    <row r="18" spans="1:6">
      <c r="A18" s="115" t="s">
        <v>3230</v>
      </c>
      <c r="B18" s="115" t="s">
        <v>3176</v>
      </c>
      <c r="C18" s="116" t="s">
        <v>3177</v>
      </c>
      <c r="D18" s="115" t="s">
        <v>101</v>
      </c>
      <c r="E18" s="211">
        <v>57</v>
      </c>
      <c r="F18" s="580"/>
    </row>
    <row r="19" spans="1:6" ht="30">
      <c r="A19" s="115" t="s">
        <v>3231</v>
      </c>
      <c r="B19" s="115" t="s">
        <v>3178</v>
      </c>
      <c r="C19" s="116" t="s">
        <v>3179</v>
      </c>
      <c r="D19" s="115" t="s">
        <v>101</v>
      </c>
      <c r="E19" s="211">
        <v>12</v>
      </c>
      <c r="F19" s="580"/>
    </row>
    <row r="20" spans="1:6">
      <c r="A20" s="115" t="s">
        <v>3232</v>
      </c>
      <c r="B20" s="115" t="s">
        <v>3180</v>
      </c>
      <c r="C20" s="116" t="s">
        <v>3181</v>
      </c>
      <c r="D20" s="115" t="s">
        <v>57</v>
      </c>
      <c r="E20" s="211">
        <v>12</v>
      </c>
      <c r="F20" s="580"/>
    </row>
    <row r="21" spans="1:6">
      <c r="A21" s="115" t="s">
        <v>3233</v>
      </c>
      <c r="B21" s="115" t="s">
        <v>3182</v>
      </c>
      <c r="C21" s="116" t="s">
        <v>3183</v>
      </c>
      <c r="D21" s="115" t="s">
        <v>57</v>
      </c>
      <c r="E21" s="211">
        <v>57</v>
      </c>
      <c r="F21" s="580"/>
    </row>
    <row r="22" spans="1:6">
      <c r="A22" s="115" t="s">
        <v>3234</v>
      </c>
      <c r="B22" s="115" t="s">
        <v>3184</v>
      </c>
      <c r="C22" s="116" t="s">
        <v>3185</v>
      </c>
      <c r="D22" s="115" t="s">
        <v>57</v>
      </c>
      <c r="E22" s="211">
        <v>20</v>
      </c>
      <c r="F22" s="580"/>
    </row>
    <row r="23" spans="1:6" ht="30">
      <c r="A23" s="115" t="s">
        <v>3235</v>
      </c>
      <c r="B23" s="115" t="s">
        <v>913</v>
      </c>
      <c r="C23" s="116" t="s">
        <v>914</v>
      </c>
      <c r="D23" s="115" t="s">
        <v>57</v>
      </c>
      <c r="E23" s="211">
        <v>36</v>
      </c>
      <c r="F23" s="580"/>
    </row>
    <row r="24" spans="1:6">
      <c r="A24" s="115" t="s">
        <v>3236</v>
      </c>
      <c r="B24" s="115" t="s">
        <v>897</v>
      </c>
      <c r="C24" s="116" t="s">
        <v>898</v>
      </c>
      <c r="D24" s="115" t="s">
        <v>57</v>
      </c>
      <c r="E24" s="211">
        <v>75</v>
      </c>
      <c r="F24" s="580"/>
    </row>
    <row r="25" spans="1:6" ht="30">
      <c r="A25" s="115" t="s">
        <v>3237</v>
      </c>
      <c r="B25" s="115" t="s">
        <v>926</v>
      </c>
      <c r="C25" s="116" t="s">
        <v>1521</v>
      </c>
      <c r="D25" s="115" t="s">
        <v>57</v>
      </c>
      <c r="E25" s="211">
        <v>2</v>
      </c>
      <c r="F25" s="580"/>
    </row>
    <row r="26" spans="1:6" ht="30">
      <c r="A26" s="115" t="s">
        <v>3238</v>
      </c>
      <c r="B26" s="115" t="s">
        <v>927</v>
      </c>
      <c r="C26" s="116" t="s">
        <v>928</v>
      </c>
      <c r="D26" s="115" t="s">
        <v>57</v>
      </c>
      <c r="E26" s="211">
        <v>10</v>
      </c>
      <c r="F26" s="580"/>
    </row>
    <row r="27" spans="1:6" ht="45">
      <c r="A27" s="115" t="s">
        <v>3239</v>
      </c>
      <c r="B27" s="115">
        <v>95818</v>
      </c>
      <c r="C27" s="116" t="s">
        <v>3186</v>
      </c>
      <c r="D27" s="115" t="s">
        <v>57</v>
      </c>
      <c r="E27" s="211">
        <v>30</v>
      </c>
      <c r="F27" s="580"/>
    </row>
    <row r="28" spans="1:6" ht="30">
      <c r="A28" s="115" t="s">
        <v>3240</v>
      </c>
      <c r="B28" s="115" t="s">
        <v>3187</v>
      </c>
      <c r="C28" s="116" t="s">
        <v>3188</v>
      </c>
      <c r="D28" s="115" t="s">
        <v>57</v>
      </c>
      <c r="E28" s="211">
        <v>25</v>
      </c>
      <c r="F28" s="580"/>
    </row>
    <row r="29" spans="1:6" ht="30">
      <c r="A29" s="115" t="s">
        <v>3241</v>
      </c>
      <c r="B29" s="115" t="s">
        <v>3189</v>
      </c>
      <c r="C29" s="116" t="s">
        <v>3190</v>
      </c>
      <c r="D29" s="115" t="s">
        <v>57</v>
      </c>
      <c r="E29" s="211">
        <v>30</v>
      </c>
      <c r="F29" s="580"/>
    </row>
    <row r="30" spans="1:6" ht="60">
      <c r="A30" s="115" t="s">
        <v>3242</v>
      </c>
      <c r="B30" s="115" t="s">
        <v>970</v>
      </c>
      <c r="C30" s="116" t="s">
        <v>2806</v>
      </c>
      <c r="D30" s="115" t="s">
        <v>10</v>
      </c>
      <c r="E30" s="211">
        <v>18</v>
      </c>
      <c r="F30" s="580"/>
    </row>
    <row r="31" spans="1:6" ht="16.5" thickBot="1">
      <c r="A31" s="581"/>
      <c r="B31" s="581"/>
      <c r="C31" s="582" t="s">
        <v>14</v>
      </c>
      <c r="D31" s="581"/>
      <c r="E31" s="583"/>
      <c r="F31" s="580"/>
    </row>
    <row r="32" spans="1:6" ht="16.5" thickTop="1">
      <c r="A32" s="577" t="s">
        <v>354</v>
      </c>
      <c r="B32" s="577"/>
      <c r="C32" s="578" t="s">
        <v>1522</v>
      </c>
      <c r="D32" s="577"/>
      <c r="E32" s="579"/>
      <c r="F32" s="580"/>
    </row>
    <row r="33" spans="1:9" ht="15.75">
      <c r="A33" s="584"/>
      <c r="B33" s="584"/>
      <c r="C33" s="183" t="s">
        <v>3243</v>
      </c>
      <c r="D33" s="584"/>
      <c r="E33" s="585"/>
      <c r="F33" s="580"/>
    </row>
    <row r="34" spans="1:9" ht="30">
      <c r="A34" s="115" t="s">
        <v>1053</v>
      </c>
      <c r="B34" s="115">
        <v>72288</v>
      </c>
      <c r="C34" s="116" t="s">
        <v>3191</v>
      </c>
      <c r="D34" s="115" t="s">
        <v>57</v>
      </c>
      <c r="E34" s="492">
        <v>4</v>
      </c>
      <c r="F34" s="580"/>
    </row>
    <row r="35" spans="1:9" ht="45">
      <c r="A35" s="115" t="s">
        <v>3244</v>
      </c>
      <c r="B35" s="115">
        <v>92346</v>
      </c>
      <c r="C35" s="116" t="s">
        <v>3192</v>
      </c>
      <c r="D35" s="115" t="s">
        <v>57</v>
      </c>
      <c r="E35" s="492">
        <v>9</v>
      </c>
      <c r="F35" s="580"/>
    </row>
    <row r="36" spans="1:9" ht="60">
      <c r="A36" s="115" t="s">
        <v>3245</v>
      </c>
      <c r="B36" s="115" t="s">
        <v>3193</v>
      </c>
      <c r="C36" s="116" t="s">
        <v>3194</v>
      </c>
      <c r="D36" s="115" t="s">
        <v>57</v>
      </c>
      <c r="E36" s="492">
        <v>5</v>
      </c>
      <c r="F36" s="580"/>
    </row>
    <row r="37" spans="1:9" ht="60">
      <c r="A37" s="115" t="s">
        <v>3246</v>
      </c>
      <c r="B37" s="115">
        <v>71516</v>
      </c>
      <c r="C37" s="116" t="s">
        <v>3195</v>
      </c>
      <c r="D37" s="115" t="s">
        <v>57</v>
      </c>
      <c r="E37" s="492">
        <v>4</v>
      </c>
      <c r="F37" s="580"/>
    </row>
    <row r="38" spans="1:9" ht="45">
      <c r="A38" s="115" t="s">
        <v>3247</v>
      </c>
      <c r="B38" s="115" t="s">
        <v>3196</v>
      </c>
      <c r="C38" s="116" t="s">
        <v>3197</v>
      </c>
      <c r="D38" s="115" t="s">
        <v>57</v>
      </c>
      <c r="E38" s="492">
        <v>5</v>
      </c>
      <c r="F38" s="580"/>
    </row>
    <row r="39" spans="1:9" ht="30">
      <c r="A39" s="115" t="s">
        <v>3248</v>
      </c>
      <c r="B39" s="115" t="s">
        <v>3198</v>
      </c>
      <c r="C39" s="116" t="s">
        <v>3199</v>
      </c>
      <c r="D39" s="115" t="s">
        <v>57</v>
      </c>
      <c r="E39" s="492">
        <v>4</v>
      </c>
      <c r="F39" s="580"/>
    </row>
    <row r="40" spans="1:9" ht="45">
      <c r="A40" s="115" t="s">
        <v>3249</v>
      </c>
      <c r="B40" s="115" t="s">
        <v>3200</v>
      </c>
      <c r="C40" s="116" t="s">
        <v>3201</v>
      </c>
      <c r="D40" s="115" t="s">
        <v>57</v>
      </c>
      <c r="E40" s="492">
        <v>4</v>
      </c>
      <c r="F40" s="580"/>
    </row>
    <row r="41" spans="1:9" ht="15.75">
      <c r="A41" s="115"/>
      <c r="B41" s="115"/>
      <c r="C41" s="183" t="s">
        <v>3250</v>
      </c>
      <c r="D41" s="115"/>
      <c r="E41" s="492"/>
      <c r="F41" s="580"/>
    </row>
    <row r="42" spans="1:9" ht="30">
      <c r="A42" s="115" t="s">
        <v>3251</v>
      </c>
      <c r="B42" s="115">
        <v>72287</v>
      </c>
      <c r="C42" s="116" t="s">
        <v>3202</v>
      </c>
      <c r="D42" s="115" t="s">
        <v>57</v>
      </c>
      <c r="E42" s="492">
        <v>1</v>
      </c>
      <c r="F42" s="580"/>
    </row>
    <row r="43" spans="1:9">
      <c r="A43" s="115" t="s">
        <v>3252</v>
      </c>
      <c r="B43" s="115" t="s">
        <v>3203</v>
      </c>
      <c r="C43" s="116" t="s">
        <v>3204</v>
      </c>
      <c r="D43" s="115" t="s">
        <v>57</v>
      </c>
      <c r="E43" s="492">
        <v>4</v>
      </c>
      <c r="F43" s="580"/>
    </row>
    <row r="44" spans="1:9" ht="45">
      <c r="A44" s="115" t="s">
        <v>3253</v>
      </c>
      <c r="B44" s="115">
        <v>92346</v>
      </c>
      <c r="C44" s="116" t="s">
        <v>3192</v>
      </c>
      <c r="D44" s="115" t="s">
        <v>57</v>
      </c>
      <c r="E44" s="492">
        <v>14</v>
      </c>
      <c r="F44" s="580"/>
    </row>
    <row r="45" spans="1:9" ht="45">
      <c r="A45" s="115" t="s">
        <v>3254</v>
      </c>
      <c r="B45" s="115" t="s">
        <v>3205</v>
      </c>
      <c r="C45" s="116" t="s">
        <v>3206</v>
      </c>
      <c r="D45" s="115" t="s">
        <v>57</v>
      </c>
      <c r="E45" s="492">
        <v>5</v>
      </c>
    </row>
    <row r="46" spans="1:9" ht="15.75">
      <c r="A46" s="115"/>
      <c r="B46" s="115"/>
      <c r="C46" s="183" t="s">
        <v>3255</v>
      </c>
      <c r="D46" s="115"/>
      <c r="E46" s="492"/>
    </row>
    <row r="47" spans="1:9" ht="30">
      <c r="A47" s="115" t="s">
        <v>3256</v>
      </c>
      <c r="B47" s="115" t="s">
        <v>3207</v>
      </c>
      <c r="C47" s="116" t="s">
        <v>3257</v>
      </c>
      <c r="D47" s="115" t="s">
        <v>57</v>
      </c>
      <c r="E47" s="492">
        <v>4</v>
      </c>
      <c r="G47" s="116"/>
      <c r="H47" s="68"/>
      <c r="I47" s="586"/>
    </row>
    <row r="48" spans="1:9" ht="30">
      <c r="A48" s="115" t="s">
        <v>3258</v>
      </c>
      <c r="B48" s="115" t="s">
        <v>333</v>
      </c>
      <c r="C48" s="116" t="s">
        <v>756</v>
      </c>
      <c r="D48" s="115" t="s">
        <v>57</v>
      </c>
      <c r="E48" s="492">
        <v>1</v>
      </c>
      <c r="G48" s="116"/>
      <c r="H48" s="68"/>
      <c r="I48" s="586"/>
    </row>
    <row r="49" spans="1:9" ht="30">
      <c r="A49" s="115" t="s">
        <v>3259</v>
      </c>
      <c r="B49" s="115" t="s">
        <v>1541</v>
      </c>
      <c r="C49" s="116" t="s">
        <v>3208</v>
      </c>
      <c r="D49" s="115" t="s">
        <v>57</v>
      </c>
      <c r="E49" s="492">
        <v>1</v>
      </c>
      <c r="G49" s="116"/>
      <c r="H49" s="68"/>
      <c r="I49" s="586"/>
    </row>
    <row r="50" spans="1:9" ht="30">
      <c r="A50" s="115" t="s">
        <v>3260</v>
      </c>
      <c r="B50" s="115">
        <v>73607</v>
      </c>
      <c r="C50" s="116" t="s">
        <v>3209</v>
      </c>
      <c r="D50" s="115" t="s">
        <v>57</v>
      </c>
      <c r="E50" s="492">
        <v>1</v>
      </c>
      <c r="G50" s="116"/>
      <c r="H50" s="68"/>
      <c r="I50" s="586"/>
    </row>
    <row r="51" spans="1:9" ht="45">
      <c r="A51" s="115" t="s">
        <v>3261</v>
      </c>
      <c r="B51" s="115">
        <v>72132</v>
      </c>
      <c r="C51" s="116" t="s">
        <v>3210</v>
      </c>
      <c r="D51" s="115" t="s">
        <v>10</v>
      </c>
      <c r="E51" s="492">
        <v>3.2</v>
      </c>
      <c r="G51" s="116"/>
      <c r="H51" s="68"/>
      <c r="I51" s="586"/>
    </row>
    <row r="52" spans="1:9" ht="45">
      <c r="A52" s="115" t="s">
        <v>3262</v>
      </c>
      <c r="B52" s="115" t="s">
        <v>3211</v>
      </c>
      <c r="C52" s="116" t="s">
        <v>3212</v>
      </c>
      <c r="D52" s="115" t="s">
        <v>57</v>
      </c>
      <c r="E52" s="492">
        <v>5</v>
      </c>
      <c r="G52" s="116"/>
      <c r="H52" s="68"/>
      <c r="I52" s="586"/>
    </row>
    <row r="53" spans="1:9" ht="30">
      <c r="A53" s="115" t="s">
        <v>3263</v>
      </c>
      <c r="B53" s="115" t="s">
        <v>2478</v>
      </c>
      <c r="C53" s="116" t="s">
        <v>3213</v>
      </c>
      <c r="D53" s="115" t="s">
        <v>57</v>
      </c>
      <c r="E53" s="492">
        <v>1</v>
      </c>
      <c r="G53" s="116"/>
      <c r="H53" s="68"/>
      <c r="I53" s="586"/>
    </row>
    <row r="54" spans="1:9" ht="60">
      <c r="A54" s="115" t="s">
        <v>3264</v>
      </c>
      <c r="B54" s="115" t="s">
        <v>3214</v>
      </c>
      <c r="C54" s="116" t="s">
        <v>3215</v>
      </c>
      <c r="D54" s="115" t="s">
        <v>101</v>
      </c>
      <c r="E54" s="492">
        <v>150</v>
      </c>
      <c r="G54" s="116"/>
      <c r="H54" s="68"/>
      <c r="I54" s="586"/>
    </row>
    <row r="55" spans="1:9" ht="75">
      <c r="A55" s="115" t="s">
        <v>3265</v>
      </c>
      <c r="B55" s="115">
        <v>94473</v>
      </c>
      <c r="C55" s="116" t="s">
        <v>917</v>
      </c>
      <c r="D55" s="115" t="s">
        <v>57</v>
      </c>
      <c r="E55" s="492">
        <v>25</v>
      </c>
      <c r="G55" s="116"/>
      <c r="H55" s="68"/>
      <c r="I55" s="586"/>
    </row>
    <row r="56" spans="1:9" ht="75">
      <c r="A56" s="115" t="s">
        <v>3266</v>
      </c>
      <c r="B56" s="115">
        <v>94474</v>
      </c>
      <c r="C56" s="116" t="s">
        <v>918</v>
      </c>
      <c r="D56" s="115" t="s">
        <v>57</v>
      </c>
      <c r="E56" s="492">
        <v>4</v>
      </c>
      <c r="G56" s="116"/>
      <c r="H56" s="68"/>
      <c r="I56" s="586"/>
    </row>
    <row r="57" spans="1:9" ht="60">
      <c r="A57" s="115" t="s">
        <v>3267</v>
      </c>
      <c r="B57" s="115">
        <v>92378</v>
      </c>
      <c r="C57" s="116" t="s">
        <v>919</v>
      </c>
      <c r="D57" s="115" t="s">
        <v>57</v>
      </c>
      <c r="E57" s="492">
        <v>25</v>
      </c>
      <c r="G57" s="116"/>
      <c r="H57" s="68"/>
      <c r="I57" s="586"/>
    </row>
    <row r="58" spans="1:9" ht="60">
      <c r="A58" s="115" t="s">
        <v>3268</v>
      </c>
      <c r="B58" s="115">
        <v>92642</v>
      </c>
      <c r="C58" s="116" t="s">
        <v>920</v>
      </c>
      <c r="D58" s="115" t="s">
        <v>57</v>
      </c>
      <c r="E58" s="492">
        <v>10</v>
      </c>
      <c r="G58" s="116"/>
      <c r="H58" s="68"/>
      <c r="I58" s="586"/>
    </row>
    <row r="59" spans="1:9" ht="30">
      <c r="A59" s="115" t="s">
        <v>3269</v>
      </c>
      <c r="B59" s="115" t="s">
        <v>334</v>
      </c>
      <c r="C59" s="116" t="s">
        <v>757</v>
      </c>
      <c r="D59" s="115" t="s">
        <v>57</v>
      </c>
      <c r="E59" s="492">
        <v>1</v>
      </c>
      <c r="G59" s="116"/>
      <c r="H59" s="68"/>
      <c r="I59" s="586"/>
    </row>
    <row r="60" spans="1:9" ht="30">
      <c r="A60" s="115" t="s">
        <v>3270</v>
      </c>
      <c r="B60" s="115" t="s">
        <v>3216</v>
      </c>
      <c r="C60" s="116" t="s">
        <v>3217</v>
      </c>
      <c r="D60" s="115" t="s">
        <v>57</v>
      </c>
      <c r="E60" s="492">
        <v>1</v>
      </c>
      <c r="G60" s="116"/>
      <c r="H60" s="68"/>
      <c r="I60" s="586"/>
    </row>
    <row r="61" spans="1:9" ht="30">
      <c r="A61" s="115" t="s">
        <v>3271</v>
      </c>
      <c r="B61" s="115" t="s">
        <v>1523</v>
      </c>
      <c r="C61" s="116" t="s">
        <v>1533</v>
      </c>
      <c r="D61" s="115" t="s">
        <v>101</v>
      </c>
      <c r="E61" s="492">
        <f>165*3</f>
        <v>495</v>
      </c>
      <c r="G61" s="116"/>
      <c r="H61" s="68"/>
      <c r="I61" s="586"/>
    </row>
    <row r="62" spans="1:9" ht="45">
      <c r="A62" s="115" t="s">
        <v>3272</v>
      </c>
      <c r="B62" s="115" t="s">
        <v>2476</v>
      </c>
      <c r="C62" s="116" t="s">
        <v>1537</v>
      </c>
      <c r="D62" s="115" t="s">
        <v>101</v>
      </c>
      <c r="E62" s="492">
        <v>171</v>
      </c>
      <c r="G62" s="116"/>
      <c r="H62" s="68"/>
      <c r="I62" s="586"/>
    </row>
    <row r="63" spans="1:9" ht="45">
      <c r="A63" s="115" t="s">
        <v>3273</v>
      </c>
      <c r="B63" s="115" t="s">
        <v>2473</v>
      </c>
      <c r="C63" s="116" t="s">
        <v>1532</v>
      </c>
      <c r="D63" s="115" t="s">
        <v>101</v>
      </c>
      <c r="E63" s="492">
        <v>60</v>
      </c>
      <c r="G63" s="116"/>
      <c r="H63" s="68"/>
      <c r="I63" s="586"/>
    </row>
    <row r="64" spans="1:9" ht="60">
      <c r="A64" s="115" t="s">
        <v>3274</v>
      </c>
      <c r="B64" s="115" t="s">
        <v>296</v>
      </c>
      <c r="C64" s="116" t="s">
        <v>743</v>
      </c>
      <c r="D64" s="115" t="s">
        <v>101</v>
      </c>
      <c r="E64" s="492">
        <v>20</v>
      </c>
      <c r="G64" s="116"/>
      <c r="H64" s="68"/>
      <c r="I64" s="586"/>
    </row>
    <row r="65" spans="1:9" ht="30">
      <c r="A65" s="115" t="s">
        <v>3275</v>
      </c>
      <c r="B65" s="115" t="s">
        <v>3218</v>
      </c>
      <c r="C65" s="116" t="s">
        <v>3219</v>
      </c>
      <c r="D65" s="115" t="s">
        <v>10</v>
      </c>
      <c r="E65" s="492">
        <v>10.199999999999999</v>
      </c>
      <c r="G65" s="116"/>
      <c r="H65" s="68"/>
      <c r="I65" s="586"/>
    </row>
    <row r="66" spans="1:9" ht="90">
      <c r="A66" s="115" t="s">
        <v>3276</v>
      </c>
      <c r="B66" s="115" t="s">
        <v>700</v>
      </c>
      <c r="C66" s="116" t="s">
        <v>701</v>
      </c>
      <c r="D66" s="115" t="s">
        <v>57</v>
      </c>
      <c r="E66" s="492">
        <v>26</v>
      </c>
      <c r="G66" s="116"/>
      <c r="H66" s="68"/>
      <c r="I66" s="586"/>
    </row>
    <row r="67" spans="1:9" ht="60">
      <c r="A67" s="115" t="s">
        <v>3277</v>
      </c>
      <c r="B67" s="115" t="s">
        <v>970</v>
      </c>
      <c r="C67" s="116" t="s">
        <v>2806</v>
      </c>
      <c r="D67" s="115" t="s">
        <v>10</v>
      </c>
      <c r="E67" s="587">
        <v>42</v>
      </c>
      <c r="G67" s="116"/>
      <c r="H67" s="68"/>
      <c r="I67" s="586"/>
    </row>
    <row r="68" spans="1:9" ht="30">
      <c r="A68" s="115" t="s">
        <v>3278</v>
      </c>
      <c r="B68" s="115" t="s">
        <v>3220</v>
      </c>
      <c r="C68" s="116" t="s">
        <v>1524</v>
      </c>
      <c r="D68" s="115" t="s">
        <v>57</v>
      </c>
      <c r="E68" s="492">
        <v>1</v>
      </c>
      <c r="G68" s="116"/>
      <c r="H68" s="68"/>
      <c r="I68" s="586"/>
    </row>
    <row r="69" spans="1:9" ht="30">
      <c r="A69" s="115" t="s">
        <v>3279</v>
      </c>
      <c r="B69" s="115">
        <v>93672</v>
      </c>
      <c r="C69" s="116" t="s">
        <v>3221</v>
      </c>
      <c r="D69" s="115" t="s">
        <v>57</v>
      </c>
      <c r="E69" s="492">
        <v>3</v>
      </c>
      <c r="G69" s="116"/>
      <c r="H69" s="68"/>
      <c r="I69" s="586"/>
    </row>
    <row r="70" spans="1:9">
      <c r="A70" s="115" t="s">
        <v>3280</v>
      </c>
      <c r="B70" s="115">
        <v>93358</v>
      </c>
      <c r="C70" s="116" t="s">
        <v>524</v>
      </c>
      <c r="D70" s="115" t="s">
        <v>3101</v>
      </c>
      <c r="E70" s="492">
        <v>69</v>
      </c>
      <c r="G70" s="116"/>
      <c r="H70" s="68"/>
      <c r="I70" s="586"/>
    </row>
    <row r="71" spans="1:9">
      <c r="A71" s="115" t="s">
        <v>3281</v>
      </c>
      <c r="B71" s="115" t="s">
        <v>268</v>
      </c>
      <c r="C71" s="116" t="s">
        <v>527</v>
      </c>
      <c r="D71" s="115" t="s">
        <v>3101</v>
      </c>
      <c r="E71" s="492">
        <v>74</v>
      </c>
      <c r="G71" s="116"/>
      <c r="H71" s="68"/>
      <c r="I71" s="586"/>
    </row>
    <row r="72" spans="1:9" ht="30">
      <c r="A72" s="115" t="s">
        <v>3282</v>
      </c>
      <c r="B72" s="115" t="s">
        <v>3176</v>
      </c>
      <c r="C72" s="116" t="s">
        <v>3222</v>
      </c>
      <c r="D72" s="115" t="s">
        <v>101</v>
      </c>
      <c r="E72" s="492">
        <v>8</v>
      </c>
      <c r="G72" s="116"/>
      <c r="H72" s="68"/>
      <c r="I72" s="586"/>
    </row>
    <row r="73" spans="1:9">
      <c r="A73" s="115" t="s">
        <v>3283</v>
      </c>
      <c r="B73" s="115" t="s">
        <v>3182</v>
      </c>
      <c r="C73" s="116" t="s">
        <v>3223</v>
      </c>
      <c r="D73" s="115" t="s">
        <v>57</v>
      </c>
      <c r="E73" s="492">
        <v>14</v>
      </c>
      <c r="G73" s="116"/>
      <c r="H73" s="68"/>
      <c r="I73" s="586"/>
    </row>
    <row r="74" spans="1:9" ht="30">
      <c r="A74" s="115" t="s">
        <v>3284</v>
      </c>
      <c r="B74" s="115" t="s">
        <v>3184</v>
      </c>
      <c r="C74" s="116" t="s">
        <v>3224</v>
      </c>
      <c r="D74" s="115" t="s">
        <v>57</v>
      </c>
      <c r="E74" s="492">
        <v>10</v>
      </c>
      <c r="G74" s="116"/>
      <c r="H74" s="68"/>
      <c r="I74" s="586"/>
    </row>
    <row r="75" spans="1:9" ht="30.75" thickBot="1">
      <c r="A75" s="115" t="s">
        <v>3285</v>
      </c>
      <c r="B75" s="115" t="s">
        <v>897</v>
      </c>
      <c r="C75" s="116" t="s">
        <v>3225</v>
      </c>
      <c r="D75" s="115" t="s">
        <v>57</v>
      </c>
      <c r="E75" s="492">
        <v>24</v>
      </c>
      <c r="G75" s="116"/>
      <c r="H75" s="68"/>
      <c r="I75" s="586"/>
    </row>
    <row r="76" spans="1:9" ht="16.5" thickTop="1">
      <c r="A76" s="577" t="s">
        <v>171</v>
      </c>
      <c r="B76" s="577"/>
      <c r="C76" s="578" t="s">
        <v>1525</v>
      </c>
      <c r="D76" s="577"/>
      <c r="E76" s="579"/>
    </row>
    <row r="77" spans="1:9" ht="30">
      <c r="A77" s="115" t="s">
        <v>3165</v>
      </c>
      <c r="B77" s="168" t="s">
        <v>2884</v>
      </c>
      <c r="C77" s="116" t="s">
        <v>930</v>
      </c>
      <c r="D77" s="115" t="s">
        <v>70</v>
      </c>
      <c r="E77" s="492">
        <v>52</v>
      </c>
    </row>
    <row r="78" spans="1:9" ht="30">
      <c r="A78" s="115" t="s">
        <v>2249</v>
      </c>
      <c r="B78" s="115" t="s">
        <v>929</v>
      </c>
      <c r="C78" s="116" t="s">
        <v>3286</v>
      </c>
      <c r="D78" s="115" t="s">
        <v>70</v>
      </c>
      <c r="E78" s="585">
        <v>3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FF"/>
  </sheetPr>
  <dimension ref="A1:I65589"/>
  <sheetViews>
    <sheetView showGridLines="0" view="pageBreakPreview" zoomScale="80" zoomScaleNormal="110" zoomScaleSheetLayoutView="80" workbookViewId="0">
      <selection activeCell="A66" sqref="A66"/>
    </sheetView>
  </sheetViews>
  <sheetFormatPr defaultRowHeight="12.75"/>
  <cols>
    <col min="1" max="1" width="6" style="43" bestFit="1" customWidth="1"/>
    <col min="2" max="2" width="47.140625" style="40" customWidth="1"/>
    <col min="3" max="3" width="57.42578125" style="40" customWidth="1"/>
    <col min="4" max="4" width="9.7109375" style="40" customWidth="1"/>
    <col min="5" max="5" width="14.5703125" style="40" customWidth="1"/>
    <col min="6" max="6" width="13.7109375" style="57" customWidth="1"/>
    <col min="7" max="7" width="105.7109375" style="42" bestFit="1" customWidth="1"/>
    <col min="8" max="8" width="33" style="42" bestFit="1" customWidth="1"/>
    <col min="9" max="256" width="9.140625" style="42"/>
    <col min="257" max="257" width="5.28515625" style="42" customWidth="1"/>
    <col min="258" max="258" width="47.140625" style="42" customWidth="1"/>
    <col min="259" max="259" width="57.42578125" style="42" customWidth="1"/>
    <col min="260" max="260" width="9.7109375" style="42" customWidth="1"/>
    <col min="261" max="261" width="14.5703125" style="42" customWidth="1"/>
    <col min="262" max="262" width="9.7109375" style="42" bestFit="1" customWidth="1"/>
    <col min="263" max="263" width="18.85546875" style="42" customWidth="1"/>
    <col min="264" max="264" width="33" style="42" bestFit="1" customWidth="1"/>
    <col min="265" max="512" width="9.140625" style="42"/>
    <col min="513" max="513" width="5.28515625" style="42" customWidth="1"/>
    <col min="514" max="514" width="47.140625" style="42" customWidth="1"/>
    <col min="515" max="515" width="57.42578125" style="42" customWidth="1"/>
    <col min="516" max="516" width="9.7109375" style="42" customWidth="1"/>
    <col min="517" max="517" width="14.5703125" style="42" customWidth="1"/>
    <col min="518" max="518" width="9.7109375" style="42" bestFit="1" customWidth="1"/>
    <col min="519" max="519" width="18.85546875" style="42" customWidth="1"/>
    <col min="520" max="520" width="33" style="42" bestFit="1" customWidth="1"/>
    <col min="521" max="768" width="9.140625" style="42"/>
    <col min="769" max="769" width="5.28515625" style="42" customWidth="1"/>
    <col min="770" max="770" width="47.140625" style="42" customWidth="1"/>
    <col min="771" max="771" width="57.42578125" style="42" customWidth="1"/>
    <col min="772" max="772" width="9.7109375" style="42" customWidth="1"/>
    <col min="773" max="773" width="14.5703125" style="42" customWidth="1"/>
    <col min="774" max="774" width="9.7109375" style="42" bestFit="1" customWidth="1"/>
    <col min="775" max="775" width="18.85546875" style="42" customWidth="1"/>
    <col min="776" max="776" width="33" style="42" bestFit="1" customWidth="1"/>
    <col min="777" max="1024" width="9.140625" style="42"/>
    <col min="1025" max="1025" width="5.28515625" style="42" customWidth="1"/>
    <col min="1026" max="1026" width="47.140625" style="42" customWidth="1"/>
    <col min="1027" max="1027" width="57.42578125" style="42" customWidth="1"/>
    <col min="1028" max="1028" width="9.7109375" style="42" customWidth="1"/>
    <col min="1029" max="1029" width="14.5703125" style="42" customWidth="1"/>
    <col min="1030" max="1030" width="9.7109375" style="42" bestFit="1" customWidth="1"/>
    <col min="1031" max="1031" width="18.85546875" style="42" customWidth="1"/>
    <col min="1032" max="1032" width="33" style="42" bestFit="1" customWidth="1"/>
    <col min="1033" max="1280" width="9.140625" style="42"/>
    <col min="1281" max="1281" width="5.28515625" style="42" customWidth="1"/>
    <col min="1282" max="1282" width="47.140625" style="42" customWidth="1"/>
    <col min="1283" max="1283" width="57.42578125" style="42" customWidth="1"/>
    <col min="1284" max="1284" width="9.7109375" style="42" customWidth="1"/>
    <col min="1285" max="1285" width="14.5703125" style="42" customWidth="1"/>
    <col min="1286" max="1286" width="9.7109375" style="42" bestFit="1" customWidth="1"/>
    <col min="1287" max="1287" width="18.85546875" style="42" customWidth="1"/>
    <col min="1288" max="1288" width="33" style="42" bestFit="1" customWidth="1"/>
    <col min="1289" max="1536" width="9.140625" style="42"/>
    <col min="1537" max="1537" width="5.28515625" style="42" customWidth="1"/>
    <col min="1538" max="1538" width="47.140625" style="42" customWidth="1"/>
    <col min="1539" max="1539" width="57.42578125" style="42" customWidth="1"/>
    <col min="1540" max="1540" width="9.7109375" style="42" customWidth="1"/>
    <col min="1541" max="1541" width="14.5703125" style="42" customWidth="1"/>
    <col min="1542" max="1542" width="9.7109375" style="42" bestFit="1" customWidth="1"/>
    <col min="1543" max="1543" width="18.85546875" style="42" customWidth="1"/>
    <col min="1544" max="1544" width="33" style="42" bestFit="1" customWidth="1"/>
    <col min="1545" max="1792" width="9.140625" style="42"/>
    <col min="1793" max="1793" width="5.28515625" style="42" customWidth="1"/>
    <col min="1794" max="1794" width="47.140625" style="42" customWidth="1"/>
    <col min="1795" max="1795" width="57.42578125" style="42" customWidth="1"/>
    <col min="1796" max="1796" width="9.7109375" style="42" customWidth="1"/>
    <col min="1797" max="1797" width="14.5703125" style="42" customWidth="1"/>
    <col min="1798" max="1798" width="9.7109375" style="42" bestFit="1" customWidth="1"/>
    <col min="1799" max="1799" width="18.85546875" style="42" customWidth="1"/>
    <col min="1800" max="1800" width="33" style="42" bestFit="1" customWidth="1"/>
    <col min="1801" max="2048" width="9.140625" style="42"/>
    <col min="2049" max="2049" width="5.28515625" style="42" customWidth="1"/>
    <col min="2050" max="2050" width="47.140625" style="42" customWidth="1"/>
    <col min="2051" max="2051" width="57.42578125" style="42" customWidth="1"/>
    <col min="2052" max="2052" width="9.7109375" style="42" customWidth="1"/>
    <col min="2053" max="2053" width="14.5703125" style="42" customWidth="1"/>
    <col min="2054" max="2054" width="9.7109375" style="42" bestFit="1" customWidth="1"/>
    <col min="2055" max="2055" width="18.85546875" style="42" customWidth="1"/>
    <col min="2056" max="2056" width="33" style="42" bestFit="1" customWidth="1"/>
    <col min="2057" max="2304" width="9.140625" style="42"/>
    <col min="2305" max="2305" width="5.28515625" style="42" customWidth="1"/>
    <col min="2306" max="2306" width="47.140625" style="42" customWidth="1"/>
    <col min="2307" max="2307" width="57.42578125" style="42" customWidth="1"/>
    <col min="2308" max="2308" width="9.7109375" style="42" customWidth="1"/>
    <col min="2309" max="2309" width="14.5703125" style="42" customWidth="1"/>
    <col min="2310" max="2310" width="9.7109375" style="42" bestFit="1" customWidth="1"/>
    <col min="2311" max="2311" width="18.85546875" style="42" customWidth="1"/>
    <col min="2312" max="2312" width="33" style="42" bestFit="1" customWidth="1"/>
    <col min="2313" max="2560" width="9.140625" style="42"/>
    <col min="2561" max="2561" width="5.28515625" style="42" customWidth="1"/>
    <col min="2562" max="2562" width="47.140625" style="42" customWidth="1"/>
    <col min="2563" max="2563" width="57.42578125" style="42" customWidth="1"/>
    <col min="2564" max="2564" width="9.7109375" style="42" customWidth="1"/>
    <col min="2565" max="2565" width="14.5703125" style="42" customWidth="1"/>
    <col min="2566" max="2566" width="9.7109375" style="42" bestFit="1" customWidth="1"/>
    <col min="2567" max="2567" width="18.85546875" style="42" customWidth="1"/>
    <col min="2568" max="2568" width="33" style="42" bestFit="1" customWidth="1"/>
    <col min="2569" max="2816" width="9.140625" style="42"/>
    <col min="2817" max="2817" width="5.28515625" style="42" customWidth="1"/>
    <col min="2818" max="2818" width="47.140625" style="42" customWidth="1"/>
    <col min="2819" max="2819" width="57.42578125" style="42" customWidth="1"/>
    <col min="2820" max="2820" width="9.7109375" style="42" customWidth="1"/>
    <col min="2821" max="2821" width="14.5703125" style="42" customWidth="1"/>
    <col min="2822" max="2822" width="9.7109375" style="42" bestFit="1" customWidth="1"/>
    <col min="2823" max="2823" width="18.85546875" style="42" customWidth="1"/>
    <col min="2824" max="2824" width="33" style="42" bestFit="1" customWidth="1"/>
    <col min="2825" max="3072" width="9.140625" style="42"/>
    <col min="3073" max="3073" width="5.28515625" style="42" customWidth="1"/>
    <col min="3074" max="3074" width="47.140625" style="42" customWidth="1"/>
    <col min="3075" max="3075" width="57.42578125" style="42" customWidth="1"/>
    <col min="3076" max="3076" width="9.7109375" style="42" customWidth="1"/>
    <col min="3077" max="3077" width="14.5703125" style="42" customWidth="1"/>
    <col min="3078" max="3078" width="9.7109375" style="42" bestFit="1" customWidth="1"/>
    <col min="3079" max="3079" width="18.85546875" style="42" customWidth="1"/>
    <col min="3080" max="3080" width="33" style="42" bestFit="1" customWidth="1"/>
    <col min="3081" max="3328" width="9.140625" style="42"/>
    <col min="3329" max="3329" width="5.28515625" style="42" customWidth="1"/>
    <col min="3330" max="3330" width="47.140625" style="42" customWidth="1"/>
    <col min="3331" max="3331" width="57.42578125" style="42" customWidth="1"/>
    <col min="3332" max="3332" width="9.7109375" style="42" customWidth="1"/>
    <col min="3333" max="3333" width="14.5703125" style="42" customWidth="1"/>
    <col min="3334" max="3334" width="9.7109375" style="42" bestFit="1" customWidth="1"/>
    <col min="3335" max="3335" width="18.85546875" style="42" customWidth="1"/>
    <col min="3336" max="3336" width="33" style="42" bestFit="1" customWidth="1"/>
    <col min="3337" max="3584" width="9.140625" style="42"/>
    <col min="3585" max="3585" width="5.28515625" style="42" customWidth="1"/>
    <col min="3586" max="3586" width="47.140625" style="42" customWidth="1"/>
    <col min="3587" max="3587" width="57.42578125" style="42" customWidth="1"/>
    <col min="3588" max="3588" width="9.7109375" style="42" customWidth="1"/>
    <col min="3589" max="3589" width="14.5703125" style="42" customWidth="1"/>
    <col min="3590" max="3590" width="9.7109375" style="42" bestFit="1" customWidth="1"/>
    <col min="3591" max="3591" width="18.85546875" style="42" customWidth="1"/>
    <col min="3592" max="3592" width="33" style="42" bestFit="1" customWidth="1"/>
    <col min="3593" max="3840" width="9.140625" style="42"/>
    <col min="3841" max="3841" width="5.28515625" style="42" customWidth="1"/>
    <col min="3842" max="3842" width="47.140625" style="42" customWidth="1"/>
    <col min="3843" max="3843" width="57.42578125" style="42" customWidth="1"/>
    <col min="3844" max="3844" width="9.7109375" style="42" customWidth="1"/>
    <col min="3845" max="3845" width="14.5703125" style="42" customWidth="1"/>
    <col min="3846" max="3846" width="9.7109375" style="42" bestFit="1" customWidth="1"/>
    <col min="3847" max="3847" width="18.85546875" style="42" customWidth="1"/>
    <col min="3848" max="3848" width="33" style="42" bestFit="1" customWidth="1"/>
    <col min="3849" max="4096" width="9.140625" style="42"/>
    <col min="4097" max="4097" width="5.28515625" style="42" customWidth="1"/>
    <col min="4098" max="4098" width="47.140625" style="42" customWidth="1"/>
    <col min="4099" max="4099" width="57.42578125" style="42" customWidth="1"/>
    <col min="4100" max="4100" width="9.7109375" style="42" customWidth="1"/>
    <col min="4101" max="4101" width="14.5703125" style="42" customWidth="1"/>
    <col min="4102" max="4102" width="9.7109375" style="42" bestFit="1" customWidth="1"/>
    <col min="4103" max="4103" width="18.85546875" style="42" customWidth="1"/>
    <col min="4104" max="4104" width="33" style="42" bestFit="1" customWidth="1"/>
    <col min="4105" max="4352" width="9.140625" style="42"/>
    <col min="4353" max="4353" width="5.28515625" style="42" customWidth="1"/>
    <col min="4354" max="4354" width="47.140625" style="42" customWidth="1"/>
    <col min="4355" max="4355" width="57.42578125" style="42" customWidth="1"/>
    <col min="4356" max="4356" width="9.7109375" style="42" customWidth="1"/>
    <col min="4357" max="4357" width="14.5703125" style="42" customWidth="1"/>
    <col min="4358" max="4358" width="9.7109375" style="42" bestFit="1" customWidth="1"/>
    <col min="4359" max="4359" width="18.85546875" style="42" customWidth="1"/>
    <col min="4360" max="4360" width="33" style="42" bestFit="1" customWidth="1"/>
    <col min="4361" max="4608" width="9.140625" style="42"/>
    <col min="4609" max="4609" width="5.28515625" style="42" customWidth="1"/>
    <col min="4610" max="4610" width="47.140625" style="42" customWidth="1"/>
    <col min="4611" max="4611" width="57.42578125" style="42" customWidth="1"/>
    <col min="4612" max="4612" width="9.7109375" style="42" customWidth="1"/>
    <col min="4613" max="4613" width="14.5703125" style="42" customWidth="1"/>
    <col min="4614" max="4614" width="9.7109375" style="42" bestFit="1" customWidth="1"/>
    <col min="4615" max="4615" width="18.85546875" style="42" customWidth="1"/>
    <col min="4616" max="4616" width="33" style="42" bestFit="1" customWidth="1"/>
    <col min="4617" max="4864" width="9.140625" style="42"/>
    <col min="4865" max="4865" width="5.28515625" style="42" customWidth="1"/>
    <col min="4866" max="4866" width="47.140625" style="42" customWidth="1"/>
    <col min="4867" max="4867" width="57.42578125" style="42" customWidth="1"/>
    <col min="4868" max="4868" width="9.7109375" style="42" customWidth="1"/>
    <col min="4869" max="4869" width="14.5703125" style="42" customWidth="1"/>
    <col min="4870" max="4870" width="9.7109375" style="42" bestFit="1" customWidth="1"/>
    <col min="4871" max="4871" width="18.85546875" style="42" customWidth="1"/>
    <col min="4872" max="4872" width="33" style="42" bestFit="1" customWidth="1"/>
    <col min="4873" max="5120" width="9.140625" style="42"/>
    <col min="5121" max="5121" width="5.28515625" style="42" customWidth="1"/>
    <col min="5122" max="5122" width="47.140625" style="42" customWidth="1"/>
    <col min="5123" max="5123" width="57.42578125" style="42" customWidth="1"/>
    <col min="5124" max="5124" width="9.7109375" style="42" customWidth="1"/>
    <col min="5125" max="5125" width="14.5703125" style="42" customWidth="1"/>
    <col min="5126" max="5126" width="9.7109375" style="42" bestFit="1" customWidth="1"/>
    <col min="5127" max="5127" width="18.85546875" style="42" customWidth="1"/>
    <col min="5128" max="5128" width="33" style="42" bestFit="1" customWidth="1"/>
    <col min="5129" max="5376" width="9.140625" style="42"/>
    <col min="5377" max="5377" width="5.28515625" style="42" customWidth="1"/>
    <col min="5378" max="5378" width="47.140625" style="42" customWidth="1"/>
    <col min="5379" max="5379" width="57.42578125" style="42" customWidth="1"/>
    <col min="5380" max="5380" width="9.7109375" style="42" customWidth="1"/>
    <col min="5381" max="5381" width="14.5703125" style="42" customWidth="1"/>
    <col min="5382" max="5382" width="9.7109375" style="42" bestFit="1" customWidth="1"/>
    <col min="5383" max="5383" width="18.85546875" style="42" customWidth="1"/>
    <col min="5384" max="5384" width="33" style="42" bestFit="1" customWidth="1"/>
    <col min="5385" max="5632" width="9.140625" style="42"/>
    <col min="5633" max="5633" width="5.28515625" style="42" customWidth="1"/>
    <col min="5634" max="5634" width="47.140625" style="42" customWidth="1"/>
    <col min="5635" max="5635" width="57.42578125" style="42" customWidth="1"/>
    <col min="5636" max="5636" width="9.7109375" style="42" customWidth="1"/>
    <col min="5637" max="5637" width="14.5703125" style="42" customWidth="1"/>
    <col min="5638" max="5638" width="9.7109375" style="42" bestFit="1" customWidth="1"/>
    <col min="5639" max="5639" width="18.85546875" style="42" customWidth="1"/>
    <col min="5640" max="5640" width="33" style="42" bestFit="1" customWidth="1"/>
    <col min="5641" max="5888" width="9.140625" style="42"/>
    <col min="5889" max="5889" width="5.28515625" style="42" customWidth="1"/>
    <col min="5890" max="5890" width="47.140625" style="42" customWidth="1"/>
    <col min="5891" max="5891" width="57.42578125" style="42" customWidth="1"/>
    <col min="5892" max="5892" width="9.7109375" style="42" customWidth="1"/>
    <col min="5893" max="5893" width="14.5703125" style="42" customWidth="1"/>
    <col min="5894" max="5894" width="9.7109375" style="42" bestFit="1" customWidth="1"/>
    <col min="5895" max="5895" width="18.85546875" style="42" customWidth="1"/>
    <col min="5896" max="5896" width="33" style="42" bestFit="1" customWidth="1"/>
    <col min="5897" max="6144" width="9.140625" style="42"/>
    <col min="6145" max="6145" width="5.28515625" style="42" customWidth="1"/>
    <col min="6146" max="6146" width="47.140625" style="42" customWidth="1"/>
    <col min="6147" max="6147" width="57.42578125" style="42" customWidth="1"/>
    <col min="6148" max="6148" width="9.7109375" style="42" customWidth="1"/>
    <col min="6149" max="6149" width="14.5703125" style="42" customWidth="1"/>
    <col min="6150" max="6150" width="9.7109375" style="42" bestFit="1" customWidth="1"/>
    <col min="6151" max="6151" width="18.85546875" style="42" customWidth="1"/>
    <col min="6152" max="6152" width="33" style="42" bestFit="1" customWidth="1"/>
    <col min="6153" max="6400" width="9.140625" style="42"/>
    <col min="6401" max="6401" width="5.28515625" style="42" customWidth="1"/>
    <col min="6402" max="6402" width="47.140625" style="42" customWidth="1"/>
    <col min="6403" max="6403" width="57.42578125" style="42" customWidth="1"/>
    <col min="6404" max="6404" width="9.7109375" style="42" customWidth="1"/>
    <col min="6405" max="6405" width="14.5703125" style="42" customWidth="1"/>
    <col min="6406" max="6406" width="9.7109375" style="42" bestFit="1" customWidth="1"/>
    <col min="6407" max="6407" width="18.85546875" style="42" customWidth="1"/>
    <col min="6408" max="6408" width="33" style="42" bestFit="1" customWidth="1"/>
    <col min="6409" max="6656" width="9.140625" style="42"/>
    <col min="6657" max="6657" width="5.28515625" style="42" customWidth="1"/>
    <col min="6658" max="6658" width="47.140625" style="42" customWidth="1"/>
    <col min="6659" max="6659" width="57.42578125" style="42" customWidth="1"/>
    <col min="6660" max="6660" width="9.7109375" style="42" customWidth="1"/>
    <col min="6661" max="6661" width="14.5703125" style="42" customWidth="1"/>
    <col min="6662" max="6662" width="9.7109375" style="42" bestFit="1" customWidth="1"/>
    <col min="6663" max="6663" width="18.85546875" style="42" customWidth="1"/>
    <col min="6664" max="6664" width="33" style="42" bestFit="1" customWidth="1"/>
    <col min="6665" max="6912" width="9.140625" style="42"/>
    <col min="6913" max="6913" width="5.28515625" style="42" customWidth="1"/>
    <col min="6914" max="6914" width="47.140625" style="42" customWidth="1"/>
    <col min="6915" max="6915" width="57.42578125" style="42" customWidth="1"/>
    <col min="6916" max="6916" width="9.7109375" style="42" customWidth="1"/>
    <col min="6917" max="6917" width="14.5703125" style="42" customWidth="1"/>
    <col min="6918" max="6918" width="9.7109375" style="42" bestFit="1" customWidth="1"/>
    <col min="6919" max="6919" width="18.85546875" style="42" customWidth="1"/>
    <col min="6920" max="6920" width="33" style="42" bestFit="1" customWidth="1"/>
    <col min="6921" max="7168" width="9.140625" style="42"/>
    <col min="7169" max="7169" width="5.28515625" style="42" customWidth="1"/>
    <col min="7170" max="7170" width="47.140625" style="42" customWidth="1"/>
    <col min="7171" max="7171" width="57.42578125" style="42" customWidth="1"/>
    <col min="7172" max="7172" width="9.7109375" style="42" customWidth="1"/>
    <col min="7173" max="7173" width="14.5703125" style="42" customWidth="1"/>
    <col min="7174" max="7174" width="9.7109375" style="42" bestFit="1" customWidth="1"/>
    <col min="7175" max="7175" width="18.85546875" style="42" customWidth="1"/>
    <col min="7176" max="7176" width="33" style="42" bestFit="1" customWidth="1"/>
    <col min="7177" max="7424" width="9.140625" style="42"/>
    <col min="7425" max="7425" width="5.28515625" style="42" customWidth="1"/>
    <col min="7426" max="7426" width="47.140625" style="42" customWidth="1"/>
    <col min="7427" max="7427" width="57.42578125" style="42" customWidth="1"/>
    <col min="7428" max="7428" width="9.7109375" style="42" customWidth="1"/>
    <col min="7429" max="7429" width="14.5703125" style="42" customWidth="1"/>
    <col min="7430" max="7430" width="9.7109375" style="42" bestFit="1" customWidth="1"/>
    <col min="7431" max="7431" width="18.85546875" style="42" customWidth="1"/>
    <col min="7432" max="7432" width="33" style="42" bestFit="1" customWidth="1"/>
    <col min="7433" max="7680" width="9.140625" style="42"/>
    <col min="7681" max="7681" width="5.28515625" style="42" customWidth="1"/>
    <col min="7682" max="7682" width="47.140625" style="42" customWidth="1"/>
    <col min="7683" max="7683" width="57.42578125" style="42" customWidth="1"/>
    <col min="7684" max="7684" width="9.7109375" style="42" customWidth="1"/>
    <col min="7685" max="7685" width="14.5703125" style="42" customWidth="1"/>
    <col min="7686" max="7686" width="9.7109375" style="42" bestFit="1" customWidth="1"/>
    <col min="7687" max="7687" width="18.85546875" style="42" customWidth="1"/>
    <col min="7688" max="7688" width="33" style="42" bestFit="1" customWidth="1"/>
    <col min="7689" max="7936" width="9.140625" style="42"/>
    <col min="7937" max="7937" width="5.28515625" style="42" customWidth="1"/>
    <col min="7938" max="7938" width="47.140625" style="42" customWidth="1"/>
    <col min="7939" max="7939" width="57.42578125" style="42" customWidth="1"/>
    <col min="7940" max="7940" width="9.7109375" style="42" customWidth="1"/>
    <col min="7941" max="7941" width="14.5703125" style="42" customWidth="1"/>
    <col min="7942" max="7942" width="9.7109375" style="42" bestFit="1" customWidth="1"/>
    <col min="7943" max="7943" width="18.85546875" style="42" customWidth="1"/>
    <col min="7944" max="7944" width="33" style="42" bestFit="1" customWidth="1"/>
    <col min="7945" max="8192" width="9.140625" style="42"/>
    <col min="8193" max="8193" width="5.28515625" style="42" customWidth="1"/>
    <col min="8194" max="8194" width="47.140625" style="42" customWidth="1"/>
    <col min="8195" max="8195" width="57.42578125" style="42" customWidth="1"/>
    <col min="8196" max="8196" width="9.7109375" style="42" customWidth="1"/>
    <col min="8197" max="8197" width="14.5703125" style="42" customWidth="1"/>
    <col min="8198" max="8198" width="9.7109375" style="42" bestFit="1" customWidth="1"/>
    <col min="8199" max="8199" width="18.85546875" style="42" customWidth="1"/>
    <col min="8200" max="8200" width="33" style="42" bestFit="1" customWidth="1"/>
    <col min="8201" max="8448" width="9.140625" style="42"/>
    <col min="8449" max="8449" width="5.28515625" style="42" customWidth="1"/>
    <col min="8450" max="8450" width="47.140625" style="42" customWidth="1"/>
    <col min="8451" max="8451" width="57.42578125" style="42" customWidth="1"/>
    <col min="8452" max="8452" width="9.7109375" style="42" customWidth="1"/>
    <col min="8453" max="8453" width="14.5703125" style="42" customWidth="1"/>
    <col min="8454" max="8454" width="9.7109375" style="42" bestFit="1" customWidth="1"/>
    <col min="8455" max="8455" width="18.85546875" style="42" customWidth="1"/>
    <col min="8456" max="8456" width="33" style="42" bestFit="1" customWidth="1"/>
    <col min="8457" max="8704" width="9.140625" style="42"/>
    <col min="8705" max="8705" width="5.28515625" style="42" customWidth="1"/>
    <col min="8706" max="8706" width="47.140625" style="42" customWidth="1"/>
    <col min="8707" max="8707" width="57.42578125" style="42" customWidth="1"/>
    <col min="8708" max="8708" width="9.7109375" style="42" customWidth="1"/>
    <col min="8709" max="8709" width="14.5703125" style="42" customWidth="1"/>
    <col min="8710" max="8710" width="9.7109375" style="42" bestFit="1" customWidth="1"/>
    <col min="8711" max="8711" width="18.85546875" style="42" customWidth="1"/>
    <col min="8712" max="8712" width="33" style="42" bestFit="1" customWidth="1"/>
    <col min="8713" max="8960" width="9.140625" style="42"/>
    <col min="8961" max="8961" width="5.28515625" style="42" customWidth="1"/>
    <col min="8962" max="8962" width="47.140625" style="42" customWidth="1"/>
    <col min="8963" max="8963" width="57.42578125" style="42" customWidth="1"/>
    <col min="8964" max="8964" width="9.7109375" style="42" customWidth="1"/>
    <col min="8965" max="8965" width="14.5703125" style="42" customWidth="1"/>
    <col min="8966" max="8966" width="9.7109375" style="42" bestFit="1" customWidth="1"/>
    <col min="8967" max="8967" width="18.85546875" style="42" customWidth="1"/>
    <col min="8968" max="8968" width="33" style="42" bestFit="1" customWidth="1"/>
    <col min="8969" max="9216" width="9.140625" style="42"/>
    <col min="9217" max="9217" width="5.28515625" style="42" customWidth="1"/>
    <col min="9218" max="9218" width="47.140625" style="42" customWidth="1"/>
    <col min="9219" max="9219" width="57.42578125" style="42" customWidth="1"/>
    <col min="9220" max="9220" width="9.7109375" style="42" customWidth="1"/>
    <col min="9221" max="9221" width="14.5703125" style="42" customWidth="1"/>
    <col min="9222" max="9222" width="9.7109375" style="42" bestFit="1" customWidth="1"/>
    <col min="9223" max="9223" width="18.85546875" style="42" customWidth="1"/>
    <col min="9224" max="9224" width="33" style="42" bestFit="1" customWidth="1"/>
    <col min="9225" max="9472" width="9.140625" style="42"/>
    <col min="9473" max="9473" width="5.28515625" style="42" customWidth="1"/>
    <col min="9474" max="9474" width="47.140625" style="42" customWidth="1"/>
    <col min="9475" max="9475" width="57.42578125" style="42" customWidth="1"/>
    <col min="9476" max="9476" width="9.7109375" style="42" customWidth="1"/>
    <col min="9477" max="9477" width="14.5703125" style="42" customWidth="1"/>
    <col min="9478" max="9478" width="9.7109375" style="42" bestFit="1" customWidth="1"/>
    <col min="9479" max="9479" width="18.85546875" style="42" customWidth="1"/>
    <col min="9480" max="9480" width="33" style="42" bestFit="1" customWidth="1"/>
    <col min="9481" max="9728" width="9.140625" style="42"/>
    <col min="9729" max="9729" width="5.28515625" style="42" customWidth="1"/>
    <col min="9730" max="9730" width="47.140625" style="42" customWidth="1"/>
    <col min="9731" max="9731" width="57.42578125" style="42" customWidth="1"/>
    <col min="9732" max="9732" width="9.7109375" style="42" customWidth="1"/>
    <col min="9733" max="9733" width="14.5703125" style="42" customWidth="1"/>
    <col min="9734" max="9734" width="9.7109375" style="42" bestFit="1" customWidth="1"/>
    <col min="9735" max="9735" width="18.85546875" style="42" customWidth="1"/>
    <col min="9736" max="9736" width="33" style="42" bestFit="1" customWidth="1"/>
    <col min="9737" max="9984" width="9.140625" style="42"/>
    <col min="9985" max="9985" width="5.28515625" style="42" customWidth="1"/>
    <col min="9986" max="9986" width="47.140625" style="42" customWidth="1"/>
    <col min="9987" max="9987" width="57.42578125" style="42" customWidth="1"/>
    <col min="9988" max="9988" width="9.7109375" style="42" customWidth="1"/>
    <col min="9989" max="9989" width="14.5703125" style="42" customWidth="1"/>
    <col min="9990" max="9990" width="9.7109375" style="42" bestFit="1" customWidth="1"/>
    <col min="9991" max="9991" width="18.85546875" style="42" customWidth="1"/>
    <col min="9992" max="9992" width="33" style="42" bestFit="1" customWidth="1"/>
    <col min="9993" max="10240" width="9.140625" style="42"/>
    <col min="10241" max="10241" width="5.28515625" style="42" customWidth="1"/>
    <col min="10242" max="10242" width="47.140625" style="42" customWidth="1"/>
    <col min="10243" max="10243" width="57.42578125" style="42" customWidth="1"/>
    <col min="10244" max="10244" width="9.7109375" style="42" customWidth="1"/>
    <col min="10245" max="10245" width="14.5703125" style="42" customWidth="1"/>
    <col min="10246" max="10246" width="9.7109375" style="42" bestFit="1" customWidth="1"/>
    <col min="10247" max="10247" width="18.85546875" style="42" customWidth="1"/>
    <col min="10248" max="10248" width="33" style="42" bestFit="1" customWidth="1"/>
    <col min="10249" max="10496" width="9.140625" style="42"/>
    <col min="10497" max="10497" width="5.28515625" style="42" customWidth="1"/>
    <col min="10498" max="10498" width="47.140625" style="42" customWidth="1"/>
    <col min="10499" max="10499" width="57.42578125" style="42" customWidth="1"/>
    <col min="10500" max="10500" width="9.7109375" style="42" customWidth="1"/>
    <col min="10501" max="10501" width="14.5703125" style="42" customWidth="1"/>
    <col min="10502" max="10502" width="9.7109375" style="42" bestFit="1" customWidth="1"/>
    <col min="10503" max="10503" width="18.85546875" style="42" customWidth="1"/>
    <col min="10504" max="10504" width="33" style="42" bestFit="1" customWidth="1"/>
    <col min="10505" max="10752" width="9.140625" style="42"/>
    <col min="10753" max="10753" width="5.28515625" style="42" customWidth="1"/>
    <col min="10754" max="10754" width="47.140625" style="42" customWidth="1"/>
    <col min="10755" max="10755" width="57.42578125" style="42" customWidth="1"/>
    <col min="10756" max="10756" width="9.7109375" style="42" customWidth="1"/>
    <col min="10757" max="10757" width="14.5703125" style="42" customWidth="1"/>
    <col min="10758" max="10758" width="9.7109375" style="42" bestFit="1" customWidth="1"/>
    <col min="10759" max="10759" width="18.85546875" style="42" customWidth="1"/>
    <col min="10760" max="10760" width="33" style="42" bestFit="1" customWidth="1"/>
    <col min="10761" max="11008" width="9.140625" style="42"/>
    <col min="11009" max="11009" width="5.28515625" style="42" customWidth="1"/>
    <col min="11010" max="11010" width="47.140625" style="42" customWidth="1"/>
    <col min="11011" max="11011" width="57.42578125" style="42" customWidth="1"/>
    <col min="11012" max="11012" width="9.7109375" style="42" customWidth="1"/>
    <col min="11013" max="11013" width="14.5703125" style="42" customWidth="1"/>
    <col min="11014" max="11014" width="9.7109375" style="42" bestFit="1" customWidth="1"/>
    <col min="11015" max="11015" width="18.85546875" style="42" customWidth="1"/>
    <col min="11016" max="11016" width="33" style="42" bestFit="1" customWidth="1"/>
    <col min="11017" max="11264" width="9.140625" style="42"/>
    <col min="11265" max="11265" width="5.28515625" style="42" customWidth="1"/>
    <col min="11266" max="11266" width="47.140625" style="42" customWidth="1"/>
    <col min="11267" max="11267" width="57.42578125" style="42" customWidth="1"/>
    <col min="11268" max="11268" width="9.7109375" style="42" customWidth="1"/>
    <col min="11269" max="11269" width="14.5703125" style="42" customWidth="1"/>
    <col min="11270" max="11270" width="9.7109375" style="42" bestFit="1" customWidth="1"/>
    <col min="11271" max="11271" width="18.85546875" style="42" customWidth="1"/>
    <col min="11272" max="11272" width="33" style="42" bestFit="1" customWidth="1"/>
    <col min="11273" max="11520" width="9.140625" style="42"/>
    <col min="11521" max="11521" width="5.28515625" style="42" customWidth="1"/>
    <col min="11522" max="11522" width="47.140625" style="42" customWidth="1"/>
    <col min="11523" max="11523" width="57.42578125" style="42" customWidth="1"/>
    <col min="11524" max="11524" width="9.7109375" style="42" customWidth="1"/>
    <col min="11525" max="11525" width="14.5703125" style="42" customWidth="1"/>
    <col min="11526" max="11526" width="9.7109375" style="42" bestFit="1" customWidth="1"/>
    <col min="11527" max="11527" width="18.85546875" style="42" customWidth="1"/>
    <col min="11528" max="11528" width="33" style="42" bestFit="1" customWidth="1"/>
    <col min="11529" max="11776" width="9.140625" style="42"/>
    <col min="11777" max="11777" width="5.28515625" style="42" customWidth="1"/>
    <col min="11778" max="11778" width="47.140625" style="42" customWidth="1"/>
    <col min="11779" max="11779" width="57.42578125" style="42" customWidth="1"/>
    <col min="11780" max="11780" width="9.7109375" style="42" customWidth="1"/>
    <col min="11781" max="11781" width="14.5703125" style="42" customWidth="1"/>
    <col min="11782" max="11782" width="9.7109375" style="42" bestFit="1" customWidth="1"/>
    <col min="11783" max="11783" width="18.85546875" style="42" customWidth="1"/>
    <col min="11784" max="11784" width="33" style="42" bestFit="1" customWidth="1"/>
    <col min="11785" max="12032" width="9.140625" style="42"/>
    <col min="12033" max="12033" width="5.28515625" style="42" customWidth="1"/>
    <col min="12034" max="12034" width="47.140625" style="42" customWidth="1"/>
    <col min="12035" max="12035" width="57.42578125" style="42" customWidth="1"/>
    <col min="12036" max="12036" width="9.7109375" style="42" customWidth="1"/>
    <col min="12037" max="12037" width="14.5703125" style="42" customWidth="1"/>
    <col min="12038" max="12038" width="9.7109375" style="42" bestFit="1" customWidth="1"/>
    <col min="12039" max="12039" width="18.85546875" style="42" customWidth="1"/>
    <col min="12040" max="12040" width="33" style="42" bestFit="1" customWidth="1"/>
    <col min="12041" max="12288" width="9.140625" style="42"/>
    <col min="12289" max="12289" width="5.28515625" style="42" customWidth="1"/>
    <col min="12290" max="12290" width="47.140625" style="42" customWidth="1"/>
    <col min="12291" max="12291" width="57.42578125" style="42" customWidth="1"/>
    <col min="12292" max="12292" width="9.7109375" style="42" customWidth="1"/>
    <col min="12293" max="12293" width="14.5703125" style="42" customWidth="1"/>
    <col min="12294" max="12294" width="9.7109375" style="42" bestFit="1" customWidth="1"/>
    <col min="12295" max="12295" width="18.85546875" style="42" customWidth="1"/>
    <col min="12296" max="12296" width="33" style="42" bestFit="1" customWidth="1"/>
    <col min="12297" max="12544" width="9.140625" style="42"/>
    <col min="12545" max="12545" width="5.28515625" style="42" customWidth="1"/>
    <col min="12546" max="12546" width="47.140625" style="42" customWidth="1"/>
    <col min="12547" max="12547" width="57.42578125" style="42" customWidth="1"/>
    <col min="12548" max="12548" width="9.7109375" style="42" customWidth="1"/>
    <col min="12549" max="12549" width="14.5703125" style="42" customWidth="1"/>
    <col min="12550" max="12550" width="9.7109375" style="42" bestFit="1" customWidth="1"/>
    <col min="12551" max="12551" width="18.85546875" style="42" customWidth="1"/>
    <col min="12552" max="12552" width="33" style="42" bestFit="1" customWidth="1"/>
    <col min="12553" max="12800" width="9.140625" style="42"/>
    <col min="12801" max="12801" width="5.28515625" style="42" customWidth="1"/>
    <col min="12802" max="12802" width="47.140625" style="42" customWidth="1"/>
    <col min="12803" max="12803" width="57.42578125" style="42" customWidth="1"/>
    <col min="12804" max="12804" width="9.7109375" style="42" customWidth="1"/>
    <col min="12805" max="12805" width="14.5703125" style="42" customWidth="1"/>
    <col min="12806" max="12806" width="9.7109375" style="42" bestFit="1" customWidth="1"/>
    <col min="12807" max="12807" width="18.85546875" style="42" customWidth="1"/>
    <col min="12808" max="12808" width="33" style="42" bestFit="1" customWidth="1"/>
    <col min="12809" max="13056" width="9.140625" style="42"/>
    <col min="13057" max="13057" width="5.28515625" style="42" customWidth="1"/>
    <col min="13058" max="13058" width="47.140625" style="42" customWidth="1"/>
    <col min="13059" max="13059" width="57.42578125" style="42" customWidth="1"/>
    <col min="13060" max="13060" width="9.7109375" style="42" customWidth="1"/>
    <col min="13061" max="13061" width="14.5703125" style="42" customWidth="1"/>
    <col min="13062" max="13062" width="9.7109375" style="42" bestFit="1" customWidth="1"/>
    <col min="13063" max="13063" width="18.85546875" style="42" customWidth="1"/>
    <col min="13064" max="13064" width="33" style="42" bestFit="1" customWidth="1"/>
    <col min="13065" max="13312" width="9.140625" style="42"/>
    <col min="13313" max="13313" width="5.28515625" style="42" customWidth="1"/>
    <col min="13314" max="13314" width="47.140625" style="42" customWidth="1"/>
    <col min="13315" max="13315" width="57.42578125" style="42" customWidth="1"/>
    <col min="13316" max="13316" width="9.7109375" style="42" customWidth="1"/>
    <col min="13317" max="13317" width="14.5703125" style="42" customWidth="1"/>
    <col min="13318" max="13318" width="9.7109375" style="42" bestFit="1" customWidth="1"/>
    <col min="13319" max="13319" width="18.85546875" style="42" customWidth="1"/>
    <col min="13320" max="13320" width="33" style="42" bestFit="1" customWidth="1"/>
    <col min="13321" max="13568" width="9.140625" style="42"/>
    <col min="13569" max="13569" width="5.28515625" style="42" customWidth="1"/>
    <col min="13570" max="13570" width="47.140625" style="42" customWidth="1"/>
    <col min="13571" max="13571" width="57.42578125" style="42" customWidth="1"/>
    <col min="13572" max="13572" width="9.7109375" style="42" customWidth="1"/>
    <col min="13573" max="13573" width="14.5703125" style="42" customWidth="1"/>
    <col min="13574" max="13574" width="9.7109375" style="42" bestFit="1" customWidth="1"/>
    <col min="13575" max="13575" width="18.85546875" style="42" customWidth="1"/>
    <col min="13576" max="13576" width="33" style="42" bestFit="1" customWidth="1"/>
    <col min="13577" max="13824" width="9.140625" style="42"/>
    <col min="13825" max="13825" width="5.28515625" style="42" customWidth="1"/>
    <col min="13826" max="13826" width="47.140625" style="42" customWidth="1"/>
    <col min="13827" max="13827" width="57.42578125" style="42" customWidth="1"/>
    <col min="13828" max="13828" width="9.7109375" style="42" customWidth="1"/>
    <col min="13829" max="13829" width="14.5703125" style="42" customWidth="1"/>
    <col min="13830" max="13830" width="9.7109375" style="42" bestFit="1" customWidth="1"/>
    <col min="13831" max="13831" width="18.85546875" style="42" customWidth="1"/>
    <col min="13832" max="13832" width="33" style="42" bestFit="1" customWidth="1"/>
    <col min="13833" max="14080" width="9.140625" style="42"/>
    <col min="14081" max="14081" width="5.28515625" style="42" customWidth="1"/>
    <col min="14082" max="14082" width="47.140625" style="42" customWidth="1"/>
    <col min="14083" max="14083" width="57.42578125" style="42" customWidth="1"/>
    <col min="14084" max="14084" width="9.7109375" style="42" customWidth="1"/>
    <col min="14085" max="14085" width="14.5703125" style="42" customWidth="1"/>
    <col min="14086" max="14086" width="9.7109375" style="42" bestFit="1" customWidth="1"/>
    <col min="14087" max="14087" width="18.85546875" style="42" customWidth="1"/>
    <col min="14088" max="14088" width="33" style="42" bestFit="1" customWidth="1"/>
    <col min="14089" max="14336" width="9.140625" style="42"/>
    <col min="14337" max="14337" width="5.28515625" style="42" customWidth="1"/>
    <col min="14338" max="14338" width="47.140625" style="42" customWidth="1"/>
    <col min="14339" max="14339" width="57.42578125" style="42" customWidth="1"/>
    <col min="14340" max="14340" width="9.7109375" style="42" customWidth="1"/>
    <col min="14341" max="14341" width="14.5703125" style="42" customWidth="1"/>
    <col min="14342" max="14342" width="9.7109375" style="42" bestFit="1" customWidth="1"/>
    <col min="14343" max="14343" width="18.85546875" style="42" customWidth="1"/>
    <col min="14344" max="14344" width="33" style="42" bestFit="1" customWidth="1"/>
    <col min="14345" max="14592" width="9.140625" style="42"/>
    <col min="14593" max="14593" width="5.28515625" style="42" customWidth="1"/>
    <col min="14594" max="14594" width="47.140625" style="42" customWidth="1"/>
    <col min="14595" max="14595" width="57.42578125" style="42" customWidth="1"/>
    <col min="14596" max="14596" width="9.7109375" style="42" customWidth="1"/>
    <col min="14597" max="14597" width="14.5703125" style="42" customWidth="1"/>
    <col min="14598" max="14598" width="9.7109375" style="42" bestFit="1" customWidth="1"/>
    <col min="14599" max="14599" width="18.85546875" style="42" customWidth="1"/>
    <col min="14600" max="14600" width="33" style="42" bestFit="1" customWidth="1"/>
    <col min="14601" max="14848" width="9.140625" style="42"/>
    <col min="14849" max="14849" width="5.28515625" style="42" customWidth="1"/>
    <col min="14850" max="14850" width="47.140625" style="42" customWidth="1"/>
    <col min="14851" max="14851" width="57.42578125" style="42" customWidth="1"/>
    <col min="14852" max="14852" width="9.7109375" style="42" customWidth="1"/>
    <col min="14853" max="14853" width="14.5703125" style="42" customWidth="1"/>
    <col min="14854" max="14854" width="9.7109375" style="42" bestFit="1" customWidth="1"/>
    <col min="14855" max="14855" width="18.85546875" style="42" customWidth="1"/>
    <col min="14856" max="14856" width="33" style="42" bestFit="1" customWidth="1"/>
    <col min="14857" max="15104" width="9.140625" style="42"/>
    <col min="15105" max="15105" width="5.28515625" style="42" customWidth="1"/>
    <col min="15106" max="15106" width="47.140625" style="42" customWidth="1"/>
    <col min="15107" max="15107" width="57.42578125" style="42" customWidth="1"/>
    <col min="15108" max="15108" width="9.7109375" style="42" customWidth="1"/>
    <col min="15109" max="15109" width="14.5703125" style="42" customWidth="1"/>
    <col min="15110" max="15110" width="9.7109375" style="42" bestFit="1" customWidth="1"/>
    <col min="15111" max="15111" width="18.85546875" style="42" customWidth="1"/>
    <col min="15112" max="15112" width="33" style="42" bestFit="1" customWidth="1"/>
    <col min="15113" max="15360" width="9.140625" style="42"/>
    <col min="15361" max="15361" width="5.28515625" style="42" customWidth="1"/>
    <col min="15362" max="15362" width="47.140625" style="42" customWidth="1"/>
    <col min="15363" max="15363" width="57.42578125" style="42" customWidth="1"/>
    <col min="15364" max="15364" width="9.7109375" style="42" customWidth="1"/>
    <col min="15365" max="15365" width="14.5703125" style="42" customWidth="1"/>
    <col min="15366" max="15366" width="9.7109375" style="42" bestFit="1" customWidth="1"/>
    <col min="15367" max="15367" width="18.85546875" style="42" customWidth="1"/>
    <col min="15368" max="15368" width="33" style="42" bestFit="1" customWidth="1"/>
    <col min="15369" max="15616" width="9.140625" style="42"/>
    <col min="15617" max="15617" width="5.28515625" style="42" customWidth="1"/>
    <col min="15618" max="15618" width="47.140625" style="42" customWidth="1"/>
    <col min="15619" max="15619" width="57.42578125" style="42" customWidth="1"/>
    <col min="15620" max="15620" width="9.7109375" style="42" customWidth="1"/>
    <col min="15621" max="15621" width="14.5703125" style="42" customWidth="1"/>
    <col min="15622" max="15622" width="9.7109375" style="42" bestFit="1" customWidth="1"/>
    <col min="15623" max="15623" width="18.85546875" style="42" customWidth="1"/>
    <col min="15624" max="15624" width="33" style="42" bestFit="1" customWidth="1"/>
    <col min="15625" max="15872" width="9.140625" style="42"/>
    <col min="15873" max="15873" width="5.28515625" style="42" customWidth="1"/>
    <col min="15874" max="15874" width="47.140625" style="42" customWidth="1"/>
    <col min="15875" max="15875" width="57.42578125" style="42" customWidth="1"/>
    <col min="15876" max="15876" width="9.7109375" style="42" customWidth="1"/>
    <col min="15877" max="15877" width="14.5703125" style="42" customWidth="1"/>
    <col min="15878" max="15878" width="9.7109375" style="42" bestFit="1" customWidth="1"/>
    <col min="15879" max="15879" width="18.85546875" style="42" customWidth="1"/>
    <col min="15880" max="15880" width="33" style="42" bestFit="1" customWidth="1"/>
    <col min="15881" max="16128" width="9.140625" style="42"/>
    <col min="16129" max="16129" width="5.28515625" style="42" customWidth="1"/>
    <col min="16130" max="16130" width="47.140625" style="42" customWidth="1"/>
    <col min="16131" max="16131" width="57.42578125" style="42" customWidth="1"/>
    <col min="16132" max="16132" width="9.7109375" style="42" customWidth="1"/>
    <col min="16133" max="16133" width="14.5703125" style="42" customWidth="1"/>
    <col min="16134" max="16134" width="9.7109375" style="42" bestFit="1" customWidth="1"/>
    <col min="16135" max="16135" width="18.85546875" style="42" customWidth="1"/>
    <col min="16136" max="16136" width="33" style="42" bestFit="1" customWidth="1"/>
    <col min="16137" max="16384" width="9.140625" style="42"/>
  </cols>
  <sheetData>
    <row r="1" spans="1:7" ht="12.75" customHeight="1">
      <c r="A1" s="781" t="s">
        <v>58</v>
      </c>
      <c r="B1" s="781"/>
      <c r="C1" s="781"/>
      <c r="D1" s="781"/>
      <c r="E1" s="781"/>
      <c r="F1" s="782" t="s">
        <v>150</v>
      </c>
      <c r="G1" s="39"/>
    </row>
    <row r="2" spans="1:7" ht="12.75" customHeight="1">
      <c r="A2" s="781" t="s">
        <v>59</v>
      </c>
      <c r="B2" s="781"/>
      <c r="C2" s="781"/>
      <c r="D2" s="781"/>
      <c r="E2" s="781"/>
      <c r="F2" s="782"/>
      <c r="G2" s="39"/>
    </row>
    <row r="3" spans="1:7" ht="12.75" customHeight="1">
      <c r="A3" s="90" t="s">
        <v>60</v>
      </c>
      <c r="B3" s="488"/>
      <c r="C3" s="488"/>
      <c r="D3" s="488"/>
      <c r="E3" s="488"/>
      <c r="F3" s="782"/>
      <c r="G3" s="39"/>
    </row>
    <row r="4" spans="1:7">
      <c r="A4" s="90" t="s">
        <v>60</v>
      </c>
      <c r="B4" s="90" t="s">
        <v>61</v>
      </c>
      <c r="C4" s="488" t="s">
        <v>62</v>
      </c>
      <c r="D4" s="90" t="s">
        <v>63</v>
      </c>
      <c r="E4" s="90" t="s">
        <v>64</v>
      </c>
      <c r="F4" s="782"/>
      <c r="G4" s="39"/>
    </row>
    <row r="5" spans="1:7">
      <c r="A5" s="41" t="s">
        <v>16</v>
      </c>
      <c r="B5" s="495" t="s">
        <v>90</v>
      </c>
      <c r="C5" s="74"/>
      <c r="D5" s="41" t="s">
        <v>91</v>
      </c>
      <c r="E5" s="75">
        <v>10</v>
      </c>
      <c r="F5" s="496">
        <f>ROUND(E5,2)</f>
        <v>10</v>
      </c>
      <c r="G5" s="39"/>
    </row>
    <row r="6" spans="1:7">
      <c r="A6" s="90" t="s">
        <v>60</v>
      </c>
      <c r="B6" s="90" t="s">
        <v>61</v>
      </c>
      <c r="C6" s="488" t="s">
        <v>62</v>
      </c>
      <c r="D6" s="90" t="s">
        <v>63</v>
      </c>
      <c r="E6" s="90" t="s">
        <v>64</v>
      </c>
      <c r="F6" s="89"/>
      <c r="G6" s="39"/>
    </row>
    <row r="7" spans="1:7" ht="40.5" customHeight="1">
      <c r="A7" s="515" t="s">
        <v>18</v>
      </c>
      <c r="B7" s="517" t="s">
        <v>69</v>
      </c>
      <c r="C7" s="517" t="s">
        <v>256</v>
      </c>
      <c r="D7" s="227" t="s">
        <v>70</v>
      </c>
      <c r="E7" s="518">
        <v>1</v>
      </c>
      <c r="F7" s="519">
        <f>ROUND(E7,2)</f>
        <v>1</v>
      </c>
      <c r="G7" s="497"/>
    </row>
    <row r="8" spans="1:7" s="40" customFormat="1" ht="34.5" customHeight="1">
      <c r="A8" s="515" t="s">
        <v>19</v>
      </c>
      <c r="B8" s="517" t="s">
        <v>71</v>
      </c>
      <c r="C8" s="517" t="s">
        <v>255</v>
      </c>
      <c r="D8" s="227" t="s">
        <v>73</v>
      </c>
      <c r="E8" s="518">
        <v>8454.25</v>
      </c>
      <c r="F8" s="519">
        <f>ROUND(E8,2)</f>
        <v>8454.25</v>
      </c>
      <c r="G8" s="498"/>
    </row>
    <row r="9" spans="1:7" s="500" customFormat="1" ht="15">
      <c r="A9" s="515" t="s">
        <v>77</v>
      </c>
      <c r="B9" s="517" t="s">
        <v>74</v>
      </c>
      <c r="C9" s="517" t="s">
        <v>3120</v>
      </c>
      <c r="D9" s="227" t="s">
        <v>73</v>
      </c>
      <c r="E9" s="518">
        <v>2073.0700000000002</v>
      </c>
      <c r="F9" s="519">
        <f>ROUND(E9,2)</f>
        <v>2073.0700000000002</v>
      </c>
      <c r="G9" s="499"/>
    </row>
    <row r="10" spans="1:7" s="40" customFormat="1" ht="63" customHeight="1">
      <c r="A10" s="515" t="s">
        <v>78</v>
      </c>
      <c r="B10" s="517" t="s">
        <v>249</v>
      </c>
      <c r="C10" s="517" t="s">
        <v>212</v>
      </c>
      <c r="D10" s="227" t="s">
        <v>73</v>
      </c>
      <c r="E10" s="518">
        <v>20.3</v>
      </c>
      <c r="F10" s="519">
        <f>ROUND(E10,2)</f>
        <v>20.3</v>
      </c>
      <c r="G10" s="501"/>
    </row>
    <row r="11" spans="1:7" s="40" customFormat="1" ht="63" customHeight="1">
      <c r="A11" s="515" t="s">
        <v>83</v>
      </c>
      <c r="B11" s="517" t="s">
        <v>250</v>
      </c>
      <c r="C11" s="517" t="s">
        <v>212</v>
      </c>
      <c r="D11" s="227" t="s">
        <v>73</v>
      </c>
      <c r="E11" s="518">
        <v>21.8</v>
      </c>
      <c r="F11" s="519">
        <f>ROUND(E11,2)</f>
        <v>21.8</v>
      </c>
      <c r="G11" s="501"/>
    </row>
    <row r="12" spans="1:7" s="40" customFormat="1" ht="63" customHeight="1">
      <c r="A12" s="515" t="s">
        <v>92</v>
      </c>
      <c r="B12" s="517" t="s">
        <v>251</v>
      </c>
      <c r="C12" s="517" t="s">
        <v>212</v>
      </c>
      <c r="D12" s="227" t="s">
        <v>73</v>
      </c>
      <c r="E12" s="518">
        <v>14.5</v>
      </c>
      <c r="F12" s="519">
        <f t="shared" ref="F12:F17" si="0">ROUND(E12,2)</f>
        <v>14.5</v>
      </c>
      <c r="G12" s="501"/>
    </row>
    <row r="13" spans="1:7" s="40" customFormat="1" ht="63" customHeight="1">
      <c r="A13" s="515" t="s">
        <v>93</v>
      </c>
      <c r="B13" s="517" t="s">
        <v>2885</v>
      </c>
      <c r="C13" s="517" t="s">
        <v>212</v>
      </c>
      <c r="D13" s="227" t="s">
        <v>73</v>
      </c>
      <c r="E13" s="518">
        <v>11.6</v>
      </c>
      <c r="F13" s="519">
        <f>ROUND(E13,2)</f>
        <v>11.6</v>
      </c>
      <c r="G13" s="501"/>
    </row>
    <row r="14" spans="1:7" s="504" customFormat="1" ht="72" customHeight="1">
      <c r="A14" s="515" t="s">
        <v>298</v>
      </c>
      <c r="B14" s="621" t="s">
        <v>2886</v>
      </c>
      <c r="C14" s="517" t="s">
        <v>2887</v>
      </c>
      <c r="D14" s="227" t="s">
        <v>73</v>
      </c>
      <c r="E14" s="518">
        <f>290.67*2.2</f>
        <v>639.47400000000005</v>
      </c>
      <c r="F14" s="519">
        <f t="shared" si="0"/>
        <v>639.47</v>
      </c>
      <c r="G14" s="503"/>
    </row>
    <row r="15" spans="1:7" ht="41.25" customHeight="1">
      <c r="A15" s="515" t="s">
        <v>252</v>
      </c>
      <c r="B15" s="517" t="s">
        <v>316</v>
      </c>
      <c r="C15" s="517" t="s">
        <v>315</v>
      </c>
      <c r="D15" s="227" t="s">
        <v>128</v>
      </c>
      <c r="E15" s="518">
        <v>24</v>
      </c>
      <c r="F15" s="519">
        <f t="shared" si="0"/>
        <v>24</v>
      </c>
      <c r="G15" s="78"/>
    </row>
    <row r="16" spans="1:7" ht="26.25" customHeight="1">
      <c r="A16" s="515" t="s">
        <v>253</v>
      </c>
      <c r="B16" s="617" t="s">
        <v>148</v>
      </c>
      <c r="C16" s="517"/>
      <c r="D16" s="227" t="s">
        <v>70</v>
      </c>
      <c r="E16" s="518">
        <v>1</v>
      </c>
      <c r="F16" s="519">
        <f t="shared" si="0"/>
        <v>1</v>
      </c>
      <c r="G16" s="78"/>
    </row>
    <row r="17" spans="1:7" ht="26.25" customHeight="1">
      <c r="A17" s="515" t="s">
        <v>254</v>
      </c>
      <c r="B17" s="617" t="s">
        <v>149</v>
      </c>
      <c r="C17" s="517"/>
      <c r="D17" s="227" t="s">
        <v>70</v>
      </c>
      <c r="E17" s="518">
        <v>1</v>
      </c>
      <c r="F17" s="519">
        <f t="shared" si="0"/>
        <v>1</v>
      </c>
      <c r="G17" s="78"/>
    </row>
    <row r="18" spans="1:7" s="40" customFormat="1" ht="12.75" customHeight="1">
      <c r="A18" s="841" t="s">
        <v>95</v>
      </c>
      <c r="B18" s="841"/>
      <c r="C18" s="841"/>
      <c r="D18" s="841"/>
      <c r="E18" s="841"/>
      <c r="F18" s="841"/>
      <c r="G18" s="506"/>
    </row>
    <row r="19" spans="1:7" s="40" customFormat="1">
      <c r="A19" s="840" t="s">
        <v>75</v>
      </c>
      <c r="B19" s="840"/>
      <c r="C19" s="840"/>
      <c r="D19" s="840"/>
      <c r="E19" s="840"/>
      <c r="F19" s="496"/>
      <c r="G19" s="507"/>
    </row>
    <row r="20" spans="1:7" s="40" customFormat="1">
      <c r="A20" s="508" t="s">
        <v>60</v>
      </c>
      <c r="B20" s="508" t="s">
        <v>61</v>
      </c>
      <c r="C20" s="154" t="s">
        <v>62</v>
      </c>
      <c r="D20" s="508" t="s">
        <v>63</v>
      </c>
      <c r="E20" s="508" t="s">
        <v>64</v>
      </c>
      <c r="F20" s="496"/>
      <c r="G20" s="506"/>
    </row>
    <row r="21" spans="1:7">
      <c r="A21" s="41" t="s">
        <v>21</v>
      </c>
      <c r="B21" s="495" t="s">
        <v>98</v>
      </c>
      <c r="C21" s="74" t="s">
        <v>2055</v>
      </c>
      <c r="D21" s="509" t="s">
        <v>73</v>
      </c>
      <c r="E21" s="75">
        <v>34.5</v>
      </c>
      <c r="F21" s="496">
        <f>ROUND(E21,2)</f>
        <v>34.5</v>
      </c>
      <c r="G21" s="39"/>
    </row>
    <row r="22" spans="1:7" ht="25.5">
      <c r="A22" s="41" t="s">
        <v>22</v>
      </c>
      <c r="B22" s="495" t="s">
        <v>275</v>
      </c>
      <c r="C22" s="74" t="s">
        <v>2056</v>
      </c>
      <c r="D22" s="510" t="s">
        <v>73</v>
      </c>
      <c r="E22" s="75">
        <f>1142.98+1291.42</f>
        <v>2434.4</v>
      </c>
      <c r="F22" s="496">
        <f>ROUND(E22,2)</f>
        <v>2434.4</v>
      </c>
      <c r="G22" s="39"/>
    </row>
    <row r="23" spans="1:7" ht="25.5">
      <c r="A23" s="41" t="s">
        <v>1713</v>
      </c>
      <c r="B23" s="495" t="s">
        <v>276</v>
      </c>
      <c r="C23" s="74" t="s">
        <v>2888</v>
      </c>
      <c r="D23" s="510" t="s">
        <v>73</v>
      </c>
      <c r="E23" s="75">
        <v>158.58000000000001</v>
      </c>
      <c r="F23" s="496">
        <f>ROUND(E23,2)</f>
        <v>158.58000000000001</v>
      </c>
      <c r="G23" s="39"/>
    </row>
    <row r="24" spans="1:7">
      <c r="A24" s="41" t="s">
        <v>1716</v>
      </c>
      <c r="B24" s="495" t="s">
        <v>277</v>
      </c>
      <c r="C24" s="74" t="s">
        <v>2889</v>
      </c>
      <c r="D24" s="509" t="s">
        <v>76</v>
      </c>
      <c r="E24" s="75">
        <v>13.8</v>
      </c>
      <c r="F24" s="496">
        <f>ROUND(E24,2)</f>
        <v>13.8</v>
      </c>
      <c r="G24" s="39"/>
    </row>
    <row r="25" spans="1:7">
      <c r="A25" s="41" t="s">
        <v>1719</v>
      </c>
      <c r="B25" s="495" t="s">
        <v>278</v>
      </c>
      <c r="C25" s="74" t="s">
        <v>2890</v>
      </c>
      <c r="D25" s="510" t="s">
        <v>76</v>
      </c>
      <c r="E25" s="75">
        <v>17.8</v>
      </c>
      <c r="F25" s="496">
        <f>ROUND(E25,2)</f>
        <v>17.8</v>
      </c>
      <c r="G25" s="39"/>
    </row>
    <row r="26" spans="1:7" s="40" customFormat="1">
      <c r="A26" s="780" t="s">
        <v>79</v>
      </c>
      <c r="B26" s="780"/>
      <c r="C26" s="780"/>
      <c r="D26" s="780"/>
      <c r="E26" s="780"/>
      <c r="F26" s="89"/>
      <c r="G26" s="42"/>
    </row>
    <row r="27" spans="1:7" s="40" customFormat="1">
      <c r="A27" s="90" t="s">
        <v>60</v>
      </c>
      <c r="B27" s="90" t="s">
        <v>61</v>
      </c>
      <c r="C27" s="488" t="s">
        <v>62</v>
      </c>
      <c r="D27" s="90" t="s">
        <v>63</v>
      </c>
      <c r="E27" s="90" t="s">
        <v>64</v>
      </c>
      <c r="F27" s="89"/>
      <c r="G27" s="42"/>
    </row>
    <row r="28" spans="1:7" ht="15">
      <c r="A28" s="41" t="s">
        <v>24</v>
      </c>
      <c r="B28" s="495" t="s">
        <v>773</v>
      </c>
      <c r="C28" s="74" t="s">
        <v>775</v>
      </c>
      <c r="D28" s="68" t="s">
        <v>563</v>
      </c>
      <c r="E28" s="511">
        <v>8</v>
      </c>
      <c r="F28" s="496">
        <f t="shared" ref="F28:F41" si="1">ROUND(E28,2)</f>
        <v>8</v>
      </c>
      <c r="G28" s="39"/>
    </row>
    <row r="29" spans="1:7" ht="12.75" customHeight="1">
      <c r="A29" s="41" t="s">
        <v>25</v>
      </c>
      <c r="B29" s="495" t="s">
        <v>772</v>
      </c>
      <c r="C29" s="74" t="s">
        <v>2060</v>
      </c>
      <c r="D29" s="68" t="s">
        <v>563</v>
      </c>
      <c r="E29" s="511">
        <v>4</v>
      </c>
      <c r="F29" s="496">
        <f t="shared" si="1"/>
        <v>4</v>
      </c>
      <c r="G29" s="39"/>
    </row>
    <row r="30" spans="1:7" ht="12.75" customHeight="1">
      <c r="A30" s="41" t="s">
        <v>26</v>
      </c>
      <c r="B30" s="495" t="s">
        <v>776</v>
      </c>
      <c r="C30" s="74" t="s">
        <v>2061</v>
      </c>
      <c r="D30" s="68" t="s">
        <v>563</v>
      </c>
      <c r="E30" s="511">
        <v>21</v>
      </c>
      <c r="F30" s="496">
        <f t="shared" si="1"/>
        <v>21</v>
      </c>
      <c r="G30" s="39"/>
    </row>
    <row r="31" spans="1:7" ht="12.75" customHeight="1">
      <c r="A31" s="41" t="s">
        <v>27</v>
      </c>
      <c r="B31" s="495" t="s">
        <v>774</v>
      </c>
      <c r="C31" s="74" t="s">
        <v>777</v>
      </c>
      <c r="D31" s="68" t="s">
        <v>563</v>
      </c>
      <c r="E31" s="511">
        <v>2</v>
      </c>
      <c r="F31" s="496">
        <f t="shared" si="1"/>
        <v>2</v>
      </c>
      <c r="G31" s="39"/>
    </row>
    <row r="32" spans="1:7" ht="12.75" customHeight="1">
      <c r="A32" s="41" t="s">
        <v>28</v>
      </c>
      <c r="B32" s="495" t="s">
        <v>778</v>
      </c>
      <c r="C32" s="74" t="s">
        <v>779</v>
      </c>
      <c r="D32" s="68" t="s">
        <v>563</v>
      </c>
      <c r="E32" s="511">
        <v>1</v>
      </c>
      <c r="F32" s="496">
        <f t="shared" si="1"/>
        <v>1</v>
      </c>
      <c r="G32" s="39"/>
    </row>
    <row r="33" spans="1:7" ht="12.75" customHeight="1">
      <c r="A33" s="41" t="s">
        <v>51</v>
      </c>
      <c r="B33" s="495" t="s">
        <v>780</v>
      </c>
      <c r="C33" s="512" t="s">
        <v>781</v>
      </c>
      <c r="D33" s="68" t="s">
        <v>563</v>
      </c>
      <c r="E33" s="511">
        <v>1</v>
      </c>
      <c r="F33" s="496">
        <f t="shared" si="1"/>
        <v>1</v>
      </c>
      <c r="G33" s="39"/>
    </row>
    <row r="34" spans="1:7" ht="15">
      <c r="A34" s="41" t="s">
        <v>52</v>
      </c>
      <c r="B34" s="495" t="s">
        <v>2062</v>
      </c>
      <c r="C34" s="74" t="s">
        <v>2063</v>
      </c>
      <c r="D34" s="68" t="s">
        <v>563</v>
      </c>
      <c r="E34" s="511">
        <v>6</v>
      </c>
      <c r="F34" s="496">
        <f t="shared" si="1"/>
        <v>6</v>
      </c>
      <c r="G34" s="39"/>
    </row>
    <row r="35" spans="1:7" ht="38.25">
      <c r="A35" s="41" t="s">
        <v>53</v>
      </c>
      <c r="B35" s="495" t="s">
        <v>2064</v>
      </c>
      <c r="C35" s="74" t="s">
        <v>782</v>
      </c>
      <c r="D35" s="68" t="s">
        <v>563</v>
      </c>
      <c r="E35" s="511">
        <v>26</v>
      </c>
      <c r="F35" s="496">
        <f t="shared" si="1"/>
        <v>26</v>
      </c>
      <c r="G35" s="552">
        <f>3*0.6*26</f>
        <v>46.8</v>
      </c>
    </row>
    <row r="36" spans="1:7" ht="15">
      <c r="A36" s="41" t="s">
        <v>54</v>
      </c>
      <c r="B36" s="495" t="s">
        <v>2065</v>
      </c>
      <c r="C36" s="74" t="s">
        <v>775</v>
      </c>
      <c r="D36" s="68" t="s">
        <v>563</v>
      </c>
      <c r="E36" s="511">
        <v>2</v>
      </c>
      <c r="F36" s="496">
        <f>ROUND(E36,2)</f>
        <v>2</v>
      </c>
      <c r="G36" s="552">
        <f>3*0.8*2</f>
        <v>4.8000000000000007</v>
      </c>
    </row>
    <row r="37" spans="1:7" ht="38.25">
      <c r="A37" s="41" t="s">
        <v>55</v>
      </c>
      <c r="B37" s="495" t="s">
        <v>2066</v>
      </c>
      <c r="C37" s="74" t="s">
        <v>783</v>
      </c>
      <c r="D37" s="68" t="s">
        <v>563</v>
      </c>
      <c r="E37" s="511">
        <v>46</v>
      </c>
      <c r="F37" s="496">
        <f>ROUND(E37,2)</f>
        <v>46</v>
      </c>
      <c r="G37" s="552">
        <f>1.2*2.4*46</f>
        <v>132.47999999999999</v>
      </c>
    </row>
    <row r="38" spans="1:7" ht="15">
      <c r="A38" s="41" t="s">
        <v>547</v>
      </c>
      <c r="B38" s="495" t="s">
        <v>2067</v>
      </c>
      <c r="C38" s="74" t="s">
        <v>777</v>
      </c>
      <c r="D38" s="68" t="s">
        <v>563</v>
      </c>
      <c r="E38" s="511">
        <v>4</v>
      </c>
      <c r="F38" s="496">
        <f>ROUND(E38,2)</f>
        <v>4</v>
      </c>
      <c r="G38" s="552">
        <f>0.4*0.4*4</f>
        <v>0.64000000000000012</v>
      </c>
    </row>
    <row r="39" spans="1:7" ht="15">
      <c r="A39" s="41" t="s">
        <v>548</v>
      </c>
      <c r="B39" s="495" t="s">
        <v>2068</v>
      </c>
      <c r="C39" s="74" t="s">
        <v>784</v>
      </c>
      <c r="D39" s="68" t="s">
        <v>563</v>
      </c>
      <c r="E39" s="511">
        <v>1</v>
      </c>
      <c r="F39" s="496">
        <f>ROUND(E39,2)</f>
        <v>1</v>
      </c>
      <c r="G39" s="552">
        <f>2*0.8</f>
        <v>1.6</v>
      </c>
    </row>
    <row r="40" spans="1:7" ht="15">
      <c r="A40" s="41" t="s">
        <v>549</v>
      </c>
      <c r="B40" s="495" t="s">
        <v>931</v>
      </c>
      <c r="C40" s="74" t="s">
        <v>932</v>
      </c>
      <c r="D40" s="68" t="s">
        <v>108</v>
      </c>
      <c r="E40" s="511">
        <v>37.42</v>
      </c>
      <c r="F40" s="496">
        <f t="shared" si="1"/>
        <v>37.42</v>
      </c>
      <c r="G40" s="39"/>
    </row>
    <row r="41" spans="1:7" ht="15">
      <c r="A41" s="41" t="s">
        <v>550</v>
      </c>
      <c r="B41" s="495" t="s">
        <v>933</v>
      </c>
      <c r="C41" s="74" t="s">
        <v>934</v>
      </c>
      <c r="D41" s="68" t="s">
        <v>108</v>
      </c>
      <c r="E41" s="511">
        <v>19.25</v>
      </c>
      <c r="F41" s="496">
        <f t="shared" si="1"/>
        <v>19.25</v>
      </c>
      <c r="G41" s="39"/>
    </row>
    <row r="42" spans="1:7" ht="113.25" customHeight="1">
      <c r="A42" s="41" t="s">
        <v>552</v>
      </c>
      <c r="B42" s="495" t="s">
        <v>311</v>
      </c>
      <c r="C42" s="74" t="s">
        <v>3121</v>
      </c>
      <c r="D42" s="513" t="s">
        <v>73</v>
      </c>
      <c r="E42" s="75">
        <v>122.12</v>
      </c>
      <c r="F42" s="496"/>
      <c r="G42" s="39"/>
    </row>
    <row r="43" spans="1:7">
      <c r="A43" s="780" t="s">
        <v>2069</v>
      </c>
      <c r="B43" s="780"/>
      <c r="C43" s="780"/>
      <c r="D43" s="780"/>
      <c r="E43" s="780"/>
      <c r="F43" s="89"/>
      <c r="G43" s="39"/>
    </row>
    <row r="44" spans="1:7">
      <c r="A44" s="90" t="s">
        <v>60</v>
      </c>
      <c r="B44" s="90" t="s">
        <v>61</v>
      </c>
      <c r="C44" s="488" t="s">
        <v>62</v>
      </c>
      <c r="D44" s="90" t="s">
        <v>63</v>
      </c>
      <c r="E44" s="90" t="s">
        <v>64</v>
      </c>
      <c r="F44" s="89"/>
      <c r="G44" s="39"/>
    </row>
    <row r="45" spans="1:7">
      <c r="A45" s="41" t="s">
        <v>31</v>
      </c>
      <c r="B45" s="502" t="s">
        <v>763</v>
      </c>
      <c r="C45" s="502" t="s">
        <v>2891</v>
      </c>
      <c r="D45" s="41" t="s">
        <v>76</v>
      </c>
      <c r="E45" s="41">
        <f>5.2+27.3+2.6+7.2</f>
        <v>42.300000000000004</v>
      </c>
      <c r="F45" s="496"/>
      <c r="G45" s="39"/>
    </row>
    <row r="46" spans="1:7">
      <c r="A46" s="41" t="s">
        <v>84</v>
      </c>
      <c r="B46" s="495" t="s">
        <v>765</v>
      </c>
      <c r="C46" s="502" t="s">
        <v>2892</v>
      </c>
      <c r="D46" s="41" t="s">
        <v>76</v>
      </c>
      <c r="E46" s="41">
        <f>93.6+7.2+73.6+2.6</f>
        <v>176.99999999999997</v>
      </c>
      <c r="F46" s="496"/>
      <c r="G46" s="39"/>
    </row>
    <row r="47" spans="1:7">
      <c r="A47" s="41" t="s">
        <v>85</v>
      </c>
      <c r="B47" s="495" t="s">
        <v>767</v>
      </c>
      <c r="C47" s="502" t="s">
        <v>2893</v>
      </c>
      <c r="D47" s="41" t="s">
        <v>76</v>
      </c>
      <c r="E47" s="41">
        <f>0.8*4</f>
        <v>3.2</v>
      </c>
      <c r="F47" s="496"/>
      <c r="G47" s="39"/>
    </row>
    <row r="48" spans="1:7">
      <c r="A48" s="41" t="s">
        <v>86</v>
      </c>
      <c r="B48" s="495"/>
      <c r="C48" s="74"/>
      <c r="D48" s="513"/>
      <c r="E48" s="75"/>
      <c r="F48" s="496"/>
      <c r="G48" s="39"/>
    </row>
    <row r="49" spans="1:7">
      <c r="A49" s="41" t="s">
        <v>87</v>
      </c>
      <c r="B49" s="495" t="s">
        <v>768</v>
      </c>
      <c r="C49" s="74" t="s">
        <v>769</v>
      </c>
      <c r="D49" s="513" t="s">
        <v>770</v>
      </c>
      <c r="E49" s="75">
        <f>E46</f>
        <v>176.99999999999997</v>
      </c>
      <c r="F49" s="496"/>
      <c r="G49" s="39"/>
    </row>
    <row r="50" spans="1:7">
      <c r="A50" s="41" t="s">
        <v>89</v>
      </c>
      <c r="B50" s="495" t="s">
        <v>771</v>
      </c>
      <c r="C50" s="502">
        <v>2.8</v>
      </c>
      <c r="D50" s="513" t="s">
        <v>770</v>
      </c>
      <c r="E50" s="75">
        <f>E47</f>
        <v>3.2</v>
      </c>
      <c r="F50" s="496"/>
      <c r="G50" s="39"/>
    </row>
    <row r="51" spans="1:7" s="40" customFormat="1">
      <c r="A51" s="780" t="s">
        <v>95</v>
      </c>
      <c r="B51" s="780"/>
      <c r="C51" s="780"/>
      <c r="D51" s="780"/>
      <c r="E51" s="780"/>
      <c r="F51" s="89"/>
      <c r="G51" s="39"/>
    </row>
    <row r="52" spans="1:7" s="40" customFormat="1" ht="12.75" customHeight="1">
      <c r="A52" s="90" t="s">
        <v>60</v>
      </c>
      <c r="B52" s="90" t="s">
        <v>61</v>
      </c>
      <c r="C52" s="488" t="s">
        <v>62</v>
      </c>
      <c r="D52" s="90" t="s">
        <v>63</v>
      </c>
      <c r="E52" s="90" t="s">
        <v>64</v>
      </c>
      <c r="F52" s="89"/>
      <c r="G52" s="39"/>
    </row>
    <row r="53" spans="1:7" s="225" customFormat="1" ht="38.25">
      <c r="A53" s="515" t="s">
        <v>33</v>
      </c>
      <c r="B53" s="516" t="s">
        <v>317</v>
      </c>
      <c r="C53" s="517" t="s">
        <v>2894</v>
      </c>
      <c r="D53" s="515" t="s">
        <v>108</v>
      </c>
      <c r="E53" s="518">
        <f>2887.88+2.64</f>
        <v>2890.52</v>
      </c>
      <c r="F53" s="519">
        <f>ROUND(E53,2)</f>
        <v>2890.52</v>
      </c>
      <c r="G53" s="514"/>
    </row>
    <row r="54" spans="1:7" s="225" customFormat="1">
      <c r="A54" s="515" t="s">
        <v>124</v>
      </c>
      <c r="B54" s="516" t="s">
        <v>2980</v>
      </c>
      <c r="C54" s="517" t="s">
        <v>2981</v>
      </c>
      <c r="D54" s="515" t="s">
        <v>76</v>
      </c>
      <c r="E54" s="518">
        <v>300</v>
      </c>
      <c r="F54" s="519">
        <f>ROUND(E54,2)</f>
        <v>300</v>
      </c>
      <c r="G54" s="514"/>
    </row>
    <row r="55" spans="1:7">
      <c r="A55" s="41"/>
      <c r="B55" s="502"/>
      <c r="C55" s="74"/>
      <c r="D55" s="41"/>
      <c r="E55" s="75"/>
      <c r="F55" s="496"/>
      <c r="G55" s="39"/>
    </row>
    <row r="56" spans="1:7" s="40" customFormat="1">
      <c r="A56" s="780" t="s">
        <v>109</v>
      </c>
      <c r="B56" s="780"/>
      <c r="C56" s="780"/>
      <c r="D56" s="780"/>
      <c r="E56" s="780"/>
      <c r="F56" s="89"/>
      <c r="G56" s="39"/>
    </row>
    <row r="57" spans="1:7" s="40" customFormat="1" ht="12.75" customHeight="1">
      <c r="A57" s="90" t="s">
        <v>60</v>
      </c>
      <c r="B57" s="90" t="s">
        <v>61</v>
      </c>
      <c r="C57" s="488" t="s">
        <v>62</v>
      </c>
      <c r="D57" s="90" t="s">
        <v>63</v>
      </c>
      <c r="E57" s="90" t="s">
        <v>64</v>
      </c>
      <c r="F57" s="89"/>
      <c r="G57" s="39"/>
    </row>
    <row r="58" spans="1:7" s="500" customFormat="1" ht="38.25">
      <c r="A58" s="515" t="s">
        <v>96</v>
      </c>
      <c r="B58" s="516" t="s">
        <v>111</v>
      </c>
      <c r="C58" s="517" t="s">
        <v>2895</v>
      </c>
      <c r="D58" s="515" t="s">
        <v>108</v>
      </c>
      <c r="E58" s="518">
        <f>4574.37+5.28</f>
        <v>4579.6499999999996</v>
      </c>
      <c r="F58" s="519">
        <f>ROUND(E58,2)</f>
        <v>4579.6499999999996</v>
      </c>
      <c r="G58" s="520"/>
    </row>
    <row r="59" spans="1:7" s="500" customFormat="1">
      <c r="A59" s="515" t="s">
        <v>97</v>
      </c>
      <c r="B59" s="516" t="s">
        <v>2072</v>
      </c>
      <c r="C59" s="517" t="s">
        <v>2896</v>
      </c>
      <c r="D59" s="515" t="s">
        <v>108</v>
      </c>
      <c r="E59" s="518">
        <f>E58</f>
        <v>4579.6499999999996</v>
      </c>
      <c r="F59" s="519">
        <f>ROUND(E59,2)</f>
        <v>4579.6499999999996</v>
      </c>
      <c r="G59" s="520"/>
    </row>
    <row r="60" spans="1:7">
      <c r="A60" s="41" t="s">
        <v>99</v>
      </c>
      <c r="B60" s="516" t="s">
        <v>2074</v>
      </c>
      <c r="C60" s="517" t="s">
        <v>2075</v>
      </c>
      <c r="D60" s="515" t="s">
        <v>108</v>
      </c>
      <c r="E60" s="518">
        <v>1717</v>
      </c>
      <c r="F60" s="519"/>
      <c r="G60" s="39"/>
    </row>
    <row r="61" spans="1:7">
      <c r="A61" s="41" t="s">
        <v>100</v>
      </c>
      <c r="B61" s="516" t="s">
        <v>2076</v>
      </c>
      <c r="C61" s="517" t="s">
        <v>2075</v>
      </c>
      <c r="D61" s="515" t="s">
        <v>108</v>
      </c>
      <c r="E61" s="518">
        <v>1717</v>
      </c>
      <c r="F61" s="519"/>
      <c r="G61" s="39"/>
    </row>
    <row r="62" spans="1:7" s="40" customFormat="1">
      <c r="A62" s="41" t="s">
        <v>127</v>
      </c>
      <c r="B62" s="500" t="s">
        <v>2077</v>
      </c>
      <c r="C62" s="618" t="s">
        <v>2078</v>
      </c>
      <c r="D62" s="515" t="s">
        <v>108</v>
      </c>
      <c r="E62" s="518">
        <f>'[5]PASTILHA AZUL BLOCO  EDUC.'!$M$12</f>
        <v>220.72000000000003</v>
      </c>
      <c r="F62" s="519">
        <f>ROUND(E62,2)</f>
        <v>220.72</v>
      </c>
    </row>
    <row r="63" spans="1:7" s="40" customFormat="1" ht="51">
      <c r="A63" s="41" t="s">
        <v>2897</v>
      </c>
      <c r="B63" s="500" t="s">
        <v>2898</v>
      </c>
      <c r="C63" s="618" t="s">
        <v>2080</v>
      </c>
      <c r="D63" s="515" t="s">
        <v>108</v>
      </c>
      <c r="E63" s="518">
        <v>991.42</v>
      </c>
      <c r="F63" s="519"/>
    </row>
    <row r="64" spans="1:7" s="40" customFormat="1" ht="25.5">
      <c r="A64" s="41" t="s">
        <v>271</v>
      </c>
      <c r="B64" s="500" t="s">
        <v>2899</v>
      </c>
      <c r="C64" s="618" t="s">
        <v>2082</v>
      </c>
      <c r="D64" s="515" t="s">
        <v>108</v>
      </c>
      <c r="E64" s="518">
        <v>142.91999999999999</v>
      </c>
      <c r="F64" s="519"/>
    </row>
    <row r="65" spans="1:7" s="40" customFormat="1" ht="25.5">
      <c r="A65" s="41" t="s">
        <v>272</v>
      </c>
      <c r="B65" s="500" t="s">
        <v>2083</v>
      </c>
      <c r="C65" s="618" t="s">
        <v>2900</v>
      </c>
      <c r="D65" s="515" t="s">
        <v>108</v>
      </c>
      <c r="E65" s="518">
        <v>353.24</v>
      </c>
      <c r="F65" s="519"/>
    </row>
    <row r="66" spans="1:7" s="225" customFormat="1" ht="51">
      <c r="A66" s="515" t="s">
        <v>273</v>
      </c>
      <c r="B66" s="619" t="s">
        <v>308</v>
      </c>
      <c r="C66" s="618" t="s">
        <v>2901</v>
      </c>
      <c r="D66" s="620" t="s">
        <v>108</v>
      </c>
      <c r="E66" s="518">
        <f>230.54+110.56+2.64+330</f>
        <v>673.74</v>
      </c>
      <c r="F66" s="519">
        <f>ROUND(E66,2)</f>
        <v>673.74</v>
      </c>
    </row>
    <row r="67" spans="1:7" s="40" customFormat="1" ht="12.75" customHeight="1">
      <c r="A67" s="783" t="s">
        <v>11</v>
      </c>
      <c r="B67" s="783"/>
      <c r="C67" s="783"/>
      <c r="D67" s="783"/>
      <c r="E67" s="783"/>
      <c r="F67" s="89"/>
      <c r="G67" s="496"/>
    </row>
    <row r="68" spans="1:7" s="40" customFormat="1">
      <c r="A68" s="90" t="s">
        <v>60</v>
      </c>
      <c r="B68" s="90" t="s">
        <v>61</v>
      </c>
      <c r="C68" s="488" t="s">
        <v>62</v>
      </c>
      <c r="D68" s="90" t="s">
        <v>63</v>
      </c>
      <c r="E68" s="90" t="s">
        <v>64</v>
      </c>
      <c r="F68" s="89"/>
      <c r="G68" s="39"/>
    </row>
    <row r="69" spans="1:7" s="40" customFormat="1" ht="33" customHeight="1">
      <c r="A69" s="41" t="s">
        <v>103</v>
      </c>
      <c r="B69" s="516" t="s">
        <v>115</v>
      </c>
      <c r="C69" s="517" t="s">
        <v>2086</v>
      </c>
      <c r="D69" s="515" t="s">
        <v>108</v>
      </c>
      <c r="E69" s="518">
        <v>1976.65</v>
      </c>
      <c r="F69" s="519">
        <f t="shared" ref="F69:F75" si="2">ROUND(E69,2)</f>
        <v>1976.65</v>
      </c>
      <c r="G69" s="39" t="s">
        <v>2902</v>
      </c>
    </row>
    <row r="70" spans="1:7" s="40" customFormat="1" ht="33" customHeight="1">
      <c r="A70" s="41" t="s">
        <v>104</v>
      </c>
      <c r="B70" s="516" t="s">
        <v>363</v>
      </c>
      <c r="C70" s="517" t="s">
        <v>2087</v>
      </c>
      <c r="D70" s="515" t="s">
        <v>76</v>
      </c>
      <c r="E70" s="518">
        <v>31.1</v>
      </c>
      <c r="F70" s="519">
        <f t="shared" si="2"/>
        <v>31.1</v>
      </c>
      <c r="G70" s="39" t="s">
        <v>65</v>
      </c>
    </row>
    <row r="71" spans="1:7" s="225" customFormat="1" ht="51">
      <c r="A71" s="515" t="s">
        <v>105</v>
      </c>
      <c r="B71" s="516" t="s">
        <v>2903</v>
      </c>
      <c r="C71" s="517" t="s">
        <v>3122</v>
      </c>
      <c r="D71" s="515" t="s">
        <v>108</v>
      </c>
      <c r="E71" s="518">
        <v>2546.48</v>
      </c>
      <c r="F71" s="519">
        <f t="shared" si="2"/>
        <v>2546.48</v>
      </c>
      <c r="G71" s="514" t="s">
        <v>65</v>
      </c>
    </row>
    <row r="72" spans="1:7" s="225" customFormat="1" ht="39.75" customHeight="1">
      <c r="A72" s="515" t="s">
        <v>106</v>
      </c>
      <c r="B72" s="516" t="s">
        <v>257</v>
      </c>
      <c r="C72" s="517" t="s">
        <v>2904</v>
      </c>
      <c r="D72" s="515" t="s">
        <v>76</v>
      </c>
      <c r="E72" s="518">
        <f>55.67+102.73+21.67+80.17+34.77+39+34.1+33.98+32.68</f>
        <v>434.77000000000004</v>
      </c>
      <c r="F72" s="519">
        <f t="shared" si="2"/>
        <v>434.77</v>
      </c>
      <c r="G72" s="514" t="s">
        <v>65</v>
      </c>
    </row>
    <row r="73" spans="1:7" s="225" customFormat="1" ht="33.75" customHeight="1">
      <c r="A73" s="515" t="s">
        <v>2115</v>
      </c>
      <c r="B73" s="516" t="s">
        <v>259</v>
      </c>
      <c r="C73" s="517" t="s">
        <v>2905</v>
      </c>
      <c r="D73" s="515" t="s">
        <v>108</v>
      </c>
      <c r="E73" s="518">
        <f>114.94+74.6+161.61</f>
        <v>351.15</v>
      </c>
      <c r="F73" s="519">
        <f t="shared" si="2"/>
        <v>351.15</v>
      </c>
      <c r="G73" s="514" t="s">
        <v>65</v>
      </c>
    </row>
    <row r="74" spans="1:7" s="225" customFormat="1" ht="33.75" customHeight="1">
      <c r="A74" s="515" t="s">
        <v>2116</v>
      </c>
      <c r="B74" s="516" t="s">
        <v>2906</v>
      </c>
      <c r="C74" s="517" t="s">
        <v>2907</v>
      </c>
      <c r="D74" s="515" t="s">
        <v>108</v>
      </c>
      <c r="E74" s="518">
        <f>4+2+6</f>
        <v>12</v>
      </c>
      <c r="F74" s="519">
        <f t="shared" si="2"/>
        <v>12</v>
      </c>
      <c r="G74" s="514" t="s">
        <v>65</v>
      </c>
    </row>
    <row r="75" spans="1:7" s="225" customFormat="1" ht="33.75" customHeight="1">
      <c r="A75" s="515" t="s">
        <v>2908</v>
      </c>
      <c r="B75" s="516" t="s">
        <v>262</v>
      </c>
      <c r="C75" s="517" t="s">
        <v>2909</v>
      </c>
      <c r="D75" s="515" t="s">
        <v>108</v>
      </c>
      <c r="E75" s="518">
        <f>114.52+382.91</f>
        <v>497.43</v>
      </c>
      <c r="F75" s="519">
        <f t="shared" si="2"/>
        <v>497.43</v>
      </c>
      <c r="G75" s="514" t="s">
        <v>65</v>
      </c>
    </row>
    <row r="76" spans="1:7">
      <c r="A76" s="780" t="s">
        <v>12</v>
      </c>
      <c r="B76" s="780"/>
      <c r="C76" s="780"/>
      <c r="D76" s="780"/>
      <c r="E76" s="780"/>
      <c r="F76" s="89"/>
      <c r="G76" s="39"/>
    </row>
    <row r="77" spans="1:7">
      <c r="A77" s="90" t="s">
        <v>60</v>
      </c>
      <c r="B77" s="90" t="s">
        <v>61</v>
      </c>
      <c r="C77" s="488" t="s">
        <v>62</v>
      </c>
      <c r="D77" s="90" t="s">
        <v>63</v>
      </c>
      <c r="E77" s="90" t="s">
        <v>64</v>
      </c>
      <c r="F77" s="89"/>
      <c r="G77" s="39"/>
    </row>
    <row r="78" spans="1:7" ht="25.5">
      <c r="A78" s="41" t="s">
        <v>110</v>
      </c>
      <c r="B78" s="516" t="s">
        <v>305</v>
      </c>
      <c r="C78" s="517" t="s">
        <v>2094</v>
      </c>
      <c r="D78" s="616" t="s">
        <v>73</v>
      </c>
      <c r="E78" s="617">
        <v>1916.87</v>
      </c>
      <c r="F78" s="519">
        <f>ROUND(E78,2)</f>
        <v>1916.87</v>
      </c>
      <c r="G78" s="65"/>
    </row>
    <row r="79" spans="1:7" ht="25.5">
      <c r="A79" s="41" t="s">
        <v>112</v>
      </c>
      <c r="B79" s="516" t="s">
        <v>306</v>
      </c>
      <c r="C79" s="517" t="s">
        <v>2094</v>
      </c>
      <c r="D79" s="616" t="s">
        <v>73</v>
      </c>
      <c r="E79" s="617">
        <v>1916.87</v>
      </c>
      <c r="F79" s="519">
        <f>ROUND(E79,2)</f>
        <v>1916.87</v>
      </c>
      <c r="G79" s="65"/>
    </row>
    <row r="80" spans="1:7" ht="15">
      <c r="A80" s="41" t="s">
        <v>113</v>
      </c>
      <c r="B80" s="516" t="s">
        <v>2095</v>
      </c>
      <c r="C80" s="517" t="s">
        <v>2075</v>
      </c>
      <c r="D80" s="616" t="s">
        <v>108</v>
      </c>
      <c r="E80" s="518">
        <f>E60</f>
        <v>1717</v>
      </c>
      <c r="F80" s="519">
        <f>ROUND(E80,2)</f>
        <v>1717</v>
      </c>
      <c r="G80" s="65"/>
    </row>
    <row r="81" spans="1:7" ht="15">
      <c r="A81" s="41" t="s">
        <v>129</v>
      </c>
      <c r="B81" s="516" t="s">
        <v>2096</v>
      </c>
      <c r="C81" s="517" t="s">
        <v>2075</v>
      </c>
      <c r="D81" s="616" t="s">
        <v>108</v>
      </c>
      <c r="E81" s="518">
        <f>E61</f>
        <v>1717</v>
      </c>
      <c r="F81" s="519">
        <f>ROUND(E81,2)</f>
        <v>1717</v>
      </c>
      <c r="G81" s="65"/>
    </row>
    <row r="82" spans="1:7" s="225" customFormat="1" ht="51">
      <c r="A82" s="515" t="s">
        <v>130</v>
      </c>
      <c r="B82" s="516" t="s">
        <v>2910</v>
      </c>
      <c r="C82" s="517" t="s">
        <v>2911</v>
      </c>
      <c r="D82" s="616" t="s">
        <v>108</v>
      </c>
      <c r="E82" s="518">
        <f>987.14+5.28+750</f>
        <v>1742.42</v>
      </c>
      <c r="F82" s="519">
        <f>ROUND(E82,2)</f>
        <v>1742.42</v>
      </c>
      <c r="G82" s="523"/>
    </row>
    <row r="83" spans="1:7" s="225" customFormat="1" ht="15">
      <c r="A83" s="515"/>
      <c r="B83" s="516"/>
      <c r="C83" s="517"/>
      <c r="D83" s="616"/>
      <c r="E83" s="518"/>
      <c r="F83" s="519"/>
      <c r="G83" s="523"/>
    </row>
    <row r="84" spans="1:7" s="225" customFormat="1" ht="51">
      <c r="A84" s="515" t="s">
        <v>131</v>
      </c>
      <c r="B84" s="516" t="s">
        <v>2912</v>
      </c>
      <c r="C84" s="517" t="s">
        <v>2911</v>
      </c>
      <c r="D84" s="616" t="s">
        <v>73</v>
      </c>
      <c r="E84" s="518">
        <f>E82</f>
        <v>1742.42</v>
      </c>
      <c r="F84" s="519">
        <f>ROUND(E84,2)</f>
        <v>1742.42</v>
      </c>
      <c r="G84" s="523"/>
    </row>
    <row r="85" spans="1:7" s="225" customFormat="1" ht="15">
      <c r="A85" s="515"/>
      <c r="B85" s="516"/>
      <c r="C85" s="517"/>
      <c r="D85" s="616"/>
      <c r="E85" s="518"/>
      <c r="F85" s="519"/>
      <c r="G85" s="523"/>
    </row>
    <row r="86" spans="1:7" s="225" customFormat="1" ht="51">
      <c r="A86" s="515" t="s">
        <v>993</v>
      </c>
      <c r="B86" s="516" t="s">
        <v>307</v>
      </c>
      <c r="C86" s="517" t="s">
        <v>2913</v>
      </c>
      <c r="D86" s="616" t="s">
        <v>73</v>
      </c>
      <c r="E86" s="518">
        <f>987.14+750+5.28</f>
        <v>1742.4199999999998</v>
      </c>
      <c r="F86" s="519">
        <f>ROUND(E86,2)</f>
        <v>1742.42</v>
      </c>
      <c r="G86" s="523"/>
    </row>
    <row r="87" spans="1:7" s="225" customFormat="1" ht="15">
      <c r="A87" s="500"/>
      <c r="B87" s="500"/>
      <c r="C87" s="500"/>
      <c r="D87" s="500"/>
      <c r="E87" s="500"/>
      <c r="F87" s="500"/>
      <c r="G87" s="523"/>
    </row>
    <row r="88" spans="1:7" ht="15">
      <c r="A88" s="41" t="s">
        <v>1762</v>
      </c>
      <c r="B88" s="495" t="s">
        <v>2098</v>
      </c>
      <c r="C88" s="74" t="s">
        <v>2099</v>
      </c>
      <c r="D88" s="522" t="s">
        <v>73</v>
      </c>
      <c r="E88" s="505">
        <v>140.72</v>
      </c>
      <c r="F88" s="496">
        <f>ROUND(E88,2)</f>
        <v>140.72</v>
      </c>
      <c r="G88" s="65"/>
    </row>
    <row r="89" spans="1:7" ht="13.5" customHeight="1">
      <c r="A89" s="783" t="s">
        <v>2100</v>
      </c>
      <c r="B89" s="783"/>
      <c r="C89" s="783"/>
      <c r="D89" s="783"/>
      <c r="E89" s="783"/>
      <c r="F89" s="89"/>
      <c r="G89" s="39"/>
    </row>
    <row r="90" spans="1:7">
      <c r="A90" s="90" t="s">
        <v>60</v>
      </c>
      <c r="B90" s="90" t="s">
        <v>61</v>
      </c>
      <c r="C90" s="488" t="s">
        <v>62</v>
      </c>
      <c r="D90" s="90" t="s">
        <v>63</v>
      </c>
      <c r="E90" s="90" t="s">
        <v>64</v>
      </c>
      <c r="F90" s="89"/>
      <c r="G90" s="496"/>
    </row>
    <row r="91" spans="1:7">
      <c r="A91" s="90"/>
      <c r="B91" s="90"/>
      <c r="C91" s="488"/>
      <c r="D91" s="90"/>
      <c r="E91" s="90"/>
      <c r="F91" s="89"/>
      <c r="G91" s="496"/>
    </row>
    <row r="92" spans="1:7" ht="28.5" customHeight="1">
      <c r="A92" s="41" t="s">
        <v>114</v>
      </c>
      <c r="B92" s="495" t="s">
        <v>265</v>
      </c>
      <c r="C92" s="74" t="s">
        <v>2101</v>
      </c>
      <c r="D92" s="41" t="s">
        <v>108</v>
      </c>
      <c r="E92" s="75">
        <f>'[5]FORRO PVC  E PINT. LAJE  E COBE'!$F$11</f>
        <v>64.850000000000009</v>
      </c>
      <c r="F92" s="496">
        <f>ROUND(E92,2)</f>
        <v>64.849999999999994</v>
      </c>
      <c r="G92" s="39" t="s">
        <v>65</v>
      </c>
    </row>
    <row r="93" spans="1:7" s="524" customFormat="1">
      <c r="A93" s="41" t="s">
        <v>995</v>
      </c>
      <c r="B93" s="495" t="s">
        <v>2914</v>
      </c>
      <c r="C93" s="74" t="s">
        <v>517</v>
      </c>
      <c r="D93" s="41" t="s">
        <v>73</v>
      </c>
      <c r="E93" s="75">
        <f xml:space="preserve"> 16.69+13.56</f>
        <v>30.25</v>
      </c>
      <c r="F93" s="496">
        <f>ROUND(E93,2)</f>
        <v>30.25</v>
      </c>
      <c r="G93" s="436"/>
    </row>
    <row r="94" spans="1:7">
      <c r="A94" s="783" t="s">
        <v>318</v>
      </c>
      <c r="B94" s="783"/>
      <c r="C94" s="783"/>
      <c r="D94" s="783"/>
      <c r="E94" s="783"/>
      <c r="F94" s="89"/>
      <c r="G94" s="39"/>
    </row>
    <row r="95" spans="1:7">
      <c r="A95" s="90" t="s">
        <v>60</v>
      </c>
      <c r="B95" s="90" t="s">
        <v>61</v>
      </c>
      <c r="C95" s="488" t="s">
        <v>62</v>
      </c>
      <c r="D95" s="90" t="s">
        <v>63</v>
      </c>
      <c r="E95" s="90" t="s">
        <v>64</v>
      </c>
      <c r="F95" s="89"/>
      <c r="G95" s="496"/>
    </row>
    <row r="96" spans="1:7">
      <c r="A96" s="90"/>
      <c r="B96" s="90"/>
      <c r="C96" s="488"/>
      <c r="D96" s="90"/>
      <c r="E96" s="90"/>
      <c r="F96" s="89"/>
      <c r="G96" s="496"/>
    </row>
    <row r="97" spans="1:7" s="225" customFormat="1" ht="28.5" customHeight="1">
      <c r="A97" s="515" t="s">
        <v>116</v>
      </c>
      <c r="B97" s="520" t="s">
        <v>263</v>
      </c>
      <c r="C97" s="517" t="s">
        <v>3123</v>
      </c>
      <c r="D97" s="515" t="s">
        <v>73</v>
      </c>
      <c r="E97" s="518">
        <v>3232.44</v>
      </c>
      <c r="F97" s="519">
        <f t="shared" ref="F97:F101" si="3">ROUND(E97,2)</f>
        <v>3232.44</v>
      </c>
      <c r="G97" s="514" t="s">
        <v>65</v>
      </c>
    </row>
    <row r="98" spans="1:7" s="225" customFormat="1" ht="28.5" customHeight="1">
      <c r="A98" s="515" t="s">
        <v>133</v>
      </c>
      <c r="B98" s="520" t="s">
        <v>319</v>
      </c>
      <c r="C98" s="517" t="s">
        <v>3124</v>
      </c>
      <c r="D98" s="515" t="s">
        <v>5</v>
      </c>
      <c r="E98" s="518">
        <v>4821</v>
      </c>
      <c r="F98" s="519">
        <f t="shared" si="3"/>
        <v>4821</v>
      </c>
      <c r="G98" s="514" t="s">
        <v>65</v>
      </c>
    </row>
    <row r="99" spans="1:7" s="225" customFormat="1" ht="28.5" customHeight="1">
      <c r="A99" s="515" t="s">
        <v>134</v>
      </c>
      <c r="B99" s="520" t="s">
        <v>320</v>
      </c>
      <c r="C99" s="517" t="s">
        <v>2915</v>
      </c>
      <c r="D99" s="515" t="s">
        <v>70</v>
      </c>
      <c r="E99" s="518">
        <v>17</v>
      </c>
      <c r="F99" s="519">
        <f t="shared" si="3"/>
        <v>17</v>
      </c>
      <c r="G99" s="514" t="s">
        <v>65</v>
      </c>
    </row>
    <row r="100" spans="1:7" s="225" customFormat="1">
      <c r="A100" s="515" t="s">
        <v>135</v>
      </c>
      <c r="B100" s="520" t="s">
        <v>321</v>
      </c>
      <c r="C100" s="517" t="s">
        <v>2916</v>
      </c>
      <c r="D100" s="515" t="s">
        <v>70</v>
      </c>
      <c r="E100" s="518">
        <v>7</v>
      </c>
      <c r="F100" s="519">
        <f t="shared" si="3"/>
        <v>7</v>
      </c>
      <c r="G100" s="514"/>
    </row>
    <row r="101" spans="1:7" s="225" customFormat="1" ht="28.5" customHeight="1">
      <c r="A101" s="515" t="s">
        <v>147</v>
      </c>
      <c r="B101" s="520" t="s">
        <v>322</v>
      </c>
      <c r="C101" s="517" t="s">
        <v>2916</v>
      </c>
      <c r="D101" s="515" t="s">
        <v>70</v>
      </c>
      <c r="E101" s="518">
        <v>7</v>
      </c>
      <c r="F101" s="519">
        <f t="shared" si="3"/>
        <v>7</v>
      </c>
      <c r="G101" s="514" t="s">
        <v>65</v>
      </c>
    </row>
    <row r="102" spans="1:7">
      <c r="A102" s="783" t="s">
        <v>82</v>
      </c>
      <c r="B102" s="783"/>
      <c r="C102" s="783"/>
      <c r="D102" s="783"/>
      <c r="E102" s="783"/>
      <c r="F102" s="89"/>
      <c r="G102" s="39"/>
    </row>
    <row r="103" spans="1:7">
      <c r="A103" s="90" t="s">
        <v>60</v>
      </c>
      <c r="B103" s="90" t="s">
        <v>61</v>
      </c>
      <c r="C103" s="488" t="s">
        <v>62</v>
      </c>
      <c r="D103" s="90" t="s">
        <v>63</v>
      </c>
      <c r="E103" s="90" t="s">
        <v>64</v>
      </c>
      <c r="F103" s="89"/>
      <c r="G103" s="39"/>
    </row>
    <row r="104" spans="1:7">
      <c r="A104" s="515" t="s">
        <v>117</v>
      </c>
      <c r="B104" s="520" t="s">
        <v>182</v>
      </c>
      <c r="C104" s="517" t="s">
        <v>518</v>
      </c>
      <c r="D104" s="515" t="s">
        <v>57</v>
      </c>
      <c r="E104" s="518">
        <v>1</v>
      </c>
      <c r="F104" s="519">
        <f t="shared" ref="F104:F110" si="4">ROUND(E104,2)</f>
        <v>1</v>
      </c>
      <c r="G104" s="39"/>
    </row>
    <row r="105" spans="1:7">
      <c r="A105" s="515" t="s">
        <v>118</v>
      </c>
      <c r="B105" s="520" t="s">
        <v>365</v>
      </c>
      <c r="C105" s="517" t="s">
        <v>2917</v>
      </c>
      <c r="D105" s="515" t="s">
        <v>57</v>
      </c>
      <c r="E105" s="518">
        <v>1</v>
      </c>
      <c r="F105" s="519">
        <f t="shared" si="4"/>
        <v>1</v>
      </c>
      <c r="G105" s="39"/>
    </row>
    <row r="106" spans="1:7" ht="38.25">
      <c r="A106" s="515" t="s">
        <v>2918</v>
      </c>
      <c r="B106" s="520" t="s">
        <v>120</v>
      </c>
      <c r="C106" s="517" t="s">
        <v>2919</v>
      </c>
      <c r="D106" s="515" t="s">
        <v>57</v>
      </c>
      <c r="E106" s="518">
        <v>22</v>
      </c>
      <c r="F106" s="519">
        <f t="shared" si="4"/>
        <v>22</v>
      </c>
      <c r="G106" s="69"/>
    </row>
    <row r="107" spans="1:7" ht="15">
      <c r="A107" s="515" t="s">
        <v>2920</v>
      </c>
      <c r="B107" s="520" t="s">
        <v>123</v>
      </c>
      <c r="C107" s="517" t="s">
        <v>279</v>
      </c>
      <c r="D107" s="515" t="s">
        <v>73</v>
      </c>
      <c r="E107" s="518">
        <f>16*0.45*0.55</f>
        <v>3.9600000000000004</v>
      </c>
      <c r="F107" s="519">
        <f t="shared" si="4"/>
        <v>3.96</v>
      </c>
      <c r="G107" s="69"/>
    </row>
    <row r="108" spans="1:7" ht="25.5">
      <c r="A108" s="515" t="s">
        <v>2921</v>
      </c>
      <c r="B108" s="520" t="s">
        <v>288</v>
      </c>
      <c r="C108" s="517" t="s">
        <v>2103</v>
      </c>
      <c r="D108" s="515" t="s">
        <v>73</v>
      </c>
      <c r="E108" s="518">
        <v>35.04</v>
      </c>
      <c r="F108" s="519">
        <f t="shared" si="4"/>
        <v>35.04</v>
      </c>
      <c r="G108" s="69"/>
    </row>
    <row r="109" spans="1:7" ht="15">
      <c r="A109" s="515" t="s">
        <v>2922</v>
      </c>
      <c r="B109" s="520" t="s">
        <v>2923</v>
      </c>
      <c r="C109" s="517" t="s">
        <v>136</v>
      </c>
      <c r="D109" s="515" t="s">
        <v>70</v>
      </c>
      <c r="E109" s="518">
        <v>1</v>
      </c>
      <c r="F109" s="519">
        <f t="shared" si="4"/>
        <v>1</v>
      </c>
      <c r="G109" s="69"/>
    </row>
    <row r="110" spans="1:7" s="526" customFormat="1" ht="15">
      <c r="A110" s="515" t="s">
        <v>2924</v>
      </c>
      <c r="B110" s="520" t="s">
        <v>184</v>
      </c>
      <c r="C110" s="517" t="s">
        <v>136</v>
      </c>
      <c r="D110" s="515" t="s">
        <v>70</v>
      </c>
      <c r="E110" s="518">
        <v>1</v>
      </c>
      <c r="F110" s="519">
        <f t="shared" si="4"/>
        <v>1</v>
      </c>
      <c r="G110" s="525"/>
    </row>
    <row r="111" spans="1:7" s="504" customFormat="1" ht="15">
      <c r="A111" s="515" t="s">
        <v>2925</v>
      </c>
      <c r="B111" s="520" t="s">
        <v>189</v>
      </c>
      <c r="C111" s="517" t="s">
        <v>2926</v>
      </c>
      <c r="D111" s="515" t="s">
        <v>70</v>
      </c>
      <c r="E111" s="518">
        <v>6</v>
      </c>
      <c r="F111" s="519">
        <f>E111</f>
        <v>6</v>
      </c>
      <c r="G111" s="527"/>
    </row>
    <row r="112" spans="1:7" s="504" customFormat="1" ht="15">
      <c r="A112" s="515" t="s">
        <v>2927</v>
      </c>
      <c r="B112" s="520" t="s">
        <v>190</v>
      </c>
      <c r="C112" s="517" t="s">
        <v>270</v>
      </c>
      <c r="D112" s="515" t="s">
        <v>70</v>
      </c>
      <c r="E112" s="518">
        <v>6</v>
      </c>
      <c r="F112" s="519">
        <f>E112</f>
        <v>6</v>
      </c>
      <c r="G112" s="527"/>
    </row>
    <row r="113" spans="1:7" s="504" customFormat="1" ht="25.5">
      <c r="A113" s="515" t="s">
        <v>2928</v>
      </c>
      <c r="B113" s="520" t="s">
        <v>2929</v>
      </c>
      <c r="C113" s="517" t="s">
        <v>2930</v>
      </c>
      <c r="D113" s="515" t="s">
        <v>76</v>
      </c>
      <c r="E113" s="518">
        <f>32.8+23.4</f>
        <v>56.199999999999996</v>
      </c>
      <c r="F113" s="519"/>
      <c r="G113" s="527"/>
    </row>
    <row r="114" spans="1:7" s="225" customFormat="1" ht="15">
      <c r="A114" s="515" t="s">
        <v>2931</v>
      </c>
      <c r="B114" s="520" t="s">
        <v>2932</v>
      </c>
      <c r="C114" s="517" t="s">
        <v>2933</v>
      </c>
      <c r="D114" s="515" t="s">
        <v>973</v>
      </c>
      <c r="E114" s="518">
        <v>25</v>
      </c>
      <c r="F114" s="519"/>
      <c r="G114" s="523"/>
    </row>
    <row r="115" spans="1:7" s="504" customFormat="1" ht="15">
      <c r="A115" s="515" t="s">
        <v>2934</v>
      </c>
      <c r="B115" s="520" t="s">
        <v>335</v>
      </c>
      <c r="C115" s="517" t="s">
        <v>336</v>
      </c>
      <c r="D115" s="515" t="s">
        <v>70</v>
      </c>
      <c r="E115" s="518">
        <v>1</v>
      </c>
      <c r="F115" s="519">
        <f>E115</f>
        <v>1</v>
      </c>
      <c r="G115" s="527"/>
    </row>
    <row r="116" spans="1:7" s="225" customFormat="1" ht="15">
      <c r="A116" s="515" t="s">
        <v>2935</v>
      </c>
      <c r="B116" s="520" t="s">
        <v>2557</v>
      </c>
      <c r="C116" s="517" t="s">
        <v>2936</v>
      </c>
      <c r="D116" s="515" t="s">
        <v>76</v>
      </c>
      <c r="E116" s="518">
        <v>90</v>
      </c>
      <c r="F116" s="519">
        <f>E116</f>
        <v>90</v>
      </c>
      <c r="G116" s="523"/>
    </row>
    <row r="117" spans="1:7" s="225" customFormat="1" ht="15">
      <c r="A117" s="515" t="s">
        <v>2937</v>
      </c>
      <c r="B117" s="520" t="s">
        <v>2559</v>
      </c>
      <c r="C117" s="517" t="s">
        <v>2938</v>
      </c>
      <c r="D117" s="515" t="s">
        <v>108</v>
      </c>
      <c r="E117" s="518">
        <f>(4*2.5)+(4.5*2.5)</f>
        <v>21.25</v>
      </c>
      <c r="F117" s="519">
        <f>E117</f>
        <v>21.25</v>
      </c>
      <c r="G117" s="523"/>
    </row>
    <row r="118" spans="1:7" s="225" customFormat="1" ht="25.5">
      <c r="A118" s="515" t="s">
        <v>2939</v>
      </c>
      <c r="B118" s="516" t="s">
        <v>2940</v>
      </c>
      <c r="C118" s="517" t="s">
        <v>2941</v>
      </c>
      <c r="D118" s="616" t="s">
        <v>70</v>
      </c>
      <c r="E118" s="518">
        <v>14</v>
      </c>
      <c r="F118" s="519">
        <f>ROUND(E118,2)</f>
        <v>14</v>
      </c>
      <c r="G118" s="523"/>
    </row>
    <row r="119" spans="1:7" s="504" customFormat="1" ht="15">
      <c r="A119" s="41" t="s">
        <v>2942</v>
      </c>
      <c r="B119" s="39" t="s">
        <v>309</v>
      </c>
      <c r="C119" s="74" t="s">
        <v>310</v>
      </c>
      <c r="D119" s="41" t="s">
        <v>70</v>
      </c>
      <c r="E119" s="75">
        <v>1</v>
      </c>
      <c r="F119" s="496">
        <f>E119</f>
        <v>1</v>
      </c>
      <c r="G119" s="527"/>
    </row>
    <row r="120" spans="1:7">
      <c r="A120" s="783" t="s">
        <v>137</v>
      </c>
      <c r="B120" s="783"/>
      <c r="C120" s="783"/>
      <c r="D120" s="783"/>
      <c r="E120" s="783"/>
      <c r="F120" s="89"/>
      <c r="G120" s="39"/>
    </row>
    <row r="121" spans="1:7">
      <c r="A121" s="90" t="s">
        <v>60</v>
      </c>
      <c r="B121" s="90" t="s">
        <v>61</v>
      </c>
      <c r="C121" s="488" t="s">
        <v>62</v>
      </c>
      <c r="D121" s="90" t="s">
        <v>63</v>
      </c>
      <c r="E121" s="90" t="s">
        <v>64</v>
      </c>
      <c r="F121" s="89"/>
      <c r="G121" s="39"/>
    </row>
    <row r="122" spans="1:7" s="225" customFormat="1" ht="25.5">
      <c r="A122" s="515" t="s">
        <v>143</v>
      </c>
      <c r="B122" s="520" t="s">
        <v>2495</v>
      </c>
      <c r="C122" s="517" t="s">
        <v>2496</v>
      </c>
      <c r="D122" s="515" t="s">
        <v>973</v>
      </c>
      <c r="E122" s="518">
        <f>27+8</f>
        <v>35</v>
      </c>
      <c r="F122" s="519">
        <f t="shared" ref="F122:F130" si="5">ROUND(E122,2)</f>
        <v>35</v>
      </c>
      <c r="G122" s="514"/>
    </row>
    <row r="123" spans="1:7" s="225" customFormat="1">
      <c r="A123" s="515" t="s">
        <v>144</v>
      </c>
      <c r="B123" s="520" t="s">
        <v>2497</v>
      </c>
      <c r="C123" s="517" t="s">
        <v>2498</v>
      </c>
      <c r="D123" s="515" t="s">
        <v>973</v>
      </c>
      <c r="E123" s="518">
        <f>38+12</f>
        <v>50</v>
      </c>
      <c r="F123" s="519">
        <f t="shared" si="5"/>
        <v>50</v>
      </c>
      <c r="G123" s="514"/>
    </row>
    <row r="124" spans="1:7" s="225" customFormat="1">
      <c r="A124" s="515" t="s">
        <v>185</v>
      </c>
      <c r="B124" s="520" t="s">
        <v>376</v>
      </c>
      <c r="C124" s="517" t="s">
        <v>138</v>
      </c>
      <c r="D124" s="515" t="s">
        <v>70</v>
      </c>
      <c r="E124" s="518">
        <v>1</v>
      </c>
      <c r="F124" s="519">
        <f t="shared" si="5"/>
        <v>1</v>
      </c>
      <c r="G124" s="514"/>
    </row>
    <row r="125" spans="1:7" s="225" customFormat="1" ht="13.5" customHeight="1">
      <c r="A125" s="515" t="s">
        <v>186</v>
      </c>
      <c r="B125" s="520" t="s">
        <v>2943</v>
      </c>
      <c r="C125" s="517" t="s">
        <v>2943</v>
      </c>
      <c r="D125" s="515" t="s">
        <v>70</v>
      </c>
      <c r="E125" s="518">
        <v>1</v>
      </c>
      <c r="F125" s="519">
        <f t="shared" si="5"/>
        <v>1</v>
      </c>
      <c r="G125" s="514"/>
    </row>
    <row r="126" spans="1:7" s="504" customFormat="1">
      <c r="A126" s="515" t="s">
        <v>187</v>
      </c>
      <c r="B126" s="520" t="s">
        <v>377</v>
      </c>
      <c r="C126" s="517" t="s">
        <v>3127</v>
      </c>
      <c r="D126" s="515" t="s">
        <v>76</v>
      </c>
      <c r="E126" s="518">
        <f>148*0.25</f>
        <v>37</v>
      </c>
      <c r="F126" s="519">
        <f t="shared" si="5"/>
        <v>37</v>
      </c>
      <c r="G126" s="572"/>
    </row>
    <row r="127" spans="1:7" s="504" customFormat="1">
      <c r="A127" s="515" t="s">
        <v>188</v>
      </c>
      <c r="B127" s="520" t="s">
        <v>378</v>
      </c>
      <c r="C127" s="517" t="s">
        <v>3128</v>
      </c>
      <c r="D127" s="515" t="s">
        <v>70</v>
      </c>
      <c r="E127" s="518">
        <v>596</v>
      </c>
      <c r="F127" s="519">
        <f>ROUND(E127,2)</f>
        <v>596</v>
      </c>
      <c r="G127" s="572"/>
    </row>
    <row r="128" spans="1:7" s="504" customFormat="1">
      <c r="A128" s="515" t="s">
        <v>2944</v>
      </c>
      <c r="B128" s="520" t="s">
        <v>379</v>
      </c>
      <c r="C128" s="517" t="s">
        <v>3129</v>
      </c>
      <c r="D128" s="515" t="s">
        <v>76</v>
      </c>
      <c r="E128" s="518">
        <v>180</v>
      </c>
      <c r="F128" s="519">
        <f t="shared" ref="F128" si="6">ROUND(E128,2)</f>
        <v>180</v>
      </c>
      <c r="G128" s="572"/>
    </row>
    <row r="129" spans="1:8" s="225" customFormat="1">
      <c r="A129" s="515" t="s">
        <v>196</v>
      </c>
      <c r="B129" s="520" t="s">
        <v>2107</v>
      </c>
      <c r="C129" s="517" t="s">
        <v>2945</v>
      </c>
      <c r="D129" s="515" t="s">
        <v>10</v>
      </c>
      <c r="E129" s="518">
        <v>3.84</v>
      </c>
      <c r="F129" s="519">
        <f>ROUND(E129,2)</f>
        <v>3.84</v>
      </c>
      <c r="G129" s="514"/>
    </row>
    <row r="130" spans="1:8" s="225" customFormat="1">
      <c r="A130" s="515" t="s">
        <v>196</v>
      </c>
      <c r="B130" s="520" t="s">
        <v>2107</v>
      </c>
      <c r="C130" s="517" t="s">
        <v>2946</v>
      </c>
      <c r="D130" s="515" t="s">
        <v>10</v>
      </c>
      <c r="E130" s="518">
        <v>3.74</v>
      </c>
      <c r="F130" s="519">
        <f t="shared" si="5"/>
        <v>3.74</v>
      </c>
      <c r="G130" s="514"/>
    </row>
    <row r="131" spans="1:8" ht="15">
      <c r="A131" s="784" t="s">
        <v>66</v>
      </c>
      <c r="B131" s="784"/>
      <c r="C131" s="780"/>
      <c r="D131" s="780"/>
      <c r="E131" s="780"/>
      <c r="F131" s="89"/>
      <c r="G131" s="528"/>
    </row>
    <row r="132" spans="1:8">
      <c r="A132" s="90" t="s">
        <v>60</v>
      </c>
      <c r="B132" s="90" t="s">
        <v>61</v>
      </c>
      <c r="C132" s="488" t="s">
        <v>62</v>
      </c>
      <c r="D132" s="90" t="s">
        <v>63</v>
      </c>
      <c r="E132" s="90" t="s">
        <v>64</v>
      </c>
      <c r="F132" s="89"/>
      <c r="G132" s="39"/>
    </row>
    <row r="133" spans="1:8" s="225" customFormat="1">
      <c r="A133" s="515" t="s">
        <v>122</v>
      </c>
      <c r="B133" s="516" t="s">
        <v>67</v>
      </c>
      <c r="C133" s="517" t="s">
        <v>2109</v>
      </c>
      <c r="D133" s="515" t="s">
        <v>10</v>
      </c>
      <c r="E133" s="518">
        <v>2341</v>
      </c>
      <c r="F133" s="519">
        <f>ROUND(E133,2)</f>
        <v>2341</v>
      </c>
      <c r="G133" s="514" t="s">
        <v>65</v>
      </c>
      <c r="H133" s="225" t="s">
        <v>2947</v>
      </c>
    </row>
    <row r="134" spans="1:8" s="225" customFormat="1" ht="25.5">
      <c r="A134" s="515" t="s">
        <v>2133</v>
      </c>
      <c r="B134" s="516" t="s">
        <v>3132</v>
      </c>
      <c r="C134" s="517" t="s">
        <v>3134</v>
      </c>
      <c r="D134" s="515" t="s">
        <v>108</v>
      </c>
      <c r="E134" s="518">
        <v>241.79</v>
      </c>
      <c r="F134" s="519"/>
      <c r="G134" s="514"/>
    </row>
    <row r="135" spans="1:8" s="225" customFormat="1" ht="25.5">
      <c r="A135" s="515" t="s">
        <v>3130</v>
      </c>
      <c r="B135" s="516" t="s">
        <v>3133</v>
      </c>
      <c r="C135" s="517" t="s">
        <v>3135</v>
      </c>
      <c r="D135" s="515" t="s">
        <v>108</v>
      </c>
      <c r="E135" s="518">
        <v>1708.3</v>
      </c>
      <c r="F135" s="519"/>
      <c r="G135" s="514"/>
    </row>
    <row r="136" spans="1:8" s="504" customFormat="1" ht="32.25" customHeight="1">
      <c r="A136" s="515" t="s">
        <v>3131</v>
      </c>
      <c r="B136" s="520" t="s">
        <v>3125</v>
      </c>
      <c r="C136" s="517" t="s">
        <v>3126</v>
      </c>
      <c r="D136" s="515" t="s">
        <v>108</v>
      </c>
      <c r="E136" s="518">
        <f>62.32+45.28</f>
        <v>107.6</v>
      </c>
      <c r="F136" s="519">
        <f t="shared" ref="F136" si="7">ROUND(E136,2)</f>
        <v>107.6</v>
      </c>
      <c r="G136" s="527"/>
    </row>
    <row r="137" spans="1:8">
      <c r="F137" s="44"/>
    </row>
    <row r="138" spans="1:8">
      <c r="F138" s="44"/>
    </row>
    <row r="139" spans="1:8" ht="14.25">
      <c r="B139" s="109"/>
      <c r="C139" s="110"/>
      <c r="D139" s="109"/>
      <c r="E139" s="111"/>
      <c r="F139" s="44"/>
    </row>
    <row r="140" spans="1:8" ht="14.25">
      <c r="B140" s="109"/>
      <c r="C140" s="112"/>
      <c r="D140" s="109"/>
      <c r="E140" s="111"/>
      <c r="F140" s="44"/>
    </row>
    <row r="141" spans="1:8" ht="14.25">
      <c r="B141" s="109"/>
      <c r="C141" s="113"/>
      <c r="D141" s="109"/>
      <c r="E141" s="111"/>
      <c r="F141" s="44"/>
    </row>
    <row r="142" spans="1:8">
      <c r="B142" s="114"/>
      <c r="C142" s="114"/>
      <c r="D142" s="114"/>
      <c r="E142" s="114"/>
      <c r="F142" s="44"/>
    </row>
    <row r="143" spans="1:8" ht="12.75" customHeight="1">
      <c r="F143" s="44"/>
    </row>
    <row r="144" spans="1:8">
      <c r="F144" s="44"/>
    </row>
    <row r="145" spans="2:8">
      <c r="B145" s="42"/>
      <c r="C145" s="42"/>
      <c r="D145" s="42"/>
      <c r="E145" s="42"/>
      <c r="F145" s="44"/>
    </row>
    <row r="146" spans="2:8">
      <c r="B146" s="42"/>
      <c r="C146" s="45"/>
      <c r="D146" s="46"/>
      <c r="E146" s="46"/>
      <c r="F146" s="44"/>
    </row>
    <row r="147" spans="2:8">
      <c r="B147" s="42"/>
      <c r="C147" s="47"/>
      <c r="D147" s="44"/>
      <c r="E147" s="44"/>
      <c r="F147" s="44"/>
    </row>
    <row r="148" spans="2:8">
      <c r="B148" s="42"/>
      <c r="C148" s="47"/>
      <c r="D148" s="44"/>
      <c r="E148" s="44"/>
      <c r="F148" s="44"/>
      <c r="H148" s="44"/>
    </row>
    <row r="149" spans="2:8">
      <c r="B149" s="42"/>
      <c r="C149" s="47"/>
      <c r="D149" s="44"/>
      <c r="E149" s="44"/>
      <c r="F149" s="44"/>
      <c r="H149" s="44"/>
    </row>
    <row r="150" spans="2:8" ht="12.75" customHeight="1">
      <c r="B150" s="42"/>
      <c r="C150" s="47"/>
      <c r="D150" s="44"/>
      <c r="E150" s="44"/>
      <c r="F150" s="44"/>
      <c r="H150" s="44"/>
    </row>
    <row r="151" spans="2:8">
      <c r="B151" s="42"/>
      <c r="C151" s="47"/>
      <c r="D151" s="44"/>
      <c r="E151" s="44"/>
      <c r="F151" s="44"/>
      <c r="H151" s="44"/>
    </row>
    <row r="152" spans="2:8">
      <c r="B152" s="42"/>
      <c r="C152" s="47"/>
      <c r="D152" s="44"/>
      <c r="E152" s="44"/>
      <c r="F152" s="44"/>
      <c r="H152" s="44"/>
    </row>
    <row r="153" spans="2:8">
      <c r="B153" s="42"/>
      <c r="C153" s="47"/>
      <c r="D153" s="44"/>
      <c r="E153" s="44"/>
      <c r="F153" s="44"/>
      <c r="G153" s="521"/>
      <c r="H153" s="44"/>
    </row>
    <row r="154" spans="2:8">
      <c r="B154" s="42"/>
      <c r="C154" s="47"/>
      <c r="D154" s="44"/>
      <c r="E154" s="44"/>
      <c r="F154" s="44"/>
      <c r="G154" s="521"/>
    </row>
    <row r="155" spans="2:8">
      <c r="B155" s="42"/>
      <c r="C155" s="47"/>
      <c r="D155" s="44"/>
      <c r="E155" s="44"/>
      <c r="F155" s="44"/>
      <c r="H155" s="44"/>
    </row>
    <row r="156" spans="2:8" ht="12.75" customHeight="1">
      <c r="B156" s="42"/>
      <c r="C156" s="47"/>
      <c r="D156" s="44"/>
      <c r="E156" s="44"/>
      <c r="F156" s="44"/>
    </row>
    <row r="157" spans="2:8">
      <c r="B157" s="42"/>
      <c r="C157" s="47"/>
      <c r="D157" s="44"/>
      <c r="E157" s="44"/>
      <c r="F157" s="44"/>
    </row>
    <row r="158" spans="2:8">
      <c r="B158" s="42"/>
      <c r="C158" s="47"/>
      <c r="D158" s="44"/>
      <c r="E158" s="44"/>
      <c r="F158" s="44"/>
    </row>
    <row r="159" spans="2:8">
      <c r="B159" s="42"/>
      <c r="C159" s="47"/>
      <c r="D159" s="44"/>
      <c r="E159" s="44"/>
      <c r="F159" s="44"/>
      <c r="H159" s="44"/>
    </row>
    <row r="160" spans="2:8">
      <c r="B160" s="42"/>
      <c r="C160" s="47"/>
      <c r="D160" s="44"/>
      <c r="E160" s="44"/>
      <c r="F160" s="44"/>
    </row>
    <row r="161" spans="2:8">
      <c r="B161" s="42"/>
      <c r="C161" s="47"/>
      <c r="D161" s="44"/>
      <c r="E161" s="44"/>
      <c r="F161" s="44"/>
    </row>
    <row r="162" spans="2:8">
      <c r="B162" s="42"/>
      <c r="C162" s="47"/>
      <c r="D162" s="44"/>
      <c r="E162" s="44"/>
      <c r="F162" s="44"/>
    </row>
    <row r="163" spans="2:8">
      <c r="B163" s="42"/>
      <c r="C163" s="47"/>
      <c r="D163" s="44"/>
      <c r="E163" s="44"/>
      <c r="F163" s="44"/>
    </row>
    <row r="164" spans="2:8">
      <c r="B164" s="42"/>
      <c r="C164" s="47"/>
      <c r="D164" s="44"/>
      <c r="E164" s="44"/>
      <c r="F164" s="44"/>
    </row>
    <row r="165" spans="2:8">
      <c r="B165" s="42"/>
      <c r="C165" s="47"/>
      <c r="D165" s="44"/>
      <c r="E165" s="44"/>
      <c r="F165" s="44"/>
    </row>
    <row r="166" spans="2:8">
      <c r="B166" s="42"/>
      <c r="C166" s="47"/>
      <c r="D166" s="44"/>
      <c r="E166" s="44"/>
      <c r="F166" s="44"/>
      <c r="G166" s="44"/>
    </row>
    <row r="167" spans="2:8">
      <c r="B167" s="42"/>
      <c r="C167" s="47"/>
      <c r="D167" s="44"/>
      <c r="E167" s="44"/>
      <c r="F167" s="44"/>
    </row>
    <row r="168" spans="2:8">
      <c r="B168" s="42"/>
      <c r="C168" s="47"/>
      <c r="D168" s="44"/>
      <c r="E168" s="44"/>
      <c r="F168" s="44"/>
    </row>
    <row r="169" spans="2:8">
      <c r="B169" s="42"/>
      <c r="C169" s="45"/>
      <c r="D169" s="46"/>
      <c r="E169" s="46"/>
      <c r="F169" s="44"/>
    </row>
    <row r="170" spans="2:8">
      <c r="B170" s="42"/>
      <c r="C170" s="47"/>
      <c r="D170" s="44"/>
      <c r="E170" s="44"/>
      <c r="F170" s="44"/>
      <c r="H170" s="44"/>
    </row>
    <row r="171" spans="2:8">
      <c r="B171" s="42"/>
      <c r="C171" s="47"/>
      <c r="D171" s="44"/>
      <c r="E171" s="44"/>
      <c r="F171" s="44"/>
      <c r="H171" s="44"/>
    </row>
    <row r="172" spans="2:8">
      <c r="B172" s="42"/>
      <c r="C172" s="47"/>
      <c r="D172" s="44"/>
      <c r="E172" s="44"/>
      <c r="F172" s="44"/>
    </row>
    <row r="173" spans="2:8">
      <c r="C173" s="49"/>
      <c r="D173" s="48"/>
      <c r="E173" s="48"/>
      <c r="F173" s="44"/>
    </row>
    <row r="174" spans="2:8">
      <c r="C174" s="49"/>
      <c r="D174" s="48"/>
      <c r="E174" s="48"/>
      <c r="F174" s="44"/>
    </row>
    <row r="175" spans="2:8">
      <c r="C175" s="49"/>
      <c r="D175" s="48"/>
      <c r="E175" s="48"/>
      <c r="F175" s="44"/>
    </row>
    <row r="176" spans="2:8">
      <c r="C176" s="49"/>
      <c r="D176" s="48"/>
      <c r="E176" s="48"/>
      <c r="F176" s="44"/>
    </row>
    <row r="177" spans="2:7" ht="12.75" customHeight="1">
      <c r="C177" s="49"/>
      <c r="D177" s="48"/>
      <c r="E177" s="48"/>
      <c r="F177" s="44"/>
    </row>
    <row r="178" spans="2:7">
      <c r="B178" s="42"/>
      <c r="C178" s="47"/>
      <c r="D178" s="44"/>
      <c r="E178" s="44"/>
      <c r="F178" s="44"/>
    </row>
    <row r="179" spans="2:7">
      <c r="B179" s="42"/>
      <c r="C179" s="47"/>
      <c r="D179" s="44"/>
      <c r="E179" s="44"/>
      <c r="F179" s="44"/>
    </row>
    <row r="180" spans="2:7">
      <c r="B180" s="42"/>
      <c r="C180" s="47"/>
      <c r="D180" s="44"/>
      <c r="E180" s="44"/>
      <c r="F180" s="44"/>
    </row>
    <row r="181" spans="2:7">
      <c r="B181" s="42"/>
      <c r="C181" s="47"/>
      <c r="D181" s="44"/>
      <c r="E181" s="44"/>
      <c r="F181" s="44"/>
    </row>
    <row r="182" spans="2:7">
      <c r="B182" s="42"/>
      <c r="C182" s="47"/>
      <c r="D182" s="44"/>
      <c r="E182" s="44"/>
      <c r="F182" s="44"/>
    </row>
    <row r="183" spans="2:7">
      <c r="B183" s="42"/>
      <c r="C183" s="47"/>
      <c r="D183" s="44"/>
      <c r="E183" s="44"/>
      <c r="F183" s="44"/>
    </row>
    <row r="184" spans="2:7">
      <c r="B184" s="42"/>
      <c r="C184" s="47"/>
      <c r="D184" s="44"/>
      <c r="E184" s="44"/>
      <c r="F184" s="44"/>
    </row>
    <row r="185" spans="2:7">
      <c r="B185" s="42"/>
      <c r="C185" s="47"/>
      <c r="D185" s="44"/>
      <c r="E185" s="44"/>
      <c r="F185" s="44"/>
      <c r="G185" s="44"/>
    </row>
    <row r="186" spans="2:7">
      <c r="B186" s="42"/>
      <c r="C186" s="47"/>
      <c r="D186" s="44"/>
      <c r="E186" s="44"/>
      <c r="F186" s="44"/>
    </row>
    <row r="187" spans="2:7">
      <c r="B187" s="42"/>
      <c r="C187" s="47"/>
      <c r="D187" s="42"/>
      <c r="E187" s="42"/>
      <c r="F187" s="44"/>
    </row>
    <row r="188" spans="2:7">
      <c r="B188" s="42"/>
      <c r="C188" s="45"/>
      <c r="D188" s="46"/>
      <c r="E188" s="46"/>
      <c r="F188" s="44"/>
    </row>
    <row r="189" spans="2:7">
      <c r="B189" s="42"/>
      <c r="C189" s="47"/>
      <c r="D189" s="44"/>
      <c r="E189" s="44"/>
      <c r="F189" s="44"/>
    </row>
    <row r="190" spans="2:7">
      <c r="B190" s="42"/>
      <c r="C190" s="47"/>
      <c r="D190" s="44"/>
      <c r="E190" s="44"/>
      <c r="F190" s="44"/>
    </row>
    <row r="191" spans="2:7">
      <c r="B191" s="42"/>
      <c r="C191" s="47"/>
      <c r="D191" s="44"/>
      <c r="E191" s="44"/>
      <c r="F191" s="44"/>
    </row>
    <row r="192" spans="2:7">
      <c r="B192" s="42"/>
      <c r="C192" s="47"/>
      <c r="D192" s="44"/>
      <c r="E192" s="44"/>
      <c r="F192" s="44"/>
    </row>
    <row r="193" spans="2:8">
      <c r="B193" s="42"/>
      <c r="C193" s="47"/>
      <c r="D193" s="44"/>
      <c r="E193" s="44"/>
      <c r="F193" s="44"/>
    </row>
    <row r="194" spans="2:8">
      <c r="B194" s="42"/>
      <c r="C194" s="47"/>
      <c r="D194" s="44"/>
      <c r="E194" s="44"/>
      <c r="F194" s="44"/>
    </row>
    <row r="195" spans="2:8">
      <c r="B195" s="42"/>
      <c r="C195" s="47"/>
      <c r="D195" s="44"/>
      <c r="E195" s="44"/>
      <c r="F195" s="44"/>
    </row>
    <row r="196" spans="2:8">
      <c r="B196" s="42"/>
      <c r="C196" s="47"/>
      <c r="D196" s="44"/>
      <c r="E196" s="44"/>
      <c r="F196" s="44"/>
    </row>
    <row r="197" spans="2:8">
      <c r="B197" s="42"/>
      <c r="C197" s="47"/>
      <c r="D197" s="44"/>
      <c r="E197" s="44"/>
      <c r="F197" s="44"/>
    </row>
    <row r="198" spans="2:8">
      <c r="B198" s="42"/>
      <c r="C198" s="47"/>
      <c r="D198" s="44"/>
      <c r="E198" s="44"/>
      <c r="F198" s="44"/>
      <c r="G198" s="44"/>
    </row>
    <row r="199" spans="2:8">
      <c r="B199" s="42"/>
      <c r="C199" s="47"/>
      <c r="D199" s="44"/>
      <c r="E199" s="44"/>
      <c r="F199" s="44"/>
    </row>
    <row r="200" spans="2:8">
      <c r="B200" s="50"/>
      <c r="C200" s="51"/>
      <c r="D200" s="52"/>
      <c r="E200" s="52"/>
      <c r="F200" s="52"/>
    </row>
    <row r="201" spans="2:8">
      <c r="B201" s="50"/>
      <c r="C201" s="51"/>
      <c r="D201" s="50"/>
      <c r="E201" s="50"/>
      <c r="F201" s="52"/>
    </row>
    <row r="202" spans="2:8">
      <c r="B202" s="50"/>
      <c r="C202" s="53"/>
      <c r="D202" s="54"/>
      <c r="E202" s="54"/>
      <c r="F202" s="52"/>
    </row>
    <row r="203" spans="2:8">
      <c r="B203" s="50"/>
      <c r="C203" s="51"/>
      <c r="D203" s="50"/>
      <c r="E203" s="50"/>
      <c r="F203" s="52"/>
    </row>
    <row r="204" spans="2:8">
      <c r="B204" s="50"/>
      <c r="C204" s="51"/>
      <c r="D204" s="50"/>
      <c r="E204" s="50"/>
      <c r="F204" s="52"/>
    </row>
    <row r="205" spans="2:8">
      <c r="B205" s="50"/>
      <c r="C205" s="55"/>
      <c r="D205" s="50"/>
      <c r="E205" s="50"/>
      <c r="F205" s="52"/>
      <c r="G205" s="529"/>
      <c r="H205" s="529"/>
    </row>
    <row r="206" spans="2:8">
      <c r="B206" s="50"/>
      <c r="C206" s="51"/>
      <c r="D206" s="50"/>
      <c r="E206" s="50"/>
      <c r="F206" s="50"/>
    </row>
    <row r="207" spans="2:8">
      <c r="B207" s="50"/>
      <c r="C207" s="51"/>
      <c r="D207" s="50"/>
      <c r="E207" s="50"/>
      <c r="F207" s="50"/>
    </row>
    <row r="208" spans="2:8">
      <c r="B208" s="50"/>
      <c r="C208" s="51"/>
      <c r="D208" s="50"/>
      <c r="E208" s="50"/>
      <c r="F208" s="50"/>
    </row>
    <row r="209" spans="2:9">
      <c r="B209" s="50"/>
      <c r="C209" s="51"/>
      <c r="D209" s="50"/>
      <c r="E209" s="50"/>
      <c r="F209" s="50"/>
    </row>
    <row r="210" spans="2:9">
      <c r="B210" s="50"/>
      <c r="C210" s="51"/>
      <c r="D210" s="50"/>
      <c r="E210" s="50"/>
      <c r="F210" s="50"/>
    </row>
    <row r="211" spans="2:9">
      <c r="B211" s="50"/>
      <c r="C211" s="51"/>
      <c r="D211" s="50"/>
      <c r="E211" s="50"/>
      <c r="F211" s="50"/>
    </row>
    <row r="212" spans="2:9">
      <c r="B212" s="50"/>
      <c r="C212" s="51"/>
      <c r="D212" s="50"/>
      <c r="E212" s="50"/>
      <c r="F212" s="50"/>
    </row>
    <row r="213" spans="2:9">
      <c r="B213" s="50"/>
      <c r="C213" s="51"/>
      <c r="D213" s="50"/>
      <c r="E213" s="50"/>
      <c r="F213" s="50"/>
    </row>
    <row r="214" spans="2:9">
      <c r="B214" s="50"/>
      <c r="C214" s="51"/>
      <c r="D214" s="50"/>
      <c r="E214" s="50"/>
      <c r="F214" s="50"/>
    </row>
    <row r="215" spans="2:9">
      <c r="B215" s="50"/>
      <c r="C215" s="51"/>
      <c r="D215" s="50"/>
      <c r="E215" s="50"/>
      <c r="F215" s="50"/>
    </row>
    <row r="216" spans="2:9">
      <c r="B216" s="50"/>
      <c r="C216" s="51"/>
      <c r="D216" s="50"/>
      <c r="E216" s="50"/>
      <c r="F216" s="50"/>
    </row>
    <row r="217" spans="2:9">
      <c r="B217" s="56"/>
      <c r="C217" s="53"/>
      <c r="D217" s="56"/>
      <c r="E217" s="50"/>
      <c r="F217" s="52"/>
      <c r="G217" s="46"/>
      <c r="H217" s="46"/>
      <c r="I217" s="56"/>
    </row>
    <row r="218" spans="2:9">
      <c r="B218" s="50"/>
      <c r="C218" s="51"/>
      <c r="D218" s="50"/>
      <c r="E218" s="50"/>
      <c r="F218" s="52"/>
    </row>
    <row r="219" spans="2:9">
      <c r="B219" s="50"/>
      <c r="C219" s="51"/>
      <c r="D219" s="50"/>
      <c r="E219" s="50"/>
      <c r="F219" s="52"/>
    </row>
    <row r="220" spans="2:9">
      <c r="B220" s="50"/>
      <c r="C220" s="51"/>
      <c r="D220" s="50"/>
      <c r="E220" s="50"/>
      <c r="F220" s="52"/>
    </row>
    <row r="221" spans="2:9">
      <c r="B221" s="50"/>
      <c r="C221" s="51"/>
      <c r="D221" s="50"/>
      <c r="E221" s="50"/>
      <c r="F221" s="52"/>
    </row>
    <row r="222" spans="2:9">
      <c r="B222" s="50"/>
      <c r="C222" s="51"/>
      <c r="D222" s="50"/>
      <c r="E222" s="50"/>
      <c r="F222" s="52"/>
    </row>
    <row r="223" spans="2:9">
      <c r="B223" s="50"/>
      <c r="C223" s="51"/>
      <c r="D223" s="50"/>
      <c r="E223" s="50"/>
      <c r="F223" s="52"/>
    </row>
    <row r="224" spans="2:9">
      <c r="B224" s="50"/>
      <c r="C224" s="51"/>
      <c r="D224" s="50"/>
      <c r="E224" s="50"/>
      <c r="F224" s="52"/>
    </row>
    <row r="225" spans="1:9">
      <c r="B225" s="50"/>
      <c r="C225" s="51"/>
      <c r="D225" s="50"/>
      <c r="E225" s="50"/>
      <c r="F225" s="52"/>
    </row>
    <row r="226" spans="1:9">
      <c r="C226" s="49"/>
    </row>
    <row r="227" spans="1:9">
      <c r="C227" s="49"/>
    </row>
    <row r="228" spans="1:9">
      <c r="C228" s="49"/>
    </row>
    <row r="229" spans="1:9">
      <c r="C229" s="49"/>
    </row>
    <row r="230" spans="1:9">
      <c r="C230" s="49"/>
    </row>
    <row r="231" spans="1:9">
      <c r="C231" s="49"/>
    </row>
    <row r="232" spans="1:9">
      <c r="C232" s="49"/>
    </row>
    <row r="233" spans="1:9">
      <c r="C233" s="49"/>
    </row>
    <row r="234" spans="1:9">
      <c r="C234" s="49"/>
    </row>
    <row r="235" spans="1:9">
      <c r="C235" s="49"/>
    </row>
    <row r="236" spans="1:9" s="40" customFormat="1">
      <c r="A236" s="43"/>
      <c r="C236" s="49"/>
      <c r="F236" s="57"/>
      <c r="G236" s="42"/>
      <c r="H236" s="42"/>
      <c r="I236" s="42"/>
    </row>
    <row r="237" spans="1:9" s="40" customFormat="1">
      <c r="A237" s="43"/>
      <c r="C237" s="49"/>
      <c r="F237" s="57"/>
      <c r="G237" s="42"/>
      <c r="H237" s="42"/>
      <c r="I237" s="42"/>
    </row>
    <row r="238" spans="1:9" s="40" customFormat="1">
      <c r="A238" s="43"/>
      <c r="C238" s="49"/>
      <c r="F238" s="57"/>
      <c r="G238" s="42"/>
      <c r="H238" s="42"/>
      <c r="I238" s="42"/>
    </row>
    <row r="239" spans="1:9" s="40" customFormat="1">
      <c r="A239" s="43"/>
      <c r="C239" s="49"/>
      <c r="F239" s="57"/>
      <c r="G239" s="42"/>
      <c r="H239" s="42"/>
      <c r="I239" s="42"/>
    </row>
    <row r="240" spans="1:9" s="40" customFormat="1">
      <c r="A240" s="43"/>
      <c r="C240" s="49"/>
      <c r="F240" s="57"/>
      <c r="G240" s="42"/>
      <c r="H240" s="42"/>
      <c r="I240" s="42"/>
    </row>
    <row r="241" spans="1:9" s="40" customFormat="1">
      <c r="A241" s="43"/>
      <c r="C241" s="49"/>
      <c r="F241" s="57"/>
      <c r="G241" s="42"/>
      <c r="H241" s="42"/>
      <c r="I241" s="42"/>
    </row>
    <row r="242" spans="1:9" s="40" customFormat="1">
      <c r="A242" s="43"/>
      <c r="C242" s="49"/>
      <c r="F242" s="57"/>
      <c r="G242" s="42"/>
      <c r="H242" s="42"/>
      <c r="I242" s="42"/>
    </row>
    <row r="243" spans="1:9" s="40" customFormat="1">
      <c r="A243" s="43"/>
      <c r="C243" s="49"/>
      <c r="F243" s="57"/>
      <c r="G243" s="42"/>
      <c r="H243" s="42"/>
      <c r="I243" s="42"/>
    </row>
    <row r="244" spans="1:9" s="40" customFormat="1">
      <c r="A244" s="43"/>
      <c r="C244" s="49"/>
      <c r="F244" s="57"/>
      <c r="G244" s="42"/>
      <c r="H244" s="42"/>
      <c r="I244" s="42"/>
    </row>
    <row r="245" spans="1:9" s="40" customFormat="1">
      <c r="A245" s="43"/>
      <c r="C245" s="49"/>
      <c r="F245" s="57"/>
      <c r="G245" s="42"/>
      <c r="H245" s="42"/>
      <c r="I245" s="42"/>
    </row>
    <row r="246" spans="1:9" s="40" customFormat="1">
      <c r="A246" s="43"/>
      <c r="C246" s="49"/>
      <c r="F246" s="57"/>
      <c r="G246" s="42"/>
      <c r="H246" s="42"/>
      <c r="I246" s="42"/>
    </row>
    <row r="247" spans="1:9" s="40" customFormat="1">
      <c r="A247" s="43"/>
      <c r="C247" s="49"/>
      <c r="F247" s="57"/>
      <c r="G247" s="42"/>
      <c r="H247" s="42"/>
      <c r="I247" s="42"/>
    </row>
    <row r="248" spans="1:9" s="40" customFormat="1">
      <c r="A248" s="43"/>
      <c r="C248" s="49"/>
      <c r="F248" s="57"/>
      <c r="G248" s="42"/>
      <c r="H248" s="42"/>
      <c r="I248" s="42"/>
    </row>
    <row r="249" spans="1:9" s="40" customFormat="1">
      <c r="A249" s="43"/>
      <c r="C249" s="49"/>
      <c r="F249" s="57"/>
      <c r="G249" s="42"/>
      <c r="H249" s="42"/>
      <c r="I249" s="42"/>
    </row>
    <row r="250" spans="1:9" s="40" customFormat="1">
      <c r="A250" s="43"/>
      <c r="C250" s="49"/>
      <c r="F250" s="57"/>
      <c r="G250" s="42"/>
      <c r="H250" s="42"/>
      <c r="I250" s="42"/>
    </row>
    <row r="251" spans="1:9" s="40" customFormat="1">
      <c r="A251" s="43"/>
      <c r="C251" s="49"/>
      <c r="F251" s="57"/>
      <c r="G251" s="42"/>
      <c r="H251" s="42"/>
      <c r="I251" s="42"/>
    </row>
    <row r="252" spans="1:9" s="40" customFormat="1">
      <c r="A252" s="43"/>
      <c r="C252" s="49"/>
      <c r="F252" s="57"/>
      <c r="G252" s="42"/>
      <c r="H252" s="42"/>
      <c r="I252" s="42"/>
    </row>
    <row r="253" spans="1:9" s="40" customFormat="1">
      <c r="A253" s="43"/>
      <c r="C253" s="49"/>
      <c r="F253" s="57"/>
      <c r="G253" s="42"/>
      <c r="H253" s="42"/>
      <c r="I253" s="42"/>
    </row>
    <row r="254" spans="1:9" s="40" customFormat="1">
      <c r="A254" s="43"/>
      <c r="C254" s="49"/>
      <c r="F254" s="57"/>
      <c r="G254" s="42"/>
      <c r="H254" s="42"/>
      <c r="I254" s="42"/>
    </row>
    <row r="255" spans="1:9" s="40" customFormat="1">
      <c r="A255" s="43"/>
      <c r="C255" s="49"/>
      <c r="F255" s="57"/>
      <c r="G255" s="42"/>
      <c r="H255" s="42"/>
      <c r="I255" s="42"/>
    </row>
    <row r="256" spans="1:9" s="40" customFormat="1">
      <c r="A256" s="43"/>
      <c r="C256" s="49"/>
      <c r="F256" s="57"/>
      <c r="G256" s="42"/>
      <c r="H256" s="42"/>
      <c r="I256" s="42"/>
    </row>
    <row r="257" spans="1:9" s="40" customFormat="1">
      <c r="A257" s="43"/>
      <c r="C257" s="49"/>
      <c r="F257" s="57"/>
      <c r="G257" s="42"/>
      <c r="H257" s="42"/>
      <c r="I257" s="42"/>
    </row>
    <row r="258" spans="1:9" s="40" customFormat="1">
      <c r="A258" s="43"/>
      <c r="C258" s="49"/>
      <c r="F258" s="57"/>
      <c r="G258" s="42"/>
      <c r="H258" s="42"/>
      <c r="I258" s="42"/>
    </row>
    <row r="259" spans="1:9" s="40" customFormat="1">
      <c r="A259" s="43"/>
      <c r="C259" s="49"/>
      <c r="F259" s="57"/>
      <c r="G259" s="42"/>
      <c r="H259" s="42"/>
      <c r="I259" s="42"/>
    </row>
    <row r="260" spans="1:9" s="40" customFormat="1">
      <c r="A260" s="43"/>
      <c r="C260" s="49"/>
      <c r="F260" s="57"/>
      <c r="G260" s="42"/>
      <c r="H260" s="42"/>
      <c r="I260" s="42"/>
    </row>
    <row r="261" spans="1:9" s="40" customFormat="1">
      <c r="A261" s="43"/>
      <c r="C261" s="49"/>
      <c r="F261" s="57"/>
      <c r="G261" s="42"/>
      <c r="H261" s="42"/>
      <c r="I261" s="42"/>
    </row>
    <row r="262" spans="1:9" s="40" customFormat="1">
      <c r="A262" s="43"/>
      <c r="C262" s="49"/>
      <c r="F262" s="57"/>
      <c r="G262" s="42"/>
      <c r="H262" s="42"/>
      <c r="I262" s="42"/>
    </row>
    <row r="263" spans="1:9" s="40" customFormat="1">
      <c r="A263" s="43"/>
      <c r="C263" s="49"/>
      <c r="F263" s="57"/>
      <c r="G263" s="42"/>
      <c r="H263" s="42"/>
      <c r="I263" s="42"/>
    </row>
    <row r="264" spans="1:9" s="40" customFormat="1">
      <c r="A264" s="43"/>
      <c r="C264" s="49"/>
      <c r="F264" s="57"/>
      <c r="G264" s="42"/>
      <c r="H264" s="42"/>
      <c r="I264" s="42"/>
    </row>
    <row r="265" spans="1:9" s="40" customFormat="1">
      <c r="A265" s="43"/>
      <c r="C265" s="49"/>
      <c r="F265" s="57"/>
      <c r="G265" s="42"/>
      <c r="H265" s="42"/>
      <c r="I265" s="42"/>
    </row>
    <row r="266" spans="1:9" s="40" customFormat="1">
      <c r="A266" s="43"/>
      <c r="C266" s="49"/>
      <c r="F266" s="57"/>
      <c r="G266" s="42"/>
      <c r="H266" s="42"/>
      <c r="I266" s="42"/>
    </row>
    <row r="267" spans="1:9" s="40" customFormat="1">
      <c r="A267" s="43"/>
      <c r="C267" s="49"/>
      <c r="F267" s="57"/>
      <c r="G267" s="42"/>
      <c r="H267" s="42"/>
      <c r="I267" s="42"/>
    </row>
    <row r="268" spans="1:9" s="40" customFormat="1">
      <c r="A268" s="43"/>
      <c r="C268" s="49"/>
      <c r="F268" s="57"/>
      <c r="G268" s="42"/>
      <c r="H268" s="42"/>
      <c r="I268" s="42"/>
    </row>
    <row r="269" spans="1:9" s="40" customFormat="1">
      <c r="A269" s="43"/>
      <c r="C269" s="49"/>
      <c r="F269" s="57"/>
      <c r="G269" s="42"/>
      <c r="H269" s="42"/>
      <c r="I269" s="42"/>
    </row>
    <row r="270" spans="1:9" s="40" customFormat="1">
      <c r="A270" s="43"/>
      <c r="C270" s="49"/>
      <c r="F270" s="57"/>
      <c r="G270" s="42"/>
      <c r="H270" s="42"/>
      <c r="I270" s="42"/>
    </row>
    <row r="271" spans="1:9" s="40" customFormat="1">
      <c r="A271" s="43"/>
      <c r="C271" s="49"/>
      <c r="F271" s="57"/>
      <c r="G271" s="42"/>
      <c r="H271" s="42"/>
      <c r="I271" s="42"/>
    </row>
    <row r="272" spans="1:9" s="40" customFormat="1">
      <c r="A272" s="43"/>
      <c r="C272" s="49"/>
      <c r="F272" s="57"/>
      <c r="G272" s="42"/>
      <c r="H272" s="42"/>
      <c r="I272" s="42"/>
    </row>
    <row r="273" spans="1:9" s="40" customFormat="1">
      <c r="A273" s="43"/>
      <c r="C273" s="49"/>
      <c r="F273" s="57"/>
      <c r="G273" s="42"/>
      <c r="H273" s="42"/>
      <c r="I273" s="42"/>
    </row>
    <row r="274" spans="1:9" s="40" customFormat="1">
      <c r="A274" s="43"/>
      <c r="C274" s="49"/>
      <c r="F274" s="57"/>
      <c r="G274" s="42"/>
      <c r="H274" s="42"/>
      <c r="I274" s="42"/>
    </row>
    <row r="275" spans="1:9" s="40" customFormat="1">
      <c r="A275" s="43"/>
      <c r="C275" s="49"/>
      <c r="F275" s="57"/>
      <c r="G275" s="42"/>
      <c r="H275" s="42"/>
      <c r="I275" s="42"/>
    </row>
    <row r="276" spans="1:9" s="40" customFormat="1">
      <c r="A276" s="43"/>
      <c r="C276" s="49"/>
      <c r="F276" s="57"/>
      <c r="G276" s="42"/>
      <c r="H276" s="42"/>
      <c r="I276" s="42"/>
    </row>
    <row r="277" spans="1:9" s="40" customFormat="1">
      <c r="A277" s="43"/>
      <c r="C277" s="49"/>
      <c r="F277" s="57"/>
      <c r="G277" s="42"/>
      <c r="H277" s="42"/>
      <c r="I277" s="42"/>
    </row>
    <row r="278" spans="1:9" s="40" customFormat="1">
      <c r="A278" s="43"/>
      <c r="C278" s="49"/>
      <c r="F278" s="57"/>
      <c r="G278" s="42"/>
      <c r="H278" s="42"/>
      <c r="I278" s="42"/>
    </row>
    <row r="279" spans="1:9" s="40" customFormat="1">
      <c r="A279" s="43"/>
      <c r="C279" s="49"/>
      <c r="F279" s="57"/>
      <c r="G279" s="42"/>
      <c r="H279" s="42"/>
      <c r="I279" s="42"/>
    </row>
    <row r="280" spans="1:9" s="40" customFormat="1">
      <c r="A280" s="43"/>
      <c r="C280" s="49"/>
      <c r="F280" s="57"/>
      <c r="G280" s="42"/>
      <c r="H280" s="42"/>
      <c r="I280" s="42"/>
    </row>
    <row r="281" spans="1:9" s="40" customFormat="1">
      <c r="A281" s="43"/>
      <c r="C281" s="49"/>
      <c r="F281" s="57"/>
      <c r="G281" s="42"/>
      <c r="H281" s="42"/>
      <c r="I281" s="42"/>
    </row>
    <row r="282" spans="1:9" s="40" customFormat="1">
      <c r="A282" s="43"/>
      <c r="C282" s="49"/>
      <c r="F282" s="57"/>
      <c r="G282" s="42"/>
      <c r="H282" s="42"/>
      <c r="I282" s="42"/>
    </row>
    <row r="283" spans="1:9" s="40" customFormat="1">
      <c r="A283" s="43"/>
      <c r="C283" s="49"/>
      <c r="F283" s="57"/>
      <c r="G283" s="42"/>
      <c r="H283" s="42"/>
      <c r="I283" s="42"/>
    </row>
    <row r="284" spans="1:9" s="40" customFormat="1">
      <c r="A284" s="43"/>
      <c r="C284" s="49"/>
      <c r="F284" s="57"/>
      <c r="G284" s="42"/>
      <c r="H284" s="42"/>
      <c r="I284" s="42"/>
    </row>
    <row r="285" spans="1:9" s="40" customFormat="1">
      <c r="A285" s="43"/>
      <c r="C285" s="49"/>
      <c r="F285" s="57"/>
      <c r="G285" s="42"/>
      <c r="H285" s="42"/>
      <c r="I285" s="42"/>
    </row>
    <row r="286" spans="1:9" s="40" customFormat="1">
      <c r="A286" s="43"/>
      <c r="C286" s="49"/>
      <c r="F286" s="57"/>
      <c r="G286" s="42"/>
      <c r="H286" s="42"/>
      <c r="I286" s="42"/>
    </row>
    <row r="287" spans="1:9" s="40" customFormat="1">
      <c r="A287" s="43"/>
      <c r="C287" s="49"/>
      <c r="F287" s="57"/>
      <c r="G287" s="42"/>
      <c r="H287" s="42"/>
      <c r="I287" s="42"/>
    </row>
    <row r="288" spans="1:9" s="40" customFormat="1">
      <c r="A288" s="43"/>
      <c r="C288" s="49"/>
      <c r="F288" s="57"/>
      <c r="G288" s="42"/>
      <c r="H288" s="42"/>
      <c r="I288" s="42"/>
    </row>
    <row r="289" spans="1:9" s="40" customFormat="1">
      <c r="A289" s="43"/>
      <c r="C289" s="49"/>
      <c r="F289" s="57"/>
      <c r="G289" s="42"/>
      <c r="H289" s="42"/>
      <c r="I289" s="42"/>
    </row>
    <row r="290" spans="1:9" s="40" customFormat="1">
      <c r="A290" s="43"/>
      <c r="C290" s="49"/>
      <c r="F290" s="57"/>
      <c r="G290" s="42"/>
      <c r="H290" s="42"/>
      <c r="I290" s="42"/>
    </row>
    <row r="291" spans="1:9" s="40" customFormat="1">
      <c r="A291" s="43"/>
      <c r="C291" s="49"/>
      <c r="F291" s="57"/>
      <c r="G291" s="42"/>
      <c r="H291" s="42"/>
      <c r="I291" s="42"/>
    </row>
    <row r="292" spans="1:9" s="40" customFormat="1">
      <c r="A292" s="43"/>
      <c r="C292" s="49"/>
      <c r="F292" s="57"/>
      <c r="G292" s="42"/>
      <c r="H292" s="42"/>
      <c r="I292" s="42"/>
    </row>
    <row r="293" spans="1:9" s="40" customFormat="1">
      <c r="A293" s="43"/>
      <c r="C293" s="49"/>
      <c r="F293" s="57"/>
      <c r="G293" s="42"/>
      <c r="H293" s="42"/>
      <c r="I293" s="42"/>
    </row>
    <row r="294" spans="1:9" s="40" customFormat="1">
      <c r="A294" s="43"/>
      <c r="C294" s="49"/>
      <c r="F294" s="57"/>
      <c r="G294" s="42"/>
      <c r="H294" s="42"/>
      <c r="I294" s="42"/>
    </row>
    <row r="65589" spans="6:6">
      <c r="F65589" s="44"/>
    </row>
  </sheetData>
  <mergeCells count="16">
    <mergeCell ref="A94:E94"/>
    <mergeCell ref="A102:E102"/>
    <mergeCell ref="A120:E120"/>
    <mergeCell ref="A131:E131"/>
    <mergeCell ref="A43:E43"/>
    <mergeCell ref="A51:E51"/>
    <mergeCell ref="A56:E56"/>
    <mergeCell ref="A67:E67"/>
    <mergeCell ref="A76:E76"/>
    <mergeCell ref="A89:E89"/>
    <mergeCell ref="A26:E26"/>
    <mergeCell ref="A1:E1"/>
    <mergeCell ref="F1:F4"/>
    <mergeCell ref="A2:E2"/>
    <mergeCell ref="A19:E19"/>
    <mergeCell ref="A18:F18"/>
  </mergeCells>
  <pageMargins left="0.78740157480314965" right="0.78740157480314965" top="0.98425196850393704" bottom="0.98425196850393704" header="0.51181102362204722" footer="0.51181102362204722"/>
  <pageSetup paperSize="9" scale="57" orientation="portrait" blackAndWhite="1" r:id="rId1"/>
  <headerFooter alignWithMargins="0"/>
  <colBreaks count="1" manualBreakCount="1">
    <brk id="6" max="18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9CC00"/>
  </sheetPr>
  <dimension ref="A1:F14"/>
  <sheetViews>
    <sheetView workbookViewId="0">
      <selection activeCell="C2" sqref="C2:C14"/>
    </sheetView>
  </sheetViews>
  <sheetFormatPr defaultRowHeight="15"/>
  <cols>
    <col min="1" max="1" width="61.42578125" style="245" customWidth="1"/>
    <col min="2" max="2" width="11" style="227" customWidth="1"/>
    <col min="3" max="3" width="12.140625" style="416" customWidth="1"/>
    <col min="4" max="4" width="61.42578125" style="245" customWidth="1"/>
    <col min="5" max="5" width="11" style="227" customWidth="1"/>
    <col min="6" max="6" width="12.140625" style="416" customWidth="1"/>
  </cols>
  <sheetData>
    <row r="1" spans="1:6" ht="15.75" customHeight="1">
      <c r="A1" s="792" t="s">
        <v>1702</v>
      </c>
      <c r="B1" s="792"/>
      <c r="C1" s="792"/>
      <c r="D1"/>
      <c r="E1"/>
      <c r="F1"/>
    </row>
    <row r="2" spans="1:6" ht="47.25" customHeight="1">
      <c r="A2" s="368" t="s">
        <v>3108</v>
      </c>
      <c r="B2" s="163" t="s">
        <v>57</v>
      </c>
      <c r="C2" s="375">
        <v>68</v>
      </c>
      <c r="D2"/>
      <c r="E2"/>
      <c r="F2"/>
    </row>
    <row r="3" spans="1:6">
      <c r="A3" s="370" t="s">
        <v>2126</v>
      </c>
      <c r="B3" s="163" t="s">
        <v>57</v>
      </c>
      <c r="C3" s="375">
        <v>26</v>
      </c>
      <c r="D3"/>
      <c r="E3"/>
      <c r="F3"/>
    </row>
    <row r="4" spans="1:6">
      <c r="A4" s="370" t="s">
        <v>2127</v>
      </c>
      <c r="B4" s="163" t="s">
        <v>57</v>
      </c>
      <c r="C4" s="375">
        <v>2</v>
      </c>
      <c r="D4"/>
      <c r="E4"/>
      <c r="F4"/>
    </row>
    <row r="5" spans="1:6" ht="30">
      <c r="A5" s="368" t="s">
        <v>3102</v>
      </c>
      <c r="B5" s="163" t="s">
        <v>101</v>
      </c>
      <c r="C5" s="375">
        <v>229</v>
      </c>
      <c r="D5"/>
      <c r="E5"/>
      <c r="F5"/>
    </row>
    <row r="6" spans="1:6">
      <c r="A6" s="370" t="s">
        <v>2128</v>
      </c>
      <c r="B6" s="163" t="s">
        <v>284</v>
      </c>
      <c r="C6" s="375">
        <v>52.66</v>
      </c>
      <c r="D6"/>
      <c r="E6"/>
      <c r="F6"/>
    </row>
    <row r="7" spans="1:6">
      <c r="A7" s="370" t="s">
        <v>2129</v>
      </c>
      <c r="B7" s="163" t="s">
        <v>108</v>
      </c>
      <c r="C7" s="375">
        <v>51.56</v>
      </c>
      <c r="D7"/>
      <c r="E7"/>
      <c r="F7"/>
    </row>
    <row r="8" spans="1:6">
      <c r="A8" s="370" t="s">
        <v>2130</v>
      </c>
      <c r="B8" s="163" t="s">
        <v>284</v>
      </c>
      <c r="C8" s="375">
        <v>37.22</v>
      </c>
      <c r="D8"/>
      <c r="E8"/>
      <c r="F8"/>
    </row>
    <row r="9" spans="1:6">
      <c r="A9" s="368" t="s">
        <v>3103</v>
      </c>
      <c r="B9" s="163" t="s">
        <v>101</v>
      </c>
      <c r="C9" s="375">
        <v>189</v>
      </c>
      <c r="D9"/>
      <c r="E9"/>
      <c r="F9"/>
    </row>
    <row r="10" spans="1:6">
      <c r="A10" s="368" t="s">
        <v>3104</v>
      </c>
      <c r="B10" s="571" t="s">
        <v>57</v>
      </c>
      <c r="C10" s="378">
        <v>18</v>
      </c>
      <c r="D10"/>
      <c r="E10"/>
      <c r="F10"/>
    </row>
    <row r="11" spans="1:6" ht="45">
      <c r="A11" s="368" t="s">
        <v>3105</v>
      </c>
      <c r="B11" s="163" t="s">
        <v>10</v>
      </c>
      <c r="C11" s="375">
        <v>69</v>
      </c>
      <c r="D11"/>
      <c r="E11"/>
      <c r="F11"/>
    </row>
    <row r="12" spans="1:6" ht="30">
      <c r="A12" s="368" t="s">
        <v>3106</v>
      </c>
      <c r="B12" s="163" t="s">
        <v>3101</v>
      </c>
      <c r="C12" s="375">
        <v>1.37</v>
      </c>
      <c r="D12"/>
      <c r="E12"/>
      <c r="F12"/>
    </row>
    <row r="13" spans="1:6" ht="30">
      <c r="A13" s="368" t="s">
        <v>3107</v>
      </c>
      <c r="B13" s="163" t="s">
        <v>10</v>
      </c>
      <c r="C13" s="375">
        <v>51.56</v>
      </c>
      <c r="D13"/>
      <c r="E13"/>
      <c r="F13"/>
    </row>
    <row r="14" spans="1:6" ht="30">
      <c r="A14" s="368" t="s">
        <v>3109</v>
      </c>
      <c r="B14" s="163" t="s">
        <v>101</v>
      </c>
      <c r="C14" s="375">
        <v>30.17</v>
      </c>
      <c r="D14"/>
      <c r="E14"/>
      <c r="F14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01"/>
  <sheetViews>
    <sheetView view="pageBreakPreview" topLeftCell="A72" zoomScale="60" workbookViewId="0">
      <selection activeCell="J102" sqref="A1:J102"/>
    </sheetView>
  </sheetViews>
  <sheetFormatPr defaultColWidth="9.140625" defaultRowHeight="15"/>
  <cols>
    <col min="1" max="8" width="9.140625" style="242"/>
    <col min="9" max="9" width="10.28515625" style="553" bestFit="1" customWidth="1"/>
    <col min="10" max="16384" width="9.140625" style="242"/>
  </cols>
  <sheetData>
    <row r="1" spans="1:12" ht="60" customHeight="1" thickBot="1">
      <c r="A1" s="842" t="s">
        <v>2999</v>
      </c>
      <c r="B1" s="843"/>
      <c r="C1" s="843"/>
      <c r="D1" s="843"/>
      <c r="E1" s="843"/>
      <c r="F1" s="843"/>
      <c r="G1" s="843"/>
      <c r="H1" s="843"/>
      <c r="I1" s="843"/>
      <c r="J1" s="844"/>
    </row>
    <row r="2" spans="1:12" ht="15.75" thickBot="1"/>
    <row r="3" spans="1:12" ht="18" thickBot="1">
      <c r="A3" s="845" t="s">
        <v>562</v>
      </c>
      <c r="B3" s="846"/>
      <c r="C3" s="846"/>
      <c r="D3" s="846"/>
      <c r="E3" s="846"/>
      <c r="F3" s="846"/>
      <c r="G3" s="846"/>
      <c r="H3" s="846"/>
      <c r="I3" s="847"/>
      <c r="J3" s="554" t="s">
        <v>3000</v>
      </c>
    </row>
    <row r="4" spans="1:12" ht="30" customHeight="1">
      <c r="A4" s="848" t="s">
        <v>640</v>
      </c>
      <c r="B4" s="849"/>
      <c r="C4" s="849"/>
      <c r="D4" s="849"/>
      <c r="E4" s="849"/>
      <c r="F4" s="849"/>
      <c r="G4" s="849"/>
      <c r="H4" s="849"/>
      <c r="I4" s="622">
        <f>I23*0.4</f>
        <v>626.73199999999997</v>
      </c>
      <c r="J4" s="243" t="s">
        <v>128</v>
      </c>
      <c r="K4" s="850" t="s">
        <v>2983</v>
      </c>
      <c r="L4" s="851"/>
    </row>
    <row r="5" spans="1:12" ht="34.15" customHeight="1" thickBot="1">
      <c r="A5" s="852" t="s">
        <v>641</v>
      </c>
      <c r="B5" s="853"/>
      <c r="C5" s="853"/>
      <c r="D5" s="853"/>
      <c r="E5" s="853"/>
      <c r="F5" s="853"/>
      <c r="G5" s="853"/>
      <c r="H5" s="853"/>
      <c r="I5" s="625">
        <f>I23</f>
        <v>1566.83</v>
      </c>
      <c r="J5" s="243" t="s">
        <v>161</v>
      </c>
      <c r="K5" s="850"/>
      <c r="L5" s="851"/>
    </row>
    <row r="6" spans="1:12" ht="15.75" thickBot="1">
      <c r="A6" s="848" t="s">
        <v>1511</v>
      </c>
      <c r="B6" s="849"/>
      <c r="C6" s="849"/>
      <c r="D6" s="849"/>
      <c r="E6" s="849"/>
      <c r="F6" s="849"/>
      <c r="G6" s="849"/>
      <c r="H6" s="849"/>
      <c r="I6" s="622">
        <f>I4</f>
        <v>626.73199999999997</v>
      </c>
      <c r="J6" s="243" t="s">
        <v>128</v>
      </c>
      <c r="K6" s="850"/>
      <c r="L6" s="851"/>
    </row>
    <row r="7" spans="1:12" ht="18" thickBot="1">
      <c r="A7" s="845" t="s">
        <v>566</v>
      </c>
      <c r="B7" s="846"/>
      <c r="C7" s="846"/>
      <c r="D7" s="846"/>
      <c r="E7" s="846"/>
      <c r="F7" s="846"/>
      <c r="G7" s="846"/>
      <c r="H7" s="846"/>
      <c r="I7" s="847"/>
      <c r="J7" s="243"/>
    </row>
    <row r="8" spans="1:12" ht="18" thickBot="1">
      <c r="A8" s="856" t="s">
        <v>567</v>
      </c>
      <c r="B8" s="857"/>
      <c r="C8" s="857"/>
      <c r="D8" s="857"/>
      <c r="E8" s="857"/>
      <c r="F8" s="857"/>
      <c r="G8" s="857"/>
      <c r="H8" s="857"/>
      <c r="I8" s="858"/>
      <c r="J8" s="554" t="s">
        <v>3000</v>
      </c>
    </row>
    <row r="9" spans="1:12" ht="36" customHeight="1">
      <c r="A9" s="848" t="s">
        <v>3001</v>
      </c>
      <c r="B9" s="849"/>
      <c r="C9" s="849"/>
      <c r="D9" s="849"/>
      <c r="E9" s="849"/>
      <c r="F9" s="849"/>
      <c r="G9" s="849"/>
      <c r="H9" s="849"/>
      <c r="I9" s="622">
        <f>30*2*12</f>
        <v>720</v>
      </c>
      <c r="J9" s="243" t="s">
        <v>76</v>
      </c>
    </row>
    <row r="10" spans="1:12">
      <c r="A10" s="848" t="s">
        <v>2967</v>
      </c>
      <c r="B10" s="849"/>
      <c r="C10" s="849"/>
      <c r="D10" s="849"/>
      <c r="E10" s="849"/>
      <c r="F10" s="849"/>
      <c r="G10" s="849"/>
      <c r="H10" s="849"/>
      <c r="I10" s="622">
        <v>462</v>
      </c>
      <c r="J10" s="243" t="s">
        <v>94</v>
      </c>
    </row>
    <row r="11" spans="1:12">
      <c r="A11" s="848" t="s">
        <v>2968</v>
      </c>
      <c r="B11" s="849"/>
      <c r="C11" s="849"/>
      <c r="D11" s="849"/>
      <c r="E11" s="849"/>
      <c r="F11" s="849"/>
      <c r="G11" s="849"/>
      <c r="H11" s="849"/>
      <c r="I11" s="622">
        <v>1137.5999999999999</v>
      </c>
      <c r="J11" s="243" t="s">
        <v>94</v>
      </c>
    </row>
    <row r="12" spans="1:12" ht="30" customHeight="1">
      <c r="A12" s="848" t="s">
        <v>3002</v>
      </c>
      <c r="B12" s="849"/>
      <c r="C12" s="849"/>
      <c r="D12" s="849"/>
      <c r="E12" s="849"/>
      <c r="F12" s="849"/>
      <c r="G12" s="849"/>
      <c r="H12" s="849"/>
      <c r="I12" s="622">
        <f>30*(1.5+0.2+0.2)*(0.6+0.2+0.2)*(0.9+0.6+0.05)</f>
        <v>88.350000000000009</v>
      </c>
      <c r="J12" s="243" t="s">
        <v>128</v>
      </c>
    </row>
    <row r="13" spans="1:12" ht="45" customHeight="1">
      <c r="A13" s="854" t="s">
        <v>642</v>
      </c>
      <c r="B13" s="855"/>
      <c r="C13" s="855"/>
      <c r="D13" s="855"/>
      <c r="E13" s="855"/>
      <c r="F13" s="855"/>
      <c r="G13" s="855"/>
      <c r="H13" s="855"/>
      <c r="I13" s="624">
        <f>(0.2+0.2+0.2)*(30+50.25+30+50.25)*(0.6+0.05)+(0.2+0.14+0.2)*(3.945*4+15.04+5.06+2.36)*(0.4+0.05)</f>
        <v>71.887320000000017</v>
      </c>
      <c r="J13" s="243" t="s">
        <v>128</v>
      </c>
    </row>
    <row r="14" spans="1:12">
      <c r="A14" s="854" t="s">
        <v>3003</v>
      </c>
      <c r="B14" s="855"/>
      <c r="C14" s="855"/>
      <c r="D14" s="855"/>
      <c r="E14" s="855"/>
      <c r="F14" s="855"/>
      <c r="G14" s="855"/>
      <c r="H14" s="855"/>
      <c r="I14" s="624">
        <f>30*(0.2+1.5+0.2)*(0.2+0.6+0.2)</f>
        <v>57</v>
      </c>
      <c r="J14" s="243" t="s">
        <v>73</v>
      </c>
    </row>
    <row r="15" spans="1:12" ht="30" customHeight="1">
      <c r="A15" s="854" t="s">
        <v>3004</v>
      </c>
      <c r="B15" s="855"/>
      <c r="C15" s="855"/>
      <c r="D15" s="855"/>
      <c r="E15" s="855"/>
      <c r="F15" s="855"/>
      <c r="G15" s="855"/>
      <c r="H15" s="855"/>
      <c r="I15" s="624">
        <f>(0.2+0.2+0.2)*(30+50.25+30+50.25)+(0.2+0.14+0.2)*(3.945*4+15.04+5.06+2.36)</f>
        <v>116.94960000000002</v>
      </c>
      <c r="J15" s="243" t="s">
        <v>73</v>
      </c>
    </row>
    <row r="16" spans="1:12">
      <c r="A16" s="854" t="s">
        <v>1514</v>
      </c>
      <c r="B16" s="855"/>
      <c r="C16" s="855"/>
      <c r="D16" s="855"/>
      <c r="E16" s="855"/>
      <c r="F16" s="855"/>
      <c r="G16" s="855"/>
      <c r="H16" s="855"/>
      <c r="I16" s="624">
        <f>I14</f>
        <v>57</v>
      </c>
      <c r="J16" s="243" t="s">
        <v>73</v>
      </c>
    </row>
    <row r="17" spans="1:13">
      <c r="A17" s="859" t="s">
        <v>1488</v>
      </c>
      <c r="B17" s="860"/>
      <c r="C17" s="860"/>
      <c r="D17" s="860"/>
      <c r="E17" s="860"/>
      <c r="F17" s="860"/>
      <c r="G17" s="860"/>
      <c r="H17" s="860"/>
      <c r="I17" s="626">
        <f>I15</f>
        <v>116.94960000000002</v>
      </c>
      <c r="J17" s="243" t="s">
        <v>73</v>
      </c>
    </row>
    <row r="18" spans="1:13" ht="33.6" customHeight="1">
      <c r="A18" s="854" t="s">
        <v>3005</v>
      </c>
      <c r="B18" s="855"/>
      <c r="C18" s="855"/>
      <c r="D18" s="855"/>
      <c r="E18" s="855"/>
      <c r="F18" s="855"/>
      <c r="G18" s="855"/>
      <c r="H18" s="855"/>
      <c r="I18" s="627">
        <f>I12-I32-I14*0.05-I41</f>
        <v>58.70000000000001</v>
      </c>
      <c r="J18" s="243" t="s">
        <v>128</v>
      </c>
    </row>
    <row r="19" spans="1:13" ht="30" customHeight="1">
      <c r="A19" s="854" t="s">
        <v>570</v>
      </c>
      <c r="B19" s="855"/>
      <c r="C19" s="855"/>
      <c r="D19" s="855"/>
      <c r="E19" s="855"/>
      <c r="F19" s="855"/>
      <c r="G19" s="855"/>
      <c r="H19" s="855"/>
      <c r="I19" s="627">
        <f>I13-I15*0.05-I51</f>
        <v>45.839840000000009</v>
      </c>
      <c r="J19" s="243" t="s">
        <v>128</v>
      </c>
    </row>
    <row r="20" spans="1:13" ht="30" customHeight="1">
      <c r="A20" s="854" t="s">
        <v>644</v>
      </c>
      <c r="B20" s="855"/>
      <c r="C20" s="855"/>
      <c r="D20" s="855"/>
      <c r="E20" s="855"/>
      <c r="F20" s="855"/>
      <c r="G20" s="855"/>
      <c r="H20" s="855"/>
      <c r="I20" s="627">
        <f>I32*1.3</f>
        <v>31.590000000000003</v>
      </c>
      <c r="J20" s="243" t="s">
        <v>128</v>
      </c>
    </row>
    <row r="21" spans="1:13" ht="30" customHeight="1">
      <c r="A21" s="854" t="s">
        <v>645</v>
      </c>
      <c r="B21" s="855"/>
      <c r="C21" s="855"/>
      <c r="D21" s="855"/>
      <c r="E21" s="855"/>
      <c r="F21" s="855"/>
      <c r="G21" s="855"/>
      <c r="H21" s="855"/>
      <c r="I21" s="627">
        <f>I51*1.3</f>
        <v>26.26</v>
      </c>
      <c r="J21" s="243" t="s">
        <v>128</v>
      </c>
    </row>
    <row r="22" spans="1:13" ht="30" customHeight="1">
      <c r="A22" s="854" t="s">
        <v>571</v>
      </c>
      <c r="B22" s="855"/>
      <c r="C22" s="855"/>
      <c r="D22" s="855"/>
      <c r="E22" s="855"/>
      <c r="F22" s="855"/>
      <c r="G22" s="855"/>
      <c r="H22" s="855"/>
      <c r="I22" s="627">
        <f>I50</f>
        <v>246.2</v>
      </c>
      <c r="J22" s="243" t="s">
        <v>73</v>
      </c>
    </row>
    <row r="23" spans="1:13" ht="15" customHeight="1" thickBot="1">
      <c r="A23" s="852" t="s">
        <v>573</v>
      </c>
      <c r="B23" s="853"/>
      <c r="C23" s="853"/>
      <c r="D23" s="853"/>
      <c r="E23" s="853"/>
      <c r="F23" s="853"/>
      <c r="G23" s="853"/>
      <c r="H23" s="853"/>
      <c r="I23" s="625">
        <v>1566.83</v>
      </c>
      <c r="J23" s="243" t="s">
        <v>73</v>
      </c>
    </row>
    <row r="24" spans="1:13" ht="15" customHeight="1" thickBot="1">
      <c r="A24" s="861" t="s">
        <v>154</v>
      </c>
      <c r="B24" s="862"/>
      <c r="C24" s="862"/>
      <c r="D24" s="862"/>
      <c r="E24" s="862"/>
      <c r="F24" s="862"/>
      <c r="G24" s="862"/>
      <c r="H24" s="862"/>
      <c r="I24" s="863"/>
      <c r="J24" s="554" t="s">
        <v>3000</v>
      </c>
    </row>
    <row r="25" spans="1:13" ht="43.9" customHeight="1">
      <c r="A25" s="859" t="s">
        <v>3006</v>
      </c>
      <c r="B25" s="860"/>
      <c r="C25" s="860"/>
      <c r="D25" s="860"/>
      <c r="E25" s="860"/>
      <c r="F25" s="860"/>
      <c r="G25" s="860"/>
      <c r="H25" s="860"/>
      <c r="I25" s="556">
        <f>I23*0.05</f>
        <v>78.341499999999996</v>
      </c>
      <c r="J25" s="243" t="s">
        <v>162</v>
      </c>
    </row>
    <row r="26" spans="1:13" ht="15" customHeight="1">
      <c r="A26" s="864" t="s">
        <v>572</v>
      </c>
      <c r="B26" s="865"/>
      <c r="C26" s="865"/>
      <c r="D26" s="865"/>
      <c r="E26" s="865"/>
      <c r="F26" s="865"/>
      <c r="G26" s="865"/>
      <c r="H26" s="866"/>
      <c r="I26" s="555">
        <f>I25/0.05</f>
        <v>1566.83</v>
      </c>
      <c r="J26" s="243" t="s">
        <v>73</v>
      </c>
    </row>
    <row r="27" spans="1:13" ht="15" customHeight="1">
      <c r="A27" s="854" t="s">
        <v>574</v>
      </c>
      <c r="B27" s="855"/>
      <c r="C27" s="855"/>
      <c r="D27" s="855"/>
      <c r="E27" s="855"/>
      <c r="F27" s="855"/>
      <c r="G27" s="855"/>
      <c r="H27" s="855"/>
      <c r="I27" s="555">
        <f>(I25/0.05)*0.07</f>
        <v>109.6781</v>
      </c>
      <c r="J27" s="243" t="s">
        <v>128</v>
      </c>
    </row>
    <row r="28" spans="1:13" ht="15" customHeight="1">
      <c r="A28" s="854" t="s">
        <v>576</v>
      </c>
      <c r="B28" s="855"/>
      <c r="C28" s="855"/>
      <c r="D28" s="855"/>
      <c r="E28" s="855"/>
      <c r="F28" s="855"/>
      <c r="G28" s="855"/>
      <c r="H28" s="855"/>
      <c r="I28" s="555">
        <f>I27</f>
        <v>109.6781</v>
      </c>
      <c r="J28" s="243" t="s">
        <v>128</v>
      </c>
    </row>
    <row r="29" spans="1:13" ht="15" customHeight="1" thickBot="1">
      <c r="A29" s="854" t="s">
        <v>3007</v>
      </c>
      <c r="B29" s="855"/>
      <c r="C29" s="855"/>
      <c r="D29" s="855"/>
      <c r="E29" s="855"/>
      <c r="F29" s="855"/>
      <c r="G29" s="855"/>
      <c r="H29" s="855"/>
      <c r="I29" s="557">
        <f>(I25/0.05)*1.2</f>
        <v>1880.1959999999999</v>
      </c>
      <c r="J29" s="558" t="s">
        <v>108</v>
      </c>
      <c r="K29" s="558" t="s">
        <v>1512</v>
      </c>
      <c r="L29" s="559">
        <f>I29*1.48</f>
        <v>2782.6900799999999</v>
      </c>
      <c r="M29" s="558" t="s">
        <v>577</v>
      </c>
    </row>
    <row r="30" spans="1:13" ht="18" thickBot="1">
      <c r="A30" s="856" t="s">
        <v>646</v>
      </c>
      <c r="B30" s="857"/>
      <c r="C30" s="857"/>
      <c r="D30" s="857"/>
      <c r="E30" s="857"/>
      <c r="F30" s="857"/>
      <c r="G30" s="857"/>
      <c r="H30" s="857"/>
      <c r="I30" s="858"/>
      <c r="J30" s="554" t="s">
        <v>3000</v>
      </c>
    </row>
    <row r="31" spans="1:13">
      <c r="A31" s="848" t="s">
        <v>3008</v>
      </c>
      <c r="B31" s="849"/>
      <c r="C31" s="849"/>
      <c r="D31" s="849"/>
      <c r="E31" s="849"/>
      <c r="F31" s="849"/>
      <c r="G31" s="849"/>
      <c r="H31" s="849"/>
      <c r="I31" s="622">
        <f>30*(1.5+0.6+1.5+0.6)*0.9</f>
        <v>113.4</v>
      </c>
      <c r="J31" s="243" t="s">
        <v>73</v>
      </c>
    </row>
    <row r="32" spans="1:13">
      <c r="A32" s="854" t="s">
        <v>578</v>
      </c>
      <c r="B32" s="855"/>
      <c r="C32" s="855"/>
      <c r="D32" s="855"/>
      <c r="E32" s="855"/>
      <c r="F32" s="855"/>
      <c r="G32" s="855"/>
      <c r="H32" s="855"/>
      <c r="I32" s="624">
        <f>30*1.5*0.6*0.9</f>
        <v>24.3</v>
      </c>
      <c r="J32" s="243" t="s">
        <v>128</v>
      </c>
    </row>
    <row r="33" spans="1:11">
      <c r="A33" s="854" t="s">
        <v>576</v>
      </c>
      <c r="B33" s="855"/>
      <c r="C33" s="855"/>
      <c r="D33" s="855"/>
      <c r="E33" s="855"/>
      <c r="F33" s="855"/>
      <c r="G33" s="855"/>
      <c r="H33" s="855"/>
      <c r="I33" s="624">
        <f>I32</f>
        <v>24.3</v>
      </c>
      <c r="J33" s="243" t="s">
        <v>128</v>
      </c>
    </row>
    <row r="34" spans="1:11">
      <c r="A34" s="854" t="s">
        <v>3009</v>
      </c>
      <c r="B34" s="855"/>
      <c r="C34" s="855"/>
      <c r="D34" s="855"/>
      <c r="E34" s="855"/>
      <c r="F34" s="855"/>
      <c r="G34" s="855"/>
      <c r="H34" s="855"/>
      <c r="I34" s="624">
        <v>0</v>
      </c>
      <c r="J34" s="243" t="s">
        <v>577</v>
      </c>
    </row>
    <row r="35" spans="1:11">
      <c r="A35" s="854" t="s">
        <v>583</v>
      </c>
      <c r="B35" s="855"/>
      <c r="C35" s="855"/>
      <c r="D35" s="855"/>
      <c r="E35" s="855"/>
      <c r="F35" s="855"/>
      <c r="G35" s="855"/>
      <c r="H35" s="855"/>
      <c r="I35" s="624">
        <v>388.52</v>
      </c>
      <c r="J35" s="243" t="s">
        <v>577</v>
      </c>
    </row>
    <row r="36" spans="1:11">
      <c r="A36" s="854" t="s">
        <v>3010</v>
      </c>
      <c r="B36" s="855"/>
      <c r="C36" s="855"/>
      <c r="D36" s="855"/>
      <c r="E36" s="855"/>
      <c r="F36" s="855"/>
      <c r="G36" s="855"/>
      <c r="H36" s="855"/>
      <c r="I36" s="624">
        <v>0</v>
      </c>
      <c r="J36" s="243" t="s">
        <v>577</v>
      </c>
    </row>
    <row r="37" spans="1:11">
      <c r="A37" s="859" t="s">
        <v>580</v>
      </c>
      <c r="B37" s="860"/>
      <c r="C37" s="860"/>
      <c r="D37" s="860"/>
      <c r="E37" s="860"/>
      <c r="F37" s="860"/>
      <c r="G37" s="860"/>
      <c r="H37" s="860"/>
      <c r="I37" s="626">
        <v>192.99</v>
      </c>
      <c r="J37" s="243" t="s">
        <v>577</v>
      </c>
    </row>
    <row r="38" spans="1:11" ht="15.75" thickBot="1">
      <c r="A38" s="859"/>
      <c r="B38" s="860"/>
      <c r="C38" s="860"/>
      <c r="D38" s="860"/>
      <c r="E38" s="860"/>
      <c r="F38" s="860"/>
      <c r="G38" s="860"/>
      <c r="H38" s="860"/>
      <c r="I38" s="556"/>
      <c r="J38" s="243"/>
    </row>
    <row r="39" spans="1:11" s="238" customFormat="1" ht="18" thickBot="1">
      <c r="A39" s="869" t="s">
        <v>2970</v>
      </c>
      <c r="B39" s="870"/>
      <c r="C39" s="870"/>
      <c r="D39" s="870"/>
      <c r="E39" s="870"/>
      <c r="F39" s="870"/>
      <c r="G39" s="870"/>
      <c r="H39" s="870"/>
      <c r="I39" s="871"/>
      <c r="J39" s="236" t="s">
        <v>3000</v>
      </c>
      <c r="K39" s="228"/>
    </row>
    <row r="40" spans="1:11" s="238" customFormat="1">
      <c r="A40" s="872" t="s">
        <v>633</v>
      </c>
      <c r="B40" s="873"/>
      <c r="C40" s="873"/>
      <c r="D40" s="873"/>
      <c r="E40" s="873"/>
      <c r="F40" s="873"/>
      <c r="G40" s="873"/>
      <c r="H40" s="873"/>
      <c r="I40" s="624">
        <v>29.1</v>
      </c>
      <c r="J40" s="234" t="s">
        <v>161</v>
      </c>
      <c r="K40" s="228"/>
    </row>
    <row r="41" spans="1:11" s="238" customFormat="1">
      <c r="A41" s="867" t="s">
        <v>629</v>
      </c>
      <c r="B41" s="868"/>
      <c r="C41" s="868"/>
      <c r="D41" s="868"/>
      <c r="E41" s="868"/>
      <c r="F41" s="868"/>
      <c r="G41" s="868"/>
      <c r="H41" s="868"/>
      <c r="I41" s="624">
        <v>2.5</v>
      </c>
      <c r="J41" s="230" t="s">
        <v>162</v>
      </c>
      <c r="K41" s="560"/>
    </row>
    <row r="42" spans="1:11" s="238" customFormat="1">
      <c r="A42" s="867" t="s">
        <v>627</v>
      </c>
      <c r="B42" s="868"/>
      <c r="C42" s="868"/>
      <c r="D42" s="868"/>
      <c r="E42" s="868"/>
      <c r="F42" s="868"/>
      <c r="G42" s="868"/>
      <c r="H42" s="868"/>
      <c r="I42" s="624">
        <f>I41</f>
        <v>2.5</v>
      </c>
      <c r="J42" s="230" t="s">
        <v>162</v>
      </c>
      <c r="K42" s="560"/>
    </row>
    <row r="43" spans="1:11" s="238" customFormat="1">
      <c r="A43" s="867" t="s">
        <v>1508</v>
      </c>
      <c r="B43" s="868"/>
      <c r="C43" s="868"/>
      <c r="D43" s="868"/>
      <c r="E43" s="868"/>
      <c r="F43" s="868"/>
      <c r="G43" s="868"/>
      <c r="H43" s="868"/>
      <c r="I43" s="624">
        <v>83</v>
      </c>
      <c r="J43" s="230" t="s">
        <v>94</v>
      </c>
      <c r="K43" s="228"/>
    </row>
    <row r="44" spans="1:11" s="238" customFormat="1">
      <c r="A44" s="867" t="s">
        <v>634</v>
      </c>
      <c r="B44" s="868"/>
      <c r="C44" s="868"/>
      <c r="D44" s="868"/>
      <c r="E44" s="868"/>
      <c r="F44" s="868"/>
      <c r="G44" s="868"/>
      <c r="H44" s="868"/>
      <c r="I44" s="624">
        <v>33</v>
      </c>
      <c r="J44" s="230" t="s">
        <v>94</v>
      </c>
      <c r="K44" s="228"/>
    </row>
    <row r="45" spans="1:11">
      <c r="A45" s="854" t="s">
        <v>3011</v>
      </c>
      <c r="B45" s="855"/>
      <c r="C45" s="855"/>
      <c r="D45" s="855"/>
      <c r="E45" s="855"/>
      <c r="F45" s="855"/>
      <c r="G45" s="855"/>
      <c r="H45" s="855"/>
      <c r="I45" s="624">
        <v>47</v>
      </c>
      <c r="J45" s="243" t="s">
        <v>577</v>
      </c>
    </row>
    <row r="46" spans="1:11">
      <c r="A46" s="854" t="s">
        <v>580</v>
      </c>
      <c r="B46" s="855"/>
      <c r="C46" s="855"/>
      <c r="D46" s="855"/>
      <c r="E46" s="855"/>
      <c r="F46" s="855"/>
      <c r="G46" s="855"/>
      <c r="H46" s="855"/>
      <c r="I46" s="624">
        <v>64</v>
      </c>
      <c r="J46" s="243" t="s">
        <v>577</v>
      </c>
    </row>
    <row r="47" spans="1:11">
      <c r="A47" s="854" t="s">
        <v>585</v>
      </c>
      <c r="B47" s="855"/>
      <c r="C47" s="855"/>
      <c r="D47" s="855"/>
      <c r="E47" s="855"/>
      <c r="F47" s="855"/>
      <c r="G47" s="855"/>
      <c r="H47" s="855"/>
      <c r="I47" s="624">
        <v>569</v>
      </c>
      <c r="J47" s="243" t="s">
        <v>577</v>
      </c>
    </row>
    <row r="48" spans="1:11" ht="15.75" thickBot="1">
      <c r="A48" s="852" t="s">
        <v>589</v>
      </c>
      <c r="B48" s="853"/>
      <c r="C48" s="853"/>
      <c r="D48" s="853"/>
      <c r="E48" s="853"/>
      <c r="F48" s="853"/>
      <c r="G48" s="853"/>
      <c r="H48" s="853"/>
      <c r="I48" s="624">
        <v>289</v>
      </c>
      <c r="J48" s="243" t="s">
        <v>577</v>
      </c>
    </row>
    <row r="49" spans="1:10" ht="18" thickBot="1">
      <c r="A49" s="856" t="s">
        <v>581</v>
      </c>
      <c r="B49" s="857"/>
      <c r="C49" s="857"/>
      <c r="D49" s="857"/>
      <c r="E49" s="857"/>
      <c r="F49" s="857"/>
      <c r="G49" s="857"/>
      <c r="H49" s="857"/>
      <c r="I49" s="858"/>
      <c r="J49" s="554" t="s">
        <v>3000</v>
      </c>
    </row>
    <row r="50" spans="1:10">
      <c r="A50" s="848" t="s">
        <v>3012</v>
      </c>
      <c r="B50" s="849"/>
      <c r="C50" s="849"/>
      <c r="D50" s="849"/>
      <c r="E50" s="849"/>
      <c r="F50" s="849"/>
      <c r="G50" s="849"/>
      <c r="H50" s="849"/>
      <c r="I50" s="622">
        <v>246.2</v>
      </c>
      <c r="J50" s="243" t="s">
        <v>73</v>
      </c>
    </row>
    <row r="51" spans="1:10">
      <c r="A51" s="854" t="s">
        <v>578</v>
      </c>
      <c r="B51" s="855"/>
      <c r="C51" s="855"/>
      <c r="D51" s="855"/>
      <c r="E51" s="855"/>
      <c r="F51" s="855"/>
      <c r="G51" s="855"/>
      <c r="H51" s="855"/>
      <c r="I51" s="624">
        <v>20.2</v>
      </c>
      <c r="J51" s="243" t="s">
        <v>128</v>
      </c>
    </row>
    <row r="52" spans="1:10">
      <c r="A52" s="854" t="s">
        <v>576</v>
      </c>
      <c r="B52" s="855"/>
      <c r="C52" s="855"/>
      <c r="D52" s="855"/>
      <c r="E52" s="855"/>
      <c r="F52" s="855"/>
      <c r="G52" s="855"/>
      <c r="H52" s="855"/>
      <c r="I52" s="624">
        <f>I51</f>
        <v>20.2</v>
      </c>
      <c r="J52" s="243" t="s">
        <v>128</v>
      </c>
    </row>
    <row r="53" spans="1:10">
      <c r="A53" s="854" t="s">
        <v>582</v>
      </c>
      <c r="B53" s="855"/>
      <c r="C53" s="855"/>
      <c r="D53" s="855"/>
      <c r="E53" s="855"/>
      <c r="F53" s="855"/>
      <c r="G53" s="855"/>
      <c r="H53" s="855"/>
      <c r="I53" s="624">
        <v>295</v>
      </c>
      <c r="J53" s="243" t="s">
        <v>577</v>
      </c>
    </row>
    <row r="54" spans="1:10">
      <c r="A54" s="854" t="s">
        <v>583</v>
      </c>
      <c r="B54" s="855"/>
      <c r="C54" s="855"/>
      <c r="D54" s="855"/>
      <c r="E54" s="855"/>
      <c r="F54" s="855"/>
      <c r="G54" s="855"/>
      <c r="H54" s="855"/>
      <c r="I54" s="624">
        <v>0</v>
      </c>
      <c r="J54" s="243" t="s">
        <v>577</v>
      </c>
    </row>
    <row r="55" spans="1:10">
      <c r="A55" s="854" t="s">
        <v>584</v>
      </c>
      <c r="B55" s="855"/>
      <c r="C55" s="855"/>
      <c r="D55" s="855"/>
      <c r="E55" s="855"/>
      <c r="F55" s="855"/>
      <c r="G55" s="855"/>
      <c r="H55" s="855"/>
      <c r="I55" s="624">
        <v>411</v>
      </c>
      <c r="J55" s="243" t="s">
        <v>577</v>
      </c>
    </row>
    <row r="56" spans="1:10">
      <c r="A56" s="854" t="s">
        <v>579</v>
      </c>
      <c r="B56" s="855"/>
      <c r="C56" s="855"/>
      <c r="D56" s="855"/>
      <c r="E56" s="855"/>
      <c r="F56" s="855"/>
      <c r="G56" s="855"/>
      <c r="H56" s="855"/>
      <c r="I56" s="624">
        <v>510</v>
      </c>
      <c r="J56" s="243" t="s">
        <v>577</v>
      </c>
    </row>
    <row r="57" spans="1:10">
      <c r="A57" s="854" t="s">
        <v>580</v>
      </c>
      <c r="B57" s="855"/>
      <c r="C57" s="855"/>
      <c r="D57" s="855"/>
      <c r="E57" s="855"/>
      <c r="F57" s="855"/>
      <c r="G57" s="855"/>
      <c r="H57" s="855"/>
      <c r="I57" s="624">
        <v>50</v>
      </c>
      <c r="J57" s="243" t="s">
        <v>577</v>
      </c>
    </row>
    <row r="58" spans="1:10">
      <c r="A58" s="854" t="s">
        <v>585</v>
      </c>
      <c r="B58" s="855"/>
      <c r="C58" s="855"/>
      <c r="D58" s="855"/>
      <c r="E58" s="855"/>
      <c r="F58" s="855"/>
      <c r="G58" s="855"/>
      <c r="H58" s="855"/>
      <c r="I58" s="624">
        <v>18</v>
      </c>
      <c r="J58" s="243" t="s">
        <v>577</v>
      </c>
    </row>
    <row r="59" spans="1:10" ht="15.75" thickBot="1">
      <c r="A59" s="852" t="s">
        <v>589</v>
      </c>
      <c r="B59" s="853"/>
      <c r="C59" s="853"/>
      <c r="D59" s="853"/>
      <c r="E59" s="853"/>
      <c r="F59" s="853"/>
      <c r="G59" s="853"/>
      <c r="H59" s="853"/>
      <c r="I59" s="625">
        <v>0</v>
      </c>
      <c r="J59" s="243" t="s">
        <v>577</v>
      </c>
    </row>
    <row r="60" spans="1:10" ht="15.75" thickBot="1">
      <c r="A60" s="244"/>
      <c r="B60" s="244"/>
      <c r="C60" s="244"/>
      <c r="D60" s="244"/>
      <c r="E60" s="244"/>
      <c r="F60" s="244"/>
      <c r="G60" s="244"/>
      <c r="H60" s="244"/>
      <c r="J60" s="243"/>
    </row>
    <row r="61" spans="1:10" ht="18" thickBot="1">
      <c r="A61" s="845" t="s">
        <v>586</v>
      </c>
      <c r="B61" s="846"/>
      <c r="C61" s="846"/>
      <c r="D61" s="846"/>
      <c r="E61" s="846"/>
      <c r="F61" s="846"/>
      <c r="G61" s="846"/>
      <c r="H61" s="846"/>
      <c r="I61" s="847"/>
      <c r="J61" s="243"/>
    </row>
    <row r="62" spans="1:10" ht="18" thickBot="1">
      <c r="A62" s="856" t="s">
        <v>587</v>
      </c>
      <c r="B62" s="857"/>
      <c r="C62" s="857"/>
      <c r="D62" s="857"/>
      <c r="E62" s="857"/>
      <c r="F62" s="857"/>
      <c r="G62" s="857"/>
      <c r="H62" s="857"/>
      <c r="I62" s="858"/>
      <c r="J62" s="554" t="s">
        <v>3000</v>
      </c>
    </row>
    <row r="63" spans="1:10">
      <c r="A63" s="848" t="s">
        <v>588</v>
      </c>
      <c r="B63" s="849"/>
      <c r="C63" s="849"/>
      <c r="D63" s="849"/>
      <c r="E63" s="849"/>
      <c r="F63" s="849"/>
      <c r="G63" s="849"/>
      <c r="H63" s="849"/>
      <c r="I63" s="622">
        <f>138.6+123.8+237.7</f>
        <v>500.09999999999997</v>
      </c>
      <c r="J63" s="243" t="s">
        <v>73</v>
      </c>
    </row>
    <row r="64" spans="1:10">
      <c r="A64" s="854" t="s">
        <v>578</v>
      </c>
      <c r="B64" s="855"/>
      <c r="C64" s="855"/>
      <c r="D64" s="855"/>
      <c r="E64" s="855"/>
      <c r="F64" s="855"/>
      <c r="G64" s="855"/>
      <c r="H64" s="855"/>
      <c r="I64" s="624">
        <f>13.5+10.9+20.2</f>
        <v>44.599999999999994</v>
      </c>
      <c r="J64" s="243" t="s">
        <v>128</v>
      </c>
    </row>
    <row r="65" spans="1:10">
      <c r="A65" s="854" t="s">
        <v>576</v>
      </c>
      <c r="B65" s="855"/>
      <c r="C65" s="855"/>
      <c r="D65" s="855"/>
      <c r="E65" s="855"/>
      <c r="F65" s="855"/>
      <c r="G65" s="855"/>
      <c r="H65" s="855"/>
      <c r="I65" s="624">
        <f>I64</f>
        <v>44.599999999999994</v>
      </c>
      <c r="J65" s="243" t="s">
        <v>128</v>
      </c>
    </row>
    <row r="66" spans="1:10">
      <c r="A66" s="854" t="s">
        <v>582</v>
      </c>
      <c r="B66" s="855"/>
      <c r="C66" s="855"/>
      <c r="D66" s="855"/>
      <c r="E66" s="855"/>
      <c r="F66" s="855"/>
      <c r="G66" s="855"/>
      <c r="H66" s="855"/>
      <c r="I66" s="624">
        <f>223+181+305</f>
        <v>709</v>
      </c>
      <c r="J66" s="243" t="s">
        <v>577</v>
      </c>
    </row>
    <row r="67" spans="1:10">
      <c r="A67" s="854" t="s">
        <v>583</v>
      </c>
      <c r="B67" s="855"/>
      <c r="C67" s="855"/>
      <c r="D67" s="855"/>
      <c r="E67" s="855"/>
      <c r="F67" s="855"/>
      <c r="G67" s="855"/>
      <c r="H67" s="855"/>
      <c r="I67" s="624">
        <f>47+45+71</f>
        <v>163</v>
      </c>
      <c r="J67" s="243" t="s">
        <v>577</v>
      </c>
    </row>
    <row r="68" spans="1:10">
      <c r="A68" s="854" t="s">
        <v>584</v>
      </c>
      <c r="B68" s="855"/>
      <c r="C68" s="855"/>
      <c r="D68" s="855"/>
      <c r="E68" s="855"/>
      <c r="F68" s="855"/>
      <c r="G68" s="855"/>
      <c r="H68" s="855"/>
      <c r="I68" s="624">
        <f>43+0+4</f>
        <v>47</v>
      </c>
      <c r="J68" s="243" t="s">
        <v>577</v>
      </c>
    </row>
    <row r="69" spans="1:10">
      <c r="A69" s="854" t="s">
        <v>579</v>
      </c>
      <c r="B69" s="855"/>
      <c r="C69" s="855"/>
      <c r="D69" s="855"/>
      <c r="E69" s="855"/>
      <c r="F69" s="855"/>
      <c r="G69" s="855"/>
      <c r="H69" s="855"/>
      <c r="I69" s="624">
        <f>324+300+130</f>
        <v>754</v>
      </c>
      <c r="J69" s="243" t="s">
        <v>577</v>
      </c>
    </row>
    <row r="70" spans="1:10">
      <c r="A70" s="854" t="s">
        <v>580</v>
      </c>
      <c r="B70" s="855"/>
      <c r="C70" s="855"/>
      <c r="D70" s="855"/>
      <c r="E70" s="855"/>
      <c r="F70" s="855"/>
      <c r="G70" s="855"/>
      <c r="H70" s="855"/>
      <c r="I70" s="624">
        <f>69+76+746</f>
        <v>891</v>
      </c>
      <c r="J70" s="243" t="s">
        <v>577</v>
      </c>
    </row>
    <row r="71" spans="1:10">
      <c r="A71" s="854" t="s">
        <v>585</v>
      </c>
      <c r="B71" s="855"/>
      <c r="C71" s="855"/>
      <c r="D71" s="855"/>
      <c r="E71" s="855"/>
      <c r="F71" s="855"/>
      <c r="G71" s="855"/>
      <c r="H71" s="855"/>
      <c r="I71" s="624">
        <v>0</v>
      </c>
      <c r="J71" s="243" t="s">
        <v>577</v>
      </c>
    </row>
    <row r="72" spans="1:10" ht="15.75" thickBot="1">
      <c r="A72" s="859" t="s">
        <v>589</v>
      </c>
      <c r="B72" s="860"/>
      <c r="C72" s="860"/>
      <c r="D72" s="860"/>
      <c r="E72" s="860"/>
      <c r="F72" s="860"/>
      <c r="G72" s="860"/>
      <c r="H72" s="860"/>
      <c r="I72" s="626">
        <f>367+469+727</f>
        <v>1563</v>
      </c>
      <c r="J72" s="243" t="s">
        <v>577</v>
      </c>
    </row>
    <row r="73" spans="1:10" ht="18" thickBot="1">
      <c r="A73" s="856" t="s">
        <v>590</v>
      </c>
      <c r="B73" s="857"/>
      <c r="C73" s="857"/>
      <c r="D73" s="857"/>
      <c r="E73" s="857"/>
      <c r="F73" s="857"/>
      <c r="G73" s="857"/>
      <c r="H73" s="857"/>
      <c r="I73" s="858"/>
      <c r="J73" s="554" t="s">
        <v>3000</v>
      </c>
    </row>
    <row r="74" spans="1:10">
      <c r="A74" s="848" t="s">
        <v>588</v>
      </c>
      <c r="B74" s="849"/>
      <c r="C74" s="849"/>
      <c r="D74" s="849"/>
      <c r="E74" s="849"/>
      <c r="F74" s="849"/>
      <c r="G74" s="849"/>
      <c r="H74" s="849"/>
      <c r="I74" s="622">
        <f>210.8+212.2+246.2</f>
        <v>669.2</v>
      </c>
      <c r="J74" s="243" t="s">
        <v>73</v>
      </c>
    </row>
    <row r="75" spans="1:10">
      <c r="A75" s="854" t="s">
        <v>578</v>
      </c>
      <c r="B75" s="855"/>
      <c r="C75" s="855"/>
      <c r="D75" s="855"/>
      <c r="E75" s="855"/>
      <c r="F75" s="855"/>
      <c r="G75" s="855"/>
      <c r="H75" s="855"/>
      <c r="I75" s="624">
        <f>18.1+18.2+20.2</f>
        <v>56.5</v>
      </c>
      <c r="J75" s="243" t="s">
        <v>128</v>
      </c>
    </row>
    <row r="76" spans="1:10">
      <c r="A76" s="854" t="s">
        <v>576</v>
      </c>
      <c r="B76" s="855"/>
      <c r="C76" s="855"/>
      <c r="D76" s="855"/>
      <c r="E76" s="855"/>
      <c r="F76" s="855"/>
      <c r="G76" s="855"/>
      <c r="H76" s="855"/>
      <c r="I76" s="624">
        <f>I75</f>
        <v>56.5</v>
      </c>
      <c r="J76" s="243" t="s">
        <v>128</v>
      </c>
    </row>
    <row r="77" spans="1:10">
      <c r="A77" s="854" t="s">
        <v>582</v>
      </c>
      <c r="B77" s="855"/>
      <c r="C77" s="855"/>
      <c r="D77" s="855"/>
      <c r="E77" s="855"/>
      <c r="F77" s="855"/>
      <c r="G77" s="855"/>
      <c r="H77" s="855"/>
      <c r="I77" s="624">
        <f>261+261+294</f>
        <v>816</v>
      </c>
      <c r="J77" s="243" t="s">
        <v>577</v>
      </c>
    </row>
    <row r="78" spans="1:10">
      <c r="A78" s="854" t="s">
        <v>583</v>
      </c>
      <c r="B78" s="855"/>
      <c r="C78" s="855"/>
      <c r="D78" s="855"/>
      <c r="E78" s="855"/>
      <c r="F78" s="855"/>
      <c r="G78" s="855"/>
      <c r="H78" s="855"/>
      <c r="I78" s="624">
        <v>11</v>
      </c>
      <c r="J78" s="243" t="s">
        <v>577</v>
      </c>
    </row>
    <row r="79" spans="1:10">
      <c r="A79" s="854" t="s">
        <v>584</v>
      </c>
      <c r="B79" s="855"/>
      <c r="C79" s="855"/>
      <c r="D79" s="855"/>
      <c r="E79" s="855"/>
      <c r="F79" s="855"/>
      <c r="G79" s="855"/>
      <c r="H79" s="855"/>
      <c r="I79" s="624">
        <f>390+390+412</f>
        <v>1192</v>
      </c>
      <c r="J79" s="243" t="s">
        <v>577</v>
      </c>
    </row>
    <row r="80" spans="1:10">
      <c r="A80" s="854" t="s">
        <v>579</v>
      </c>
      <c r="B80" s="855"/>
      <c r="C80" s="855"/>
      <c r="D80" s="855"/>
      <c r="E80" s="855"/>
      <c r="F80" s="855"/>
      <c r="G80" s="855"/>
      <c r="H80" s="855"/>
      <c r="I80" s="624">
        <f>484+476+533</f>
        <v>1493</v>
      </c>
      <c r="J80" s="243" t="s">
        <v>577</v>
      </c>
    </row>
    <row r="81" spans="1:10" ht="15.75" thickBot="1">
      <c r="A81" s="852" t="s">
        <v>580</v>
      </c>
      <c r="B81" s="853"/>
      <c r="C81" s="853"/>
      <c r="D81" s="853"/>
      <c r="E81" s="853"/>
      <c r="F81" s="853"/>
      <c r="G81" s="853"/>
      <c r="H81" s="853"/>
      <c r="I81" s="625">
        <f>0+0+20</f>
        <v>20</v>
      </c>
      <c r="J81" s="243" t="s">
        <v>577</v>
      </c>
    </row>
    <row r="82" spans="1:10" ht="18" thickBot="1">
      <c r="A82" s="856" t="s">
        <v>597</v>
      </c>
      <c r="B82" s="857"/>
      <c r="C82" s="857"/>
      <c r="D82" s="857"/>
      <c r="E82" s="857"/>
      <c r="F82" s="857"/>
      <c r="G82" s="857"/>
      <c r="H82" s="857"/>
      <c r="I82" s="858"/>
      <c r="J82" s="554" t="s">
        <v>3000</v>
      </c>
    </row>
    <row r="83" spans="1:10">
      <c r="A83" s="848" t="s">
        <v>1513</v>
      </c>
      <c r="B83" s="849"/>
      <c r="C83" s="849"/>
      <c r="D83" s="849"/>
      <c r="E83" s="849"/>
      <c r="F83" s="849"/>
      <c r="G83" s="849"/>
      <c r="H83" s="849"/>
      <c r="I83" s="622">
        <f>15.04*3.945</f>
        <v>59.332799999999992</v>
      </c>
      <c r="J83" s="243" t="s">
        <v>73</v>
      </c>
    </row>
    <row r="84" spans="1:10" ht="15.75" thickBot="1">
      <c r="A84" s="854" t="s">
        <v>1500</v>
      </c>
      <c r="B84" s="855"/>
      <c r="C84" s="855"/>
      <c r="D84" s="855"/>
      <c r="E84" s="855"/>
      <c r="F84" s="855"/>
      <c r="G84" s="855"/>
      <c r="H84" s="855"/>
      <c r="I84" s="623">
        <f>I83*1.2</f>
        <v>71.199359999999984</v>
      </c>
      <c r="J84" s="547" t="s">
        <v>595</v>
      </c>
    </row>
    <row r="85" spans="1:10" ht="17.25">
      <c r="A85" s="876" t="s">
        <v>3013</v>
      </c>
      <c r="B85" s="877"/>
      <c r="C85" s="877"/>
      <c r="D85" s="877"/>
      <c r="E85" s="877"/>
      <c r="F85" s="877"/>
      <c r="G85" s="877"/>
      <c r="H85" s="877"/>
      <c r="I85" s="878"/>
      <c r="J85" s="554" t="s">
        <v>3000</v>
      </c>
    </row>
    <row r="86" spans="1:10" ht="14.45" customHeight="1">
      <c r="A86" s="879" t="s">
        <v>592</v>
      </c>
      <c r="B86" s="880"/>
      <c r="C86" s="880"/>
      <c r="D86" s="880"/>
      <c r="E86" s="880"/>
      <c r="F86" s="880"/>
      <c r="G86" s="880"/>
      <c r="H86" s="880"/>
      <c r="I86" s="419">
        <f>20213.97+11918.71+620.48+19.15+917.2</f>
        <v>33689.509999999995</v>
      </c>
      <c r="J86" s="243" t="s">
        <v>593</v>
      </c>
    </row>
    <row r="87" spans="1:10" ht="14.45" customHeight="1">
      <c r="A87" s="874" t="s">
        <v>594</v>
      </c>
      <c r="B87" s="875"/>
      <c r="C87" s="875"/>
      <c r="D87" s="875"/>
      <c r="E87" s="875"/>
      <c r="F87" s="875"/>
      <c r="G87" s="875"/>
      <c r="H87" s="875"/>
      <c r="I87" s="165">
        <f>1053.1</f>
        <v>1053.0999999999999</v>
      </c>
      <c r="J87" s="243" t="s">
        <v>595</v>
      </c>
    </row>
    <row r="88" spans="1:10" ht="14.45" customHeight="1" thickBot="1">
      <c r="A88" s="881" t="s">
        <v>3014</v>
      </c>
      <c r="B88" s="882"/>
      <c r="C88" s="882"/>
      <c r="D88" s="882"/>
      <c r="E88" s="882"/>
      <c r="F88" s="882"/>
      <c r="G88" s="882"/>
      <c r="H88" s="882"/>
      <c r="I88" s="420">
        <f>1165.49</f>
        <v>1165.49</v>
      </c>
      <c r="J88" s="243" t="s">
        <v>593</v>
      </c>
    </row>
    <row r="89" spans="1:10" ht="15.75" thickBot="1"/>
    <row r="90" spans="1:10" ht="18" thickBot="1">
      <c r="A90" s="883" t="s">
        <v>3015</v>
      </c>
      <c r="B90" s="884"/>
      <c r="C90" s="884"/>
      <c r="D90" s="884"/>
      <c r="E90" s="884"/>
      <c r="F90" s="884"/>
      <c r="G90" s="884"/>
      <c r="H90" s="884"/>
      <c r="I90" s="885"/>
      <c r="J90" s="554" t="s">
        <v>3000</v>
      </c>
    </row>
    <row r="91" spans="1:10">
      <c r="A91" s="879" t="s">
        <v>592</v>
      </c>
      <c r="B91" s="880"/>
      <c r="C91" s="880"/>
      <c r="D91" s="880"/>
      <c r="E91" s="880"/>
      <c r="F91" s="880"/>
      <c r="G91" s="880"/>
      <c r="H91" s="880"/>
      <c r="I91" s="419">
        <f>20.55+633.39+9.04</f>
        <v>662.9799999999999</v>
      </c>
      <c r="J91" s="142" t="s">
        <v>94</v>
      </c>
    </row>
    <row r="92" spans="1:10">
      <c r="A92" s="874" t="s">
        <v>594</v>
      </c>
      <c r="B92" s="875"/>
      <c r="C92" s="875"/>
      <c r="D92" s="875"/>
      <c r="E92" s="875"/>
      <c r="F92" s="875"/>
      <c r="G92" s="875"/>
      <c r="H92" s="875"/>
      <c r="I92" s="165">
        <f>75.27</f>
        <v>75.27</v>
      </c>
      <c r="J92" s="142" t="s">
        <v>161</v>
      </c>
    </row>
    <row r="93" spans="1:10" ht="15.75" thickBot="1">
      <c r="A93" s="881" t="s">
        <v>3016</v>
      </c>
      <c r="B93" s="882"/>
      <c r="C93" s="882"/>
      <c r="D93" s="882"/>
      <c r="E93" s="882"/>
      <c r="F93" s="882"/>
      <c r="G93" s="882"/>
      <c r="H93" s="882"/>
      <c r="I93" s="420">
        <f>10.56</f>
        <v>10.56</v>
      </c>
      <c r="J93" s="148" t="s">
        <v>94</v>
      </c>
    </row>
    <row r="94" spans="1:10" ht="15.75" thickBot="1"/>
    <row r="95" spans="1:10" ht="18" thickBot="1">
      <c r="A95" s="886" t="s">
        <v>837</v>
      </c>
      <c r="B95" s="887"/>
      <c r="C95" s="887"/>
      <c r="D95" s="887"/>
      <c r="E95" s="887"/>
      <c r="F95" s="887"/>
      <c r="G95" s="887"/>
      <c r="H95" s="561">
        <v>50</v>
      </c>
      <c r="I95" s="418" t="s">
        <v>101</v>
      </c>
      <c r="J95" s="138" t="s">
        <v>5</v>
      </c>
    </row>
    <row r="96" spans="1:10">
      <c r="A96" s="879" t="s">
        <v>633</v>
      </c>
      <c r="B96" s="880"/>
      <c r="C96" s="880"/>
      <c r="D96" s="880"/>
      <c r="E96" s="880"/>
      <c r="F96" s="880"/>
      <c r="G96" s="880"/>
      <c r="H96" s="880"/>
      <c r="I96" s="419">
        <f>H95*((0.08+0.54+0.08)+(0.08+1.34+0.08)+(0.08+2.14+0.08))</f>
        <v>225</v>
      </c>
      <c r="J96" s="141" t="s">
        <v>161</v>
      </c>
    </row>
    <row r="97" spans="1:10">
      <c r="A97" s="874" t="s">
        <v>629</v>
      </c>
      <c r="B97" s="875"/>
      <c r="C97" s="875"/>
      <c r="D97" s="875"/>
      <c r="E97" s="875"/>
      <c r="F97" s="875"/>
      <c r="G97" s="875"/>
      <c r="H97" s="875"/>
      <c r="I97" s="165">
        <f>H95*0.08*(2.14+0.8+0.54+0.54)+H95*(9*0.4*0.09*0.14)</f>
        <v>18.348000000000003</v>
      </c>
      <c r="J97" s="142" t="s">
        <v>162</v>
      </c>
    </row>
    <row r="98" spans="1:10" ht="15.75" thickBot="1">
      <c r="A98" s="874" t="s">
        <v>627</v>
      </c>
      <c r="B98" s="875"/>
      <c r="C98" s="875"/>
      <c r="D98" s="875"/>
      <c r="E98" s="875"/>
      <c r="F98" s="875"/>
      <c r="G98" s="875"/>
      <c r="H98" s="875"/>
      <c r="I98" s="165">
        <f>I97</f>
        <v>18.348000000000003</v>
      </c>
      <c r="J98" s="142" t="s">
        <v>162</v>
      </c>
    </row>
    <row r="99" spans="1:10">
      <c r="A99" s="874" t="s">
        <v>2131</v>
      </c>
      <c r="B99" s="875"/>
      <c r="C99" s="875"/>
      <c r="D99" s="875"/>
      <c r="E99" s="875"/>
      <c r="F99" s="875"/>
      <c r="G99" s="875"/>
      <c r="H99" s="875"/>
      <c r="I99" s="165">
        <f>H95*4.82</f>
        <v>241</v>
      </c>
      <c r="J99" s="141" t="s">
        <v>161</v>
      </c>
    </row>
    <row r="100" spans="1:10" ht="15.75" thickBot="1">
      <c r="A100" s="874" t="s">
        <v>635</v>
      </c>
      <c r="B100" s="875"/>
      <c r="C100" s="875"/>
      <c r="D100" s="875"/>
      <c r="E100" s="875"/>
      <c r="F100" s="875"/>
      <c r="G100" s="875"/>
      <c r="H100" s="875"/>
      <c r="I100" s="165">
        <f>H95*(9+0.71+1.19+2*1.67)</f>
        <v>712</v>
      </c>
      <c r="J100" s="142" t="s">
        <v>94</v>
      </c>
    </row>
    <row r="101" spans="1:10" ht="15.75" thickBot="1">
      <c r="A101" s="881" t="s">
        <v>2132</v>
      </c>
      <c r="B101" s="882"/>
      <c r="C101" s="882"/>
      <c r="D101" s="882"/>
      <c r="E101" s="882"/>
      <c r="F101" s="882"/>
      <c r="G101" s="882"/>
      <c r="H101" s="882"/>
      <c r="I101" s="420">
        <f>H95*9*0.4</f>
        <v>180</v>
      </c>
      <c r="J101" s="141" t="s">
        <v>161</v>
      </c>
    </row>
  </sheetData>
  <mergeCells count="98">
    <mergeCell ref="A100:H100"/>
    <mergeCell ref="A101:H101"/>
    <mergeCell ref="A93:H93"/>
    <mergeCell ref="A95:G95"/>
    <mergeCell ref="A96:H96"/>
    <mergeCell ref="A97:H97"/>
    <mergeCell ref="A98:H98"/>
    <mergeCell ref="A99:H99"/>
    <mergeCell ref="A92:H92"/>
    <mergeCell ref="A80:H80"/>
    <mergeCell ref="A81:H81"/>
    <mergeCell ref="A82:I82"/>
    <mergeCell ref="A83:H83"/>
    <mergeCell ref="A84:H84"/>
    <mergeCell ref="A85:I85"/>
    <mergeCell ref="A86:H86"/>
    <mergeCell ref="A87:H87"/>
    <mergeCell ref="A88:H88"/>
    <mergeCell ref="A90:I90"/>
    <mergeCell ref="A91:H91"/>
    <mergeCell ref="A79:H79"/>
    <mergeCell ref="A68:H68"/>
    <mergeCell ref="A69:H69"/>
    <mergeCell ref="A70:H70"/>
    <mergeCell ref="A71:H71"/>
    <mergeCell ref="A72:H72"/>
    <mergeCell ref="A73:I73"/>
    <mergeCell ref="A74:H74"/>
    <mergeCell ref="A75:H75"/>
    <mergeCell ref="A76:H76"/>
    <mergeCell ref="A77:H77"/>
    <mergeCell ref="A78:H78"/>
    <mergeCell ref="A67:H67"/>
    <mergeCell ref="A55:H55"/>
    <mergeCell ref="A56:H56"/>
    <mergeCell ref="A57:H57"/>
    <mergeCell ref="A58:H58"/>
    <mergeCell ref="A59:H59"/>
    <mergeCell ref="A61:I61"/>
    <mergeCell ref="A62:I62"/>
    <mergeCell ref="A63:H63"/>
    <mergeCell ref="A64:H64"/>
    <mergeCell ref="A65:H65"/>
    <mergeCell ref="A66:H66"/>
    <mergeCell ref="A54:H54"/>
    <mergeCell ref="A43:H43"/>
    <mergeCell ref="A44:H44"/>
    <mergeCell ref="A45:H45"/>
    <mergeCell ref="A46:H46"/>
    <mergeCell ref="A47:H47"/>
    <mergeCell ref="A48:H48"/>
    <mergeCell ref="A49:I49"/>
    <mergeCell ref="A50:H50"/>
    <mergeCell ref="A51:H51"/>
    <mergeCell ref="A52:H52"/>
    <mergeCell ref="A53:H53"/>
    <mergeCell ref="A42:H42"/>
    <mergeCell ref="A31:H31"/>
    <mergeCell ref="A32:H32"/>
    <mergeCell ref="A33:H33"/>
    <mergeCell ref="A34:H34"/>
    <mergeCell ref="A35:H35"/>
    <mergeCell ref="A36:H36"/>
    <mergeCell ref="A37:H37"/>
    <mergeCell ref="A38:H38"/>
    <mergeCell ref="A39:I39"/>
    <mergeCell ref="A40:H40"/>
    <mergeCell ref="A41:H41"/>
    <mergeCell ref="A30:I30"/>
    <mergeCell ref="A19:H19"/>
    <mergeCell ref="A20:H20"/>
    <mergeCell ref="A21:H21"/>
    <mergeCell ref="A22:H22"/>
    <mergeCell ref="A23:H23"/>
    <mergeCell ref="A24:I24"/>
    <mergeCell ref="A25:H25"/>
    <mergeCell ref="A26:H26"/>
    <mergeCell ref="A27:H27"/>
    <mergeCell ref="A28:H28"/>
    <mergeCell ref="A29:H29"/>
    <mergeCell ref="A18:H18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:J1"/>
    <mergeCell ref="A3:I3"/>
    <mergeCell ref="A4:H4"/>
    <mergeCell ref="K4:L6"/>
    <mergeCell ref="A5:H5"/>
    <mergeCell ref="A6:H6"/>
  </mergeCells>
  <pageMargins left="0.51181102362204722" right="0.51181102362204722" top="0.78740157480314965" bottom="0.78740157480314965" header="0.31496062992125984" footer="0.31496062992125984"/>
  <pageSetup paperSize="9" scale="85" orientation="portrait" r:id="rId1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9CC00"/>
  </sheetPr>
  <dimension ref="A1:G17"/>
  <sheetViews>
    <sheetView view="pageBreakPreview" zoomScale="60" workbookViewId="0">
      <selection activeCell="E17" sqref="A1:E17"/>
    </sheetView>
  </sheetViews>
  <sheetFormatPr defaultColWidth="9.140625" defaultRowHeight="14.25"/>
  <cols>
    <col min="1" max="1" width="6.85546875" style="266" bestFit="1" customWidth="1"/>
    <col min="2" max="2" width="30.7109375" style="267" customWidth="1"/>
    <col min="3" max="3" width="70.5703125" style="267" customWidth="1"/>
    <col min="4" max="4" width="7.140625" style="266" customWidth="1"/>
    <col min="5" max="5" width="10.85546875" style="266" customWidth="1"/>
    <col min="6" max="6" width="9.5703125" style="268" bestFit="1" customWidth="1"/>
    <col min="7" max="7" width="10.28515625" style="269" customWidth="1"/>
    <col min="8" max="16384" width="9.140625" style="267"/>
  </cols>
  <sheetData>
    <row r="1" spans="1:7" s="225" customFormat="1" ht="15" customHeight="1">
      <c r="A1" s="888" t="s">
        <v>191</v>
      </c>
      <c r="B1" s="889"/>
      <c r="C1" s="889"/>
      <c r="D1" s="889"/>
      <c r="E1" s="890"/>
      <c r="F1" s="249"/>
      <c r="G1" s="250"/>
    </row>
    <row r="2" spans="1:7" s="225" customFormat="1" ht="12.75">
      <c r="A2" s="251" t="s">
        <v>60</v>
      </c>
      <c r="B2" s="252" t="s">
        <v>61</v>
      </c>
      <c r="C2" s="253" t="s">
        <v>62</v>
      </c>
      <c r="D2" s="252" t="s">
        <v>63</v>
      </c>
      <c r="E2" s="254" t="s">
        <v>64</v>
      </c>
      <c r="F2" s="249"/>
      <c r="G2" s="250"/>
    </row>
    <row r="3" spans="1:7" s="260" customFormat="1" ht="28.5">
      <c r="A3" s="255" t="s">
        <v>16</v>
      </c>
      <c r="B3" s="256" t="s">
        <v>1542</v>
      </c>
      <c r="C3" s="257" t="s">
        <v>1543</v>
      </c>
      <c r="D3" s="255" t="s">
        <v>57</v>
      </c>
      <c r="E3" s="628">
        <v>2</v>
      </c>
      <c r="F3" s="270">
        <f t="shared" ref="F3:F17" si="0">ROUND(E3,2)</f>
        <v>2</v>
      </c>
      <c r="G3" s="259" t="s">
        <v>65</v>
      </c>
    </row>
    <row r="4" spans="1:7" s="260" customFormat="1">
      <c r="A4" s="255" t="s">
        <v>1544</v>
      </c>
      <c r="B4" s="256" t="s">
        <v>1545</v>
      </c>
      <c r="C4" s="257" t="s">
        <v>1546</v>
      </c>
      <c r="D4" s="255" t="s">
        <v>284</v>
      </c>
      <c r="E4" s="628">
        <v>38.116000000000007</v>
      </c>
      <c r="F4" s="270">
        <f t="shared" si="0"/>
        <v>38.119999999999997</v>
      </c>
      <c r="G4" s="259" t="s">
        <v>65</v>
      </c>
    </row>
    <row r="5" spans="1:7" s="260" customFormat="1">
      <c r="A5" s="255" t="s">
        <v>1547</v>
      </c>
      <c r="B5" s="261" t="s">
        <v>1548</v>
      </c>
      <c r="C5" s="257" t="s">
        <v>1549</v>
      </c>
      <c r="D5" s="262" t="s">
        <v>284</v>
      </c>
      <c r="E5" s="628">
        <f>E4*0.9</f>
        <v>34.304400000000008</v>
      </c>
      <c r="F5" s="270">
        <f t="shared" si="0"/>
        <v>34.299999999999997</v>
      </c>
      <c r="G5" s="259" t="s">
        <v>65</v>
      </c>
    </row>
    <row r="6" spans="1:7" s="260" customFormat="1" ht="15" customHeight="1">
      <c r="A6" s="255" t="s">
        <v>1550</v>
      </c>
      <c r="B6" s="261" t="s">
        <v>1551</v>
      </c>
      <c r="C6" s="263"/>
      <c r="D6" s="262" t="s">
        <v>108</v>
      </c>
      <c r="E6" s="628">
        <v>95.29</v>
      </c>
      <c r="F6" s="270">
        <f t="shared" si="0"/>
        <v>95.29</v>
      </c>
      <c r="G6" s="259"/>
    </row>
    <row r="7" spans="1:7" s="260" customFormat="1" ht="42.75">
      <c r="A7" s="255" t="s">
        <v>1552</v>
      </c>
      <c r="B7" s="257" t="s">
        <v>1553</v>
      </c>
      <c r="C7" s="257" t="s">
        <v>1554</v>
      </c>
      <c r="D7" s="255" t="s">
        <v>76</v>
      </c>
      <c r="E7" s="264">
        <f>21.44+45.85</f>
        <v>67.290000000000006</v>
      </c>
      <c r="F7" s="270">
        <f t="shared" si="0"/>
        <v>67.290000000000006</v>
      </c>
      <c r="G7" s="259" t="s">
        <v>65</v>
      </c>
    </row>
    <row r="8" spans="1:7" s="260" customFormat="1" ht="28.5">
      <c r="A8" s="255" t="s">
        <v>1555</v>
      </c>
      <c r="B8" s="257" t="s">
        <v>1556</v>
      </c>
      <c r="C8" s="257" t="s">
        <v>1557</v>
      </c>
      <c r="D8" s="255" t="s">
        <v>76</v>
      </c>
      <c r="E8" s="264">
        <v>28</v>
      </c>
      <c r="F8" s="270">
        <f t="shared" si="0"/>
        <v>28</v>
      </c>
      <c r="G8" s="259" t="s">
        <v>65</v>
      </c>
    </row>
    <row r="9" spans="1:7" s="260" customFormat="1">
      <c r="A9" s="255" t="s">
        <v>1558</v>
      </c>
      <c r="B9" s="257" t="s">
        <v>1559</v>
      </c>
      <c r="C9" s="257" t="s">
        <v>1560</v>
      </c>
      <c r="D9" s="255" t="s">
        <v>57</v>
      </c>
      <c r="E9" s="264">
        <v>8</v>
      </c>
      <c r="F9" s="270">
        <f t="shared" si="0"/>
        <v>8</v>
      </c>
      <c r="G9" s="259" t="s">
        <v>65</v>
      </c>
    </row>
    <row r="10" spans="1:7" s="260" customFormat="1">
      <c r="A10" s="255" t="s">
        <v>1561</v>
      </c>
      <c r="B10" s="257" t="s">
        <v>1562</v>
      </c>
      <c r="C10" s="257" t="s">
        <v>1560</v>
      </c>
      <c r="D10" s="255" t="s">
        <v>57</v>
      </c>
      <c r="E10" s="264">
        <v>3</v>
      </c>
      <c r="F10" s="270">
        <f t="shared" si="0"/>
        <v>3</v>
      </c>
      <c r="G10" s="259" t="s">
        <v>65</v>
      </c>
    </row>
    <row r="11" spans="1:7" s="260" customFormat="1">
      <c r="A11" s="255" t="s">
        <v>1563</v>
      </c>
      <c r="B11" s="257" t="s">
        <v>1564</v>
      </c>
      <c r="C11" s="257" t="s">
        <v>1560</v>
      </c>
      <c r="D11" s="255" t="s">
        <v>57</v>
      </c>
      <c r="E11" s="264">
        <f>9*3</f>
        <v>27</v>
      </c>
      <c r="F11" s="270">
        <f t="shared" si="0"/>
        <v>27</v>
      </c>
      <c r="G11" s="259" t="s">
        <v>65</v>
      </c>
    </row>
    <row r="12" spans="1:7" s="260" customFormat="1">
      <c r="A12" s="255" t="s">
        <v>1565</v>
      </c>
      <c r="B12" s="257" t="s">
        <v>1566</v>
      </c>
      <c r="C12" s="257" t="s">
        <v>1560</v>
      </c>
      <c r="D12" s="255" t="s">
        <v>57</v>
      </c>
      <c r="E12" s="264">
        <v>9</v>
      </c>
      <c r="F12" s="270">
        <f t="shared" si="0"/>
        <v>9</v>
      </c>
      <c r="G12" s="259" t="s">
        <v>65</v>
      </c>
    </row>
    <row r="13" spans="1:7" s="260" customFormat="1">
      <c r="A13" s="255" t="s">
        <v>1567</v>
      </c>
      <c r="B13" s="257" t="s">
        <v>1568</v>
      </c>
      <c r="C13" s="257"/>
      <c r="D13" s="255" t="s">
        <v>57</v>
      </c>
      <c r="E13" s="629">
        <v>11</v>
      </c>
      <c r="F13" s="270">
        <v>11</v>
      </c>
      <c r="G13" s="259"/>
    </row>
    <row r="14" spans="1:7" s="260" customFormat="1">
      <c r="A14" s="255" t="s">
        <v>1569</v>
      </c>
      <c r="B14" s="257" t="s">
        <v>1570</v>
      </c>
      <c r="C14" s="257"/>
      <c r="D14" s="255" t="s">
        <v>57</v>
      </c>
      <c r="E14" s="629">
        <v>11</v>
      </c>
      <c r="F14" s="270">
        <v>11</v>
      </c>
      <c r="G14" s="259"/>
    </row>
    <row r="15" spans="1:7" s="260" customFormat="1">
      <c r="A15" s="255" t="s">
        <v>1571</v>
      </c>
      <c r="B15" s="257" t="s">
        <v>1572</v>
      </c>
      <c r="C15" s="257"/>
      <c r="D15" s="255" t="s">
        <v>57</v>
      </c>
      <c r="E15" s="629">
        <v>4</v>
      </c>
      <c r="F15" s="270">
        <v>4</v>
      </c>
      <c r="G15" s="259"/>
    </row>
    <row r="16" spans="1:7" s="260" customFormat="1" ht="15" customHeight="1">
      <c r="A16" s="255" t="s">
        <v>1573</v>
      </c>
      <c r="B16" s="257" t="s">
        <v>1574</v>
      </c>
      <c r="C16" s="257"/>
      <c r="D16" s="255" t="s">
        <v>57</v>
      </c>
      <c r="E16" s="629">
        <v>2</v>
      </c>
      <c r="F16" s="270">
        <v>2</v>
      </c>
      <c r="G16" s="259"/>
    </row>
    <row r="17" spans="1:7" s="260" customFormat="1" ht="28.5">
      <c r="A17" s="255" t="s">
        <v>1575</v>
      </c>
      <c r="B17" s="257" t="s">
        <v>1576</v>
      </c>
      <c r="C17" s="257" t="s">
        <v>1577</v>
      </c>
      <c r="D17" s="255" t="s">
        <v>57</v>
      </c>
      <c r="E17" s="629">
        <v>3</v>
      </c>
      <c r="F17" s="270">
        <f t="shared" si="0"/>
        <v>3</v>
      </c>
      <c r="G17" s="259" t="s">
        <v>65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scale="73" orientation="portrait" r:id="rId1"/>
  <colBreaks count="1" manualBreakCount="1">
    <brk id="5" max="1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9CC00"/>
  </sheetPr>
  <dimension ref="A1:H37"/>
  <sheetViews>
    <sheetView view="pageBreakPreview" topLeftCell="A3" zoomScale="60" workbookViewId="0">
      <selection activeCell="E33" sqref="A3:H33"/>
    </sheetView>
  </sheetViews>
  <sheetFormatPr defaultColWidth="9.140625" defaultRowHeight="15"/>
  <cols>
    <col min="1" max="1" width="10.7109375" style="63" customWidth="1"/>
    <col min="2" max="2" width="17.140625" style="63" customWidth="1"/>
    <col min="3" max="3" width="66.7109375" style="58" customWidth="1"/>
    <col min="4" max="4" width="13" style="63" customWidth="1"/>
    <col min="5" max="5" width="11.85546875" style="73" bestFit="1" customWidth="1"/>
    <col min="6" max="6" width="11.85546875" style="73" customWidth="1"/>
    <col min="7" max="7" width="12.7109375" style="280" customWidth="1"/>
    <col min="8" max="8" width="18.42578125" style="280" customWidth="1"/>
    <col min="9" max="16384" width="9.140625" style="58"/>
  </cols>
  <sheetData>
    <row r="1" spans="1:8" ht="15.75">
      <c r="A1" s="776" t="s">
        <v>36</v>
      </c>
      <c r="B1" s="776"/>
      <c r="C1" s="776"/>
      <c r="D1" s="776"/>
      <c r="E1" s="776"/>
      <c r="F1" s="776"/>
      <c r="G1" s="776"/>
      <c r="H1" s="776"/>
    </row>
    <row r="2" spans="1:8" s="63" customFormat="1" ht="15.75">
      <c r="A2" s="82" t="s">
        <v>0</v>
      </c>
      <c r="B2" s="82" t="s">
        <v>4</v>
      </c>
      <c r="C2" s="82" t="s">
        <v>1</v>
      </c>
      <c r="D2" s="82" t="s">
        <v>5</v>
      </c>
      <c r="E2" s="83" t="s">
        <v>6</v>
      </c>
      <c r="F2" s="893" t="s">
        <v>1579</v>
      </c>
      <c r="G2" s="893"/>
      <c r="H2" s="893"/>
    </row>
    <row r="3" spans="1:8" ht="15.75">
      <c r="A3" s="894" t="s">
        <v>168</v>
      </c>
      <c r="B3" s="894"/>
      <c r="C3" s="894"/>
      <c r="D3" s="894"/>
      <c r="E3" s="894"/>
      <c r="F3" s="894"/>
      <c r="G3" s="894"/>
      <c r="H3" s="894"/>
    </row>
    <row r="4" spans="1:8" ht="15.75">
      <c r="A4" s="175"/>
      <c r="B4" s="175"/>
      <c r="C4" s="272" t="s">
        <v>1580</v>
      </c>
      <c r="D4" s="175"/>
      <c r="E4" s="177"/>
      <c r="F4" s="177"/>
      <c r="G4" s="273"/>
      <c r="H4" s="273"/>
    </row>
    <row r="5" spans="1:8" s="121" customFormat="1" ht="30">
      <c r="A5" s="274"/>
      <c r="B5" s="115" t="s">
        <v>1581</v>
      </c>
      <c r="C5" s="116" t="s">
        <v>1582</v>
      </c>
      <c r="D5" s="120" t="s">
        <v>70</v>
      </c>
      <c r="E5" s="604">
        <v>95</v>
      </c>
      <c r="F5" s="892"/>
      <c r="G5" s="892"/>
      <c r="H5" s="892"/>
    </row>
    <row r="6" spans="1:8" s="121" customFormat="1" ht="30">
      <c r="A6" s="274"/>
      <c r="B6" s="115" t="s">
        <v>1583</v>
      </c>
      <c r="C6" s="116" t="s">
        <v>1584</v>
      </c>
      <c r="D6" s="115" t="s">
        <v>70</v>
      </c>
      <c r="E6" s="604">
        <v>13</v>
      </c>
      <c r="F6" s="895"/>
      <c r="G6" s="895"/>
      <c r="H6" s="895"/>
    </row>
    <row r="7" spans="1:8" s="121" customFormat="1" ht="30">
      <c r="A7" s="274"/>
      <c r="B7" s="115" t="s">
        <v>946</v>
      </c>
      <c r="C7" s="116" t="s">
        <v>945</v>
      </c>
      <c r="D7" s="115" t="s">
        <v>283</v>
      </c>
      <c r="E7" s="604">
        <v>569</v>
      </c>
      <c r="F7" s="895"/>
      <c r="G7" s="895"/>
      <c r="H7" s="895"/>
    </row>
    <row r="8" spans="1:8" s="121" customFormat="1" ht="30">
      <c r="A8" s="274"/>
      <c r="B8" s="115">
        <v>72315</v>
      </c>
      <c r="C8" s="116" t="s">
        <v>749</v>
      </c>
      <c r="D8" s="120" t="s">
        <v>70</v>
      </c>
      <c r="E8" s="604">
        <v>250</v>
      </c>
      <c r="F8" s="895"/>
      <c r="G8" s="895"/>
      <c r="H8" s="895"/>
    </row>
    <row r="9" spans="1:8" s="121" customFormat="1">
      <c r="A9" s="274"/>
      <c r="B9" s="275" t="s">
        <v>1585</v>
      </c>
      <c r="C9" s="276" t="str">
        <f>UPPER("Suporte guia simples Tel-220")</f>
        <v>SUPORTE GUIA SIMPLES TEL-220</v>
      </c>
      <c r="D9" s="275" t="s">
        <v>70</v>
      </c>
      <c r="E9" s="604">
        <v>622</v>
      </c>
      <c r="F9" s="891"/>
      <c r="G9" s="891"/>
      <c r="H9" s="891"/>
    </row>
    <row r="10" spans="1:8" s="121" customFormat="1" ht="30">
      <c r="A10" s="274"/>
      <c r="B10" s="115" t="s">
        <v>943</v>
      </c>
      <c r="C10" s="116" t="s">
        <v>944</v>
      </c>
      <c r="D10" s="120" t="s">
        <v>70</v>
      </c>
      <c r="E10" s="604">
        <v>58</v>
      </c>
      <c r="F10" s="891"/>
      <c r="G10" s="891"/>
      <c r="H10" s="891"/>
    </row>
    <row r="11" spans="1:8" s="121" customFormat="1" ht="30">
      <c r="A11" s="274"/>
      <c r="B11" s="115">
        <v>72262</v>
      </c>
      <c r="C11" s="116" t="s">
        <v>747</v>
      </c>
      <c r="D11" s="120" t="s">
        <v>70</v>
      </c>
      <c r="E11" s="604">
        <v>116</v>
      </c>
      <c r="F11" s="891"/>
      <c r="G11" s="891"/>
      <c r="H11" s="891"/>
    </row>
    <row r="12" spans="1:8" s="121" customFormat="1" ht="30">
      <c r="A12" s="274"/>
      <c r="B12" s="115">
        <v>72263</v>
      </c>
      <c r="C12" s="116" t="s">
        <v>748</v>
      </c>
      <c r="D12" s="120" t="s">
        <v>70</v>
      </c>
      <c r="E12" s="604">
        <v>59</v>
      </c>
      <c r="F12" s="891"/>
      <c r="G12" s="891"/>
      <c r="H12" s="891"/>
    </row>
    <row r="13" spans="1:8" s="121" customFormat="1" ht="45">
      <c r="A13" s="274"/>
      <c r="B13" s="115">
        <v>91872</v>
      </c>
      <c r="C13" s="116" t="s">
        <v>752</v>
      </c>
      <c r="D13" s="115" t="s">
        <v>76</v>
      </c>
      <c r="E13" s="604">
        <v>174</v>
      </c>
      <c r="F13" s="891"/>
      <c r="G13" s="891"/>
      <c r="H13" s="891"/>
    </row>
    <row r="14" spans="1:8" s="121" customFormat="1">
      <c r="A14" s="274"/>
      <c r="B14" s="115" t="s">
        <v>897</v>
      </c>
      <c r="C14" s="116" t="s">
        <v>898</v>
      </c>
      <c r="D14" s="120" t="s">
        <v>70</v>
      </c>
      <c r="E14" s="604">
        <v>231.9999942</v>
      </c>
      <c r="F14" s="891"/>
      <c r="G14" s="891"/>
      <c r="H14" s="891"/>
    </row>
    <row r="15" spans="1:8" s="121" customFormat="1" ht="30">
      <c r="A15" s="274"/>
      <c r="B15" s="115" t="s">
        <v>940</v>
      </c>
      <c r="C15" s="116" t="s">
        <v>939</v>
      </c>
      <c r="D15" s="115" t="s">
        <v>70</v>
      </c>
      <c r="E15" s="604">
        <v>231.9999942</v>
      </c>
      <c r="F15" s="277"/>
      <c r="G15" s="277"/>
      <c r="H15" s="277"/>
    </row>
    <row r="16" spans="1:8" s="121" customFormat="1" ht="30">
      <c r="A16" s="274"/>
      <c r="B16" s="115">
        <v>72253</v>
      </c>
      <c r="C16" s="116" t="s">
        <v>750</v>
      </c>
      <c r="D16" s="115" t="s">
        <v>76</v>
      </c>
      <c r="E16" s="604">
        <v>735</v>
      </c>
      <c r="F16" s="891"/>
      <c r="G16" s="891"/>
      <c r="H16" s="891"/>
    </row>
    <row r="17" spans="1:8" s="121" customFormat="1" ht="30">
      <c r="A17" s="274"/>
      <c r="B17" s="115">
        <v>72254</v>
      </c>
      <c r="C17" s="116" t="s">
        <v>751</v>
      </c>
      <c r="D17" s="115" t="s">
        <v>76</v>
      </c>
      <c r="E17" s="604">
        <v>764</v>
      </c>
      <c r="F17" s="891"/>
      <c r="G17" s="891"/>
      <c r="H17" s="891"/>
    </row>
    <row r="18" spans="1:8" s="121" customFormat="1" ht="60">
      <c r="A18" s="274"/>
      <c r="B18" s="115" t="s">
        <v>941</v>
      </c>
      <c r="C18" s="116" t="s">
        <v>942</v>
      </c>
      <c r="D18" s="120" t="s">
        <v>70</v>
      </c>
      <c r="E18" s="604">
        <v>12</v>
      </c>
      <c r="F18" s="891"/>
      <c r="G18" s="891"/>
      <c r="H18" s="891"/>
    </row>
    <row r="19" spans="1:8" s="121" customFormat="1" ht="45">
      <c r="A19" s="274"/>
      <c r="B19" s="115">
        <v>83485</v>
      </c>
      <c r="C19" s="116" t="s">
        <v>1586</v>
      </c>
      <c r="D19" s="120" t="s">
        <v>70</v>
      </c>
      <c r="E19" s="604">
        <v>115</v>
      </c>
      <c r="F19" s="891"/>
      <c r="G19" s="891"/>
      <c r="H19" s="891"/>
    </row>
    <row r="20" spans="1:8" s="121" customFormat="1" ht="30">
      <c r="A20" s="274"/>
      <c r="B20" s="115" t="s">
        <v>947</v>
      </c>
      <c r="C20" s="116" t="s">
        <v>1587</v>
      </c>
      <c r="D20" s="120" t="s">
        <v>70</v>
      </c>
      <c r="E20" s="604">
        <v>174</v>
      </c>
      <c r="F20" s="891"/>
      <c r="G20" s="891"/>
      <c r="H20" s="891"/>
    </row>
    <row r="21" spans="1:8" s="121" customFormat="1">
      <c r="A21" s="274"/>
      <c r="B21" s="115">
        <v>93358</v>
      </c>
      <c r="C21" s="116" t="s">
        <v>524</v>
      </c>
      <c r="D21" s="115" t="s">
        <v>128</v>
      </c>
      <c r="E21" s="604">
        <v>132</v>
      </c>
      <c r="F21" s="891"/>
      <c r="G21" s="891"/>
      <c r="H21" s="891"/>
    </row>
    <row r="22" spans="1:8" s="121" customFormat="1">
      <c r="A22" s="274"/>
      <c r="B22" s="115" t="s">
        <v>268</v>
      </c>
      <c r="C22" s="116" t="s">
        <v>753</v>
      </c>
      <c r="D22" s="115" t="s">
        <v>128</v>
      </c>
      <c r="E22" s="604">
        <v>132</v>
      </c>
      <c r="F22" s="891"/>
      <c r="G22" s="891"/>
      <c r="H22" s="891"/>
    </row>
    <row r="23" spans="1:8" s="121" customFormat="1" ht="30">
      <c r="A23" s="274"/>
      <c r="B23" s="115" t="s">
        <v>949</v>
      </c>
      <c r="C23" s="116" t="s">
        <v>950</v>
      </c>
      <c r="D23" s="115" t="s">
        <v>70</v>
      </c>
      <c r="E23" s="604">
        <v>1</v>
      </c>
      <c r="F23" s="891"/>
      <c r="G23" s="891"/>
      <c r="H23" s="891"/>
    </row>
    <row r="24" spans="1:8" s="121" customFormat="1" ht="45">
      <c r="A24" s="274"/>
      <c r="B24" s="115">
        <v>83638</v>
      </c>
      <c r="C24" s="116" t="s">
        <v>1588</v>
      </c>
      <c r="D24" s="115" t="s">
        <v>70</v>
      </c>
      <c r="E24" s="604">
        <v>2</v>
      </c>
      <c r="F24" s="891"/>
      <c r="G24" s="891"/>
      <c r="H24" s="891"/>
    </row>
    <row r="25" spans="1:8" s="121" customFormat="1" ht="30">
      <c r="A25" s="274"/>
      <c r="B25" s="115">
        <v>68070</v>
      </c>
      <c r="C25" s="116" t="s">
        <v>1589</v>
      </c>
      <c r="D25" s="115" t="s">
        <v>76</v>
      </c>
      <c r="E25" s="604">
        <v>20</v>
      </c>
      <c r="F25" s="891"/>
      <c r="G25" s="891"/>
      <c r="H25" s="891"/>
    </row>
    <row r="26" spans="1:8" s="121" customFormat="1" ht="45">
      <c r="A26" s="274"/>
      <c r="B26" s="115" t="s">
        <v>1590</v>
      </c>
      <c r="C26" s="116" t="str">
        <f>UPPER("Pára-raio tipo Franklin 350mm, latão cromado, para descida 1 cabo, c/suporte e conectores p/cabo terra e base")</f>
        <v>PÁRA-RAIO TIPO FRANKLIN 350MM, LATÃO CROMADO, PARA DESCIDA 1 CABO, C/SUPORTE E CONECTORES P/CABO TERRA E BASE</v>
      </c>
      <c r="D26" s="115" t="s">
        <v>70</v>
      </c>
      <c r="E26" s="604">
        <v>2</v>
      </c>
      <c r="F26" s="891"/>
      <c r="G26" s="891"/>
      <c r="H26" s="891"/>
    </row>
    <row r="27" spans="1:8" s="278" customFormat="1" ht="30">
      <c r="A27" s="274"/>
      <c r="B27" s="115" t="s">
        <v>1591</v>
      </c>
      <c r="C27" s="116" t="str">
        <f>UPPER("Sinalizador noturno c/ 1 lâmpada 15w, inclusive lampada e relé fotoeletrico individual")</f>
        <v>SINALIZADOR NOTURNO C/ 1 LÂMPADA 15W, INCLUSIVE LAMPADA E RELÉ FOTOELETRICO INDIVIDUAL</v>
      </c>
      <c r="D27" s="115" t="s">
        <v>70</v>
      </c>
      <c r="E27" s="604">
        <v>2</v>
      </c>
      <c r="F27" s="891"/>
      <c r="G27" s="891"/>
      <c r="H27" s="891"/>
    </row>
    <row r="28" spans="1:8" s="278" customFormat="1" ht="45">
      <c r="A28" s="274"/>
      <c r="B28" s="115">
        <v>91927</v>
      </c>
      <c r="C28" s="116" t="s">
        <v>1520</v>
      </c>
      <c r="D28" s="115" t="s">
        <v>76</v>
      </c>
      <c r="E28" s="604">
        <v>240</v>
      </c>
      <c r="F28" s="891"/>
      <c r="G28" s="891"/>
      <c r="H28" s="891"/>
    </row>
    <row r="29" spans="1:8" s="278" customFormat="1" ht="30">
      <c r="A29" s="274"/>
      <c r="B29" s="115">
        <v>93653</v>
      </c>
      <c r="C29" s="116" t="s">
        <v>1592</v>
      </c>
      <c r="D29" s="115" t="s">
        <v>70</v>
      </c>
      <c r="E29" s="604">
        <v>2</v>
      </c>
      <c r="F29" s="891"/>
      <c r="G29" s="891"/>
      <c r="H29" s="891"/>
    </row>
    <row r="30" spans="1:8" s="278" customFormat="1" ht="45">
      <c r="A30" s="274"/>
      <c r="B30" s="115">
        <v>91871</v>
      </c>
      <c r="C30" s="116" t="s">
        <v>1593</v>
      </c>
      <c r="D30" s="115" t="s">
        <v>76</v>
      </c>
      <c r="E30" s="604">
        <v>160</v>
      </c>
      <c r="F30" s="891"/>
      <c r="G30" s="891"/>
      <c r="H30" s="891"/>
    </row>
    <row r="31" spans="1:8" s="278" customFormat="1" ht="45">
      <c r="A31" s="274"/>
      <c r="B31" s="115">
        <v>91884</v>
      </c>
      <c r="C31" s="116" t="s">
        <v>1594</v>
      </c>
      <c r="D31" s="115" t="s">
        <v>70</v>
      </c>
      <c r="E31" s="604">
        <v>16</v>
      </c>
      <c r="F31" s="891"/>
      <c r="G31" s="891"/>
      <c r="H31" s="891"/>
    </row>
    <row r="32" spans="1:8" s="278" customFormat="1" ht="45">
      <c r="A32" s="274"/>
      <c r="B32" s="115">
        <v>95779</v>
      </c>
      <c r="C32" s="116" t="s">
        <v>1595</v>
      </c>
      <c r="D32" s="115" t="s">
        <v>70</v>
      </c>
      <c r="E32" s="604">
        <v>2</v>
      </c>
      <c r="F32" s="891"/>
      <c r="G32" s="891"/>
      <c r="H32" s="891"/>
    </row>
    <row r="33" spans="1:8" s="278" customFormat="1" ht="60">
      <c r="A33" s="274"/>
      <c r="B33" s="115">
        <v>91914</v>
      </c>
      <c r="C33" s="116" t="s">
        <v>1596</v>
      </c>
      <c r="D33" s="115" t="s">
        <v>70</v>
      </c>
      <c r="E33" s="604">
        <v>10</v>
      </c>
      <c r="F33" s="891"/>
      <c r="G33" s="891"/>
      <c r="H33" s="891"/>
    </row>
    <row r="34" spans="1:8">
      <c r="A34" s="777"/>
      <c r="B34" s="777"/>
      <c r="C34" s="777"/>
      <c r="D34" s="777"/>
      <c r="E34" s="777"/>
      <c r="F34" s="777"/>
      <c r="G34" s="777"/>
      <c r="H34" s="777"/>
    </row>
    <row r="37" spans="1:8">
      <c r="A37" s="58"/>
      <c r="B37" s="58"/>
      <c r="C37" s="72"/>
      <c r="D37" s="58"/>
      <c r="E37" s="58"/>
      <c r="F37" s="58"/>
      <c r="G37" s="58"/>
      <c r="H37" s="58"/>
    </row>
  </sheetData>
  <mergeCells count="32">
    <mergeCell ref="F5:H5"/>
    <mergeCell ref="A1:H1"/>
    <mergeCell ref="F2:H2"/>
    <mergeCell ref="A3:H3"/>
    <mergeCell ref="F14:H14"/>
    <mergeCell ref="F6:H6"/>
    <mergeCell ref="F7:H7"/>
    <mergeCell ref="F8:H8"/>
    <mergeCell ref="F9:H9"/>
    <mergeCell ref="F10:H10"/>
    <mergeCell ref="F11:H11"/>
    <mergeCell ref="F12:H12"/>
    <mergeCell ref="F13:H13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A34:H34"/>
    <mergeCell ref="F28:H28"/>
    <mergeCell ref="F29:H29"/>
    <mergeCell ref="F30:H30"/>
    <mergeCell ref="F31:H31"/>
    <mergeCell ref="F32:H32"/>
    <mergeCell ref="F33:H33"/>
  </mergeCells>
  <conditionalFormatting sqref="B1:B1048576">
    <cfRule type="cellIs" dxfId="0" priority="1" operator="equal">
      <formula>81924.5</formula>
    </cfRule>
  </conditionalFormatting>
  <pageMargins left="0.511811024" right="0.511811024" top="0.78740157499999996" bottom="0.78740157499999996" header="0.31496062000000002" footer="0.31496062000000002"/>
  <pageSetup paperSize="9" scale="5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9CC00"/>
  </sheetPr>
  <dimension ref="A1:H68"/>
  <sheetViews>
    <sheetView view="pageBreakPreview" topLeftCell="A6" zoomScale="60" workbookViewId="0">
      <selection activeCell="G47" sqref="G47"/>
    </sheetView>
  </sheetViews>
  <sheetFormatPr defaultRowHeight="15"/>
  <cols>
    <col min="1" max="1" width="10.7109375" style="295" customWidth="1"/>
    <col min="2" max="2" width="17.140625" style="295" customWidth="1"/>
    <col min="3" max="3" width="67.85546875" style="271" customWidth="1"/>
    <col min="4" max="4" width="9.28515625" style="295" customWidth="1"/>
    <col min="5" max="5" width="10.5703125" style="296" customWidth="1"/>
    <col min="6" max="6" width="17.140625" style="295" customWidth="1"/>
    <col min="7" max="7" width="67.85546875" style="271" customWidth="1"/>
    <col min="8" max="8" width="9.28515625" style="295" customWidth="1"/>
  </cols>
  <sheetData>
    <row r="1" spans="1:8">
      <c r="A1" s="38" t="s">
        <v>2</v>
      </c>
      <c r="B1" s="770" t="s">
        <v>1614</v>
      </c>
      <c r="C1" s="770"/>
      <c r="D1" s="282"/>
      <c r="E1" s="283"/>
      <c r="F1" s="770"/>
      <c r="G1" s="770"/>
      <c r="H1" s="282"/>
    </row>
    <row r="2" spans="1:8">
      <c r="A2" s="92" t="s">
        <v>1578</v>
      </c>
      <c r="B2" s="284" t="s">
        <v>1615</v>
      </c>
      <c r="C2" s="34"/>
      <c r="D2" s="285"/>
      <c r="E2" s="286"/>
      <c r="F2" s="284"/>
      <c r="G2" s="34"/>
      <c r="H2" s="285"/>
    </row>
    <row r="3" spans="1:8">
      <c r="A3" s="92" t="s">
        <v>44</v>
      </c>
      <c r="B3" s="284" t="s">
        <v>1616</v>
      </c>
      <c r="C3" s="8"/>
      <c r="D3" s="285"/>
      <c r="E3" s="286"/>
      <c r="F3" s="284"/>
      <c r="G3" s="8"/>
      <c r="H3" s="285"/>
    </row>
    <row r="4" spans="1:8">
      <c r="A4" s="92" t="s">
        <v>45</v>
      </c>
      <c r="B4" s="284"/>
      <c r="C4" s="8"/>
      <c r="D4" s="9"/>
      <c r="E4" s="287"/>
      <c r="F4" s="284"/>
      <c r="G4" s="8"/>
      <c r="H4" s="9"/>
    </row>
    <row r="5" spans="1:8" ht="15.75" thickBot="1">
      <c r="A5" s="288"/>
      <c r="B5" s="289"/>
      <c r="C5" s="290"/>
      <c r="D5" s="291"/>
      <c r="E5" s="292"/>
      <c r="F5" s="289"/>
      <c r="G5" s="290"/>
      <c r="H5" s="291"/>
    </row>
    <row r="6" spans="1:8" ht="15.75" thickTop="1">
      <c r="A6" s="896" t="s">
        <v>1702</v>
      </c>
      <c r="B6" s="896"/>
      <c r="C6" s="896"/>
      <c r="D6" s="896"/>
      <c r="E6" s="896"/>
      <c r="F6" s="801"/>
      <c r="G6" s="801"/>
      <c r="H6" s="801"/>
    </row>
    <row r="7" spans="1:8" ht="15" customHeight="1">
      <c r="A7" s="897" t="s">
        <v>1617</v>
      </c>
      <c r="B7" s="897"/>
      <c r="C7" s="897"/>
      <c r="D7" s="897"/>
      <c r="E7" s="897"/>
      <c r="F7" s="801"/>
      <c r="G7" s="801"/>
      <c r="H7" s="801"/>
    </row>
    <row r="8" spans="1:8">
      <c r="A8" s="293" t="s">
        <v>194</v>
      </c>
      <c r="B8" s="293"/>
      <c r="C8" s="630" t="s">
        <v>290</v>
      </c>
      <c r="D8" s="631"/>
      <c r="E8" s="632"/>
      <c r="F8" s="293"/>
      <c r="G8" s="294"/>
      <c r="H8" s="293"/>
    </row>
    <row r="9" spans="1:8" ht="25.5">
      <c r="A9" s="298" t="s">
        <v>116</v>
      </c>
      <c r="B9" s="298"/>
      <c r="C9" s="299" t="s">
        <v>1618</v>
      </c>
      <c r="D9" s="298" t="s">
        <v>76</v>
      </c>
      <c r="E9" s="633">
        <v>9590</v>
      </c>
      <c r="F9" s="298"/>
      <c r="G9" s="299"/>
      <c r="H9" s="298"/>
    </row>
    <row r="10" spans="1:8" ht="25.5">
      <c r="A10" s="298" t="s">
        <v>133</v>
      </c>
      <c r="B10" s="298"/>
      <c r="C10" s="299" t="s">
        <v>1619</v>
      </c>
      <c r="D10" s="298" t="s">
        <v>76</v>
      </c>
      <c r="E10" s="633">
        <v>7480</v>
      </c>
      <c r="F10" s="298"/>
      <c r="G10" s="299"/>
      <c r="H10" s="298"/>
    </row>
    <row r="11" spans="1:8" ht="25.5">
      <c r="A11" s="298" t="s">
        <v>134</v>
      </c>
      <c r="B11" s="298"/>
      <c r="C11" s="299" t="s">
        <v>1620</v>
      </c>
      <c r="D11" s="298" t="s">
        <v>76</v>
      </c>
      <c r="E11" s="633">
        <v>85</v>
      </c>
      <c r="F11" s="298"/>
      <c r="G11" s="299"/>
      <c r="H11" s="298"/>
    </row>
    <row r="12" spans="1:8">
      <c r="A12" s="298" t="s">
        <v>135</v>
      </c>
      <c r="B12" s="300"/>
      <c r="C12" s="299" t="s">
        <v>1621</v>
      </c>
      <c r="D12" s="298" t="s">
        <v>76</v>
      </c>
      <c r="E12" s="633">
        <v>875</v>
      </c>
      <c r="F12" s="300"/>
      <c r="G12" s="299"/>
      <c r="H12" s="298"/>
    </row>
    <row r="13" spans="1:8">
      <c r="A13" s="298" t="s">
        <v>147</v>
      </c>
      <c r="B13" s="298"/>
      <c r="C13" s="299" t="s">
        <v>1622</v>
      </c>
      <c r="D13" s="298" t="s">
        <v>76</v>
      </c>
      <c r="E13" s="633">
        <v>430</v>
      </c>
      <c r="F13" s="298"/>
      <c r="G13" s="299"/>
      <c r="H13" s="298"/>
    </row>
    <row r="14" spans="1:8">
      <c r="A14" s="298" t="s">
        <v>297</v>
      </c>
      <c r="B14" s="298"/>
      <c r="C14" s="299" t="s">
        <v>1623</v>
      </c>
      <c r="D14" s="298" t="s">
        <v>76</v>
      </c>
      <c r="E14" s="633">
        <v>320</v>
      </c>
      <c r="F14" s="298"/>
      <c r="G14" s="299"/>
      <c r="H14" s="298"/>
    </row>
    <row r="15" spans="1:8">
      <c r="A15" s="298" t="s">
        <v>324</v>
      </c>
      <c r="B15" s="298"/>
      <c r="C15" s="299" t="s">
        <v>1624</v>
      </c>
      <c r="D15" s="298" t="s">
        <v>76</v>
      </c>
      <c r="E15" s="633">
        <v>280</v>
      </c>
      <c r="F15" s="298"/>
      <c r="G15" s="299"/>
      <c r="H15" s="298"/>
    </row>
    <row r="16" spans="1:8">
      <c r="A16" s="298" t="s">
        <v>325</v>
      </c>
      <c r="B16" s="298"/>
      <c r="C16" s="299" t="s">
        <v>1625</v>
      </c>
      <c r="D16" s="298" t="s">
        <v>76</v>
      </c>
      <c r="E16" s="633">
        <v>355</v>
      </c>
      <c r="F16" s="298"/>
      <c r="G16" s="299"/>
      <c r="H16" s="298"/>
    </row>
    <row r="17" spans="1:8">
      <c r="A17" s="298" t="s">
        <v>326</v>
      </c>
      <c r="B17" s="298"/>
      <c r="C17" s="299" t="s">
        <v>1626</v>
      </c>
      <c r="D17" s="298" t="s">
        <v>76</v>
      </c>
      <c r="E17" s="633">
        <v>120</v>
      </c>
      <c r="F17" s="298"/>
      <c r="G17" s="299"/>
      <c r="H17" s="298"/>
    </row>
    <row r="18" spans="1:8" ht="25.5">
      <c r="A18" s="298" t="s">
        <v>327</v>
      </c>
      <c r="B18" s="300"/>
      <c r="C18" s="299" t="s">
        <v>1627</v>
      </c>
      <c r="D18" s="298" t="s">
        <v>70</v>
      </c>
      <c r="E18" s="634">
        <v>307</v>
      </c>
      <c r="F18" s="300"/>
      <c r="G18" s="299"/>
      <c r="H18" s="298"/>
    </row>
    <row r="19" spans="1:8" ht="25.5">
      <c r="A19" s="298" t="s">
        <v>1628</v>
      </c>
      <c r="B19" s="298"/>
      <c r="C19" s="299" t="s">
        <v>1629</v>
      </c>
      <c r="D19" s="298" t="s">
        <v>70</v>
      </c>
      <c r="E19" s="633">
        <v>7</v>
      </c>
      <c r="F19" s="298"/>
      <c r="G19" s="299"/>
      <c r="H19" s="298"/>
    </row>
    <row r="20" spans="1:8" ht="25.5">
      <c r="A20" s="298" t="s">
        <v>1630</v>
      </c>
      <c r="B20" s="300"/>
      <c r="C20" s="299" t="s">
        <v>1631</v>
      </c>
      <c r="D20" s="298" t="s">
        <v>70</v>
      </c>
      <c r="E20" s="633">
        <v>25</v>
      </c>
      <c r="F20" s="300"/>
      <c r="G20" s="299"/>
      <c r="H20" s="298"/>
    </row>
    <row r="21" spans="1:8" ht="25.5">
      <c r="A21" s="298" t="s">
        <v>1632</v>
      </c>
      <c r="B21" s="298"/>
      <c r="C21" s="299" t="s">
        <v>1633</v>
      </c>
      <c r="D21" s="298" t="s">
        <v>70</v>
      </c>
      <c r="E21" s="634">
        <v>142</v>
      </c>
      <c r="F21" s="298"/>
      <c r="G21" s="299"/>
      <c r="H21" s="298"/>
    </row>
    <row r="22" spans="1:8">
      <c r="A22" s="298" t="s">
        <v>1634</v>
      </c>
      <c r="B22" s="298"/>
      <c r="C22" s="299" t="s">
        <v>1635</v>
      </c>
      <c r="D22" s="298" t="s">
        <v>5</v>
      </c>
      <c r="E22" s="634">
        <v>5</v>
      </c>
      <c r="F22" s="298"/>
      <c r="G22" s="299"/>
      <c r="H22" s="298"/>
    </row>
    <row r="23" spans="1:8">
      <c r="A23" s="298" t="s">
        <v>1636</v>
      </c>
      <c r="B23" s="298"/>
      <c r="C23" s="299" t="s">
        <v>1637</v>
      </c>
      <c r="D23" s="298" t="s">
        <v>5</v>
      </c>
      <c r="E23" s="633">
        <v>22</v>
      </c>
      <c r="F23" s="298"/>
      <c r="G23" s="299"/>
      <c r="H23" s="298"/>
    </row>
    <row r="24" spans="1:8">
      <c r="A24" s="298" t="s">
        <v>1638</v>
      </c>
      <c r="B24" s="298"/>
      <c r="C24" s="299" t="s">
        <v>1639</v>
      </c>
      <c r="D24" s="298" t="s">
        <v>5</v>
      </c>
      <c r="E24" s="633">
        <v>6</v>
      </c>
      <c r="F24" s="298"/>
      <c r="G24" s="299"/>
      <c r="H24" s="298"/>
    </row>
    <row r="25" spans="1:8">
      <c r="A25" s="298" t="s">
        <v>1640</v>
      </c>
      <c r="B25" s="298"/>
      <c r="C25" s="299" t="s">
        <v>1641</v>
      </c>
      <c r="D25" s="298" t="s">
        <v>5</v>
      </c>
      <c r="E25" s="633">
        <v>2</v>
      </c>
      <c r="F25" s="298"/>
      <c r="G25" s="299"/>
      <c r="H25" s="298"/>
    </row>
    <row r="26" spans="1:8">
      <c r="A26" s="298" t="s">
        <v>1642</v>
      </c>
      <c r="B26" s="298"/>
      <c r="C26" s="299" t="s">
        <v>1643</v>
      </c>
      <c r="D26" s="298" t="s">
        <v>5</v>
      </c>
      <c r="E26" s="633">
        <v>1</v>
      </c>
      <c r="F26" s="298"/>
      <c r="G26" s="299"/>
      <c r="H26" s="298"/>
    </row>
    <row r="27" spans="1:8" ht="25.5">
      <c r="A27" s="298" t="s">
        <v>1644</v>
      </c>
      <c r="B27" s="298"/>
      <c r="C27" s="299" t="s">
        <v>1645</v>
      </c>
      <c r="D27" s="301" t="s">
        <v>70</v>
      </c>
      <c r="E27" s="634">
        <v>332</v>
      </c>
      <c r="F27" s="298"/>
      <c r="G27" s="299"/>
      <c r="H27" s="301"/>
    </row>
    <row r="28" spans="1:8" ht="25.5">
      <c r="A28" s="298" t="s">
        <v>1646</v>
      </c>
      <c r="B28" s="298"/>
      <c r="C28" s="299" t="s">
        <v>1647</v>
      </c>
      <c r="D28" s="298" t="s">
        <v>5</v>
      </c>
      <c r="E28" s="634">
        <v>4</v>
      </c>
      <c r="F28" s="298"/>
      <c r="G28" s="299"/>
      <c r="H28" s="298"/>
    </row>
    <row r="29" spans="1:8" ht="25.5">
      <c r="A29" s="298" t="s">
        <v>1648</v>
      </c>
      <c r="B29" s="298"/>
      <c r="C29" s="299" t="s">
        <v>1649</v>
      </c>
      <c r="D29" s="298" t="s">
        <v>5</v>
      </c>
      <c r="E29" s="633">
        <v>142</v>
      </c>
      <c r="F29" s="298"/>
      <c r="G29" s="299"/>
      <c r="H29" s="298"/>
    </row>
    <row r="30" spans="1:8" ht="25.5">
      <c r="A30" s="298" t="s">
        <v>1650</v>
      </c>
      <c r="B30" s="298"/>
      <c r="C30" s="299" t="s">
        <v>1651</v>
      </c>
      <c r="D30" s="298" t="s">
        <v>70</v>
      </c>
      <c r="E30" s="633">
        <v>26</v>
      </c>
      <c r="F30" s="298"/>
      <c r="G30" s="299"/>
      <c r="H30" s="298"/>
    </row>
    <row r="31" spans="1:8" ht="25.5">
      <c r="A31" s="298" t="s">
        <v>1652</v>
      </c>
      <c r="B31" s="298"/>
      <c r="C31" s="299" t="s">
        <v>1653</v>
      </c>
      <c r="D31" s="298" t="s">
        <v>70</v>
      </c>
      <c r="E31" s="633">
        <v>4</v>
      </c>
      <c r="F31" s="298"/>
      <c r="G31" s="299"/>
      <c r="H31" s="298"/>
    </row>
    <row r="32" spans="1:8" ht="25.5">
      <c r="A32" s="298" t="s">
        <v>1654</v>
      </c>
      <c r="B32" s="298"/>
      <c r="C32" s="299" t="s">
        <v>1655</v>
      </c>
      <c r="D32" s="298" t="s">
        <v>70</v>
      </c>
      <c r="E32" s="633">
        <v>24</v>
      </c>
      <c r="F32" s="298"/>
      <c r="G32" s="299"/>
      <c r="H32" s="298"/>
    </row>
    <row r="33" spans="1:8" ht="38.25">
      <c r="A33" s="298" t="s">
        <v>1656</v>
      </c>
      <c r="B33" s="298"/>
      <c r="C33" s="299" t="s">
        <v>1657</v>
      </c>
      <c r="D33" s="298" t="s">
        <v>70</v>
      </c>
      <c r="E33" s="633">
        <v>3</v>
      </c>
      <c r="F33" s="298"/>
      <c r="G33" s="299"/>
      <c r="H33" s="298"/>
    </row>
    <row r="34" spans="1:8" ht="38.25">
      <c r="A34" s="298" t="s">
        <v>1658</v>
      </c>
      <c r="B34" s="298"/>
      <c r="C34" s="299" t="s">
        <v>1659</v>
      </c>
      <c r="D34" s="298" t="s">
        <v>70</v>
      </c>
      <c r="E34" s="633">
        <v>5</v>
      </c>
      <c r="F34" s="298"/>
      <c r="G34" s="299"/>
      <c r="H34" s="298"/>
    </row>
    <row r="35" spans="1:8" ht="38.25">
      <c r="A35" s="298" t="s">
        <v>1660</v>
      </c>
      <c r="B35" s="298"/>
      <c r="C35" s="299" t="s">
        <v>1661</v>
      </c>
      <c r="D35" s="298" t="s">
        <v>70</v>
      </c>
      <c r="E35" s="633">
        <v>2</v>
      </c>
      <c r="F35" s="298"/>
      <c r="G35" s="299"/>
      <c r="H35" s="298"/>
    </row>
    <row r="36" spans="1:8" ht="38.25">
      <c r="A36" s="298" t="s">
        <v>1662</v>
      </c>
      <c r="B36" s="300"/>
      <c r="C36" s="299" t="s">
        <v>1663</v>
      </c>
      <c r="D36" s="298" t="s">
        <v>5</v>
      </c>
      <c r="E36" s="633">
        <v>1</v>
      </c>
      <c r="F36" s="300"/>
      <c r="G36" s="299"/>
      <c r="H36" s="298"/>
    </row>
    <row r="37" spans="1:8" ht="25.5">
      <c r="A37" s="298" t="s">
        <v>1664</v>
      </c>
      <c r="B37" s="300"/>
      <c r="C37" s="299" t="s">
        <v>1665</v>
      </c>
      <c r="D37" s="298" t="s">
        <v>76</v>
      </c>
      <c r="E37" s="633">
        <v>8</v>
      </c>
      <c r="F37" s="300"/>
      <c r="G37" s="299"/>
      <c r="H37" s="298"/>
    </row>
    <row r="38" spans="1:8" ht="25.5">
      <c r="A38" s="298" t="s">
        <v>1666</v>
      </c>
      <c r="B38" s="300"/>
      <c r="C38" s="299" t="s">
        <v>1667</v>
      </c>
      <c r="D38" s="298" t="s">
        <v>76</v>
      </c>
      <c r="E38" s="633">
        <v>2</v>
      </c>
      <c r="F38" s="300"/>
      <c r="G38" s="299"/>
      <c r="H38" s="298"/>
    </row>
    <row r="39" spans="1:8" ht="25.5">
      <c r="A39" s="298" t="s">
        <v>1668</v>
      </c>
      <c r="B39" s="298"/>
      <c r="C39" s="299" t="s">
        <v>1669</v>
      </c>
      <c r="D39" s="298" t="s">
        <v>70</v>
      </c>
      <c r="E39" s="633">
        <v>38</v>
      </c>
      <c r="F39" s="298"/>
      <c r="G39" s="299"/>
      <c r="H39" s="298"/>
    </row>
    <row r="40" spans="1:8" ht="25.5">
      <c r="A40" s="298" t="s">
        <v>1670</v>
      </c>
      <c r="B40" s="298"/>
      <c r="C40" s="299" t="s">
        <v>1671</v>
      </c>
      <c r="D40" s="298" t="s">
        <v>70</v>
      </c>
      <c r="E40" s="633">
        <v>11</v>
      </c>
      <c r="F40" s="298"/>
      <c r="G40" s="299"/>
      <c r="H40" s="298"/>
    </row>
    <row r="41" spans="1:8">
      <c r="A41" s="298" t="s">
        <v>1672</v>
      </c>
      <c r="B41" s="298"/>
      <c r="C41" s="302" t="s">
        <v>1673</v>
      </c>
      <c r="D41" s="298" t="s">
        <v>70</v>
      </c>
      <c r="E41" s="633">
        <v>9</v>
      </c>
      <c r="F41" s="298"/>
      <c r="G41" s="302"/>
      <c r="H41" s="298"/>
    </row>
    <row r="42" spans="1:8">
      <c r="A42" s="298" t="s">
        <v>1674</v>
      </c>
      <c r="B42" s="298"/>
      <c r="C42" s="302" t="s">
        <v>1675</v>
      </c>
      <c r="D42" s="298" t="s">
        <v>70</v>
      </c>
      <c r="E42" s="633">
        <v>51</v>
      </c>
      <c r="F42" s="298"/>
      <c r="G42" s="302"/>
      <c r="H42" s="298"/>
    </row>
    <row r="43" spans="1:8">
      <c r="A43" s="298" t="s">
        <v>1676</v>
      </c>
      <c r="B43" s="300"/>
      <c r="C43" s="302" t="s">
        <v>1677</v>
      </c>
      <c r="D43" s="298" t="s">
        <v>70</v>
      </c>
      <c r="E43" s="633">
        <v>2</v>
      </c>
      <c r="F43" s="300"/>
      <c r="G43" s="302"/>
      <c r="H43" s="298"/>
    </row>
    <row r="44" spans="1:8">
      <c r="A44" s="298" t="s">
        <v>1678</v>
      </c>
      <c r="B44" s="300"/>
      <c r="C44" s="302" t="s">
        <v>1679</v>
      </c>
      <c r="D44" s="298" t="s">
        <v>70</v>
      </c>
      <c r="E44" s="633">
        <v>8</v>
      </c>
      <c r="F44" s="300"/>
      <c r="G44" s="302"/>
      <c r="H44" s="298"/>
    </row>
    <row r="45" spans="1:8" ht="25.5">
      <c r="A45" s="298" t="s">
        <v>1680</v>
      </c>
      <c r="B45" s="298"/>
      <c r="C45" s="299" t="s">
        <v>1681</v>
      </c>
      <c r="D45" s="298" t="s">
        <v>70</v>
      </c>
      <c r="E45" s="633">
        <v>8</v>
      </c>
      <c r="F45" s="298"/>
      <c r="G45" s="299"/>
      <c r="H45" s="298"/>
    </row>
    <row r="46" spans="1:8" ht="25.5">
      <c r="A46" s="298" t="s">
        <v>1682</v>
      </c>
      <c r="B46" s="298"/>
      <c r="C46" s="299" t="s">
        <v>1683</v>
      </c>
      <c r="D46" s="298" t="s">
        <v>70</v>
      </c>
      <c r="E46" s="633">
        <v>4</v>
      </c>
      <c r="F46" s="298"/>
      <c r="G46" s="299"/>
      <c r="H46" s="298"/>
    </row>
    <row r="47" spans="1:8" ht="25.5">
      <c r="A47" s="298" t="s">
        <v>1684</v>
      </c>
      <c r="B47" s="298"/>
      <c r="C47" s="299" t="s">
        <v>1685</v>
      </c>
      <c r="D47" s="298" t="s">
        <v>70</v>
      </c>
      <c r="E47" s="633">
        <v>1</v>
      </c>
      <c r="F47" s="298"/>
      <c r="G47" s="299"/>
      <c r="H47" s="298"/>
    </row>
    <row r="48" spans="1:8" ht="25.5">
      <c r="A48" s="298" t="s">
        <v>1686</v>
      </c>
      <c r="B48" s="298"/>
      <c r="C48" s="299" t="s">
        <v>1687</v>
      </c>
      <c r="D48" s="298" t="s">
        <v>101</v>
      </c>
      <c r="E48" s="633">
        <v>2000</v>
      </c>
      <c r="F48" s="298"/>
      <c r="G48" s="299"/>
      <c r="H48" s="298"/>
    </row>
    <row r="49" spans="1:8" ht="25.5">
      <c r="A49" s="298" t="s">
        <v>1688</v>
      </c>
      <c r="B49" s="298"/>
      <c r="C49" s="299" t="s">
        <v>1689</v>
      </c>
      <c r="D49" s="298" t="s">
        <v>101</v>
      </c>
      <c r="E49" s="633">
        <v>165</v>
      </c>
      <c r="F49" s="298"/>
      <c r="G49" s="299"/>
      <c r="H49" s="298"/>
    </row>
    <row r="50" spans="1:8" ht="25.5">
      <c r="A50" s="298" t="s">
        <v>1690</v>
      </c>
      <c r="B50" s="298"/>
      <c r="C50" s="299" t="s">
        <v>1704</v>
      </c>
      <c r="D50" s="298" t="s">
        <v>101</v>
      </c>
      <c r="E50" s="633">
        <v>75</v>
      </c>
      <c r="F50" s="298"/>
      <c r="G50" s="299"/>
      <c r="H50" s="298"/>
    </row>
    <row r="51" spans="1:8" ht="38.25">
      <c r="A51" s="298" t="s">
        <v>1691</v>
      </c>
      <c r="B51" s="298"/>
      <c r="C51" s="299" t="s">
        <v>744</v>
      </c>
      <c r="D51" s="304" t="s">
        <v>101</v>
      </c>
      <c r="E51" s="633">
        <v>245</v>
      </c>
      <c r="F51" s="298"/>
      <c r="G51" s="299"/>
      <c r="H51" s="304"/>
    </row>
    <row r="52" spans="1:8">
      <c r="A52" s="298"/>
      <c r="B52" s="298"/>
      <c r="C52" s="299" t="s">
        <v>1692</v>
      </c>
      <c r="D52" s="304" t="s">
        <v>5</v>
      </c>
      <c r="E52" s="633">
        <v>1</v>
      </c>
      <c r="F52" s="298"/>
      <c r="G52" s="299"/>
      <c r="H52" s="304"/>
    </row>
    <row r="53" spans="1:8">
      <c r="A53" s="298" t="s">
        <v>1693</v>
      </c>
      <c r="B53" s="298"/>
      <c r="C53" s="299" t="s">
        <v>1694</v>
      </c>
      <c r="D53" s="298" t="s">
        <v>70</v>
      </c>
      <c r="E53" s="633">
        <v>12</v>
      </c>
      <c r="F53" s="298"/>
      <c r="G53" s="299"/>
      <c r="H53" s="298"/>
    </row>
    <row r="54" spans="1:8">
      <c r="A54" s="298" t="s">
        <v>1695</v>
      </c>
      <c r="B54" s="298"/>
      <c r="C54" s="299" t="s">
        <v>1696</v>
      </c>
      <c r="D54" s="298" t="s">
        <v>70</v>
      </c>
      <c r="E54" s="633">
        <v>14</v>
      </c>
      <c r="F54" s="298"/>
      <c r="G54" s="299"/>
      <c r="H54" s="298"/>
    </row>
    <row r="55" spans="1:8" ht="25.5">
      <c r="A55" s="298" t="s">
        <v>1697</v>
      </c>
      <c r="B55" s="300"/>
      <c r="C55" s="303" t="s">
        <v>1698</v>
      </c>
      <c r="D55" s="304" t="s">
        <v>5</v>
      </c>
      <c r="E55" s="634">
        <v>14</v>
      </c>
      <c r="F55" s="300"/>
      <c r="G55" s="303"/>
      <c r="H55" s="304"/>
    </row>
    <row r="56" spans="1:8" ht="25.5">
      <c r="A56" s="298" t="s">
        <v>1699</v>
      </c>
      <c r="B56" s="300"/>
      <c r="C56" s="299" t="s">
        <v>1700</v>
      </c>
      <c r="D56" s="304" t="s">
        <v>5</v>
      </c>
      <c r="E56" s="633">
        <v>46</v>
      </c>
      <c r="F56" s="300"/>
      <c r="G56" s="299"/>
      <c r="H56" s="304"/>
    </row>
    <row r="57" spans="1:8" ht="25.5">
      <c r="A57" s="298" t="s">
        <v>1701</v>
      </c>
      <c r="B57" s="300"/>
      <c r="C57" s="299" t="s">
        <v>2606</v>
      </c>
      <c r="D57" s="304" t="s">
        <v>5</v>
      </c>
      <c r="E57" s="633">
        <v>14</v>
      </c>
      <c r="F57" s="300"/>
      <c r="G57" s="299"/>
      <c r="H57" s="304"/>
    </row>
    <row r="58" spans="1:8">
      <c r="C58" s="635" t="s">
        <v>3037</v>
      </c>
      <c r="D58" s="636" t="s">
        <v>76</v>
      </c>
      <c r="E58" s="633">
        <v>180</v>
      </c>
    </row>
    <row r="59" spans="1:8">
      <c r="C59" s="635" t="s">
        <v>3038</v>
      </c>
      <c r="D59" s="636" t="s">
        <v>973</v>
      </c>
      <c r="E59" s="633">
        <v>14</v>
      </c>
    </row>
    <row r="60" spans="1:8">
      <c r="A60" s="271"/>
      <c r="B60" s="271"/>
      <c r="C60" s="635" t="s">
        <v>3039</v>
      </c>
      <c r="D60" s="636" t="s">
        <v>973</v>
      </c>
      <c r="E60" s="633">
        <v>67</v>
      </c>
      <c r="F60" s="271"/>
      <c r="G60" s="297"/>
      <c r="H60" s="271"/>
    </row>
    <row r="61" spans="1:8">
      <c r="C61" s="635" t="s">
        <v>3040</v>
      </c>
      <c r="D61" s="636" t="s">
        <v>973</v>
      </c>
      <c r="E61" s="633">
        <v>50</v>
      </c>
    </row>
    <row r="62" spans="1:8">
      <c r="C62" s="635" t="s">
        <v>3041</v>
      </c>
      <c r="D62" s="636" t="s">
        <v>973</v>
      </c>
      <c r="E62" s="633">
        <v>68</v>
      </c>
    </row>
    <row r="63" spans="1:8">
      <c r="C63" s="635" t="s">
        <v>3042</v>
      </c>
      <c r="D63" s="636" t="s">
        <v>973</v>
      </c>
      <c r="E63" s="633">
        <v>117</v>
      </c>
    </row>
    <row r="64" spans="1:8">
      <c r="C64" s="635" t="s">
        <v>3043</v>
      </c>
      <c r="D64" s="636" t="s">
        <v>76</v>
      </c>
      <c r="E64" s="633">
        <v>920</v>
      </c>
    </row>
    <row r="65" spans="3:5">
      <c r="C65" s="635" t="s">
        <v>3044</v>
      </c>
      <c r="D65" s="636" t="s">
        <v>76</v>
      </c>
      <c r="E65" s="633">
        <v>200</v>
      </c>
    </row>
    <row r="66" spans="3:5">
      <c r="C66" s="635" t="s">
        <v>3045</v>
      </c>
      <c r="D66" s="636" t="s">
        <v>76</v>
      </c>
      <c r="E66" s="633">
        <v>91</v>
      </c>
    </row>
    <row r="67" spans="3:5">
      <c r="C67" s="635" t="s">
        <v>3046</v>
      </c>
      <c r="D67" s="636" t="s">
        <v>76</v>
      </c>
      <c r="E67" s="637">
        <v>155</v>
      </c>
    </row>
    <row r="68" spans="3:5">
      <c r="C68" s="635" t="s">
        <v>3100</v>
      </c>
      <c r="D68" s="636" t="s">
        <v>76</v>
      </c>
      <c r="E68" s="637">
        <v>215</v>
      </c>
    </row>
  </sheetData>
  <mergeCells count="6">
    <mergeCell ref="F1:G1"/>
    <mergeCell ref="F6:H6"/>
    <mergeCell ref="F7:H7"/>
    <mergeCell ref="B1:C1"/>
    <mergeCell ref="A6:E6"/>
    <mergeCell ref="A7:E7"/>
  </mergeCells>
  <pageMargins left="0.511811024" right="0.511811024" top="0.78740157499999996" bottom="0.78740157499999996" header="0.31496062000000002" footer="0.31496062000000002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44"/>
  <sheetViews>
    <sheetView topLeftCell="A27" workbookViewId="0">
      <selection activeCell="J44" sqref="A1:J44"/>
    </sheetView>
  </sheetViews>
  <sheetFormatPr defaultRowHeight="15"/>
  <cols>
    <col min="1" max="7" width="9.140625" style="531"/>
    <col min="8" max="8" width="15.85546875" style="531" customWidth="1"/>
    <col min="9" max="9" width="9.5703125" style="531" bestFit="1" customWidth="1"/>
    <col min="10" max="17" width="9.140625" style="531"/>
    <col min="18" max="18" width="16.7109375" style="531" bestFit="1" customWidth="1"/>
    <col min="19" max="19" width="19.28515625" style="531" bestFit="1" customWidth="1"/>
    <col min="20" max="16384" width="9.140625" style="531"/>
  </cols>
  <sheetData>
    <row r="1" spans="1:19" ht="60" customHeight="1" thickBot="1">
      <c r="A1" s="898" t="s">
        <v>3020</v>
      </c>
      <c r="B1" s="899"/>
      <c r="C1" s="899"/>
      <c r="D1" s="899"/>
      <c r="E1" s="899"/>
      <c r="F1" s="899"/>
      <c r="G1" s="899"/>
      <c r="H1" s="899"/>
      <c r="I1" s="899"/>
      <c r="J1" s="900"/>
    </row>
    <row r="3" spans="1:19" ht="15.75" thickBot="1"/>
    <row r="4" spans="1:19" ht="19.5" thickBot="1">
      <c r="A4" s="901" t="s">
        <v>566</v>
      </c>
      <c r="B4" s="902"/>
      <c r="C4" s="902"/>
      <c r="D4" s="902"/>
      <c r="E4" s="902"/>
      <c r="F4" s="902"/>
      <c r="G4" s="902"/>
      <c r="H4" s="902"/>
      <c r="I4" s="903"/>
      <c r="L4" s="904" t="s">
        <v>613</v>
      </c>
      <c r="M4" s="905"/>
      <c r="N4" s="905"/>
      <c r="O4" s="905"/>
      <c r="P4" s="905"/>
      <c r="Q4" s="905"/>
      <c r="R4" s="905"/>
      <c r="S4" s="906"/>
    </row>
    <row r="5" spans="1:19" ht="18" thickBot="1">
      <c r="A5" s="883" t="s">
        <v>567</v>
      </c>
      <c r="B5" s="884"/>
      <c r="C5" s="884"/>
      <c r="D5" s="884"/>
      <c r="E5" s="884"/>
      <c r="F5" s="884"/>
      <c r="G5" s="884"/>
      <c r="H5" s="884"/>
      <c r="I5" s="907"/>
      <c r="J5" s="140" t="s">
        <v>5</v>
      </c>
      <c r="L5" s="908" t="s">
        <v>3021</v>
      </c>
      <c r="M5" s="909"/>
      <c r="N5" s="909"/>
      <c r="O5" s="909"/>
      <c r="P5" s="909"/>
      <c r="Q5" s="909"/>
      <c r="R5" s="909"/>
      <c r="S5" s="909"/>
    </row>
    <row r="6" spans="1:19" ht="48.75" customHeight="1">
      <c r="A6" s="848" t="s">
        <v>3022</v>
      </c>
      <c r="B6" s="849"/>
      <c r="C6" s="849"/>
      <c r="D6" s="849"/>
      <c r="E6" s="849"/>
      <c r="F6" s="849"/>
      <c r="G6" s="849"/>
      <c r="H6" s="849"/>
      <c r="I6" s="419">
        <f>R8+R11</f>
        <v>43.654300000000006</v>
      </c>
      <c r="J6" s="141" t="s">
        <v>162</v>
      </c>
      <c r="L6" s="910" t="s">
        <v>3023</v>
      </c>
      <c r="M6" s="911"/>
      <c r="N6" s="911"/>
      <c r="O6" s="911"/>
      <c r="P6" s="911"/>
      <c r="Q6" s="911"/>
      <c r="R6" s="911"/>
      <c r="S6" s="912"/>
    </row>
    <row r="7" spans="1:19" ht="45" customHeight="1">
      <c r="A7" s="854"/>
      <c r="B7" s="855"/>
      <c r="C7" s="855"/>
      <c r="D7" s="855"/>
      <c r="E7" s="855"/>
      <c r="F7" s="855"/>
      <c r="G7" s="855"/>
      <c r="H7" s="855"/>
      <c r="I7" s="562"/>
      <c r="J7" s="142"/>
      <c r="L7" s="143" t="s">
        <v>160</v>
      </c>
      <c r="M7" s="144" t="s">
        <v>615</v>
      </c>
      <c r="N7" s="144" t="s">
        <v>616</v>
      </c>
      <c r="O7" s="144" t="s">
        <v>617</v>
      </c>
      <c r="P7" s="144" t="s">
        <v>2987</v>
      </c>
      <c r="Q7" s="144" t="s">
        <v>618</v>
      </c>
      <c r="R7" s="144" t="s">
        <v>266</v>
      </c>
      <c r="S7" s="144" t="s">
        <v>267</v>
      </c>
    </row>
    <row r="8" spans="1:19" ht="40.5" customHeight="1">
      <c r="A8" s="848" t="s">
        <v>3024</v>
      </c>
      <c r="B8" s="849"/>
      <c r="C8" s="849"/>
      <c r="D8" s="849"/>
      <c r="E8" s="849"/>
      <c r="F8" s="849"/>
      <c r="G8" s="849"/>
      <c r="H8" s="849"/>
      <c r="I8" s="419">
        <f>I6-I20-I28</f>
        <v>33.794300000000007</v>
      </c>
      <c r="J8" s="142" t="s">
        <v>162</v>
      </c>
      <c r="L8" s="145">
        <v>11</v>
      </c>
      <c r="M8" s="146">
        <v>1.3</v>
      </c>
      <c r="N8" s="146">
        <v>1.3</v>
      </c>
      <c r="O8" s="147">
        <f>M8*N8</f>
        <v>1.6900000000000002</v>
      </c>
      <c r="P8" s="146">
        <v>0.45</v>
      </c>
      <c r="Q8" s="146">
        <v>0.4</v>
      </c>
      <c r="R8" s="147">
        <f>O8*(P8+Q8)*L8</f>
        <v>15.801500000000004</v>
      </c>
      <c r="S8" s="147">
        <f>O8*L8</f>
        <v>18.590000000000003</v>
      </c>
    </row>
    <row r="9" spans="1:19" ht="34.5" customHeight="1">
      <c r="A9" s="848" t="s">
        <v>3025</v>
      </c>
      <c r="B9" s="849"/>
      <c r="C9" s="849"/>
      <c r="D9" s="849"/>
      <c r="E9" s="849"/>
      <c r="F9" s="849"/>
      <c r="G9" s="849"/>
      <c r="H9" s="849"/>
      <c r="I9" s="419">
        <f>(I20+I28)*1.4</f>
        <v>13.803999999999998</v>
      </c>
      <c r="J9" s="142" t="s">
        <v>162</v>
      </c>
      <c r="L9" s="910" t="s">
        <v>3026</v>
      </c>
      <c r="M9" s="911"/>
      <c r="N9" s="911"/>
      <c r="O9" s="911"/>
      <c r="P9" s="911"/>
      <c r="Q9" s="911"/>
      <c r="R9" s="911"/>
      <c r="S9" s="912"/>
    </row>
    <row r="10" spans="1:19" ht="37.5" customHeight="1">
      <c r="A10" s="864" t="s">
        <v>3027</v>
      </c>
      <c r="B10" s="865"/>
      <c r="C10" s="865"/>
      <c r="D10" s="865"/>
      <c r="E10" s="865"/>
      <c r="F10" s="865"/>
      <c r="G10" s="865"/>
      <c r="H10" s="866"/>
      <c r="I10" s="165">
        <f>S8+S11</f>
        <v>51.358000000000004</v>
      </c>
      <c r="J10" s="142" t="s">
        <v>161</v>
      </c>
      <c r="L10" s="143" t="s">
        <v>160</v>
      </c>
      <c r="M10" s="144" t="s">
        <v>615</v>
      </c>
      <c r="N10" s="144" t="s">
        <v>616</v>
      </c>
      <c r="O10" s="144" t="s">
        <v>617</v>
      </c>
      <c r="P10" s="144" t="s">
        <v>2987</v>
      </c>
      <c r="Q10" s="144" t="s">
        <v>618</v>
      </c>
      <c r="R10" s="144" t="s">
        <v>266</v>
      </c>
      <c r="S10" s="144" t="s">
        <v>267</v>
      </c>
    </row>
    <row r="11" spans="1:19" ht="30" customHeight="1">
      <c r="A11" s="854"/>
      <c r="B11" s="855"/>
      <c r="C11" s="855"/>
      <c r="D11" s="855"/>
      <c r="E11" s="855"/>
      <c r="F11" s="855"/>
      <c r="G11" s="855"/>
      <c r="H11" s="855"/>
      <c r="I11" s="562"/>
      <c r="J11" s="142"/>
      <c r="L11" s="145">
        <v>1</v>
      </c>
      <c r="M11" s="146">
        <f>2.43+2.43+2.6+2.6+1.44+2.11+2.11+2.13+1.09+1.09+1.9+4.43+5.54+5.68+3.38</f>
        <v>40.96</v>
      </c>
      <c r="N11" s="146">
        <f>0.4+0.4</f>
        <v>0.8</v>
      </c>
      <c r="O11" s="147">
        <f>M11*N11</f>
        <v>32.768000000000001</v>
      </c>
      <c r="P11" s="146">
        <v>0.45</v>
      </c>
      <c r="Q11" s="146">
        <v>0.4</v>
      </c>
      <c r="R11" s="147">
        <f>O11*(P11+Q11)*L11</f>
        <v>27.852800000000002</v>
      </c>
      <c r="S11" s="147">
        <f>O11*L11</f>
        <v>32.768000000000001</v>
      </c>
    </row>
    <row r="12" spans="1:19" ht="35.25" customHeight="1">
      <c r="A12" s="864" t="s">
        <v>3028</v>
      </c>
      <c r="B12" s="865"/>
      <c r="C12" s="865"/>
      <c r="D12" s="865"/>
      <c r="E12" s="865"/>
      <c r="F12" s="865"/>
      <c r="G12" s="865"/>
      <c r="H12" s="866"/>
      <c r="I12" s="165">
        <f>I10</f>
        <v>51.358000000000004</v>
      </c>
      <c r="J12" s="142" t="s">
        <v>161</v>
      </c>
    </row>
    <row r="13" spans="1:19">
      <c r="A13" s="913"/>
      <c r="B13" s="914"/>
      <c r="C13" s="914"/>
      <c r="D13" s="914"/>
      <c r="E13" s="914"/>
      <c r="F13" s="914"/>
      <c r="G13" s="914"/>
      <c r="H13" s="914"/>
      <c r="I13" s="563"/>
      <c r="J13" s="142"/>
    </row>
    <row r="14" spans="1:19">
      <c r="A14" s="864"/>
      <c r="B14" s="865"/>
      <c r="C14" s="865"/>
      <c r="D14" s="865"/>
      <c r="E14" s="865"/>
      <c r="F14" s="865"/>
      <c r="G14" s="865"/>
      <c r="H14" s="866"/>
      <c r="I14" s="563"/>
      <c r="J14" s="142"/>
    </row>
    <row r="15" spans="1:19" ht="30" customHeight="1">
      <c r="A15" s="859"/>
      <c r="B15" s="860"/>
      <c r="C15" s="860"/>
      <c r="D15" s="860"/>
      <c r="E15" s="860"/>
      <c r="F15" s="860"/>
      <c r="G15" s="860"/>
      <c r="H15" s="860"/>
      <c r="I15" s="563"/>
      <c r="J15" s="142"/>
    </row>
    <row r="16" spans="1:19" ht="15" customHeight="1">
      <c r="A16" s="855"/>
      <c r="B16" s="855"/>
      <c r="C16" s="855"/>
      <c r="D16" s="855"/>
      <c r="E16" s="855"/>
      <c r="F16" s="855"/>
      <c r="G16" s="855"/>
      <c r="H16" s="855"/>
      <c r="I16" s="562"/>
      <c r="J16" s="142"/>
    </row>
    <row r="17" spans="1:10" ht="15" customHeight="1" thickBot="1">
      <c r="A17" s="915"/>
      <c r="B17" s="916"/>
      <c r="C17" s="916"/>
      <c r="D17" s="916"/>
      <c r="E17" s="916"/>
      <c r="F17" s="916"/>
      <c r="G17" s="916"/>
      <c r="H17" s="917"/>
      <c r="I17" s="564"/>
      <c r="J17" s="148"/>
    </row>
    <row r="18" spans="1:10" ht="18" thickBot="1">
      <c r="A18" s="883" t="s">
        <v>3029</v>
      </c>
      <c r="B18" s="884"/>
      <c r="C18" s="884"/>
      <c r="D18" s="884"/>
      <c r="E18" s="884"/>
      <c r="F18" s="884"/>
      <c r="G18" s="884"/>
      <c r="H18" s="884"/>
      <c r="I18" s="907"/>
      <c r="J18" s="138" t="s">
        <v>5</v>
      </c>
    </row>
    <row r="19" spans="1:10">
      <c r="A19" s="879" t="s">
        <v>628</v>
      </c>
      <c r="B19" s="880"/>
      <c r="C19" s="880"/>
      <c r="D19" s="880"/>
      <c r="E19" s="880"/>
      <c r="F19" s="880"/>
      <c r="G19" s="880"/>
      <c r="H19" s="880"/>
      <c r="I19" s="419">
        <f>12.32</f>
        <v>12.32</v>
      </c>
      <c r="J19" s="141" t="s">
        <v>161</v>
      </c>
    </row>
    <row r="20" spans="1:10">
      <c r="A20" s="874" t="s">
        <v>629</v>
      </c>
      <c r="B20" s="875"/>
      <c r="C20" s="875"/>
      <c r="D20" s="875"/>
      <c r="E20" s="875"/>
      <c r="F20" s="875"/>
      <c r="G20" s="875"/>
      <c r="H20" s="875"/>
      <c r="I20" s="165">
        <f>3.56</f>
        <v>3.56</v>
      </c>
      <c r="J20" s="142" t="s">
        <v>162</v>
      </c>
    </row>
    <row r="21" spans="1:10">
      <c r="A21" s="874" t="s">
        <v>627</v>
      </c>
      <c r="B21" s="875"/>
      <c r="C21" s="875"/>
      <c r="D21" s="875"/>
      <c r="E21" s="875"/>
      <c r="F21" s="875"/>
      <c r="G21" s="875"/>
      <c r="H21" s="875"/>
      <c r="I21" s="165">
        <f>I20</f>
        <v>3.56</v>
      </c>
      <c r="J21" s="142" t="s">
        <v>162</v>
      </c>
    </row>
    <row r="22" spans="1:10">
      <c r="A22" s="874" t="s">
        <v>3030</v>
      </c>
      <c r="B22" s="875"/>
      <c r="C22" s="875"/>
      <c r="D22" s="875"/>
      <c r="E22" s="875"/>
      <c r="F22" s="875"/>
      <c r="G22" s="875"/>
      <c r="H22" s="875"/>
      <c r="I22" s="165">
        <f>15.29+82</f>
        <v>97.289999999999992</v>
      </c>
      <c r="J22" s="142" t="s">
        <v>94</v>
      </c>
    </row>
    <row r="23" spans="1:10">
      <c r="A23" s="874" t="s">
        <v>3031</v>
      </c>
      <c r="B23" s="875"/>
      <c r="C23" s="875"/>
      <c r="D23" s="875"/>
      <c r="E23" s="875"/>
      <c r="F23" s="875"/>
      <c r="G23" s="875"/>
      <c r="H23" s="875"/>
      <c r="I23" s="165">
        <f>218</f>
        <v>218</v>
      </c>
      <c r="J23" s="142" t="s">
        <v>94</v>
      </c>
    </row>
    <row r="24" spans="1:10">
      <c r="A24" s="874" t="s">
        <v>631</v>
      </c>
      <c r="B24" s="875"/>
      <c r="C24" s="875"/>
      <c r="D24" s="875"/>
      <c r="E24" s="875"/>
      <c r="F24" s="875"/>
      <c r="G24" s="875"/>
      <c r="H24" s="875"/>
      <c r="I24" s="165">
        <f>161.15</f>
        <v>161.15</v>
      </c>
      <c r="J24" s="142" t="s">
        <v>94</v>
      </c>
    </row>
    <row r="25" spans="1:10" ht="15.75" thickBot="1">
      <c r="A25" s="913" t="s">
        <v>3032</v>
      </c>
      <c r="B25" s="914"/>
      <c r="C25" s="914"/>
      <c r="D25" s="914"/>
      <c r="E25" s="914"/>
      <c r="F25" s="914"/>
      <c r="G25" s="914"/>
      <c r="H25" s="914"/>
      <c r="I25" s="641">
        <f>11*12</f>
        <v>132</v>
      </c>
      <c r="J25" s="148" t="s">
        <v>101</v>
      </c>
    </row>
    <row r="26" spans="1:10" ht="18" thickBot="1">
      <c r="A26" s="883" t="s">
        <v>3026</v>
      </c>
      <c r="B26" s="884"/>
      <c r="C26" s="884"/>
      <c r="D26" s="884"/>
      <c r="E26" s="884"/>
      <c r="F26" s="884"/>
      <c r="G26" s="884"/>
      <c r="H26" s="884"/>
      <c r="I26" s="907"/>
      <c r="J26" s="138" t="s">
        <v>5</v>
      </c>
    </row>
    <row r="27" spans="1:10">
      <c r="A27" s="879" t="s">
        <v>633</v>
      </c>
      <c r="B27" s="880"/>
      <c r="C27" s="880"/>
      <c r="D27" s="880"/>
      <c r="E27" s="880"/>
      <c r="F27" s="880"/>
      <c r="G27" s="880"/>
      <c r="H27" s="880"/>
      <c r="I27" s="638">
        <f>31.49</f>
        <v>31.49</v>
      </c>
      <c r="J27" s="141" t="s">
        <v>161</v>
      </c>
    </row>
    <row r="28" spans="1:10">
      <c r="A28" s="874" t="s">
        <v>629</v>
      </c>
      <c r="B28" s="875"/>
      <c r="C28" s="875"/>
      <c r="D28" s="875"/>
      <c r="E28" s="875"/>
      <c r="F28" s="875"/>
      <c r="G28" s="875"/>
      <c r="H28" s="875"/>
      <c r="I28" s="623">
        <f>6.3</f>
        <v>6.3</v>
      </c>
      <c r="J28" s="142" t="s">
        <v>162</v>
      </c>
    </row>
    <row r="29" spans="1:10">
      <c r="A29" s="874" t="s">
        <v>627</v>
      </c>
      <c r="B29" s="875"/>
      <c r="C29" s="875"/>
      <c r="D29" s="875"/>
      <c r="E29" s="875"/>
      <c r="F29" s="875"/>
      <c r="G29" s="875"/>
      <c r="H29" s="875"/>
      <c r="I29" s="623">
        <f>I28</f>
        <v>6.3</v>
      </c>
      <c r="J29" s="142" t="s">
        <v>162</v>
      </c>
    </row>
    <row r="30" spans="1:10">
      <c r="A30" s="874" t="s">
        <v>635</v>
      </c>
      <c r="B30" s="875"/>
      <c r="C30" s="875"/>
      <c r="D30" s="875"/>
      <c r="E30" s="875"/>
      <c r="F30" s="875"/>
      <c r="G30" s="875"/>
      <c r="H30" s="875"/>
      <c r="I30" s="639">
        <f>115.16</f>
        <v>115.16</v>
      </c>
      <c r="J30" s="142" t="s">
        <v>94</v>
      </c>
    </row>
    <row r="31" spans="1:10" ht="15.75" thickBot="1">
      <c r="A31" s="881" t="s">
        <v>632</v>
      </c>
      <c r="B31" s="882"/>
      <c r="C31" s="882"/>
      <c r="D31" s="882"/>
      <c r="E31" s="882"/>
      <c r="F31" s="882"/>
      <c r="G31" s="882"/>
      <c r="H31" s="882"/>
      <c r="I31" s="640">
        <f>255.23</f>
        <v>255.23</v>
      </c>
      <c r="J31" s="148" t="s">
        <v>94</v>
      </c>
    </row>
    <row r="32" spans="1:10" ht="15.75" thickBot="1">
      <c r="A32" s="137"/>
      <c r="B32" s="137"/>
      <c r="C32" s="137"/>
      <c r="D32" s="137"/>
      <c r="E32" s="137"/>
      <c r="F32" s="137"/>
      <c r="G32" s="137"/>
      <c r="H32" s="137"/>
    </row>
    <row r="33" spans="1:10" ht="18" thickBot="1">
      <c r="A33" s="883" t="s">
        <v>3033</v>
      </c>
      <c r="B33" s="884"/>
      <c r="C33" s="884"/>
      <c r="D33" s="884"/>
      <c r="E33" s="884"/>
      <c r="F33" s="884"/>
      <c r="G33" s="884"/>
      <c r="H33" s="884"/>
      <c r="I33" s="907"/>
      <c r="J33" s="565" t="s">
        <v>5</v>
      </c>
    </row>
    <row r="34" spans="1:10">
      <c r="A34" s="879" t="s">
        <v>633</v>
      </c>
      <c r="B34" s="880"/>
      <c r="C34" s="880"/>
      <c r="D34" s="880"/>
      <c r="E34" s="880"/>
      <c r="F34" s="880"/>
      <c r="G34" s="880"/>
      <c r="H34" s="880"/>
      <c r="I34" s="419">
        <f>4.62</f>
        <v>4.62</v>
      </c>
      <c r="J34" s="141" t="s">
        <v>161</v>
      </c>
    </row>
    <row r="35" spans="1:10">
      <c r="A35" s="874" t="s">
        <v>629</v>
      </c>
      <c r="B35" s="875"/>
      <c r="C35" s="875"/>
      <c r="D35" s="875"/>
      <c r="E35" s="875"/>
      <c r="F35" s="875"/>
      <c r="G35" s="875"/>
      <c r="H35" s="875"/>
      <c r="I35" s="165">
        <f>0.33</f>
        <v>0.33</v>
      </c>
      <c r="J35" s="142" t="s">
        <v>162</v>
      </c>
    </row>
    <row r="36" spans="1:10">
      <c r="A36" s="874" t="s">
        <v>627</v>
      </c>
      <c r="B36" s="875"/>
      <c r="C36" s="875"/>
      <c r="D36" s="875"/>
      <c r="E36" s="875"/>
      <c r="F36" s="875"/>
      <c r="G36" s="875"/>
      <c r="H36" s="875"/>
      <c r="I36" s="165">
        <f>I35</f>
        <v>0.33</v>
      </c>
      <c r="J36" s="142" t="s">
        <v>162</v>
      </c>
    </row>
    <row r="37" spans="1:10">
      <c r="A37" s="874" t="s">
        <v>630</v>
      </c>
      <c r="B37" s="875"/>
      <c r="C37" s="875"/>
      <c r="D37" s="875"/>
      <c r="E37" s="875"/>
      <c r="F37" s="875"/>
      <c r="G37" s="875"/>
      <c r="H37" s="875"/>
      <c r="I37" s="165">
        <f>12.1</f>
        <v>12.1</v>
      </c>
      <c r="J37" s="142" t="s">
        <v>94</v>
      </c>
    </row>
    <row r="38" spans="1:10">
      <c r="A38" s="874" t="s">
        <v>631</v>
      </c>
      <c r="B38" s="875"/>
      <c r="C38" s="875"/>
      <c r="D38" s="875"/>
      <c r="E38" s="875"/>
      <c r="F38" s="875"/>
      <c r="G38" s="875"/>
      <c r="H38" s="875"/>
      <c r="I38" s="165">
        <f>84.7</f>
        <v>84.7</v>
      </c>
      <c r="J38" s="142" t="s">
        <v>94</v>
      </c>
    </row>
    <row r="39" spans="1:10" ht="15.75" thickBot="1"/>
    <row r="40" spans="1:10" ht="18" thickBot="1">
      <c r="A40" s="918" t="s">
        <v>637</v>
      </c>
      <c r="B40" s="919"/>
      <c r="C40" s="919"/>
      <c r="D40" s="919"/>
      <c r="E40" s="919"/>
      <c r="F40" s="919"/>
      <c r="G40" s="919"/>
      <c r="H40" s="919"/>
      <c r="I40" s="920"/>
    </row>
    <row r="41" spans="1:10" ht="18" thickBot="1">
      <c r="A41" s="883" t="s">
        <v>75</v>
      </c>
      <c r="B41" s="884"/>
      <c r="C41" s="884"/>
      <c r="D41" s="884"/>
      <c r="E41" s="884"/>
      <c r="F41" s="884"/>
      <c r="G41" s="884"/>
      <c r="H41" s="884"/>
      <c r="I41" s="907"/>
      <c r="J41" s="138" t="s">
        <v>5</v>
      </c>
    </row>
    <row r="42" spans="1:10">
      <c r="A42" s="879" t="s">
        <v>592</v>
      </c>
      <c r="B42" s="880"/>
      <c r="C42" s="880"/>
      <c r="D42" s="880"/>
      <c r="E42" s="880"/>
      <c r="F42" s="880"/>
      <c r="G42" s="880"/>
      <c r="H42" s="880"/>
      <c r="I42" s="419">
        <f>1234.9+38.86</f>
        <v>1273.76</v>
      </c>
      <c r="J42" s="142" t="s">
        <v>94</v>
      </c>
    </row>
    <row r="43" spans="1:10">
      <c r="A43" s="874" t="s">
        <v>594</v>
      </c>
      <c r="B43" s="875"/>
      <c r="C43" s="875"/>
      <c r="D43" s="875"/>
      <c r="E43" s="875"/>
      <c r="F43" s="875"/>
      <c r="G43" s="875"/>
      <c r="H43" s="875"/>
      <c r="I43" s="165">
        <f>68.14</f>
        <v>68.14</v>
      </c>
      <c r="J43" s="142" t="s">
        <v>161</v>
      </c>
    </row>
    <row r="44" spans="1:10" ht="15.75" thickBot="1">
      <c r="A44" s="881" t="s">
        <v>596</v>
      </c>
      <c r="B44" s="882"/>
      <c r="C44" s="882"/>
      <c r="D44" s="882"/>
      <c r="E44" s="882"/>
      <c r="F44" s="882"/>
      <c r="G44" s="882"/>
      <c r="H44" s="882"/>
      <c r="I44" s="165">
        <f>24.72</f>
        <v>24.72</v>
      </c>
      <c r="J44" s="142" t="s">
        <v>94</v>
      </c>
    </row>
  </sheetData>
  <mergeCells count="44">
    <mergeCell ref="A44:H44"/>
    <mergeCell ref="A37:H37"/>
    <mergeCell ref="A38:H38"/>
    <mergeCell ref="A40:I40"/>
    <mergeCell ref="A41:I41"/>
    <mergeCell ref="A42:H42"/>
    <mergeCell ref="A43:H43"/>
    <mergeCell ref="A36:H36"/>
    <mergeCell ref="A24:H24"/>
    <mergeCell ref="A25:H25"/>
    <mergeCell ref="A26:I26"/>
    <mergeCell ref="A27:H27"/>
    <mergeCell ref="A28:H28"/>
    <mergeCell ref="A29:H29"/>
    <mergeCell ref="A30:H30"/>
    <mergeCell ref="A31:H31"/>
    <mergeCell ref="A33:I33"/>
    <mergeCell ref="A34:H34"/>
    <mergeCell ref="A35:H35"/>
    <mergeCell ref="A23:H23"/>
    <mergeCell ref="A12:H12"/>
    <mergeCell ref="A13:H13"/>
    <mergeCell ref="A14:H14"/>
    <mergeCell ref="A15:H15"/>
    <mergeCell ref="A16:H16"/>
    <mergeCell ref="A17:H17"/>
    <mergeCell ref="A18:I18"/>
    <mergeCell ref="A19:H19"/>
    <mergeCell ref="A20:H20"/>
    <mergeCell ref="A21:H21"/>
    <mergeCell ref="A22:H22"/>
    <mergeCell ref="A11:H11"/>
    <mergeCell ref="A1:J1"/>
    <mergeCell ref="A4:I4"/>
    <mergeCell ref="L4:S4"/>
    <mergeCell ref="A5:I5"/>
    <mergeCell ref="L5:S5"/>
    <mergeCell ref="A6:H6"/>
    <mergeCell ref="L6:S6"/>
    <mergeCell ref="A7:H7"/>
    <mergeCell ref="A8:H8"/>
    <mergeCell ref="A9:H9"/>
    <mergeCell ref="L9:S9"/>
    <mergeCell ref="A10:H10"/>
  </mergeCells>
  <pageMargins left="0.51181102362204722" right="0.51181102362204722" top="0.78740157480314965" bottom="0.78740157480314965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9CC00"/>
  </sheetPr>
  <dimension ref="A1:BZ77"/>
  <sheetViews>
    <sheetView view="pageBreakPreview" topLeftCell="A46" zoomScale="60" workbookViewId="0">
      <selection activeCell="E52" sqref="E52"/>
    </sheetView>
  </sheetViews>
  <sheetFormatPr defaultRowHeight="12.75"/>
  <cols>
    <col min="1" max="1" width="6.85546875" style="337" bestFit="1" customWidth="1"/>
    <col min="2" max="2" width="34" style="338" customWidth="1"/>
    <col min="3" max="3" width="68.42578125" style="338" customWidth="1"/>
    <col min="4" max="4" width="7.140625" style="338" customWidth="1"/>
    <col min="5" max="5" width="10.140625" style="338" bestFit="1" customWidth="1"/>
    <col min="6" max="6" width="10.7109375" style="339" customWidth="1"/>
    <col min="7" max="7" width="10.5703125" style="340" customWidth="1"/>
    <col min="8" max="8" width="38.42578125" style="338" customWidth="1"/>
    <col min="9" max="9" width="10.85546875" style="338" customWidth="1"/>
    <col min="10" max="11" width="11" style="338" customWidth="1"/>
    <col min="12" max="12" width="16.85546875" style="338" customWidth="1"/>
    <col min="13" max="13" width="9.140625" style="338"/>
    <col min="14" max="14" width="11.85546875" style="338" customWidth="1"/>
    <col min="15" max="16384" width="9.140625" style="338"/>
  </cols>
  <sheetData>
    <row r="1" spans="1:78" s="306" customFormat="1" ht="15">
      <c r="A1" s="922" t="s">
        <v>58</v>
      </c>
      <c r="B1" s="922"/>
      <c r="C1" s="922"/>
      <c r="D1" s="922"/>
      <c r="E1" s="922"/>
      <c r="F1" s="268"/>
      <c r="G1" s="269"/>
    </row>
    <row r="2" spans="1:78" s="309" customFormat="1" ht="12.75" customHeight="1">
      <c r="A2" s="923" t="s">
        <v>59</v>
      </c>
      <c r="B2" s="924"/>
      <c r="C2" s="924"/>
      <c r="D2" s="924"/>
      <c r="E2" s="925"/>
      <c r="F2" s="307"/>
      <c r="G2" s="307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</row>
    <row r="3" spans="1:78" s="309" customFormat="1">
      <c r="A3" s="310" t="s">
        <v>60</v>
      </c>
      <c r="B3" s="310" t="s">
        <v>61</v>
      </c>
      <c r="C3" s="311" t="s">
        <v>62</v>
      </c>
      <c r="D3" s="310" t="s">
        <v>63</v>
      </c>
      <c r="E3" s="310" t="s">
        <v>64</v>
      </c>
      <c r="F3" s="307"/>
      <c r="G3" s="307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</row>
    <row r="4" spans="1:78" s="260" customFormat="1" ht="14.25">
      <c r="A4" s="255" t="s">
        <v>16</v>
      </c>
      <c r="B4" s="256" t="s">
        <v>1708</v>
      </c>
      <c r="C4" s="257" t="s">
        <v>1709</v>
      </c>
      <c r="D4" s="255" t="s">
        <v>10</v>
      </c>
      <c r="E4" s="265">
        <v>1566.94</v>
      </c>
      <c r="F4" s="341">
        <f>ROUND(E4,2)</f>
        <v>1566.94</v>
      </c>
      <c r="G4" s="269" t="s">
        <v>65</v>
      </c>
      <c r="H4" s="345" t="s">
        <v>1988</v>
      </c>
    </row>
    <row r="5" spans="1:78" s="315" customFormat="1" ht="12.75" customHeight="1">
      <c r="A5" s="926" t="s">
        <v>1710</v>
      </c>
      <c r="B5" s="927"/>
      <c r="C5" s="927"/>
      <c r="D5" s="927"/>
      <c r="E5" s="928"/>
      <c r="F5" s="313"/>
      <c r="G5" s="314"/>
    </row>
    <row r="6" spans="1:78" s="315" customFormat="1" ht="12.75" customHeight="1">
      <c r="A6" s="316" t="s">
        <v>60</v>
      </c>
      <c r="B6" s="316" t="s">
        <v>61</v>
      </c>
      <c r="C6" s="317" t="s">
        <v>62</v>
      </c>
      <c r="D6" s="316" t="s">
        <v>63</v>
      </c>
      <c r="E6" s="316" t="s">
        <v>64</v>
      </c>
      <c r="F6" s="313"/>
      <c r="G6" s="314"/>
    </row>
    <row r="7" spans="1:78" s="320" customFormat="1" ht="114">
      <c r="A7" s="318" t="s">
        <v>18</v>
      </c>
      <c r="B7" s="256" t="s">
        <v>211</v>
      </c>
      <c r="C7" s="263" t="s">
        <v>2608</v>
      </c>
      <c r="D7" s="262" t="s">
        <v>10</v>
      </c>
      <c r="E7" s="486">
        <f>17.71+9.57+17.51+9.57+239.62</f>
        <v>293.98</v>
      </c>
      <c r="F7" s="270">
        <f>ROUND(E7,2)</f>
        <v>293.98</v>
      </c>
      <c r="G7" s="269" t="s">
        <v>65</v>
      </c>
      <c r="H7" s="319"/>
    </row>
    <row r="8" spans="1:78" s="268" customFormat="1" ht="15">
      <c r="A8" s="929" t="s">
        <v>95</v>
      </c>
      <c r="B8" s="929"/>
      <c r="C8" s="929"/>
      <c r="D8" s="929"/>
      <c r="E8" s="929"/>
      <c r="F8" s="312"/>
      <c r="G8" s="321"/>
    </row>
    <row r="9" spans="1:78" s="268" customFormat="1" ht="15">
      <c r="A9" s="322" t="s">
        <v>60</v>
      </c>
      <c r="B9" s="322" t="s">
        <v>61</v>
      </c>
      <c r="C9" s="323" t="s">
        <v>62</v>
      </c>
      <c r="D9" s="322" t="s">
        <v>63</v>
      </c>
      <c r="E9" s="322" t="s">
        <v>64</v>
      </c>
      <c r="F9" s="312"/>
      <c r="G9" s="321"/>
    </row>
    <row r="10" spans="1:78" s="260" customFormat="1" ht="142.5">
      <c r="A10" s="255" t="s">
        <v>21</v>
      </c>
      <c r="B10" s="257" t="s">
        <v>1711</v>
      </c>
      <c r="C10" s="263" t="s">
        <v>2609</v>
      </c>
      <c r="D10" s="262" t="s">
        <v>10</v>
      </c>
      <c r="E10" s="264">
        <f>(((37.65*3.35)-13)+331+562.72+338.5+397.4)</f>
        <v>1742.7474999999999</v>
      </c>
      <c r="F10" s="270">
        <f t="shared" ref="F10:F16" si="0">ROUND(E10,2)</f>
        <v>1742.75</v>
      </c>
      <c r="G10" s="269" t="s">
        <v>65</v>
      </c>
      <c r="H10" s="324"/>
    </row>
    <row r="11" spans="1:78" s="260" customFormat="1" ht="57">
      <c r="A11" s="255" t="s">
        <v>22</v>
      </c>
      <c r="B11" s="256" t="s">
        <v>1712</v>
      </c>
      <c r="C11" s="263" t="s">
        <v>2565</v>
      </c>
      <c r="D11" s="379" t="s">
        <v>10</v>
      </c>
      <c r="E11" s="262">
        <f>60.5+60.5+105.6+105.6</f>
        <v>332.2</v>
      </c>
      <c r="F11" s="270">
        <f t="shared" si="0"/>
        <v>332.2</v>
      </c>
      <c r="G11" s="269" t="s">
        <v>65</v>
      </c>
    </row>
    <row r="12" spans="1:78" s="260" customFormat="1" ht="43.5">
      <c r="A12" s="255" t="s">
        <v>1713</v>
      </c>
      <c r="B12" s="261" t="s">
        <v>1714</v>
      </c>
      <c r="C12" s="326" t="s">
        <v>1715</v>
      </c>
      <c r="D12" s="262" t="s">
        <v>101</v>
      </c>
      <c r="E12" s="264">
        <f>1.3*4</f>
        <v>5.2</v>
      </c>
      <c r="F12" s="270">
        <f t="shared" si="0"/>
        <v>5.2</v>
      </c>
      <c r="G12" s="269" t="s">
        <v>65</v>
      </c>
      <c r="H12" s="324"/>
    </row>
    <row r="13" spans="1:78" s="260" customFormat="1" ht="29.25">
      <c r="A13" s="255" t="s">
        <v>1716</v>
      </c>
      <c r="B13" s="261" t="s">
        <v>1717</v>
      </c>
      <c r="C13" s="263" t="s">
        <v>1718</v>
      </c>
      <c r="D13" s="262" t="s">
        <v>101</v>
      </c>
      <c r="E13" s="264">
        <f>(1.2*2)</f>
        <v>2.4</v>
      </c>
      <c r="F13" s="270">
        <f t="shared" si="0"/>
        <v>2.4</v>
      </c>
      <c r="G13" s="269" t="s">
        <v>65</v>
      </c>
      <c r="H13" s="324"/>
    </row>
    <row r="14" spans="1:78" s="260" customFormat="1" ht="29.25">
      <c r="A14" s="255" t="s">
        <v>1719</v>
      </c>
      <c r="B14" s="261" t="s">
        <v>1720</v>
      </c>
      <c r="C14" s="263" t="s">
        <v>1721</v>
      </c>
      <c r="D14" s="262" t="s">
        <v>101</v>
      </c>
      <c r="E14" s="264">
        <f>(3.4*2)</f>
        <v>6.8</v>
      </c>
      <c r="F14" s="270">
        <f t="shared" si="0"/>
        <v>6.8</v>
      </c>
      <c r="G14" s="269" t="s">
        <v>65</v>
      </c>
      <c r="H14" s="324"/>
    </row>
    <row r="15" spans="1:78" s="260" customFormat="1" ht="29.25">
      <c r="A15" s="255" t="s">
        <v>1722</v>
      </c>
      <c r="B15" s="261" t="s">
        <v>1723</v>
      </c>
      <c r="C15" s="326" t="s">
        <v>1724</v>
      </c>
      <c r="D15" s="262" t="s">
        <v>101</v>
      </c>
      <c r="E15" s="264">
        <f>(1.2*2)</f>
        <v>2.4</v>
      </c>
      <c r="F15" s="270">
        <f t="shared" si="0"/>
        <v>2.4</v>
      </c>
      <c r="G15" s="269" t="s">
        <v>65</v>
      </c>
    </row>
    <row r="16" spans="1:78" s="260" customFormat="1" ht="29.25">
      <c r="A16" s="255" t="s">
        <v>1725</v>
      </c>
      <c r="B16" s="261" t="s">
        <v>1726</v>
      </c>
      <c r="C16" s="326" t="s">
        <v>1727</v>
      </c>
      <c r="D16" s="262" t="s">
        <v>101</v>
      </c>
      <c r="E16" s="264">
        <f>(3.4*2)</f>
        <v>6.8</v>
      </c>
      <c r="F16" s="270">
        <f t="shared" si="0"/>
        <v>6.8</v>
      </c>
      <c r="G16" s="269" t="s">
        <v>65</v>
      </c>
    </row>
    <row r="17" spans="1:7" s="260" customFormat="1" ht="15">
      <c r="A17" s="929" t="s">
        <v>75</v>
      </c>
      <c r="B17" s="929"/>
      <c r="C17" s="929"/>
      <c r="D17" s="929"/>
      <c r="E17" s="929"/>
      <c r="F17" s="312"/>
      <c r="G17" s="259"/>
    </row>
    <row r="18" spans="1:7" s="260" customFormat="1" ht="15">
      <c r="A18" s="322" t="s">
        <v>60</v>
      </c>
      <c r="B18" s="322" t="s">
        <v>61</v>
      </c>
      <c r="C18" s="323" t="s">
        <v>62</v>
      </c>
      <c r="D18" s="322" t="s">
        <v>63</v>
      </c>
      <c r="E18" s="322" t="s">
        <v>64</v>
      </c>
      <c r="F18" s="312"/>
      <c r="G18" s="259"/>
    </row>
    <row r="19" spans="1:7" s="260" customFormat="1" ht="28.5">
      <c r="A19" s="255" t="s">
        <v>24</v>
      </c>
      <c r="B19" s="256" t="s">
        <v>1728</v>
      </c>
      <c r="C19" s="257" t="s">
        <v>1729</v>
      </c>
      <c r="D19" s="255" t="s">
        <v>10</v>
      </c>
      <c r="E19" s="265">
        <f>73.93+1461.18</f>
        <v>1535.1100000000001</v>
      </c>
      <c r="F19" s="270">
        <f>ROUND(E19,2)</f>
        <v>1535.11</v>
      </c>
      <c r="G19" s="269" t="s">
        <v>65</v>
      </c>
    </row>
    <row r="20" spans="1:7" s="260" customFormat="1" ht="28.5">
      <c r="A20" s="255" t="s">
        <v>25</v>
      </c>
      <c r="B20" s="256" t="s">
        <v>1730</v>
      </c>
      <c r="C20" s="257" t="s">
        <v>1731</v>
      </c>
      <c r="D20" s="255" t="s">
        <v>101</v>
      </c>
      <c r="E20" s="265">
        <f>49.7+49.7+16.26</f>
        <v>115.66000000000001</v>
      </c>
      <c r="F20" s="270">
        <f>ROUND(E20,2)</f>
        <v>115.66</v>
      </c>
      <c r="G20" s="269" t="s">
        <v>65</v>
      </c>
    </row>
    <row r="21" spans="1:7" s="260" customFormat="1" ht="28.5">
      <c r="A21" s="255" t="s">
        <v>26</v>
      </c>
      <c r="B21" s="256" t="s">
        <v>1732</v>
      </c>
      <c r="C21" s="257" t="s">
        <v>1731</v>
      </c>
      <c r="D21" s="255" t="s">
        <v>101</v>
      </c>
      <c r="E21" s="265">
        <f>49.7+49.7+16.26</f>
        <v>115.66000000000001</v>
      </c>
      <c r="F21" s="270">
        <f>ROUND(E21,2)</f>
        <v>115.66</v>
      </c>
      <c r="G21" s="269" t="s">
        <v>65</v>
      </c>
    </row>
    <row r="22" spans="1:7" s="260" customFormat="1" ht="14.25">
      <c r="A22" s="255" t="s">
        <v>27</v>
      </c>
      <c r="B22" s="256" t="s">
        <v>1733</v>
      </c>
      <c r="C22" s="257" t="s">
        <v>1734</v>
      </c>
      <c r="D22" s="255" t="s">
        <v>101</v>
      </c>
      <c r="E22" s="265">
        <f>49.7+49.7</f>
        <v>99.4</v>
      </c>
      <c r="F22" s="270">
        <f>ROUND(E22,2)</f>
        <v>99.4</v>
      </c>
      <c r="G22" s="269" t="s">
        <v>65</v>
      </c>
    </row>
    <row r="23" spans="1:7" s="328" customFormat="1" ht="15">
      <c r="A23" s="921" t="s">
        <v>79</v>
      </c>
      <c r="B23" s="921"/>
      <c r="C23" s="921"/>
      <c r="D23" s="921"/>
      <c r="E23" s="921"/>
      <c r="F23" s="312"/>
      <c r="G23" s="327"/>
    </row>
    <row r="24" spans="1:7" s="306" customFormat="1" ht="15">
      <c r="A24" s="322" t="s">
        <v>60</v>
      </c>
      <c r="B24" s="329" t="s">
        <v>61</v>
      </c>
      <c r="C24" s="330" t="s">
        <v>62</v>
      </c>
      <c r="D24" s="322" t="s">
        <v>63</v>
      </c>
      <c r="E24" s="322" t="s">
        <v>64</v>
      </c>
      <c r="F24" s="312"/>
      <c r="G24" s="331"/>
    </row>
    <row r="25" spans="1:7" s="260" customFormat="1" ht="28.5">
      <c r="A25" s="255" t="s">
        <v>30</v>
      </c>
      <c r="B25" s="256" t="s">
        <v>1735</v>
      </c>
      <c r="C25" s="257" t="s">
        <v>1736</v>
      </c>
      <c r="D25" s="325" t="s">
        <v>57</v>
      </c>
      <c r="E25" s="265">
        <v>4</v>
      </c>
      <c r="F25" s="270">
        <f>E25</f>
        <v>4</v>
      </c>
      <c r="G25" s="269" t="s">
        <v>65</v>
      </c>
    </row>
    <row r="26" spans="1:7" s="260" customFormat="1" ht="28.5">
      <c r="A26" s="255" t="s">
        <v>31</v>
      </c>
      <c r="B26" s="256" t="s">
        <v>1737</v>
      </c>
      <c r="C26" s="257" t="s">
        <v>1738</v>
      </c>
      <c r="D26" s="343" t="s">
        <v>10</v>
      </c>
      <c r="E26" s="265">
        <f>0.6*1.7*10</f>
        <v>10.199999999999999</v>
      </c>
      <c r="F26" s="270">
        <f>E26</f>
        <v>10.199999999999999</v>
      </c>
      <c r="G26" s="269" t="s">
        <v>65</v>
      </c>
    </row>
    <row r="27" spans="1:7" s="260" customFormat="1" ht="28.5">
      <c r="A27" s="255" t="s">
        <v>84</v>
      </c>
      <c r="B27" s="256" t="s">
        <v>1739</v>
      </c>
      <c r="C27" s="257" t="s">
        <v>1740</v>
      </c>
      <c r="D27" s="255" t="s">
        <v>10</v>
      </c>
      <c r="E27" s="265">
        <f>3*0.8*2</f>
        <v>4.8000000000000007</v>
      </c>
      <c r="F27" s="270">
        <f>E27</f>
        <v>4.8000000000000007</v>
      </c>
      <c r="G27" s="269" t="s">
        <v>65</v>
      </c>
    </row>
    <row r="28" spans="1:7" s="260" customFormat="1" ht="28.5">
      <c r="A28" s="255" t="s">
        <v>85</v>
      </c>
      <c r="B28" s="256" t="s">
        <v>1741</v>
      </c>
      <c r="C28" s="257" t="s">
        <v>1740</v>
      </c>
      <c r="D28" s="255" t="s">
        <v>10</v>
      </c>
      <c r="E28" s="265">
        <f>0.8*0.4*2</f>
        <v>0.64000000000000012</v>
      </c>
      <c r="F28" s="270">
        <f>E28</f>
        <v>0.64000000000000012</v>
      </c>
      <c r="G28" s="269" t="s">
        <v>65</v>
      </c>
    </row>
    <row r="29" spans="1:7" s="306" customFormat="1" ht="15">
      <c r="A29" s="921" t="s">
        <v>109</v>
      </c>
      <c r="B29" s="921"/>
      <c r="C29" s="921"/>
      <c r="D29" s="921"/>
      <c r="E29" s="921"/>
      <c r="F29" s="312"/>
      <c r="G29" s="269"/>
    </row>
    <row r="30" spans="1:7" s="306" customFormat="1" ht="15">
      <c r="A30" s="322" t="s">
        <v>60</v>
      </c>
      <c r="B30" s="322" t="s">
        <v>61</v>
      </c>
      <c r="C30" s="323" t="s">
        <v>62</v>
      </c>
      <c r="D30" s="322" t="s">
        <v>63</v>
      </c>
      <c r="E30" s="322" t="s">
        <v>64</v>
      </c>
      <c r="F30" s="312"/>
      <c r="G30" s="269"/>
    </row>
    <row r="31" spans="1:7" s="260" customFormat="1" ht="58.5">
      <c r="A31" s="255" t="s">
        <v>33</v>
      </c>
      <c r="B31" s="256" t="s">
        <v>111</v>
      </c>
      <c r="C31" s="332" t="s">
        <v>2011</v>
      </c>
      <c r="D31" s="255" t="s">
        <v>10</v>
      </c>
      <c r="E31" s="265">
        <f>(E10*2)+279.09+(9*1.7*3.2)</f>
        <v>3813.5450000000001</v>
      </c>
      <c r="F31" s="270">
        <f>ROUND(E31,2)</f>
        <v>3813.55</v>
      </c>
      <c r="G31" s="269" t="s">
        <v>65</v>
      </c>
    </row>
    <row r="32" spans="1:7" s="260" customFormat="1" ht="72.75">
      <c r="A32" s="255" t="s">
        <v>124</v>
      </c>
      <c r="B32" s="256" t="s">
        <v>1742</v>
      </c>
      <c r="C32" s="326" t="s">
        <v>2233</v>
      </c>
      <c r="D32" s="262" t="s">
        <v>10</v>
      </c>
      <c r="E32" s="264">
        <f>E31-E33</f>
        <v>3607.5950000000003</v>
      </c>
      <c r="F32" s="270">
        <f>ROUND(E32,2)</f>
        <v>3607.6</v>
      </c>
      <c r="G32" s="269" t="s">
        <v>65</v>
      </c>
    </row>
    <row r="33" spans="1:8" s="260" customFormat="1" ht="100.5">
      <c r="A33" s="255" t="s">
        <v>125</v>
      </c>
      <c r="B33" s="256" t="s">
        <v>1743</v>
      </c>
      <c r="C33" s="263" t="s">
        <v>2012</v>
      </c>
      <c r="D33" s="262" t="s">
        <v>10</v>
      </c>
      <c r="E33" s="264">
        <f>97.71+55.39+29.9+(9*1.7*1.5)</f>
        <v>205.95</v>
      </c>
      <c r="F33" s="270">
        <f>ROUND(E33,2)</f>
        <v>205.95</v>
      </c>
      <c r="G33" s="269" t="s">
        <v>65</v>
      </c>
    </row>
    <row r="34" spans="1:8" s="260" customFormat="1" ht="100.5">
      <c r="A34" s="255" t="s">
        <v>299</v>
      </c>
      <c r="B34" s="256" t="s">
        <v>1744</v>
      </c>
      <c r="C34" s="263" t="s">
        <v>2012</v>
      </c>
      <c r="D34" s="262" t="s">
        <v>10</v>
      </c>
      <c r="E34" s="264">
        <f>97.71+55.39+29.9+(9*1.7*1.5)</f>
        <v>205.95</v>
      </c>
      <c r="F34" s="270">
        <f>ROUND(E34,2)</f>
        <v>205.95</v>
      </c>
      <c r="G34" s="269" t="s">
        <v>65</v>
      </c>
    </row>
    <row r="35" spans="1:8" s="260" customFormat="1" ht="156.75">
      <c r="A35" s="255" t="s">
        <v>300</v>
      </c>
      <c r="B35" s="257" t="s">
        <v>1745</v>
      </c>
      <c r="C35" s="263" t="s">
        <v>2456</v>
      </c>
      <c r="D35" s="262" t="s">
        <v>10</v>
      </c>
      <c r="E35" s="264">
        <f>15.58+17.58+15.58+11.1+14.34+11.1+(7*1.7*1.5)+(1*1.2*1.5)</f>
        <v>104.92999999999999</v>
      </c>
      <c r="F35" s="270">
        <f>ROUND(E35,2)</f>
        <v>104.93</v>
      </c>
      <c r="G35" s="269" t="s">
        <v>65</v>
      </c>
    </row>
    <row r="36" spans="1:8" s="306" customFormat="1" ht="15">
      <c r="A36" s="929" t="s">
        <v>11</v>
      </c>
      <c r="B36" s="929"/>
      <c r="C36" s="929"/>
      <c r="D36" s="929"/>
      <c r="E36" s="929"/>
      <c r="F36" s="312"/>
      <c r="G36" s="259"/>
    </row>
    <row r="37" spans="1:8" s="306" customFormat="1" ht="15">
      <c r="A37" s="322" t="s">
        <v>60</v>
      </c>
      <c r="B37" s="322" t="s">
        <v>61</v>
      </c>
      <c r="C37" s="323" t="s">
        <v>1746</v>
      </c>
      <c r="D37" s="322" t="s">
        <v>63</v>
      </c>
      <c r="E37" s="322" t="s">
        <v>64</v>
      </c>
      <c r="F37" s="312"/>
      <c r="G37" s="259"/>
    </row>
    <row r="38" spans="1:8" s="260" customFormat="1" ht="57">
      <c r="A38" s="255" t="s">
        <v>96</v>
      </c>
      <c r="B38" s="256" t="s">
        <v>1747</v>
      </c>
      <c r="C38" s="257" t="s">
        <v>1748</v>
      </c>
      <c r="D38" s="255" t="s">
        <v>10</v>
      </c>
      <c r="E38" s="344"/>
      <c r="F38" s="312">
        <f>ROUND(E38,2)</f>
        <v>0</v>
      </c>
      <c r="G38" s="269" t="s">
        <v>65</v>
      </c>
      <c r="H38" s="345" t="s">
        <v>1795</v>
      </c>
    </row>
    <row r="39" spans="1:8" s="260" customFormat="1" ht="57">
      <c r="A39" s="255" t="s">
        <v>97</v>
      </c>
      <c r="B39" s="256" t="s">
        <v>1749</v>
      </c>
      <c r="C39" s="257" t="s">
        <v>1748</v>
      </c>
      <c r="D39" s="255" t="s">
        <v>10</v>
      </c>
      <c r="E39" s="344"/>
      <c r="F39" s="312">
        <f>ROUND(E39,2)</f>
        <v>0</v>
      </c>
      <c r="G39" s="269" t="s">
        <v>65</v>
      </c>
      <c r="H39" s="345" t="s">
        <v>1795</v>
      </c>
    </row>
    <row r="40" spans="1:8" s="260" customFormat="1" ht="42.75">
      <c r="A40" s="255" t="s">
        <v>99</v>
      </c>
      <c r="B40" s="261" t="s">
        <v>1750</v>
      </c>
      <c r="C40" s="257" t="s">
        <v>1751</v>
      </c>
      <c r="D40" s="255" t="s">
        <v>10</v>
      </c>
      <c r="E40" s="258">
        <f>(17.86*2)+(5.49*2)+6.56</f>
        <v>53.260000000000005</v>
      </c>
      <c r="F40" s="270">
        <f>ROUND(E40,2)</f>
        <v>53.26</v>
      </c>
      <c r="G40" s="269" t="s">
        <v>65</v>
      </c>
    </row>
    <row r="41" spans="1:8" s="335" customFormat="1" ht="42.75">
      <c r="A41" s="262" t="s">
        <v>100</v>
      </c>
      <c r="B41" s="256" t="s">
        <v>363</v>
      </c>
      <c r="C41" s="355" t="s">
        <v>2234</v>
      </c>
      <c r="D41" s="255" t="s">
        <v>101</v>
      </c>
      <c r="E41" s="351">
        <f>(0.9*4)+3</f>
        <v>6.6</v>
      </c>
      <c r="F41" s="364">
        <f>ROUND(E41,2)</f>
        <v>6.6</v>
      </c>
      <c r="G41" s="269" t="s">
        <v>65</v>
      </c>
      <c r="H41" s="381"/>
    </row>
    <row r="42" spans="1:8" s="306" customFormat="1" ht="15">
      <c r="A42" s="931" t="s">
        <v>1752</v>
      </c>
      <c r="B42" s="929"/>
      <c r="C42" s="929"/>
      <c r="D42" s="929"/>
      <c r="E42" s="929"/>
      <c r="F42" s="312"/>
      <c r="G42" s="259"/>
    </row>
    <row r="43" spans="1:8" s="306" customFormat="1" ht="15">
      <c r="A43" s="322" t="s">
        <v>60</v>
      </c>
      <c r="B43" s="322" t="s">
        <v>61</v>
      </c>
      <c r="C43" s="323" t="s">
        <v>62</v>
      </c>
      <c r="D43" s="322" t="s">
        <v>63</v>
      </c>
      <c r="E43" s="322" t="s">
        <v>64</v>
      </c>
      <c r="F43" s="312"/>
      <c r="G43" s="259"/>
    </row>
    <row r="44" spans="1:8" s="260" customFormat="1" ht="42.75">
      <c r="A44" s="255" t="s">
        <v>102</v>
      </c>
      <c r="B44" s="256" t="s">
        <v>1753</v>
      </c>
      <c r="C44" s="257" t="s">
        <v>1751</v>
      </c>
      <c r="D44" s="255" t="s">
        <v>10</v>
      </c>
      <c r="E44" s="258">
        <f>(17.86*2)+(5.49*2)+6.56</f>
        <v>53.260000000000005</v>
      </c>
      <c r="F44" s="270">
        <f>ROUND(E44,2)</f>
        <v>53.26</v>
      </c>
      <c r="G44" s="269" t="s">
        <v>65</v>
      </c>
    </row>
    <row r="45" spans="1:8" s="260" customFormat="1" ht="71.25">
      <c r="A45" s="255" t="s">
        <v>103</v>
      </c>
      <c r="B45" s="256" t="s">
        <v>1754</v>
      </c>
      <c r="C45" s="257" t="s">
        <v>1755</v>
      </c>
      <c r="D45" s="255" t="s">
        <v>10</v>
      </c>
      <c r="E45" s="258">
        <f>(0.69*1.8)+(1.57*2*1.8)+(1.97*3*1.8)</f>
        <v>17.532</v>
      </c>
      <c r="F45" s="270">
        <f>ROUND(E45,2)</f>
        <v>17.53</v>
      </c>
      <c r="G45" s="269" t="s">
        <v>65</v>
      </c>
    </row>
    <row r="46" spans="1:8" s="306" customFormat="1" ht="15">
      <c r="A46" s="921" t="s">
        <v>12</v>
      </c>
      <c r="B46" s="921"/>
      <c r="C46" s="921"/>
      <c r="D46" s="921"/>
      <c r="E46" s="921"/>
      <c r="F46" s="312"/>
      <c r="G46" s="259"/>
    </row>
    <row r="47" spans="1:8" s="306" customFormat="1" ht="15">
      <c r="A47" s="322" t="s">
        <v>60</v>
      </c>
      <c r="B47" s="322" t="s">
        <v>61</v>
      </c>
      <c r="C47" s="323" t="s">
        <v>62</v>
      </c>
      <c r="D47" s="322" t="s">
        <v>63</v>
      </c>
      <c r="E47" s="322" t="s">
        <v>64</v>
      </c>
      <c r="F47" s="312"/>
      <c r="G47" s="259"/>
    </row>
    <row r="48" spans="1:8" s="306" customFormat="1" ht="171">
      <c r="A48" s="255" t="s">
        <v>110</v>
      </c>
      <c r="B48" s="256" t="s">
        <v>1997</v>
      </c>
      <c r="C48" s="263" t="s">
        <v>2566</v>
      </c>
      <c r="D48" s="262" t="s">
        <v>10</v>
      </c>
      <c r="E48" s="264">
        <f>((22.95*3.35)-4.8)+268.67+562.72+338.5+397.4+(9*1.7*1.7)</f>
        <v>1665.3824999999999</v>
      </c>
      <c r="F48" s="270">
        <f t="shared" ref="F48:F56" si="1">ROUND(E48,2)</f>
        <v>1665.38</v>
      </c>
      <c r="G48" s="269" t="s">
        <v>65</v>
      </c>
    </row>
    <row r="49" spans="1:8" s="260" customFormat="1" ht="171">
      <c r="A49" s="255" t="s">
        <v>112</v>
      </c>
      <c r="B49" s="256" t="s">
        <v>1756</v>
      </c>
      <c r="C49" s="263" t="s">
        <v>2567</v>
      </c>
      <c r="D49" s="262" t="s">
        <v>10</v>
      </c>
      <c r="E49" s="264">
        <f>331+506.02+338.5+397.4+(17.86*2)+(5.49*2)+6.56</f>
        <v>1626.18</v>
      </c>
      <c r="F49" s="270">
        <f t="shared" si="1"/>
        <v>1626.18</v>
      </c>
      <c r="G49" s="269" t="s">
        <v>65</v>
      </c>
    </row>
    <row r="50" spans="1:8" s="260" customFormat="1" ht="171">
      <c r="A50" s="255" t="s">
        <v>113</v>
      </c>
      <c r="B50" s="256" t="s">
        <v>1757</v>
      </c>
      <c r="C50" s="263" t="s">
        <v>2566</v>
      </c>
      <c r="D50" s="262" t="s">
        <v>10</v>
      </c>
      <c r="E50" s="264">
        <f>((22.95*3.35)-4.8)+268.67+562.72+338.5+397.4+(9*1.7*1.7)</f>
        <v>1665.3824999999999</v>
      </c>
      <c r="F50" s="270">
        <f t="shared" si="1"/>
        <v>1665.38</v>
      </c>
      <c r="G50" s="269" t="s">
        <v>65</v>
      </c>
    </row>
    <row r="51" spans="1:8" s="260" customFormat="1" ht="28.5">
      <c r="A51" s="255" t="s">
        <v>129</v>
      </c>
      <c r="B51" s="263" t="s">
        <v>2235</v>
      </c>
      <c r="C51" s="257" t="s">
        <v>1996</v>
      </c>
      <c r="D51" s="255" t="s">
        <v>10</v>
      </c>
      <c r="E51" s="265">
        <f>((E49+E50)-(E54+E53))</f>
        <v>2963.9475000000002</v>
      </c>
      <c r="F51" s="270">
        <f t="shared" si="1"/>
        <v>2963.95</v>
      </c>
      <c r="G51" s="269" t="s">
        <v>65</v>
      </c>
    </row>
    <row r="52" spans="1:8" s="260" customFormat="1" ht="42.75">
      <c r="A52" s="255" t="s">
        <v>130</v>
      </c>
      <c r="B52" s="257" t="s">
        <v>1759</v>
      </c>
      <c r="C52" s="257" t="s">
        <v>1751</v>
      </c>
      <c r="D52" s="255" t="s">
        <v>10</v>
      </c>
      <c r="E52" s="258">
        <f>(17.86*2)+(5.49*2)+6.56</f>
        <v>53.260000000000005</v>
      </c>
      <c r="F52" s="270">
        <f>ROUND(E52,2)</f>
        <v>53.26</v>
      </c>
      <c r="G52" s="269" t="s">
        <v>65</v>
      </c>
    </row>
    <row r="53" spans="1:8" s="260" customFormat="1" ht="71.25">
      <c r="A53" s="255" t="s">
        <v>131</v>
      </c>
      <c r="B53" s="257" t="s">
        <v>1760</v>
      </c>
      <c r="C53" s="257" t="s">
        <v>1998</v>
      </c>
      <c r="D53" s="255" t="s">
        <v>10</v>
      </c>
      <c r="E53" s="265">
        <f>18.22+204.02+((10.35+12.9)*1.5)+(29.85*1.5)</f>
        <v>301.89</v>
      </c>
      <c r="F53" s="270">
        <f>ROUND(E53,2)</f>
        <v>301.89</v>
      </c>
      <c r="G53" s="269" t="s">
        <v>65</v>
      </c>
    </row>
    <row r="54" spans="1:8" s="260" customFormat="1" ht="57">
      <c r="A54" s="255" t="s">
        <v>993</v>
      </c>
      <c r="B54" s="257" t="s">
        <v>1761</v>
      </c>
      <c r="C54" s="257" t="s">
        <v>1999</v>
      </c>
      <c r="D54" s="255" t="s">
        <v>10</v>
      </c>
      <c r="E54" s="265">
        <f>(49.7*0.25)+(23.35*0.25)+(29.85*0.25)</f>
        <v>25.725000000000001</v>
      </c>
      <c r="F54" s="270">
        <f>ROUND(E54,2)</f>
        <v>25.73</v>
      </c>
      <c r="G54" s="269" t="s">
        <v>65</v>
      </c>
    </row>
    <row r="55" spans="1:8" s="260" customFormat="1" ht="42.75">
      <c r="A55" s="255" t="s">
        <v>1762</v>
      </c>
      <c r="B55" s="257" t="s">
        <v>1764</v>
      </c>
      <c r="C55" s="257" t="s">
        <v>1735</v>
      </c>
      <c r="D55" s="255" t="s">
        <v>10</v>
      </c>
      <c r="E55" s="264">
        <f>0.9*2.1*4*2</f>
        <v>15.120000000000001</v>
      </c>
      <c r="F55" s="270">
        <f t="shared" si="1"/>
        <v>15.12</v>
      </c>
      <c r="G55" s="269" t="s">
        <v>65</v>
      </c>
      <c r="H55" s="333"/>
    </row>
    <row r="56" spans="1:8" s="335" customFormat="1" ht="28.5">
      <c r="A56" s="262" t="s">
        <v>1763</v>
      </c>
      <c r="B56" s="263" t="s">
        <v>1853</v>
      </c>
      <c r="C56" s="257" t="s">
        <v>1995</v>
      </c>
      <c r="D56" s="255" t="s">
        <v>10</v>
      </c>
      <c r="E56" s="265">
        <f>118.15*1.2</f>
        <v>141.78</v>
      </c>
      <c r="F56" s="364">
        <f t="shared" si="1"/>
        <v>141.78</v>
      </c>
      <c r="G56" s="269" t="s">
        <v>65</v>
      </c>
    </row>
    <row r="57" spans="1:8" s="306" customFormat="1" ht="15">
      <c r="A57" s="921" t="s">
        <v>82</v>
      </c>
      <c r="B57" s="921"/>
      <c r="C57" s="921"/>
      <c r="D57" s="921"/>
      <c r="E57" s="921"/>
      <c r="F57" s="312"/>
      <c r="G57" s="259"/>
    </row>
    <row r="58" spans="1:8" s="306" customFormat="1" ht="15">
      <c r="A58" s="322" t="s">
        <v>60</v>
      </c>
      <c r="B58" s="322" t="s">
        <v>61</v>
      </c>
      <c r="C58" s="323" t="s">
        <v>62</v>
      </c>
      <c r="D58" s="322" t="s">
        <v>63</v>
      </c>
      <c r="E58" s="322" t="s">
        <v>64</v>
      </c>
      <c r="F58" s="312"/>
      <c r="G58" s="259"/>
    </row>
    <row r="59" spans="1:8" s="260" customFormat="1" ht="28.5">
      <c r="A59" s="255" t="s">
        <v>114</v>
      </c>
      <c r="B59" s="256" t="s">
        <v>1765</v>
      </c>
      <c r="C59" s="257" t="s">
        <v>1766</v>
      </c>
      <c r="D59" s="255" t="s">
        <v>101</v>
      </c>
      <c r="E59" s="265">
        <f>1.94*2</f>
        <v>3.88</v>
      </c>
      <c r="F59" s="270">
        <f t="shared" ref="F59:F71" si="2">ROUND(E59,2)</f>
        <v>3.88</v>
      </c>
      <c r="G59" s="269" t="s">
        <v>65</v>
      </c>
    </row>
    <row r="60" spans="1:8" s="260" customFormat="1" ht="14.25">
      <c r="A60" s="255" t="s">
        <v>132</v>
      </c>
      <c r="B60" s="256" t="s">
        <v>1767</v>
      </c>
      <c r="C60" s="263" t="s">
        <v>2554</v>
      </c>
      <c r="D60" s="379" t="s">
        <v>10</v>
      </c>
      <c r="E60" s="262">
        <f>0.55*0.45*6</f>
        <v>1.4850000000000001</v>
      </c>
      <c r="F60" s="270">
        <f t="shared" si="2"/>
        <v>1.49</v>
      </c>
      <c r="G60" s="269" t="s">
        <v>65</v>
      </c>
    </row>
    <row r="61" spans="1:8" s="260" customFormat="1" ht="28.5">
      <c r="A61" s="255" t="s">
        <v>994</v>
      </c>
      <c r="B61" s="257" t="s">
        <v>1768</v>
      </c>
      <c r="C61" s="257" t="s">
        <v>1769</v>
      </c>
      <c r="D61" s="325" t="s">
        <v>57</v>
      </c>
      <c r="E61" s="265">
        <v>18</v>
      </c>
      <c r="F61" s="270">
        <f t="shared" si="2"/>
        <v>18</v>
      </c>
      <c r="G61" s="269" t="s">
        <v>65</v>
      </c>
    </row>
    <row r="62" spans="1:8" s="260" customFormat="1" ht="28.5">
      <c r="A62" s="255" t="s">
        <v>995</v>
      </c>
      <c r="B62" s="257" t="s">
        <v>1770</v>
      </c>
      <c r="C62" s="257" t="s">
        <v>1771</v>
      </c>
      <c r="D62" s="325" t="s">
        <v>57</v>
      </c>
      <c r="E62" s="265">
        <v>6</v>
      </c>
      <c r="F62" s="270">
        <f t="shared" si="2"/>
        <v>6</v>
      </c>
      <c r="G62" s="269" t="s">
        <v>65</v>
      </c>
    </row>
    <row r="63" spans="1:8" s="260" customFormat="1" ht="28.5">
      <c r="A63" s="255" t="s">
        <v>996</v>
      </c>
      <c r="B63" s="257" t="s">
        <v>2463</v>
      </c>
      <c r="C63" s="257"/>
      <c r="D63" s="325" t="s">
        <v>57</v>
      </c>
      <c r="E63" s="265">
        <v>2</v>
      </c>
      <c r="F63" s="270">
        <f t="shared" si="2"/>
        <v>2</v>
      </c>
      <c r="G63" s="269" t="s">
        <v>65</v>
      </c>
    </row>
    <row r="64" spans="1:8" s="260" customFormat="1" ht="14.25">
      <c r="A64" s="255" t="s">
        <v>997</v>
      </c>
      <c r="B64" s="256" t="s">
        <v>2555</v>
      </c>
      <c r="C64" s="257" t="s">
        <v>1772</v>
      </c>
      <c r="D64" s="325" t="s">
        <v>57</v>
      </c>
      <c r="E64" s="265">
        <v>2</v>
      </c>
      <c r="F64" s="270">
        <f t="shared" si="2"/>
        <v>2</v>
      </c>
      <c r="G64" s="269" t="s">
        <v>65</v>
      </c>
    </row>
    <row r="65" spans="1:12" s="260" customFormat="1" ht="28.5">
      <c r="A65" s="255" t="s">
        <v>1773</v>
      </c>
      <c r="B65" s="257" t="s">
        <v>1774</v>
      </c>
      <c r="C65" s="263" t="s">
        <v>2556</v>
      </c>
      <c r="D65" s="379" t="s">
        <v>57</v>
      </c>
      <c r="E65" s="264">
        <f>(27*2)</f>
        <v>54</v>
      </c>
      <c r="F65" s="270">
        <f t="shared" si="2"/>
        <v>54</v>
      </c>
      <c r="G65" s="269" t="s">
        <v>65</v>
      </c>
    </row>
    <row r="66" spans="1:12" s="380" customFormat="1" ht="29.25">
      <c r="A66" s="262" t="s">
        <v>1775</v>
      </c>
      <c r="B66" s="263" t="s">
        <v>1776</v>
      </c>
      <c r="C66" s="263" t="s">
        <v>1991</v>
      </c>
      <c r="D66" s="379" t="s">
        <v>10</v>
      </c>
      <c r="E66" s="265">
        <f>1356.63-419.98</f>
        <v>936.65000000000009</v>
      </c>
      <c r="F66" s="270">
        <f t="shared" si="2"/>
        <v>936.65</v>
      </c>
      <c r="G66" s="342" t="s">
        <v>65</v>
      </c>
    </row>
    <row r="67" spans="1:12" s="380" customFormat="1" ht="29.25">
      <c r="A67" s="262" t="s">
        <v>1775</v>
      </c>
      <c r="B67" s="263" t="s">
        <v>1989</v>
      </c>
      <c r="C67" s="263" t="s">
        <v>1990</v>
      </c>
      <c r="D67" s="379" t="s">
        <v>10</v>
      </c>
      <c r="E67" s="265">
        <v>419.98</v>
      </c>
      <c r="F67" s="270">
        <f>ROUND(E67,2)</f>
        <v>419.98</v>
      </c>
      <c r="G67" s="342" t="s">
        <v>65</v>
      </c>
    </row>
    <row r="68" spans="1:12" s="260" customFormat="1" ht="28.5">
      <c r="A68" s="255" t="s">
        <v>1777</v>
      </c>
      <c r="B68" s="257" t="s">
        <v>1778</v>
      </c>
      <c r="C68" s="257" t="s">
        <v>1779</v>
      </c>
      <c r="D68" s="325" t="s">
        <v>101</v>
      </c>
      <c r="E68" s="265">
        <v>402.3</v>
      </c>
      <c r="F68" s="270">
        <f t="shared" si="2"/>
        <v>402.3</v>
      </c>
      <c r="G68" s="342" t="s">
        <v>65</v>
      </c>
    </row>
    <row r="69" spans="1:12" s="260" customFormat="1" ht="14.25">
      <c r="A69" s="255" t="s">
        <v>1780</v>
      </c>
      <c r="B69" s="256" t="s">
        <v>1781</v>
      </c>
      <c r="C69" s="257" t="s">
        <v>1782</v>
      </c>
      <c r="D69" s="325" t="s">
        <v>283</v>
      </c>
      <c r="E69" s="265">
        <v>1</v>
      </c>
      <c r="F69" s="270">
        <f t="shared" si="2"/>
        <v>1</v>
      </c>
      <c r="G69" s="269" t="s">
        <v>65</v>
      </c>
    </row>
    <row r="70" spans="1:12" s="260" customFormat="1" ht="14.25">
      <c r="A70" s="255" t="s">
        <v>1783</v>
      </c>
      <c r="B70" s="256" t="s">
        <v>1784</v>
      </c>
      <c r="C70" s="257" t="s">
        <v>1782</v>
      </c>
      <c r="D70" s="325" t="s">
        <v>283</v>
      </c>
      <c r="E70" s="265">
        <v>1</v>
      </c>
      <c r="F70" s="270">
        <f t="shared" si="2"/>
        <v>1</v>
      </c>
      <c r="G70" s="269" t="s">
        <v>65</v>
      </c>
    </row>
    <row r="71" spans="1:12" s="260" customFormat="1" ht="14.25">
      <c r="A71" s="255" t="s">
        <v>1785</v>
      </c>
      <c r="B71" s="256" t="s">
        <v>287</v>
      </c>
      <c r="C71" s="257" t="s">
        <v>1782</v>
      </c>
      <c r="D71" s="325" t="s">
        <v>283</v>
      </c>
      <c r="E71" s="265">
        <v>1</v>
      </c>
      <c r="F71" s="270">
        <f t="shared" si="2"/>
        <v>1</v>
      </c>
      <c r="G71" s="269" t="s">
        <v>65</v>
      </c>
    </row>
    <row r="72" spans="1:12" s="336" customFormat="1" ht="15">
      <c r="A72" s="930" t="s">
        <v>56</v>
      </c>
      <c r="B72" s="930"/>
      <c r="C72" s="921"/>
      <c r="D72" s="921"/>
      <c r="E72" s="921"/>
      <c r="F72" s="334"/>
      <c r="G72" s="259"/>
      <c r="H72" s="335"/>
      <c r="I72" s="335"/>
      <c r="J72" s="335"/>
      <c r="K72" s="335"/>
      <c r="L72" s="335"/>
    </row>
    <row r="73" spans="1:12" s="336" customFormat="1" ht="15">
      <c r="A73" s="322" t="s">
        <v>60</v>
      </c>
      <c r="B73" s="322" t="s">
        <v>61</v>
      </c>
      <c r="C73" s="323" t="s">
        <v>62</v>
      </c>
      <c r="D73" s="322" t="s">
        <v>63</v>
      </c>
      <c r="E73" s="322" t="s">
        <v>64</v>
      </c>
      <c r="F73" s="334"/>
      <c r="G73" s="259"/>
      <c r="H73" s="335"/>
      <c r="I73" s="335"/>
      <c r="J73" s="335"/>
      <c r="K73" s="335"/>
      <c r="L73" s="335"/>
    </row>
    <row r="74" spans="1:12" s="335" customFormat="1" ht="14.25">
      <c r="A74" s="255" t="s">
        <v>114</v>
      </c>
      <c r="B74" s="256" t="s">
        <v>1786</v>
      </c>
      <c r="C74" s="257" t="s">
        <v>1787</v>
      </c>
      <c r="D74" s="255" t="s">
        <v>10</v>
      </c>
      <c r="E74" s="258">
        <v>199.53</v>
      </c>
      <c r="F74" s="364">
        <f>E74</f>
        <v>199.53</v>
      </c>
      <c r="G74" s="269" t="s">
        <v>65</v>
      </c>
    </row>
    <row r="75" spans="1:12" s="306" customFormat="1" ht="15">
      <c r="A75" s="930" t="s">
        <v>66</v>
      </c>
      <c r="B75" s="930"/>
      <c r="C75" s="921"/>
      <c r="D75" s="921"/>
      <c r="E75" s="921"/>
      <c r="F75" s="312"/>
      <c r="G75" s="269"/>
    </row>
    <row r="76" spans="1:12" s="306" customFormat="1" ht="15">
      <c r="A76" s="322" t="s">
        <v>60</v>
      </c>
      <c r="B76" s="322" t="s">
        <v>61</v>
      </c>
      <c r="C76" s="323" t="s">
        <v>62</v>
      </c>
      <c r="D76" s="322" t="s">
        <v>63</v>
      </c>
      <c r="E76" s="322" t="s">
        <v>64</v>
      </c>
      <c r="F76" s="312"/>
      <c r="G76" s="269"/>
    </row>
    <row r="77" spans="1:12" s="260" customFormat="1" ht="14.25">
      <c r="A77" s="255" t="s">
        <v>1054</v>
      </c>
      <c r="B77" s="256" t="s">
        <v>1788</v>
      </c>
      <c r="C77" s="257"/>
      <c r="D77" s="255" t="s">
        <v>101</v>
      </c>
      <c r="E77" s="265">
        <v>1566.94</v>
      </c>
      <c r="F77" s="270">
        <f>ROUND(E77,2)</f>
        <v>1566.94</v>
      </c>
      <c r="G77" s="269" t="s">
        <v>65</v>
      </c>
    </row>
  </sheetData>
  <mergeCells count="13">
    <mergeCell ref="A75:E75"/>
    <mergeCell ref="A29:E29"/>
    <mergeCell ref="A36:E36"/>
    <mergeCell ref="A42:E42"/>
    <mergeCell ref="A46:E46"/>
    <mergeCell ref="A57:E57"/>
    <mergeCell ref="A72:E72"/>
    <mergeCell ref="A23:E23"/>
    <mergeCell ref="A1:E1"/>
    <mergeCell ref="A2:E2"/>
    <mergeCell ref="A5:E5"/>
    <mergeCell ref="A8:E8"/>
    <mergeCell ref="A17:E17"/>
  </mergeCells>
  <pageMargins left="0.511811024" right="0.511811024" top="0.78740157499999996" bottom="0.78740157499999996" header="0.31496062000000002" footer="0.31496062000000002"/>
  <pageSetup paperSize="9"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9CC00"/>
  </sheetPr>
  <dimension ref="A1:H65"/>
  <sheetViews>
    <sheetView view="pageBreakPreview" topLeftCell="A40" zoomScale="60" workbookViewId="0">
      <selection activeCell="E65" sqref="A1:E65"/>
    </sheetView>
  </sheetViews>
  <sheetFormatPr defaultRowHeight="15"/>
  <cols>
    <col min="1" max="1" width="6.85546875" style="360" bestFit="1" customWidth="1"/>
    <col min="2" max="2" width="24" style="335" customWidth="1"/>
    <col min="3" max="3" width="57.42578125" style="335" customWidth="1"/>
    <col min="4" max="4" width="7.140625" style="335" customWidth="1"/>
    <col min="5" max="5" width="8.7109375" style="335" bestFit="1" customWidth="1"/>
    <col min="6" max="6" width="11" style="361" customWidth="1"/>
    <col min="7" max="7" width="8.85546875" style="362" customWidth="1"/>
  </cols>
  <sheetData>
    <row r="1" spans="1:7">
      <c r="A1" s="931" t="s">
        <v>1817</v>
      </c>
      <c r="B1" s="931"/>
      <c r="C1" s="931"/>
      <c r="D1" s="931"/>
      <c r="E1" s="931"/>
      <c r="F1" s="346"/>
      <c r="G1" s="347"/>
    </row>
    <row r="2" spans="1:7">
      <c r="A2" s="931" t="s">
        <v>59</v>
      </c>
      <c r="B2" s="931"/>
      <c r="C2" s="931"/>
      <c r="D2" s="931"/>
      <c r="E2" s="931"/>
      <c r="F2" s="346"/>
      <c r="G2" s="347"/>
    </row>
    <row r="3" spans="1:7">
      <c r="A3" s="348" t="s">
        <v>60</v>
      </c>
      <c r="B3" s="348" t="s">
        <v>61</v>
      </c>
      <c r="C3" s="349" t="s">
        <v>62</v>
      </c>
      <c r="D3" s="348" t="s">
        <v>63</v>
      </c>
      <c r="E3" s="348" t="s">
        <v>64</v>
      </c>
      <c r="F3" s="346"/>
      <c r="G3" s="347"/>
    </row>
    <row r="4" spans="1:7">
      <c r="A4" s="255" t="s">
        <v>16</v>
      </c>
      <c r="B4" s="256" t="s">
        <v>1818</v>
      </c>
      <c r="C4" s="350" t="s">
        <v>1819</v>
      </c>
      <c r="D4" s="255" t="s">
        <v>10</v>
      </c>
      <c r="E4" s="351">
        <v>378.45</v>
      </c>
      <c r="F4" s="363">
        <f>ROUND(E4,2)</f>
        <v>378.45</v>
      </c>
      <c r="G4" s="269" t="s">
        <v>65</v>
      </c>
    </row>
    <row r="5" spans="1:7">
      <c r="A5" s="931" t="s">
        <v>1820</v>
      </c>
      <c r="B5" s="931"/>
      <c r="C5" s="929"/>
      <c r="D5" s="929"/>
      <c r="E5" s="929"/>
      <c r="F5" s="334"/>
      <c r="G5" s="259"/>
    </row>
    <row r="6" spans="1:7">
      <c r="A6" s="322" t="s">
        <v>60</v>
      </c>
      <c r="B6" s="322" t="s">
        <v>61</v>
      </c>
      <c r="C6" s="323" t="s">
        <v>62</v>
      </c>
      <c r="D6" s="322" t="s">
        <v>63</v>
      </c>
      <c r="E6" s="322" t="s">
        <v>64</v>
      </c>
      <c r="F6" s="334"/>
      <c r="G6" s="259"/>
    </row>
    <row r="7" spans="1:7" ht="156.75">
      <c r="A7" s="255" t="s">
        <v>18</v>
      </c>
      <c r="B7" s="257" t="s">
        <v>211</v>
      </c>
      <c r="C7" s="355" t="s">
        <v>2602</v>
      </c>
      <c r="D7" s="262" t="s">
        <v>10</v>
      </c>
      <c r="E7" s="424">
        <f>(((16.9+3.35+16+30.8)*1.1)-(1.98+0.88+0.88+5.94))+55.11</f>
        <v>119.18500000000002</v>
      </c>
      <c r="F7" s="364">
        <f>ROUND(E7,2)</f>
        <v>119.19</v>
      </c>
      <c r="G7" s="269" t="s">
        <v>65</v>
      </c>
    </row>
    <row r="8" spans="1:7">
      <c r="A8" s="929" t="s">
        <v>95</v>
      </c>
      <c r="B8" s="929"/>
      <c r="C8" s="929"/>
      <c r="D8" s="929"/>
      <c r="E8" s="929"/>
      <c r="F8" s="334"/>
      <c r="G8" s="347"/>
    </row>
    <row r="9" spans="1:7">
      <c r="A9" s="322" t="s">
        <v>60</v>
      </c>
      <c r="B9" s="322" t="s">
        <v>61</v>
      </c>
      <c r="C9" s="323" t="s">
        <v>62</v>
      </c>
      <c r="D9" s="322" t="s">
        <v>63</v>
      </c>
      <c r="E9" s="322" t="s">
        <v>64</v>
      </c>
      <c r="F9" s="334"/>
      <c r="G9" s="347"/>
    </row>
    <row r="10" spans="1:7" ht="233.25">
      <c r="A10" s="255" t="s">
        <v>21</v>
      </c>
      <c r="B10" s="261" t="s">
        <v>1821</v>
      </c>
      <c r="C10" s="355" t="s">
        <v>2236</v>
      </c>
      <c r="D10" s="262" t="s">
        <v>10</v>
      </c>
      <c r="E10" s="424">
        <f>181.62+59.86+61.17+3.75+53.4+53.4+23.55</f>
        <v>436.75</v>
      </c>
      <c r="F10" s="364">
        <f t="shared" ref="F10:F15" si="0">ROUND(E10,2)</f>
        <v>436.75</v>
      </c>
      <c r="G10" s="269" t="s">
        <v>65</v>
      </c>
    </row>
    <row r="11" spans="1:7" ht="43.5">
      <c r="A11" s="255" t="s">
        <v>22</v>
      </c>
      <c r="B11" s="263" t="s">
        <v>1714</v>
      </c>
      <c r="C11" s="332" t="s">
        <v>1822</v>
      </c>
      <c r="D11" s="255" t="s">
        <v>101</v>
      </c>
      <c r="E11" s="265">
        <f>(1.3*8)+(1.2*2)</f>
        <v>12.8</v>
      </c>
      <c r="F11" s="364">
        <f t="shared" si="0"/>
        <v>12.8</v>
      </c>
      <c r="G11" s="269" t="s">
        <v>65</v>
      </c>
    </row>
    <row r="12" spans="1:7" ht="29.25">
      <c r="A12" s="255" t="s">
        <v>1713</v>
      </c>
      <c r="B12" s="263" t="s">
        <v>1717</v>
      </c>
      <c r="C12" s="257" t="s">
        <v>1823</v>
      </c>
      <c r="D12" s="255" t="s">
        <v>101</v>
      </c>
      <c r="E12" s="265">
        <f>5*1.2</f>
        <v>6</v>
      </c>
      <c r="F12" s="364">
        <f t="shared" si="0"/>
        <v>6</v>
      </c>
      <c r="G12" s="269" t="s">
        <v>65</v>
      </c>
    </row>
    <row r="13" spans="1:7" ht="29.25">
      <c r="A13" s="255" t="s">
        <v>1716</v>
      </c>
      <c r="B13" s="263" t="s">
        <v>1720</v>
      </c>
      <c r="C13" s="257" t="s">
        <v>1824</v>
      </c>
      <c r="D13" s="255" t="s">
        <v>101</v>
      </c>
      <c r="E13" s="265">
        <f>2.4*8</f>
        <v>19.2</v>
      </c>
      <c r="F13" s="364">
        <f t="shared" si="0"/>
        <v>19.2</v>
      </c>
      <c r="G13" s="269" t="s">
        <v>65</v>
      </c>
    </row>
    <row r="14" spans="1:7" ht="28.5">
      <c r="A14" s="255" t="s">
        <v>1719</v>
      </c>
      <c r="B14" s="263" t="s">
        <v>1825</v>
      </c>
      <c r="C14" s="257" t="s">
        <v>1823</v>
      </c>
      <c r="D14" s="255" t="s">
        <v>101</v>
      </c>
      <c r="E14" s="265">
        <f>5*1.2</f>
        <v>6</v>
      </c>
      <c r="F14" s="364">
        <f t="shared" si="0"/>
        <v>6</v>
      </c>
      <c r="G14" s="269" t="s">
        <v>65</v>
      </c>
    </row>
    <row r="15" spans="1:7" ht="28.5">
      <c r="A15" s="255" t="s">
        <v>1722</v>
      </c>
      <c r="B15" s="263" t="s">
        <v>1826</v>
      </c>
      <c r="C15" s="257" t="s">
        <v>1824</v>
      </c>
      <c r="D15" s="255" t="s">
        <v>101</v>
      </c>
      <c r="E15" s="265">
        <f>2.4*8</f>
        <v>19.2</v>
      </c>
      <c r="F15" s="364">
        <f t="shared" si="0"/>
        <v>19.2</v>
      </c>
      <c r="G15" s="269" t="s">
        <v>65</v>
      </c>
    </row>
    <row r="16" spans="1:7">
      <c r="A16" s="921" t="s">
        <v>75</v>
      </c>
      <c r="B16" s="921"/>
      <c r="C16" s="921"/>
      <c r="D16" s="921"/>
      <c r="E16" s="921"/>
      <c r="F16" s="334"/>
      <c r="G16" s="260"/>
    </row>
    <row r="17" spans="1:7">
      <c r="A17" s="322" t="s">
        <v>60</v>
      </c>
      <c r="B17" s="322" t="s">
        <v>61</v>
      </c>
      <c r="C17" s="323" t="s">
        <v>62</v>
      </c>
      <c r="D17" s="322" t="s">
        <v>63</v>
      </c>
      <c r="E17" s="322" t="s">
        <v>64</v>
      </c>
      <c r="F17" s="334"/>
      <c r="G17" s="260"/>
    </row>
    <row r="18" spans="1:7" ht="28.5">
      <c r="A18" s="255" t="s">
        <v>24</v>
      </c>
      <c r="B18" s="256" t="s">
        <v>1827</v>
      </c>
      <c r="C18" s="352" t="s">
        <v>1828</v>
      </c>
      <c r="D18" s="255" t="s">
        <v>10</v>
      </c>
      <c r="E18" s="351">
        <f>28.1*17.6</f>
        <v>494.56000000000006</v>
      </c>
      <c r="F18" s="364">
        <f>ROUND(E18,2)</f>
        <v>494.56</v>
      </c>
      <c r="G18" s="269" t="s">
        <v>65</v>
      </c>
    </row>
    <row r="19" spans="1:7">
      <c r="A19" s="921" t="s">
        <v>79</v>
      </c>
      <c r="B19" s="921"/>
      <c r="C19" s="921"/>
      <c r="D19" s="921"/>
      <c r="E19" s="921"/>
      <c r="F19" s="334"/>
      <c r="G19" s="353"/>
    </row>
    <row r="20" spans="1:7">
      <c r="A20" s="322" t="s">
        <v>60</v>
      </c>
      <c r="B20" s="322" t="s">
        <v>61</v>
      </c>
      <c r="C20" s="323" t="s">
        <v>62</v>
      </c>
      <c r="D20" s="322" t="s">
        <v>63</v>
      </c>
      <c r="E20" s="322" t="s">
        <v>64</v>
      </c>
      <c r="F20" s="334"/>
      <c r="G20" s="353"/>
    </row>
    <row r="21" spans="1:7">
      <c r="A21" s="354" t="s">
        <v>30</v>
      </c>
      <c r="B21" s="261" t="s">
        <v>1829</v>
      </c>
      <c r="C21" s="355" t="s">
        <v>1830</v>
      </c>
      <c r="D21" s="365" t="s">
        <v>57</v>
      </c>
      <c r="E21" s="366">
        <v>8</v>
      </c>
      <c r="F21" s="364">
        <f>ROUND(E21,2)</f>
        <v>8</v>
      </c>
      <c r="G21" s="269" t="s">
        <v>65</v>
      </c>
    </row>
    <row r="22" spans="1:7">
      <c r="A22" s="354" t="s">
        <v>31</v>
      </c>
      <c r="B22" s="261" t="s">
        <v>1831</v>
      </c>
      <c r="C22" s="355" t="s">
        <v>1832</v>
      </c>
      <c r="D22" s="365" t="s">
        <v>57</v>
      </c>
      <c r="E22" s="366">
        <v>2</v>
      </c>
      <c r="F22" s="364">
        <f>ROUND(E22,2)</f>
        <v>2</v>
      </c>
      <c r="G22" s="269" t="s">
        <v>65</v>
      </c>
    </row>
    <row r="23" spans="1:7" ht="28.5">
      <c r="A23" s="354" t="s">
        <v>84</v>
      </c>
      <c r="B23" s="263" t="s">
        <v>1833</v>
      </c>
      <c r="C23" s="355" t="s">
        <v>1834</v>
      </c>
      <c r="D23" s="262" t="s">
        <v>10</v>
      </c>
      <c r="E23" s="356">
        <f>6*2*0.8</f>
        <v>9.6000000000000014</v>
      </c>
      <c r="F23" s="364">
        <f>ROUND(E23,2)</f>
        <v>9.6</v>
      </c>
      <c r="G23" s="269" t="s">
        <v>65</v>
      </c>
    </row>
    <row r="24" spans="1:7" ht="28.5">
      <c r="A24" s="354" t="s">
        <v>85</v>
      </c>
      <c r="B24" s="263" t="s">
        <v>1835</v>
      </c>
      <c r="C24" s="355" t="s">
        <v>1836</v>
      </c>
      <c r="D24" s="262" t="s">
        <v>10</v>
      </c>
      <c r="E24" s="356">
        <f>0.8*0.4*5</f>
        <v>1.6000000000000003</v>
      </c>
      <c r="F24" s="364">
        <f>ROUND(E24,2)</f>
        <v>1.6</v>
      </c>
      <c r="G24" s="269" t="s">
        <v>65</v>
      </c>
    </row>
    <row r="25" spans="1:7" ht="28.5">
      <c r="A25" s="354" t="s">
        <v>86</v>
      </c>
      <c r="B25" s="263" t="s">
        <v>1837</v>
      </c>
      <c r="C25" s="355" t="s">
        <v>1838</v>
      </c>
      <c r="D25" s="365" t="s">
        <v>57</v>
      </c>
      <c r="E25" s="366">
        <v>2</v>
      </c>
      <c r="F25" s="364">
        <f>ROUND(E25,2)</f>
        <v>2</v>
      </c>
      <c r="G25" s="269" t="s">
        <v>65</v>
      </c>
    </row>
    <row r="26" spans="1:7">
      <c r="A26" s="921" t="s">
        <v>109</v>
      </c>
      <c r="B26" s="921"/>
      <c r="C26" s="921"/>
      <c r="D26" s="921"/>
      <c r="E26" s="921"/>
      <c r="F26" s="334"/>
      <c r="G26" s="259"/>
    </row>
    <row r="27" spans="1:7">
      <c r="A27" s="322" t="s">
        <v>60</v>
      </c>
      <c r="B27" s="322" t="s">
        <v>61</v>
      </c>
      <c r="C27" s="323" t="s">
        <v>62</v>
      </c>
      <c r="D27" s="322" t="s">
        <v>63</v>
      </c>
      <c r="E27" s="322" t="s">
        <v>64</v>
      </c>
      <c r="F27" s="334"/>
      <c r="G27" s="259"/>
    </row>
    <row r="28" spans="1:7" ht="44.25">
      <c r="A28" s="255" t="s">
        <v>33</v>
      </c>
      <c r="B28" s="256" t="s">
        <v>1839</v>
      </c>
      <c r="C28" s="355" t="s">
        <v>2603</v>
      </c>
      <c r="D28" s="262" t="s">
        <v>10</v>
      </c>
      <c r="E28" s="425">
        <f>((E10*2)+(0.9*11*3.9))-(21.9*2)</f>
        <v>868.31000000000006</v>
      </c>
      <c r="F28" s="364">
        <f t="shared" ref="F28:F34" si="1">ROUND(E28,2)</f>
        <v>868.31</v>
      </c>
      <c r="G28" s="269" t="s">
        <v>65</v>
      </c>
    </row>
    <row r="29" spans="1:7" ht="114">
      <c r="A29" s="255" t="s">
        <v>124</v>
      </c>
      <c r="B29" s="256" t="s">
        <v>1840</v>
      </c>
      <c r="C29" s="355" t="s">
        <v>2551</v>
      </c>
      <c r="D29" s="262" t="s">
        <v>10</v>
      </c>
      <c r="E29" s="425">
        <f>14.87+3.75+3.75+48.9+26.06+3.87+9.54+9.54</f>
        <v>120.28</v>
      </c>
      <c r="F29" s="364">
        <f t="shared" si="1"/>
        <v>120.28</v>
      </c>
      <c r="G29" s="269" t="s">
        <v>65</v>
      </c>
    </row>
    <row r="30" spans="1:7">
      <c r="A30" s="255" t="s">
        <v>125</v>
      </c>
      <c r="B30" s="256" t="s">
        <v>1842</v>
      </c>
      <c r="C30" s="352" t="s">
        <v>1843</v>
      </c>
      <c r="D30" s="255" t="s">
        <v>10</v>
      </c>
      <c r="E30" s="351">
        <f>E28-E32</f>
        <v>450.38099999999997</v>
      </c>
      <c r="F30" s="364">
        <f t="shared" si="1"/>
        <v>450.38</v>
      </c>
      <c r="G30" s="269" t="s">
        <v>65</v>
      </c>
    </row>
    <row r="31" spans="1:7" ht="114">
      <c r="A31" s="255" t="s">
        <v>299</v>
      </c>
      <c r="B31" s="256" t="s">
        <v>1844</v>
      </c>
      <c r="C31" s="355" t="s">
        <v>2551</v>
      </c>
      <c r="D31" s="262" t="s">
        <v>10</v>
      </c>
      <c r="E31" s="425">
        <f>14.87+3.75+3.75+48.9+26.06+3.87+9.54+9.54</f>
        <v>120.28</v>
      </c>
      <c r="F31" s="364">
        <f t="shared" si="1"/>
        <v>120.28</v>
      </c>
      <c r="G31" s="269" t="s">
        <v>65</v>
      </c>
    </row>
    <row r="32" spans="1:7" ht="242.25">
      <c r="A32" s="255" t="s">
        <v>300</v>
      </c>
      <c r="B32" s="257" t="s">
        <v>1845</v>
      </c>
      <c r="C32" s="352" t="s">
        <v>2241</v>
      </c>
      <c r="D32" s="255" t="s">
        <v>10</v>
      </c>
      <c r="E32" s="351">
        <f>(((8.7+16.9+12.9+12.9+8+8+30.38+16.4)*3.8)-54.45)+(5.15*1.5)+((14.5*1.2)-1.48)+14.85</f>
        <v>417.92900000000009</v>
      </c>
      <c r="F32" s="364">
        <f t="shared" si="1"/>
        <v>417.93</v>
      </c>
      <c r="G32" s="269" t="s">
        <v>65</v>
      </c>
    </row>
    <row r="33" spans="1:8" ht="228">
      <c r="A33" s="255" t="s">
        <v>301</v>
      </c>
      <c r="B33" s="256" t="s">
        <v>1846</v>
      </c>
      <c r="C33" s="263" t="s">
        <v>2242</v>
      </c>
      <c r="D33" s="262" t="s">
        <v>10</v>
      </c>
      <c r="E33" s="425">
        <f>(((8.7+16.9+12.9+12.9+8+8+30.38+16.4)*3.8)-54.45)+(5.15*1.5)+((14.5*1.2)-1.48)+14.85</f>
        <v>417.92900000000009</v>
      </c>
      <c r="F33" s="364">
        <f t="shared" si="1"/>
        <v>417.93</v>
      </c>
      <c r="G33" s="269" t="s">
        <v>65</v>
      </c>
    </row>
    <row r="34" spans="1:8" ht="114">
      <c r="A34" s="262" t="s">
        <v>302</v>
      </c>
      <c r="B34" s="357" t="s">
        <v>1847</v>
      </c>
      <c r="C34" s="358" t="s">
        <v>1848</v>
      </c>
      <c r="D34" s="255" t="s">
        <v>10</v>
      </c>
      <c r="E34" s="265">
        <f>4.37+4.51+3.59+14.85</f>
        <v>27.32</v>
      </c>
      <c r="F34" s="364">
        <f t="shared" si="1"/>
        <v>27.32</v>
      </c>
      <c r="G34" s="269" t="s">
        <v>65</v>
      </c>
    </row>
    <row r="35" spans="1:8">
      <c r="A35" s="929" t="s">
        <v>11</v>
      </c>
      <c r="B35" s="929"/>
      <c r="C35" s="929"/>
      <c r="D35" s="929"/>
      <c r="E35" s="929"/>
      <c r="F35" s="334"/>
      <c r="G35" s="359"/>
    </row>
    <row r="36" spans="1:8">
      <c r="A36" s="322" t="s">
        <v>60</v>
      </c>
      <c r="B36" s="322" t="s">
        <v>61</v>
      </c>
      <c r="C36" s="323" t="s">
        <v>62</v>
      </c>
      <c r="D36" s="322" t="s">
        <v>63</v>
      </c>
      <c r="E36" s="322" t="s">
        <v>64</v>
      </c>
      <c r="F36" s="334"/>
      <c r="G36" s="347"/>
    </row>
    <row r="37" spans="1:8" ht="156.75">
      <c r="A37" s="255" t="s">
        <v>96</v>
      </c>
      <c r="B37" s="256" t="s">
        <v>1849</v>
      </c>
      <c r="C37" s="352" t="s">
        <v>1841</v>
      </c>
      <c r="D37" s="255" t="s">
        <v>10</v>
      </c>
      <c r="E37" s="351">
        <f>14.87+3.75+3.75+48.9+26.06+3.87+9.54+9.54+246.5</f>
        <v>366.78</v>
      </c>
      <c r="F37" s="363">
        <f>ROUND(E37,2)</f>
        <v>366.78</v>
      </c>
      <c r="G37" s="269" t="s">
        <v>65</v>
      </c>
      <c r="H37" s="137" t="s">
        <v>1994</v>
      </c>
    </row>
    <row r="38" spans="1:8" ht="156.75">
      <c r="A38" s="255" t="s">
        <v>97</v>
      </c>
      <c r="B38" s="256" t="s">
        <v>1850</v>
      </c>
      <c r="C38" s="352" t="s">
        <v>1841</v>
      </c>
      <c r="D38" s="255" t="s">
        <v>10</v>
      </c>
      <c r="E38" s="351">
        <f>14.87+3.75+3.75+48.9+26.06+3.87+9.54+9.54+246.5</f>
        <v>366.78</v>
      </c>
      <c r="F38" s="363">
        <f>ROUND(E38,2)</f>
        <v>366.78</v>
      </c>
      <c r="G38" s="269" t="s">
        <v>65</v>
      </c>
      <c r="H38" s="137" t="s">
        <v>1993</v>
      </c>
    </row>
    <row r="39" spans="1:8" ht="156.75">
      <c r="A39" s="255" t="s">
        <v>99</v>
      </c>
      <c r="B39" s="257" t="s">
        <v>1851</v>
      </c>
      <c r="C39" s="352" t="s">
        <v>1841</v>
      </c>
      <c r="D39" s="255" t="s">
        <v>10</v>
      </c>
      <c r="E39" s="351">
        <f>14.87+3.75+3.75+48.9+26.06+3.87+9.54+9.54+246.5</f>
        <v>366.78</v>
      </c>
      <c r="F39" s="363">
        <f>ROUND(E39,2)</f>
        <v>366.78</v>
      </c>
      <c r="G39" s="269" t="s">
        <v>65</v>
      </c>
      <c r="H39" s="137" t="s">
        <v>1993</v>
      </c>
    </row>
    <row r="40" spans="1:8" ht="135" customHeight="1">
      <c r="A40" s="255" t="s">
        <v>100</v>
      </c>
      <c r="B40" s="256" t="s">
        <v>1750</v>
      </c>
      <c r="C40" s="355" t="s">
        <v>2237</v>
      </c>
      <c r="D40" s="262" t="s">
        <v>10</v>
      </c>
      <c r="E40" s="425">
        <f>14.87+3.75+3.75+48.9+24.8+3.87+9.54+9.54+239.16</f>
        <v>358.17999999999995</v>
      </c>
      <c r="F40" s="364">
        <f>ROUND(E40,2)</f>
        <v>358.18</v>
      </c>
      <c r="G40" s="269" t="s">
        <v>65</v>
      </c>
    </row>
    <row r="41" spans="1:8" ht="85.5">
      <c r="A41" s="255" t="s">
        <v>127</v>
      </c>
      <c r="B41" s="256" t="s">
        <v>363</v>
      </c>
      <c r="C41" s="355" t="s">
        <v>2238</v>
      </c>
      <c r="D41" s="262" t="s">
        <v>101</v>
      </c>
      <c r="E41" s="425">
        <f>(0.9*8)+(0.8*2)+45+2.55+5.45</f>
        <v>61.8</v>
      </c>
      <c r="F41" s="364">
        <f>ROUND(E41,2)</f>
        <v>61.8</v>
      </c>
      <c r="G41" s="269" t="s">
        <v>65</v>
      </c>
    </row>
    <row r="42" spans="1:8">
      <c r="A42" s="932" t="s">
        <v>12</v>
      </c>
      <c r="B42" s="933"/>
      <c r="C42" s="933"/>
      <c r="D42" s="933"/>
      <c r="E42" s="934"/>
      <c r="F42" s="334"/>
      <c r="G42" s="347"/>
    </row>
    <row r="43" spans="1:8">
      <c r="A43" s="322" t="s">
        <v>60</v>
      </c>
      <c r="B43" s="322" t="s">
        <v>61</v>
      </c>
      <c r="C43" s="323" t="s">
        <v>62</v>
      </c>
      <c r="D43" s="322" t="s">
        <v>63</v>
      </c>
      <c r="E43" s="322" t="s">
        <v>64</v>
      </c>
      <c r="F43" s="334"/>
      <c r="G43" s="347"/>
    </row>
    <row r="44" spans="1:8" s="384" customFormat="1" ht="128.25">
      <c r="A44" s="262" t="s">
        <v>102</v>
      </c>
      <c r="B44" s="263" t="s">
        <v>1852</v>
      </c>
      <c r="C44" s="263" t="s">
        <v>2048</v>
      </c>
      <c r="D44" s="262" t="s">
        <v>10</v>
      </c>
      <c r="E44" s="264">
        <f>63.94+59.86+55.9+53.4+53.4+35.85+(0.9*11*2.4)</f>
        <v>346.11</v>
      </c>
      <c r="F44" s="364">
        <f t="shared" ref="F44:F50" si="2">ROUND(E44,2)</f>
        <v>346.11</v>
      </c>
      <c r="G44" s="342" t="s">
        <v>65</v>
      </c>
      <c r="H44" s="383"/>
    </row>
    <row r="45" spans="1:8" s="384" customFormat="1" ht="142.5">
      <c r="A45" s="262" t="s">
        <v>103</v>
      </c>
      <c r="B45" s="263" t="s">
        <v>1757</v>
      </c>
      <c r="C45" s="263" t="s">
        <v>2049</v>
      </c>
      <c r="D45" s="262" t="s">
        <v>10</v>
      </c>
      <c r="E45" s="264">
        <f>(63.94+59.86+55.9+53.4+53.4+35.85)+(0.9*11*2.4)</f>
        <v>346.11</v>
      </c>
      <c r="F45" s="364">
        <f t="shared" si="2"/>
        <v>346.11</v>
      </c>
      <c r="G45" s="342" t="s">
        <v>65</v>
      </c>
      <c r="H45" s="383"/>
    </row>
    <row r="46" spans="1:8" s="384" customFormat="1" ht="128.25">
      <c r="A46" s="262" t="s">
        <v>103</v>
      </c>
      <c r="B46" s="263" t="s">
        <v>2050</v>
      </c>
      <c r="C46" s="263" t="s">
        <v>2604</v>
      </c>
      <c r="D46" s="262" t="s">
        <v>10</v>
      </c>
      <c r="E46" s="264">
        <v>120.28</v>
      </c>
      <c r="F46" s="364">
        <f t="shared" si="2"/>
        <v>120.28</v>
      </c>
      <c r="G46" s="342" t="s">
        <v>65</v>
      </c>
      <c r="H46" s="383"/>
    </row>
    <row r="47" spans="1:8" s="384" customFormat="1" ht="114">
      <c r="A47" s="262" t="s">
        <v>103</v>
      </c>
      <c r="B47" s="263" t="s">
        <v>2051</v>
      </c>
      <c r="C47" s="355" t="s">
        <v>2605</v>
      </c>
      <c r="D47" s="262" t="s">
        <v>10</v>
      </c>
      <c r="E47" s="425">
        <f>14.87+3.75+3.75+48.9+26.06+3.87+9.54+9.54</f>
        <v>120.28</v>
      </c>
      <c r="F47" s="364">
        <f t="shared" si="2"/>
        <v>120.28</v>
      </c>
      <c r="G47" s="342" t="s">
        <v>65</v>
      </c>
      <c r="H47" s="383"/>
    </row>
    <row r="48" spans="1:8" s="384" customFormat="1" ht="156.75">
      <c r="A48" s="262" t="s">
        <v>104</v>
      </c>
      <c r="B48" s="263" t="s">
        <v>1758</v>
      </c>
      <c r="C48" s="263" t="s">
        <v>2052</v>
      </c>
      <c r="D48" s="262" t="s">
        <v>10</v>
      </c>
      <c r="E48" s="264">
        <f>63.94+59.86+55.9+53.4+53.4+35.85 +(0.9*11*2.4)</f>
        <v>346.11</v>
      </c>
      <c r="F48" s="364">
        <f t="shared" si="2"/>
        <v>346.11</v>
      </c>
      <c r="G48" s="342" t="s">
        <v>65</v>
      </c>
    </row>
    <row r="49" spans="1:7" s="384" customFormat="1" ht="42.75">
      <c r="A49" s="262" t="s">
        <v>106</v>
      </c>
      <c r="B49" s="263" t="s">
        <v>1853</v>
      </c>
      <c r="C49" s="263" t="s">
        <v>1854</v>
      </c>
      <c r="D49" s="262" t="s">
        <v>10</v>
      </c>
      <c r="E49" s="264">
        <f>15.35*1.2</f>
        <v>18.419999999999998</v>
      </c>
      <c r="F49" s="364">
        <f>ROUND(E49,2)</f>
        <v>18.420000000000002</v>
      </c>
      <c r="G49" s="342" t="s">
        <v>65</v>
      </c>
    </row>
    <row r="50" spans="1:7" s="384" customFormat="1" ht="50.25" customHeight="1">
      <c r="A50" s="262" t="s">
        <v>107</v>
      </c>
      <c r="B50" s="263" t="s">
        <v>1855</v>
      </c>
      <c r="C50" s="263" t="s">
        <v>2239</v>
      </c>
      <c r="D50" s="262" t="s">
        <v>10</v>
      </c>
      <c r="E50" s="264">
        <f>((0.9*2.1*8)+(0.8*2.1*2))*2</f>
        <v>36.96</v>
      </c>
      <c r="F50" s="364">
        <f t="shared" si="2"/>
        <v>36.96</v>
      </c>
      <c r="G50" s="342" t="s">
        <v>65</v>
      </c>
    </row>
    <row r="51" spans="1:7">
      <c r="A51" s="929" t="s">
        <v>1856</v>
      </c>
      <c r="B51" s="929"/>
      <c r="C51" s="929"/>
      <c r="D51" s="929"/>
      <c r="E51" s="929"/>
      <c r="F51" s="334"/>
      <c r="G51" s="347"/>
    </row>
    <row r="52" spans="1:7">
      <c r="A52" s="322" t="s">
        <v>60</v>
      </c>
      <c r="B52" s="322" t="s">
        <v>61</v>
      </c>
      <c r="C52" s="323" t="s">
        <v>62</v>
      </c>
      <c r="D52" s="322" t="s">
        <v>63</v>
      </c>
      <c r="E52" s="322" t="s">
        <v>64</v>
      </c>
      <c r="F52" s="334"/>
      <c r="G52" s="347"/>
    </row>
    <row r="53" spans="1:7" ht="57">
      <c r="A53" s="255" t="s">
        <v>110</v>
      </c>
      <c r="B53" s="261" t="s">
        <v>1712</v>
      </c>
      <c r="C53" s="355" t="s">
        <v>2240</v>
      </c>
      <c r="D53" s="262" t="s">
        <v>10</v>
      </c>
      <c r="E53" s="425">
        <f>((2.68+2.76+2.76+2.8)*2)+((4.51+4.51+4.48)*0.7)</f>
        <v>31.45</v>
      </c>
      <c r="F53" s="364">
        <f t="shared" ref="F53:F59" si="3">ROUND(E53,2)</f>
        <v>31.45</v>
      </c>
      <c r="G53" s="269" t="s">
        <v>65</v>
      </c>
    </row>
    <row r="54" spans="1:7">
      <c r="A54" s="255" t="s">
        <v>112</v>
      </c>
      <c r="B54" s="261" t="s">
        <v>1857</v>
      </c>
      <c r="C54" s="355" t="s">
        <v>1858</v>
      </c>
      <c r="D54" s="325" t="s">
        <v>57</v>
      </c>
      <c r="E54" s="351">
        <v>1</v>
      </c>
      <c r="F54" s="364">
        <f t="shared" si="3"/>
        <v>1</v>
      </c>
      <c r="G54" s="269" t="s">
        <v>65</v>
      </c>
    </row>
    <row r="55" spans="1:7">
      <c r="A55" s="255" t="s">
        <v>113</v>
      </c>
      <c r="B55" s="261" t="s">
        <v>1859</v>
      </c>
      <c r="C55" s="355" t="s">
        <v>136</v>
      </c>
      <c r="D55" s="325" t="s">
        <v>57</v>
      </c>
      <c r="E55" s="351">
        <v>1</v>
      </c>
      <c r="F55" s="364">
        <f t="shared" si="3"/>
        <v>1</v>
      </c>
      <c r="G55" s="269" t="s">
        <v>65</v>
      </c>
    </row>
    <row r="56" spans="1:7">
      <c r="A56" s="255" t="s">
        <v>129</v>
      </c>
      <c r="B56" s="261" t="s">
        <v>282</v>
      </c>
      <c r="C56" s="355" t="s">
        <v>1860</v>
      </c>
      <c r="D56" s="325" t="s">
        <v>57</v>
      </c>
      <c r="E56" s="351">
        <v>2</v>
      </c>
      <c r="F56" s="364">
        <f t="shared" si="3"/>
        <v>2</v>
      </c>
      <c r="G56" s="269" t="s">
        <v>65</v>
      </c>
    </row>
    <row r="57" spans="1:7" ht="28.5">
      <c r="A57" s="255" t="s">
        <v>130</v>
      </c>
      <c r="B57" s="261" t="s">
        <v>123</v>
      </c>
      <c r="C57" s="355" t="s">
        <v>1861</v>
      </c>
      <c r="D57" s="255" t="s">
        <v>10</v>
      </c>
      <c r="E57" s="351">
        <f>2*0.45*0.55</f>
        <v>0.49500000000000005</v>
      </c>
      <c r="F57" s="364">
        <f t="shared" si="3"/>
        <v>0.5</v>
      </c>
      <c r="G57" s="269" t="s">
        <v>65</v>
      </c>
    </row>
    <row r="58" spans="1:7" ht="28.5">
      <c r="A58" s="255" t="s">
        <v>131</v>
      </c>
      <c r="B58" s="261" t="s">
        <v>1862</v>
      </c>
      <c r="C58" s="355" t="s">
        <v>1863</v>
      </c>
      <c r="D58" s="255" t="s">
        <v>101</v>
      </c>
      <c r="E58" s="351">
        <f>11*4*3.9</f>
        <v>171.6</v>
      </c>
      <c r="F58" s="364">
        <f t="shared" si="3"/>
        <v>171.6</v>
      </c>
      <c r="G58" s="269" t="s">
        <v>65</v>
      </c>
    </row>
    <row r="59" spans="1:7" ht="42.75">
      <c r="A59" s="262" t="s">
        <v>1762</v>
      </c>
      <c r="B59" s="261" t="s">
        <v>280</v>
      </c>
      <c r="C59" s="355" t="s">
        <v>2552</v>
      </c>
      <c r="D59" s="379" t="s">
        <v>57</v>
      </c>
      <c r="E59" s="425">
        <f>15+9</f>
        <v>24</v>
      </c>
      <c r="F59" s="364">
        <f t="shared" si="3"/>
        <v>24</v>
      </c>
      <c r="G59" s="269"/>
    </row>
    <row r="60" spans="1:7">
      <c r="A60" s="930" t="s">
        <v>56</v>
      </c>
      <c r="B60" s="930"/>
      <c r="C60" s="921"/>
      <c r="D60" s="921"/>
      <c r="E60" s="921"/>
      <c r="F60" s="334"/>
      <c r="G60" s="259"/>
    </row>
    <row r="61" spans="1:7">
      <c r="A61" s="322" t="s">
        <v>60</v>
      </c>
      <c r="B61" s="322" t="s">
        <v>61</v>
      </c>
      <c r="C61" s="323" t="s">
        <v>62</v>
      </c>
      <c r="D61" s="322" t="s">
        <v>63</v>
      </c>
      <c r="E61" s="322" t="s">
        <v>64</v>
      </c>
      <c r="F61" s="334"/>
      <c r="G61" s="259"/>
    </row>
    <row r="62" spans="1:7">
      <c r="A62" s="255" t="s">
        <v>114</v>
      </c>
      <c r="B62" s="256" t="s">
        <v>1786</v>
      </c>
      <c r="C62" s="257" t="s">
        <v>1864</v>
      </c>
      <c r="D62" s="255" t="s">
        <v>10</v>
      </c>
      <c r="E62" s="258">
        <v>85.2</v>
      </c>
      <c r="F62" s="364">
        <f>E62</f>
        <v>85.2</v>
      </c>
      <c r="G62" s="269" t="s">
        <v>65</v>
      </c>
    </row>
    <row r="63" spans="1:7">
      <c r="A63" s="930" t="s">
        <v>66</v>
      </c>
      <c r="B63" s="930"/>
      <c r="C63" s="921"/>
      <c r="D63" s="921"/>
      <c r="E63" s="921"/>
      <c r="F63" s="334"/>
      <c r="G63" s="259"/>
    </row>
    <row r="64" spans="1:7">
      <c r="A64" s="322" t="s">
        <v>60</v>
      </c>
      <c r="B64" s="322" t="s">
        <v>61</v>
      </c>
      <c r="C64" s="323" t="s">
        <v>62</v>
      </c>
      <c r="D64" s="322" t="s">
        <v>63</v>
      </c>
      <c r="E64" s="322" t="s">
        <v>64</v>
      </c>
      <c r="F64" s="334"/>
      <c r="G64" s="259"/>
    </row>
    <row r="65" spans="1:7">
      <c r="A65" s="255" t="s">
        <v>116</v>
      </c>
      <c r="B65" s="256" t="s">
        <v>67</v>
      </c>
      <c r="C65" s="352" t="s">
        <v>1865</v>
      </c>
      <c r="D65" s="255" t="s">
        <v>10</v>
      </c>
      <c r="E65" s="351">
        <v>378.45</v>
      </c>
      <c r="F65" s="364">
        <f>ROUND(E65,2)</f>
        <v>378.45</v>
      </c>
      <c r="G65" s="269" t="s">
        <v>65</v>
      </c>
    </row>
  </sheetData>
  <mergeCells count="12">
    <mergeCell ref="A63:E63"/>
    <mergeCell ref="A1:E1"/>
    <mergeCell ref="A2:E2"/>
    <mergeCell ref="A5:E5"/>
    <mergeCell ref="A8:E8"/>
    <mergeCell ref="A16:E16"/>
    <mergeCell ref="A19:E19"/>
    <mergeCell ref="A26:E26"/>
    <mergeCell ref="A35:E35"/>
    <mergeCell ref="A42:E42"/>
    <mergeCell ref="A51:E51"/>
    <mergeCell ref="A60:E60"/>
  </mergeCells>
  <pageMargins left="0.511811024" right="0.511811024" top="0.78740157499999996" bottom="0.78740157499999996" header="0.31496062000000002" footer="0.31496062000000002"/>
  <pageSetup paperSize="9"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69"/>
  <sheetViews>
    <sheetView topLeftCell="A52" workbookViewId="0">
      <selection activeCell="J69" sqref="A1:J69"/>
    </sheetView>
  </sheetViews>
  <sheetFormatPr defaultRowHeight="15"/>
  <cols>
    <col min="1" max="7" width="9.140625" style="531"/>
    <col min="8" max="8" width="17.28515625" style="531" customWidth="1"/>
    <col min="9" max="9" width="9.5703125" style="531" bestFit="1" customWidth="1"/>
    <col min="10" max="16" width="9.140625" style="531"/>
    <col min="17" max="17" width="12.5703125" style="531" bestFit="1" customWidth="1"/>
    <col min="18" max="18" width="16.7109375" style="531" bestFit="1" customWidth="1"/>
    <col min="19" max="19" width="19.28515625" style="531" bestFit="1" customWidth="1"/>
    <col min="20" max="16384" width="9.140625" style="531"/>
  </cols>
  <sheetData>
    <row r="1" spans="1:19" ht="60" customHeight="1" thickBot="1">
      <c r="A1" s="898" t="s">
        <v>2982</v>
      </c>
      <c r="B1" s="899"/>
      <c r="C1" s="899"/>
      <c r="D1" s="899"/>
      <c r="E1" s="899"/>
      <c r="F1" s="899"/>
      <c r="G1" s="899"/>
      <c r="H1" s="899"/>
      <c r="I1" s="899"/>
      <c r="J1" s="900"/>
    </row>
    <row r="2" spans="1:19" ht="15.75" thickBot="1"/>
    <row r="3" spans="1:19" ht="18" thickBot="1">
      <c r="A3" s="918" t="s">
        <v>562</v>
      </c>
      <c r="B3" s="919"/>
      <c r="C3" s="919"/>
      <c r="D3" s="919"/>
      <c r="E3" s="919"/>
      <c r="F3" s="919"/>
      <c r="G3" s="919"/>
      <c r="H3" s="919"/>
      <c r="I3" s="935"/>
      <c r="J3" s="138" t="s">
        <v>5</v>
      </c>
    </row>
    <row r="4" spans="1:19" ht="30" customHeight="1">
      <c r="A4" s="848" t="s">
        <v>610</v>
      </c>
      <c r="B4" s="849"/>
      <c r="C4" s="849"/>
      <c r="D4" s="849"/>
      <c r="E4" s="849"/>
      <c r="F4" s="849"/>
      <c r="G4" s="849"/>
      <c r="H4" s="849"/>
      <c r="I4" s="419">
        <f>0.4*528.05</f>
        <v>211.22</v>
      </c>
      <c r="J4" s="139" t="s">
        <v>162</v>
      </c>
      <c r="K4" s="850" t="s">
        <v>2983</v>
      </c>
      <c r="L4" s="851"/>
    </row>
    <row r="5" spans="1:19" ht="45" customHeight="1">
      <c r="A5" s="854" t="s">
        <v>611</v>
      </c>
      <c r="B5" s="855"/>
      <c r="C5" s="855"/>
      <c r="D5" s="855"/>
      <c r="E5" s="855"/>
      <c r="F5" s="855"/>
      <c r="G5" s="855"/>
      <c r="H5" s="855"/>
      <c r="I5" s="165">
        <f>2*528.05</f>
        <v>1056.0999999999999</v>
      </c>
      <c r="J5" s="139" t="s">
        <v>161</v>
      </c>
      <c r="K5" s="850"/>
      <c r="L5" s="851"/>
    </row>
    <row r="6" spans="1:19" ht="15.75" thickBot="1">
      <c r="A6" s="881" t="s">
        <v>612</v>
      </c>
      <c r="B6" s="882"/>
      <c r="C6" s="882"/>
      <c r="D6" s="882"/>
      <c r="E6" s="882"/>
      <c r="F6" s="882"/>
      <c r="G6" s="882"/>
      <c r="H6" s="882"/>
      <c r="I6" s="420">
        <f>I4</f>
        <v>211.22</v>
      </c>
      <c r="J6" s="139" t="s">
        <v>162</v>
      </c>
      <c r="K6" s="850"/>
      <c r="L6" s="851"/>
    </row>
    <row r="7" spans="1:19" ht="15.75" thickBot="1"/>
    <row r="8" spans="1:19" ht="19.5" thickBot="1">
      <c r="A8" s="901" t="s">
        <v>566</v>
      </c>
      <c r="B8" s="902"/>
      <c r="C8" s="902"/>
      <c r="D8" s="902"/>
      <c r="E8" s="902"/>
      <c r="F8" s="902"/>
      <c r="G8" s="902"/>
      <c r="H8" s="902"/>
      <c r="I8" s="903"/>
      <c r="L8" s="904" t="s">
        <v>613</v>
      </c>
      <c r="M8" s="905"/>
      <c r="N8" s="905"/>
      <c r="O8" s="905"/>
      <c r="P8" s="905"/>
      <c r="Q8" s="905"/>
      <c r="R8" s="905"/>
      <c r="S8" s="906"/>
    </row>
    <row r="9" spans="1:19" ht="18" thickBot="1">
      <c r="A9" s="883" t="s">
        <v>567</v>
      </c>
      <c r="B9" s="884"/>
      <c r="C9" s="884"/>
      <c r="D9" s="884"/>
      <c r="E9" s="884"/>
      <c r="F9" s="884"/>
      <c r="G9" s="884"/>
      <c r="H9" s="884"/>
      <c r="I9" s="907"/>
      <c r="J9" s="140" t="s">
        <v>5</v>
      </c>
      <c r="L9" s="908" t="s">
        <v>2984</v>
      </c>
      <c r="M9" s="909"/>
      <c r="N9" s="909"/>
      <c r="O9" s="909"/>
      <c r="P9" s="909"/>
      <c r="Q9" s="909"/>
      <c r="R9" s="909"/>
      <c r="S9" s="909"/>
    </row>
    <row r="10" spans="1:19" ht="30" customHeight="1">
      <c r="A10" s="848" t="s">
        <v>2985</v>
      </c>
      <c r="B10" s="849"/>
      <c r="C10" s="849"/>
      <c r="D10" s="849"/>
      <c r="E10" s="849"/>
      <c r="F10" s="849"/>
      <c r="G10" s="849"/>
      <c r="H10" s="849"/>
      <c r="I10" s="419">
        <f>R12+R15</f>
        <v>79.607000000000014</v>
      </c>
      <c r="J10" s="141" t="s">
        <v>162</v>
      </c>
      <c r="L10" s="936" t="s">
        <v>2986</v>
      </c>
      <c r="M10" s="937"/>
      <c r="N10" s="937"/>
      <c r="O10" s="937"/>
      <c r="P10" s="937"/>
      <c r="Q10" s="937"/>
      <c r="R10" s="937"/>
      <c r="S10" s="938"/>
    </row>
    <row r="11" spans="1:19" ht="45" customHeight="1">
      <c r="A11" s="854" t="s">
        <v>614</v>
      </c>
      <c r="B11" s="855"/>
      <c r="C11" s="855"/>
      <c r="D11" s="855"/>
      <c r="E11" s="855"/>
      <c r="F11" s="855"/>
      <c r="G11" s="855"/>
      <c r="H11" s="855"/>
      <c r="I11" s="165">
        <f>(I37/0.15)*0.55</f>
        <v>31.57</v>
      </c>
      <c r="J11" s="142" t="s">
        <v>162</v>
      </c>
      <c r="L11" s="143" t="s">
        <v>160</v>
      </c>
      <c r="M11" s="144" t="s">
        <v>615</v>
      </c>
      <c r="N11" s="144" t="s">
        <v>616</v>
      </c>
      <c r="O11" s="144" t="s">
        <v>617</v>
      </c>
      <c r="P11" s="144" t="s">
        <v>2987</v>
      </c>
      <c r="Q11" s="144" t="s">
        <v>2988</v>
      </c>
      <c r="R11" s="144" t="s">
        <v>266</v>
      </c>
      <c r="S11" s="144" t="s">
        <v>267</v>
      </c>
    </row>
    <row r="12" spans="1:19" ht="22.5" customHeight="1">
      <c r="A12" s="848" t="s">
        <v>2989</v>
      </c>
      <c r="B12" s="849"/>
      <c r="C12" s="849"/>
      <c r="D12" s="849"/>
      <c r="E12" s="849"/>
      <c r="F12" s="849"/>
      <c r="G12" s="849"/>
      <c r="H12" s="849"/>
      <c r="I12" s="419">
        <f>I10-I28</f>
        <v>55.087000000000018</v>
      </c>
      <c r="J12" s="142" t="s">
        <v>162</v>
      </c>
      <c r="L12" s="145">
        <v>20</v>
      </c>
      <c r="M12" s="146">
        <v>2.1</v>
      </c>
      <c r="N12" s="146">
        <v>1.2</v>
      </c>
      <c r="O12" s="147">
        <f>M12*N12</f>
        <v>2.52</v>
      </c>
      <c r="P12" s="146">
        <v>0.7</v>
      </c>
      <c r="Q12" s="146">
        <v>0.4</v>
      </c>
      <c r="R12" s="147">
        <f>O12*(P12+Q12)*L12</f>
        <v>55.440000000000005</v>
      </c>
      <c r="S12" s="147">
        <f>O12*L12</f>
        <v>50.4</v>
      </c>
    </row>
    <row r="13" spans="1:19" ht="21.75" customHeight="1">
      <c r="A13" s="848" t="s">
        <v>2990</v>
      </c>
      <c r="B13" s="849"/>
      <c r="C13" s="849"/>
      <c r="D13" s="849"/>
      <c r="E13" s="849"/>
      <c r="F13" s="849"/>
      <c r="G13" s="849"/>
      <c r="H13" s="849"/>
      <c r="I13" s="419">
        <f>I28*1.4</f>
        <v>34.327999999999996</v>
      </c>
      <c r="J13" s="142" t="s">
        <v>162</v>
      </c>
      <c r="L13" s="936" t="s">
        <v>2991</v>
      </c>
      <c r="M13" s="937"/>
      <c r="N13" s="937"/>
      <c r="O13" s="937"/>
      <c r="P13" s="937"/>
      <c r="Q13" s="937"/>
      <c r="R13" s="937"/>
      <c r="S13" s="938"/>
    </row>
    <row r="14" spans="1:19">
      <c r="A14" s="874" t="s">
        <v>2992</v>
      </c>
      <c r="B14" s="875"/>
      <c r="C14" s="875"/>
      <c r="D14" s="875"/>
      <c r="E14" s="875"/>
      <c r="F14" s="875"/>
      <c r="G14" s="875"/>
      <c r="H14" s="875"/>
      <c r="I14" s="165">
        <f>S12+S15</f>
        <v>72.37</v>
      </c>
      <c r="J14" s="142" t="s">
        <v>161</v>
      </c>
      <c r="L14" s="143" t="s">
        <v>160</v>
      </c>
      <c r="M14" s="144" t="s">
        <v>615</v>
      </c>
      <c r="N14" s="144" t="s">
        <v>616</v>
      </c>
      <c r="O14" s="144" t="s">
        <v>617</v>
      </c>
      <c r="P14" s="144" t="s">
        <v>2987</v>
      </c>
      <c r="Q14" s="144" t="s">
        <v>2988</v>
      </c>
      <c r="R14" s="144" t="s">
        <v>266</v>
      </c>
      <c r="S14" s="144" t="s">
        <v>267</v>
      </c>
    </row>
    <row r="15" spans="1:19" ht="30" customHeight="1">
      <c r="A15" s="854" t="s">
        <v>620</v>
      </c>
      <c r="B15" s="855"/>
      <c r="C15" s="855"/>
      <c r="D15" s="855"/>
      <c r="E15" s="855"/>
      <c r="F15" s="855"/>
      <c r="G15" s="855"/>
      <c r="H15" s="855"/>
      <c r="I15" s="165">
        <f>I11/0.4</f>
        <v>78.924999999999997</v>
      </c>
      <c r="J15" s="142" t="s">
        <v>161</v>
      </c>
      <c r="L15" s="145">
        <v>13</v>
      </c>
      <c r="M15" s="146">
        <v>1.3</v>
      </c>
      <c r="N15" s="146">
        <v>1.3</v>
      </c>
      <c r="O15" s="147">
        <f>M15*N15</f>
        <v>1.6900000000000002</v>
      </c>
      <c r="P15" s="146">
        <v>0.7</v>
      </c>
      <c r="Q15" s="146">
        <v>0.4</v>
      </c>
      <c r="R15" s="147">
        <f>O15*(P15+Q15)*L15</f>
        <v>24.167000000000005</v>
      </c>
      <c r="S15" s="147">
        <f>O15*L15</f>
        <v>21.970000000000002</v>
      </c>
    </row>
    <row r="16" spans="1:19">
      <c r="A16" s="874" t="s">
        <v>2993</v>
      </c>
      <c r="B16" s="875"/>
      <c r="C16" s="875"/>
      <c r="D16" s="875"/>
      <c r="E16" s="875"/>
      <c r="F16" s="875"/>
      <c r="G16" s="875"/>
      <c r="H16" s="875"/>
      <c r="I16" s="165">
        <f>I14</f>
        <v>72.37</v>
      </c>
      <c r="J16" s="142" t="s">
        <v>161</v>
      </c>
    </row>
    <row r="17" spans="1:10">
      <c r="A17" s="913" t="s">
        <v>621</v>
      </c>
      <c r="B17" s="914"/>
      <c r="C17" s="914"/>
      <c r="D17" s="914"/>
      <c r="E17" s="914"/>
      <c r="F17" s="914"/>
      <c r="G17" s="914"/>
      <c r="H17" s="914"/>
      <c r="I17" s="641">
        <f>I15</f>
        <v>78.924999999999997</v>
      </c>
      <c r="J17" s="142" t="s">
        <v>161</v>
      </c>
    </row>
    <row r="18" spans="1:10">
      <c r="A18" s="864" t="s">
        <v>622</v>
      </c>
      <c r="B18" s="865"/>
      <c r="C18" s="865"/>
      <c r="D18" s="865"/>
      <c r="E18" s="865"/>
      <c r="F18" s="865"/>
      <c r="G18" s="865"/>
      <c r="H18" s="866"/>
      <c r="I18" s="641">
        <f>I20*0.05</f>
        <v>18.922499999999999</v>
      </c>
      <c r="J18" s="142" t="s">
        <v>162</v>
      </c>
    </row>
    <row r="19" spans="1:10" ht="30" customHeight="1">
      <c r="A19" s="859" t="s">
        <v>623</v>
      </c>
      <c r="B19" s="860"/>
      <c r="C19" s="860"/>
      <c r="D19" s="860"/>
      <c r="E19" s="860"/>
      <c r="F19" s="860"/>
      <c r="G19" s="860"/>
      <c r="H19" s="860"/>
      <c r="I19" s="641">
        <f>I36</f>
        <v>119.43</v>
      </c>
      <c r="J19" s="142" t="s">
        <v>161</v>
      </c>
    </row>
    <row r="20" spans="1:10" ht="15" customHeight="1">
      <c r="A20" s="855" t="s">
        <v>624</v>
      </c>
      <c r="B20" s="855"/>
      <c r="C20" s="855"/>
      <c r="D20" s="855"/>
      <c r="E20" s="855"/>
      <c r="F20" s="855"/>
      <c r="G20" s="855"/>
      <c r="H20" s="855"/>
      <c r="I20" s="165">
        <f>378.45</f>
        <v>378.45</v>
      </c>
      <c r="J20" s="142" t="s">
        <v>161</v>
      </c>
    </row>
    <row r="21" spans="1:10" ht="15" customHeight="1" thickBot="1">
      <c r="A21" s="915" t="s">
        <v>625</v>
      </c>
      <c r="B21" s="916"/>
      <c r="C21" s="916"/>
      <c r="D21" s="916"/>
      <c r="E21" s="916"/>
      <c r="F21" s="916"/>
      <c r="G21" s="916"/>
      <c r="H21" s="917"/>
      <c r="I21" s="166">
        <f>I20</f>
        <v>378.45</v>
      </c>
      <c r="J21" s="148" t="s">
        <v>161</v>
      </c>
    </row>
    <row r="22" spans="1:10" ht="15" customHeight="1" thickBot="1">
      <c r="A22" s="883" t="s">
        <v>154</v>
      </c>
      <c r="B22" s="884"/>
      <c r="C22" s="884"/>
      <c r="D22" s="884"/>
      <c r="E22" s="884"/>
      <c r="F22" s="884"/>
      <c r="G22" s="884"/>
      <c r="H22" s="884"/>
      <c r="I22" s="907"/>
      <c r="J22" s="149" t="s">
        <v>5</v>
      </c>
    </row>
    <row r="23" spans="1:10" ht="15" customHeight="1">
      <c r="A23" s="874" t="s">
        <v>626</v>
      </c>
      <c r="B23" s="875"/>
      <c r="C23" s="875"/>
      <c r="D23" s="875"/>
      <c r="E23" s="875"/>
      <c r="F23" s="875"/>
      <c r="G23" s="875"/>
      <c r="H23" s="875"/>
      <c r="I23" s="165">
        <f>I20*0.07</f>
        <v>26.491500000000002</v>
      </c>
      <c r="J23" s="142" t="s">
        <v>162</v>
      </c>
    </row>
    <row r="24" spans="1:10" ht="15" customHeight="1">
      <c r="A24" s="874" t="s">
        <v>627</v>
      </c>
      <c r="B24" s="875"/>
      <c r="C24" s="875"/>
      <c r="D24" s="875"/>
      <c r="E24" s="875"/>
      <c r="F24" s="875"/>
      <c r="G24" s="875"/>
      <c r="H24" s="875"/>
      <c r="I24" s="165">
        <f>I23</f>
        <v>26.491500000000002</v>
      </c>
      <c r="J24" s="142" t="s">
        <v>162</v>
      </c>
    </row>
    <row r="25" spans="1:10" ht="15" customHeight="1" thickBot="1">
      <c r="A25" s="874" t="s">
        <v>828</v>
      </c>
      <c r="B25" s="875"/>
      <c r="C25" s="875"/>
      <c r="D25" s="875"/>
      <c r="E25" s="875"/>
      <c r="F25" s="875"/>
      <c r="G25" s="875"/>
      <c r="H25" s="875"/>
      <c r="I25" s="165">
        <f>I20</f>
        <v>378.45</v>
      </c>
      <c r="J25" s="142" t="s">
        <v>161</v>
      </c>
    </row>
    <row r="26" spans="1:10" ht="18" thickBot="1">
      <c r="A26" s="883" t="s">
        <v>2994</v>
      </c>
      <c r="B26" s="884"/>
      <c r="C26" s="884"/>
      <c r="D26" s="884"/>
      <c r="E26" s="884"/>
      <c r="F26" s="884"/>
      <c r="G26" s="884"/>
      <c r="H26" s="884"/>
      <c r="I26" s="907"/>
      <c r="J26" s="138" t="s">
        <v>5</v>
      </c>
    </row>
    <row r="27" spans="1:10">
      <c r="A27" s="941" t="s">
        <v>628</v>
      </c>
      <c r="B27" s="942"/>
      <c r="C27" s="942"/>
      <c r="D27" s="942"/>
      <c r="E27" s="942"/>
      <c r="F27" s="942"/>
      <c r="G27" s="942"/>
      <c r="H27" s="942"/>
      <c r="I27" s="419">
        <f>95.42</f>
        <v>95.42</v>
      </c>
      <c r="J27" s="141" t="s">
        <v>161</v>
      </c>
    </row>
    <row r="28" spans="1:10">
      <c r="A28" s="939" t="s">
        <v>629</v>
      </c>
      <c r="B28" s="940"/>
      <c r="C28" s="940"/>
      <c r="D28" s="940"/>
      <c r="E28" s="940"/>
      <c r="F28" s="940"/>
      <c r="G28" s="940"/>
      <c r="H28" s="940"/>
      <c r="I28" s="165">
        <f>24.52</f>
        <v>24.52</v>
      </c>
      <c r="J28" s="142" t="s">
        <v>162</v>
      </c>
    </row>
    <row r="29" spans="1:10">
      <c r="A29" s="939" t="s">
        <v>627</v>
      </c>
      <c r="B29" s="940"/>
      <c r="C29" s="940"/>
      <c r="D29" s="940"/>
      <c r="E29" s="940"/>
      <c r="F29" s="940"/>
      <c r="G29" s="940"/>
      <c r="H29" s="940"/>
      <c r="I29" s="165">
        <f>I28</f>
        <v>24.52</v>
      </c>
      <c r="J29" s="142" t="s">
        <v>162</v>
      </c>
    </row>
    <row r="30" spans="1:10">
      <c r="A30" s="939" t="s">
        <v>2995</v>
      </c>
      <c r="B30" s="940"/>
      <c r="C30" s="940"/>
      <c r="D30" s="940"/>
      <c r="E30" s="940"/>
      <c r="F30" s="940"/>
      <c r="G30" s="940"/>
      <c r="H30" s="940"/>
      <c r="I30" s="165">
        <f>18.61+409</f>
        <v>427.61</v>
      </c>
      <c r="J30" s="142" t="s">
        <v>94</v>
      </c>
    </row>
    <row r="31" spans="1:10">
      <c r="A31" s="939" t="s">
        <v>2996</v>
      </c>
      <c r="B31" s="940"/>
      <c r="C31" s="940"/>
      <c r="D31" s="940"/>
      <c r="E31" s="940"/>
      <c r="F31" s="940"/>
      <c r="G31" s="940"/>
      <c r="H31" s="940"/>
      <c r="I31" s="165">
        <f>36.66+1005</f>
        <v>1041.6600000000001</v>
      </c>
      <c r="J31" s="142" t="s">
        <v>94</v>
      </c>
    </row>
    <row r="32" spans="1:10">
      <c r="A32" s="939" t="s">
        <v>631</v>
      </c>
      <c r="B32" s="940"/>
      <c r="C32" s="940"/>
      <c r="D32" s="940"/>
      <c r="E32" s="940"/>
      <c r="F32" s="940"/>
      <c r="G32" s="940"/>
      <c r="H32" s="940"/>
      <c r="I32" s="165">
        <f>2037.37</f>
        <v>2037.37</v>
      </c>
      <c r="J32" s="142" t="s">
        <v>94</v>
      </c>
    </row>
    <row r="33" spans="1:12">
      <c r="A33" s="939" t="s">
        <v>1497</v>
      </c>
      <c r="B33" s="940"/>
      <c r="C33" s="940"/>
      <c r="D33" s="940"/>
      <c r="E33" s="940"/>
      <c r="F33" s="940"/>
      <c r="G33" s="940"/>
      <c r="H33" s="940"/>
      <c r="I33" s="165">
        <f>359.52</f>
        <v>359.52</v>
      </c>
      <c r="J33" s="142" t="s">
        <v>94</v>
      </c>
    </row>
    <row r="34" spans="1:12" ht="15.75" thickBot="1">
      <c r="A34" s="939" t="s">
        <v>2997</v>
      </c>
      <c r="B34" s="940"/>
      <c r="C34" s="940"/>
      <c r="D34" s="940"/>
      <c r="E34" s="940"/>
      <c r="F34" s="940"/>
      <c r="G34" s="940"/>
      <c r="H34" s="940"/>
      <c r="I34" s="642">
        <v>636</v>
      </c>
      <c r="J34" s="142" t="s">
        <v>101</v>
      </c>
    </row>
    <row r="35" spans="1:12" ht="18" thickBot="1">
      <c r="A35" s="943" t="s">
        <v>581</v>
      </c>
      <c r="B35" s="944"/>
      <c r="C35" s="944"/>
      <c r="D35" s="944"/>
      <c r="E35" s="944"/>
      <c r="F35" s="944"/>
      <c r="G35" s="944"/>
      <c r="H35" s="944"/>
      <c r="I35" s="945"/>
      <c r="J35" s="138" t="s">
        <v>5</v>
      </c>
    </row>
    <row r="36" spans="1:12">
      <c r="A36" s="879" t="s">
        <v>633</v>
      </c>
      <c r="B36" s="880"/>
      <c r="C36" s="880"/>
      <c r="D36" s="880"/>
      <c r="E36" s="880"/>
      <c r="F36" s="880"/>
      <c r="G36" s="880"/>
      <c r="H36" s="880"/>
      <c r="I36" s="419">
        <f>18.89+100.54</f>
        <v>119.43</v>
      </c>
      <c r="J36" s="141" t="s">
        <v>161</v>
      </c>
    </row>
    <row r="37" spans="1:12">
      <c r="A37" s="874" t="s">
        <v>629</v>
      </c>
      <c r="B37" s="875"/>
      <c r="C37" s="875"/>
      <c r="D37" s="875"/>
      <c r="E37" s="875"/>
      <c r="F37" s="875"/>
      <c r="G37" s="875"/>
      <c r="H37" s="875"/>
      <c r="I37" s="165">
        <f>8.61</f>
        <v>8.61</v>
      </c>
      <c r="J37" s="142" t="s">
        <v>162</v>
      </c>
    </row>
    <row r="38" spans="1:12">
      <c r="A38" s="874" t="s">
        <v>627</v>
      </c>
      <c r="B38" s="875"/>
      <c r="C38" s="875"/>
      <c r="D38" s="875"/>
      <c r="E38" s="875"/>
      <c r="F38" s="875"/>
      <c r="G38" s="875"/>
      <c r="H38" s="875"/>
      <c r="I38" s="165">
        <f>I37</f>
        <v>8.61</v>
      </c>
      <c r="J38" s="142" t="s">
        <v>162</v>
      </c>
    </row>
    <row r="39" spans="1:12">
      <c r="A39" s="874" t="s">
        <v>630</v>
      </c>
      <c r="B39" s="875"/>
      <c r="C39" s="875"/>
      <c r="D39" s="875"/>
      <c r="E39" s="875"/>
      <c r="F39" s="875"/>
      <c r="G39" s="875"/>
      <c r="H39" s="875"/>
      <c r="I39" s="165">
        <f>121.9</f>
        <v>121.9</v>
      </c>
      <c r="J39" s="142" t="s">
        <v>94</v>
      </c>
    </row>
    <row r="40" spans="1:12">
      <c r="A40" s="874" t="s">
        <v>634</v>
      </c>
      <c r="B40" s="875"/>
      <c r="C40" s="875"/>
      <c r="D40" s="875"/>
      <c r="E40" s="875"/>
      <c r="F40" s="875"/>
      <c r="G40" s="875"/>
      <c r="H40" s="875"/>
      <c r="I40" s="165" t="s">
        <v>155</v>
      </c>
      <c r="J40" s="142" t="s">
        <v>94</v>
      </c>
    </row>
    <row r="41" spans="1:12">
      <c r="A41" s="874" t="s">
        <v>635</v>
      </c>
      <c r="B41" s="875"/>
      <c r="C41" s="875"/>
      <c r="D41" s="875"/>
      <c r="E41" s="875"/>
      <c r="F41" s="875"/>
      <c r="G41" s="875"/>
      <c r="H41" s="875"/>
      <c r="I41" s="643">
        <f>4.4</f>
        <v>4.4000000000000004</v>
      </c>
      <c r="J41" s="142" t="s">
        <v>94</v>
      </c>
      <c r="L41" s="133"/>
    </row>
    <row r="42" spans="1:12">
      <c r="A42" s="874" t="s">
        <v>631</v>
      </c>
      <c r="B42" s="875"/>
      <c r="C42" s="875"/>
      <c r="D42" s="875"/>
      <c r="E42" s="875"/>
      <c r="F42" s="875"/>
      <c r="G42" s="875"/>
      <c r="H42" s="875"/>
      <c r="I42" s="643">
        <f>340.1</f>
        <v>340.1</v>
      </c>
      <c r="J42" s="142" t="s">
        <v>94</v>
      </c>
    </row>
    <row r="43" spans="1:12" ht="15.75" thickBot="1">
      <c r="A43" s="881" t="s">
        <v>632</v>
      </c>
      <c r="B43" s="882"/>
      <c r="C43" s="882"/>
      <c r="D43" s="882"/>
      <c r="E43" s="882"/>
      <c r="F43" s="882"/>
      <c r="G43" s="882"/>
      <c r="H43" s="882"/>
      <c r="I43" s="644">
        <f>47.3</f>
        <v>47.3</v>
      </c>
      <c r="J43" s="148" t="s">
        <v>94</v>
      </c>
    </row>
    <row r="44" spans="1:12" ht="15.75" thickBot="1">
      <c r="A44" s="137"/>
      <c r="B44" s="137"/>
      <c r="C44" s="137"/>
      <c r="D44" s="137"/>
      <c r="E44" s="137"/>
      <c r="F44" s="137"/>
      <c r="G44" s="137"/>
      <c r="H44" s="137"/>
    </row>
    <row r="45" spans="1:12" ht="18" thickBot="1">
      <c r="A45" s="918" t="s">
        <v>586</v>
      </c>
      <c r="B45" s="919"/>
      <c r="C45" s="919"/>
      <c r="D45" s="919"/>
      <c r="E45" s="919"/>
      <c r="F45" s="919"/>
      <c r="G45" s="919"/>
      <c r="H45" s="919"/>
      <c r="I45" s="920"/>
    </row>
    <row r="46" spans="1:12" ht="18" thickBot="1">
      <c r="A46" s="883" t="s">
        <v>587</v>
      </c>
      <c r="B46" s="884"/>
      <c r="C46" s="884"/>
      <c r="D46" s="884"/>
      <c r="E46" s="884"/>
      <c r="F46" s="884"/>
      <c r="G46" s="884"/>
      <c r="H46" s="884"/>
      <c r="I46" s="907"/>
      <c r="J46" s="138" t="s">
        <v>5</v>
      </c>
    </row>
    <row r="47" spans="1:12">
      <c r="A47" s="879" t="s">
        <v>633</v>
      </c>
      <c r="B47" s="880"/>
      <c r="C47" s="880"/>
      <c r="D47" s="880"/>
      <c r="E47" s="880"/>
      <c r="F47" s="880"/>
      <c r="G47" s="880"/>
      <c r="H47" s="880"/>
      <c r="I47" s="419">
        <f>3.3+117.96+10.08</f>
        <v>131.34</v>
      </c>
      <c r="J47" s="141" t="s">
        <v>161</v>
      </c>
    </row>
    <row r="48" spans="1:12">
      <c r="A48" s="874" t="s">
        <v>629</v>
      </c>
      <c r="B48" s="875"/>
      <c r="C48" s="875"/>
      <c r="D48" s="875"/>
      <c r="E48" s="875"/>
      <c r="F48" s="875"/>
      <c r="G48" s="875"/>
      <c r="H48" s="875"/>
      <c r="I48" s="165">
        <f>0.33+7.83+0.72</f>
        <v>8.8800000000000008</v>
      </c>
      <c r="J48" s="142" t="s">
        <v>162</v>
      </c>
    </row>
    <row r="49" spans="1:12">
      <c r="A49" s="874" t="s">
        <v>627</v>
      </c>
      <c r="B49" s="875"/>
      <c r="C49" s="875"/>
      <c r="D49" s="875"/>
      <c r="E49" s="875"/>
      <c r="F49" s="875"/>
      <c r="G49" s="875"/>
      <c r="H49" s="875"/>
      <c r="I49" s="165">
        <f>I48</f>
        <v>8.8800000000000008</v>
      </c>
      <c r="J49" s="142" t="s">
        <v>162</v>
      </c>
    </row>
    <row r="50" spans="1:12">
      <c r="A50" s="874" t="s">
        <v>630</v>
      </c>
      <c r="B50" s="875"/>
      <c r="C50" s="875"/>
      <c r="D50" s="875"/>
      <c r="E50" s="875"/>
      <c r="F50" s="875"/>
      <c r="G50" s="875"/>
      <c r="H50" s="875"/>
      <c r="I50" s="165">
        <f>423+30.2</f>
        <v>453.2</v>
      </c>
      <c r="J50" s="142" t="s">
        <v>94</v>
      </c>
    </row>
    <row r="51" spans="1:12" ht="15.75" thickBot="1">
      <c r="A51" s="874" t="s">
        <v>1497</v>
      </c>
      <c r="B51" s="875"/>
      <c r="C51" s="875"/>
      <c r="D51" s="875"/>
      <c r="E51" s="875"/>
      <c r="F51" s="875"/>
      <c r="G51" s="875"/>
      <c r="H51" s="875"/>
      <c r="I51" s="643">
        <f>1621.2+125.1</f>
        <v>1746.3</v>
      </c>
      <c r="J51" s="142" t="s">
        <v>94</v>
      </c>
    </row>
    <row r="52" spans="1:12" ht="18" thickBot="1">
      <c r="A52" s="883" t="s">
        <v>590</v>
      </c>
      <c r="B52" s="884"/>
      <c r="C52" s="884"/>
      <c r="D52" s="884"/>
      <c r="E52" s="884"/>
      <c r="F52" s="884"/>
      <c r="G52" s="884"/>
      <c r="H52" s="884"/>
      <c r="I52" s="907"/>
      <c r="J52" s="138" t="s">
        <v>5</v>
      </c>
    </row>
    <row r="53" spans="1:12">
      <c r="A53" s="879" t="s">
        <v>633</v>
      </c>
      <c r="B53" s="880"/>
      <c r="C53" s="880"/>
      <c r="D53" s="880"/>
      <c r="E53" s="880"/>
      <c r="F53" s="880"/>
      <c r="G53" s="880"/>
      <c r="H53" s="880"/>
      <c r="I53" s="419">
        <f>6.61+35.28+18.95+88.69</f>
        <v>149.53</v>
      </c>
      <c r="J53" s="141" t="s">
        <v>161</v>
      </c>
    </row>
    <row r="54" spans="1:12">
      <c r="A54" s="874" t="s">
        <v>629</v>
      </c>
      <c r="B54" s="875"/>
      <c r="C54" s="875"/>
      <c r="D54" s="875"/>
      <c r="E54" s="875"/>
      <c r="F54" s="875"/>
      <c r="G54" s="875"/>
      <c r="H54" s="875"/>
      <c r="I54" s="165">
        <f>2.96+8.82</f>
        <v>11.780000000000001</v>
      </c>
      <c r="J54" s="142" t="s">
        <v>162</v>
      </c>
    </row>
    <row r="55" spans="1:12">
      <c r="A55" s="874" t="s">
        <v>627</v>
      </c>
      <c r="B55" s="875"/>
      <c r="C55" s="875"/>
      <c r="D55" s="875"/>
      <c r="E55" s="875"/>
      <c r="F55" s="875"/>
      <c r="G55" s="875"/>
      <c r="H55" s="875"/>
      <c r="I55" s="165">
        <f>I54</f>
        <v>11.780000000000001</v>
      </c>
      <c r="J55" s="142" t="s">
        <v>162</v>
      </c>
    </row>
    <row r="56" spans="1:12">
      <c r="A56" s="874" t="s">
        <v>630</v>
      </c>
      <c r="B56" s="875"/>
      <c r="C56" s="875"/>
      <c r="D56" s="875"/>
      <c r="E56" s="875"/>
      <c r="F56" s="875"/>
      <c r="G56" s="875"/>
      <c r="H56" s="875"/>
      <c r="I56" s="165">
        <f>43.9+126.5</f>
        <v>170.4</v>
      </c>
      <c r="J56" s="142" t="s">
        <v>94</v>
      </c>
      <c r="L56" s="133"/>
    </row>
    <row r="57" spans="1:12">
      <c r="A57" s="874" t="s">
        <v>634</v>
      </c>
      <c r="B57" s="875"/>
      <c r="C57" s="875"/>
      <c r="D57" s="875"/>
      <c r="E57" s="875"/>
      <c r="F57" s="875"/>
      <c r="G57" s="875"/>
      <c r="H57" s="875"/>
      <c r="I57" s="165" t="s">
        <v>155</v>
      </c>
      <c r="J57" s="142" t="s">
        <v>94</v>
      </c>
    </row>
    <row r="58" spans="1:12">
      <c r="A58" s="874" t="s">
        <v>635</v>
      </c>
      <c r="B58" s="875"/>
      <c r="C58" s="875"/>
      <c r="D58" s="875"/>
      <c r="E58" s="875"/>
      <c r="F58" s="875"/>
      <c r="G58" s="875"/>
      <c r="H58" s="875"/>
      <c r="I58" s="643">
        <f>3.5</f>
        <v>3.5</v>
      </c>
      <c r="J58" s="142" t="s">
        <v>94</v>
      </c>
    </row>
    <row r="59" spans="1:12" ht="15.75" thickBot="1">
      <c r="A59" s="881" t="s">
        <v>631</v>
      </c>
      <c r="B59" s="882"/>
      <c r="C59" s="882"/>
      <c r="D59" s="882"/>
      <c r="E59" s="882"/>
      <c r="F59" s="882"/>
      <c r="G59" s="882"/>
      <c r="H59" s="882"/>
      <c r="I59" s="644">
        <f>123.8+292.8</f>
        <v>416.6</v>
      </c>
      <c r="J59" s="148" t="s">
        <v>94</v>
      </c>
    </row>
    <row r="60" spans="1:12" ht="15.75" thickBot="1">
      <c r="A60" s="881" t="s">
        <v>1497</v>
      </c>
      <c r="B60" s="882"/>
      <c r="C60" s="882"/>
      <c r="D60" s="882"/>
      <c r="E60" s="882"/>
      <c r="F60" s="882"/>
      <c r="G60" s="882"/>
      <c r="H60" s="882"/>
      <c r="I60" s="644">
        <f>96.6</f>
        <v>96.6</v>
      </c>
      <c r="J60" s="148" t="s">
        <v>94</v>
      </c>
    </row>
    <row r="61" spans="1:12" ht="15.75" thickBot="1">
      <c r="A61" s="881" t="s">
        <v>636</v>
      </c>
      <c r="B61" s="882"/>
      <c r="C61" s="882"/>
      <c r="D61" s="882"/>
      <c r="E61" s="882"/>
      <c r="F61" s="882"/>
      <c r="G61" s="882"/>
      <c r="H61" s="882"/>
      <c r="I61" s="644">
        <f>93.9</f>
        <v>93.9</v>
      </c>
      <c r="J61" s="148" t="s">
        <v>94</v>
      </c>
    </row>
    <row r="62" spans="1:12" ht="18" thickBot="1">
      <c r="A62" s="883" t="s">
        <v>597</v>
      </c>
      <c r="B62" s="884"/>
      <c r="C62" s="884"/>
      <c r="D62" s="884"/>
      <c r="E62" s="884"/>
      <c r="F62" s="884"/>
      <c r="G62" s="884"/>
      <c r="H62" s="884"/>
      <c r="I62" s="907"/>
      <c r="J62" s="138" t="s">
        <v>5</v>
      </c>
    </row>
    <row r="63" spans="1:12">
      <c r="A63" s="879" t="s">
        <v>1498</v>
      </c>
      <c r="B63" s="880"/>
      <c r="C63" s="880"/>
      <c r="D63" s="880"/>
      <c r="E63" s="880"/>
      <c r="F63" s="880"/>
      <c r="G63" s="880"/>
      <c r="H63" s="880"/>
      <c r="I63" s="419">
        <f>118.1</f>
        <v>118.1</v>
      </c>
      <c r="J63" s="141" t="s">
        <v>161</v>
      </c>
    </row>
    <row r="64" spans="1:12" ht="15.75" thickBot="1">
      <c r="A64" s="854" t="s">
        <v>1500</v>
      </c>
      <c r="B64" s="855"/>
      <c r="C64" s="855"/>
      <c r="D64" s="855"/>
      <c r="E64" s="855"/>
      <c r="F64" s="855"/>
      <c r="G64" s="855"/>
      <c r="H64" s="855"/>
      <c r="I64" s="623">
        <f>I63*1.2</f>
        <v>141.72</v>
      </c>
      <c r="J64" s="547" t="s">
        <v>595</v>
      </c>
    </row>
    <row r="65" spans="1:10" ht="18" thickBot="1">
      <c r="A65" s="918" t="s">
        <v>637</v>
      </c>
      <c r="B65" s="919"/>
      <c r="C65" s="919"/>
      <c r="D65" s="919"/>
      <c r="E65" s="919"/>
      <c r="F65" s="919"/>
      <c r="G65" s="919"/>
      <c r="H65" s="919"/>
      <c r="I65" s="920"/>
    </row>
    <row r="66" spans="1:10" ht="18" thickBot="1">
      <c r="A66" s="883" t="s">
        <v>75</v>
      </c>
      <c r="B66" s="884"/>
      <c r="C66" s="884"/>
      <c r="D66" s="884"/>
      <c r="E66" s="884"/>
      <c r="F66" s="884"/>
      <c r="G66" s="884"/>
      <c r="H66" s="884"/>
      <c r="I66" s="907"/>
      <c r="J66" s="138" t="s">
        <v>5</v>
      </c>
    </row>
    <row r="67" spans="1:10">
      <c r="A67" s="879" t="s">
        <v>592</v>
      </c>
      <c r="B67" s="880"/>
      <c r="C67" s="880"/>
      <c r="D67" s="880"/>
      <c r="E67" s="880"/>
      <c r="F67" s="880"/>
      <c r="G67" s="880"/>
      <c r="H67" s="880"/>
      <c r="I67" s="419">
        <f>5474.79+42.2</f>
        <v>5516.99</v>
      </c>
      <c r="J67" s="142" t="s">
        <v>94</v>
      </c>
    </row>
    <row r="68" spans="1:10">
      <c r="A68" s="874" t="s">
        <v>594</v>
      </c>
      <c r="B68" s="875"/>
      <c r="C68" s="875"/>
      <c r="D68" s="875"/>
      <c r="E68" s="875"/>
      <c r="F68" s="875"/>
      <c r="G68" s="875"/>
      <c r="H68" s="875"/>
      <c r="I68" s="165">
        <f>307.95</f>
        <v>307.95</v>
      </c>
      <c r="J68" s="142" t="s">
        <v>161</v>
      </c>
    </row>
    <row r="69" spans="1:10" ht="15.75" thickBot="1">
      <c r="A69" s="881" t="s">
        <v>596</v>
      </c>
      <c r="B69" s="882"/>
      <c r="C69" s="882"/>
      <c r="D69" s="882"/>
      <c r="E69" s="882"/>
      <c r="F69" s="882"/>
      <c r="G69" s="882"/>
      <c r="H69" s="882"/>
      <c r="I69" s="165">
        <f>66.38</f>
        <v>66.38</v>
      </c>
      <c r="J69" s="142" t="s">
        <v>94</v>
      </c>
    </row>
  </sheetData>
  <mergeCells count="71">
    <mergeCell ref="A66:I66"/>
    <mergeCell ref="A67:H67"/>
    <mergeCell ref="A68:H68"/>
    <mergeCell ref="A69:H69"/>
    <mergeCell ref="A64:H64"/>
    <mergeCell ref="A65:I65"/>
    <mergeCell ref="A59:H59"/>
    <mergeCell ref="A60:H60"/>
    <mergeCell ref="A61:H61"/>
    <mergeCell ref="A62:I62"/>
    <mergeCell ref="A63:H63"/>
    <mergeCell ref="A58:H58"/>
    <mergeCell ref="A47:H47"/>
    <mergeCell ref="A48:H48"/>
    <mergeCell ref="A49:H49"/>
    <mergeCell ref="A50:H50"/>
    <mergeCell ref="A51:H51"/>
    <mergeCell ref="A52:I52"/>
    <mergeCell ref="A53:H53"/>
    <mergeCell ref="A54:H54"/>
    <mergeCell ref="A55:H55"/>
    <mergeCell ref="A56:H56"/>
    <mergeCell ref="A57:H57"/>
    <mergeCell ref="A46:I46"/>
    <mergeCell ref="A34:H34"/>
    <mergeCell ref="A35:I35"/>
    <mergeCell ref="A36:H36"/>
    <mergeCell ref="A37:H37"/>
    <mergeCell ref="A38:H38"/>
    <mergeCell ref="A39:H39"/>
    <mergeCell ref="A40:H40"/>
    <mergeCell ref="A41:H41"/>
    <mergeCell ref="A42:H42"/>
    <mergeCell ref="A43:H43"/>
    <mergeCell ref="A45:I45"/>
    <mergeCell ref="A33:H33"/>
    <mergeCell ref="A22:I22"/>
    <mergeCell ref="A23:H23"/>
    <mergeCell ref="A24:H24"/>
    <mergeCell ref="A25:H25"/>
    <mergeCell ref="A26:I26"/>
    <mergeCell ref="A27:H27"/>
    <mergeCell ref="A28:H28"/>
    <mergeCell ref="A29:H29"/>
    <mergeCell ref="A30:H30"/>
    <mergeCell ref="A31:H31"/>
    <mergeCell ref="A32:H32"/>
    <mergeCell ref="A21:H21"/>
    <mergeCell ref="A11:H11"/>
    <mergeCell ref="A12:H12"/>
    <mergeCell ref="A13:H13"/>
    <mergeCell ref="L13:S13"/>
    <mergeCell ref="A14:H14"/>
    <mergeCell ref="A15:H15"/>
    <mergeCell ref="A16:H16"/>
    <mergeCell ref="A17:H17"/>
    <mergeCell ref="A18:H18"/>
    <mergeCell ref="A19:H19"/>
    <mergeCell ref="A20:H20"/>
    <mergeCell ref="A8:I8"/>
    <mergeCell ref="L8:S8"/>
    <mergeCell ref="A9:I9"/>
    <mergeCell ref="L9:S9"/>
    <mergeCell ref="A10:H10"/>
    <mergeCell ref="L10:S10"/>
    <mergeCell ref="A1:J1"/>
    <mergeCell ref="A3:I3"/>
    <mergeCell ref="A4:H4"/>
    <mergeCell ref="K4:L6"/>
    <mergeCell ref="A5:H5"/>
    <mergeCell ref="A6:H6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9CC00"/>
  </sheetPr>
  <dimension ref="A1:U73"/>
  <sheetViews>
    <sheetView topLeftCell="A56" workbookViewId="0">
      <selection activeCell="U73" sqref="L1:U73"/>
    </sheetView>
  </sheetViews>
  <sheetFormatPr defaultRowHeight="15"/>
  <cols>
    <col min="1" max="8" width="9.140625" style="130"/>
    <col min="9" max="9" width="9.5703125" style="131" bestFit="1" customWidth="1"/>
    <col min="10" max="10" width="9.42578125" style="130" customWidth="1"/>
    <col min="11" max="11" width="8.5703125" style="531" bestFit="1" customWidth="1"/>
    <col min="12" max="21" width="9.140625" style="238"/>
  </cols>
  <sheetData>
    <row r="1" spans="1:21" ht="30.75" customHeight="1" thickBot="1">
      <c r="A1" s="949" t="s">
        <v>2948</v>
      </c>
      <c r="B1" s="950"/>
      <c r="C1" s="950"/>
      <c r="D1" s="950"/>
      <c r="E1" s="950"/>
      <c r="F1" s="950"/>
      <c r="G1" s="950"/>
      <c r="H1" s="950"/>
      <c r="I1" s="951"/>
      <c r="J1" s="531"/>
      <c r="L1" s="842" t="s">
        <v>2960</v>
      </c>
      <c r="M1" s="843"/>
      <c r="N1" s="843"/>
      <c r="O1" s="843"/>
      <c r="P1" s="843"/>
      <c r="Q1" s="843"/>
      <c r="R1" s="843"/>
      <c r="S1" s="843"/>
      <c r="T1" s="843"/>
      <c r="U1" s="844"/>
    </row>
    <row r="2" spans="1:21" ht="15.75" thickBot="1">
      <c r="A2" s="531"/>
      <c r="B2" s="531"/>
      <c r="C2" s="531"/>
      <c r="D2" s="531"/>
      <c r="E2" s="531"/>
      <c r="F2" s="531"/>
      <c r="G2" s="531"/>
      <c r="H2" s="531"/>
      <c r="J2" s="531"/>
      <c r="L2" s="228"/>
      <c r="M2" s="228"/>
      <c r="N2" s="228"/>
      <c r="O2" s="228"/>
      <c r="P2" s="228"/>
      <c r="Q2" s="228"/>
      <c r="R2" s="228"/>
      <c r="S2" s="228"/>
      <c r="T2" s="228"/>
      <c r="U2" s="228"/>
    </row>
    <row r="3" spans="1:21" ht="18" customHeight="1" thickBot="1">
      <c r="A3" s="952" t="s">
        <v>562</v>
      </c>
      <c r="B3" s="953"/>
      <c r="C3" s="953"/>
      <c r="D3" s="953"/>
      <c r="E3" s="953"/>
      <c r="F3" s="953"/>
      <c r="G3" s="953"/>
      <c r="H3" s="953"/>
      <c r="I3" s="954"/>
      <c r="J3" s="530" t="s">
        <v>563</v>
      </c>
      <c r="K3" s="530"/>
      <c r="L3" s="964" t="s">
        <v>562</v>
      </c>
      <c r="M3" s="965"/>
      <c r="N3" s="965"/>
      <c r="O3" s="965"/>
      <c r="P3" s="965"/>
      <c r="Q3" s="965"/>
      <c r="R3" s="965"/>
      <c r="S3" s="965"/>
      <c r="T3" s="966"/>
      <c r="U3" s="229" t="s">
        <v>5</v>
      </c>
    </row>
    <row r="4" spans="1:21" ht="30" customHeight="1">
      <c r="A4" s="848" t="s">
        <v>2949</v>
      </c>
      <c r="B4" s="849"/>
      <c r="C4" s="849"/>
      <c r="D4" s="849"/>
      <c r="E4" s="849"/>
      <c r="F4" s="849"/>
      <c r="G4" s="849"/>
      <c r="H4" s="849"/>
      <c r="I4" s="132">
        <f>0.6*I22</f>
        <v>578.08199999999999</v>
      </c>
      <c r="J4" s="531" t="s">
        <v>128</v>
      </c>
      <c r="K4" s="551">
        <f>I4+T4</f>
        <v>951.05</v>
      </c>
      <c r="L4" s="872" t="s">
        <v>2961</v>
      </c>
      <c r="M4" s="873"/>
      <c r="N4" s="873"/>
      <c r="O4" s="873"/>
      <c r="P4" s="873"/>
      <c r="Q4" s="873"/>
      <c r="R4" s="873"/>
      <c r="S4" s="873"/>
      <c r="T4" s="535">
        <f>T5*0.4</f>
        <v>372.96800000000002</v>
      </c>
      <c r="U4" s="230" t="s">
        <v>162</v>
      </c>
    </row>
    <row r="5" spans="1:21" ht="30" customHeight="1">
      <c r="A5" s="854" t="s">
        <v>564</v>
      </c>
      <c r="B5" s="855"/>
      <c r="C5" s="855"/>
      <c r="D5" s="855"/>
      <c r="E5" s="855"/>
      <c r="F5" s="855"/>
      <c r="G5" s="855"/>
      <c r="H5" s="855"/>
      <c r="I5" s="134">
        <f>I22</f>
        <v>963.47</v>
      </c>
      <c r="J5" s="531" t="s">
        <v>73</v>
      </c>
      <c r="K5" s="551">
        <f t="shared" ref="K5:K68" si="0">I5+T5</f>
        <v>1895.8899999999999</v>
      </c>
      <c r="L5" s="867" t="s">
        <v>1501</v>
      </c>
      <c r="M5" s="868"/>
      <c r="N5" s="868"/>
      <c r="O5" s="868"/>
      <c r="P5" s="868"/>
      <c r="Q5" s="868"/>
      <c r="R5" s="868"/>
      <c r="S5" s="868"/>
      <c r="T5" s="536">
        <f>T22</f>
        <v>932.42</v>
      </c>
      <c r="U5" s="230" t="s">
        <v>161</v>
      </c>
    </row>
    <row r="6" spans="1:21" ht="15.75" customHeight="1" thickBot="1">
      <c r="A6" s="881" t="s">
        <v>565</v>
      </c>
      <c r="B6" s="882"/>
      <c r="C6" s="882"/>
      <c r="D6" s="882"/>
      <c r="E6" s="882"/>
      <c r="F6" s="882"/>
      <c r="G6" s="882"/>
      <c r="H6" s="882"/>
      <c r="I6" s="135">
        <f>I4</f>
        <v>578.08199999999999</v>
      </c>
      <c r="J6" s="531" t="s">
        <v>128</v>
      </c>
      <c r="K6" s="551">
        <f t="shared" si="0"/>
        <v>951.05200000000002</v>
      </c>
      <c r="L6" s="967" t="s">
        <v>612</v>
      </c>
      <c r="M6" s="968"/>
      <c r="N6" s="968"/>
      <c r="O6" s="968"/>
      <c r="P6" s="968"/>
      <c r="Q6" s="968"/>
      <c r="R6" s="968"/>
      <c r="S6" s="968"/>
      <c r="T6" s="537">
        <v>372.97</v>
      </c>
      <c r="U6" s="232" t="s">
        <v>162</v>
      </c>
    </row>
    <row r="7" spans="1:21" ht="15.75" thickBot="1">
      <c r="A7" s="531"/>
      <c r="B7" s="531"/>
      <c r="C7" s="531"/>
      <c r="D7" s="531"/>
      <c r="E7" s="531"/>
      <c r="F7" s="531"/>
      <c r="G7" s="531"/>
      <c r="H7" s="531"/>
      <c r="J7" s="531"/>
      <c r="K7" s="133"/>
      <c r="L7" s="228"/>
      <c r="M7" s="228"/>
      <c r="N7" s="228"/>
      <c r="O7" s="228"/>
      <c r="P7" s="228"/>
      <c r="Q7" s="228"/>
      <c r="R7" s="228"/>
      <c r="S7" s="228"/>
      <c r="T7" s="228"/>
      <c r="U7" s="228"/>
    </row>
    <row r="8" spans="1:21" ht="18" customHeight="1" thickBot="1">
      <c r="A8" s="952" t="s">
        <v>566</v>
      </c>
      <c r="B8" s="953"/>
      <c r="C8" s="953"/>
      <c r="D8" s="953"/>
      <c r="E8" s="953"/>
      <c r="F8" s="953"/>
      <c r="G8" s="953"/>
      <c r="H8" s="953"/>
      <c r="I8" s="954"/>
      <c r="J8" s="531"/>
      <c r="K8" s="133"/>
      <c r="L8" s="969" t="s">
        <v>566</v>
      </c>
      <c r="M8" s="970"/>
      <c r="N8" s="970"/>
      <c r="O8" s="970"/>
      <c r="P8" s="970"/>
      <c r="Q8" s="970"/>
      <c r="R8" s="970"/>
      <c r="S8" s="970"/>
      <c r="T8" s="971"/>
      <c r="U8" s="228"/>
    </row>
    <row r="9" spans="1:21" ht="18" customHeight="1" thickBot="1">
      <c r="A9" s="946" t="s">
        <v>567</v>
      </c>
      <c r="B9" s="947"/>
      <c r="C9" s="947"/>
      <c r="D9" s="947"/>
      <c r="E9" s="947"/>
      <c r="F9" s="947"/>
      <c r="G9" s="947"/>
      <c r="H9" s="947"/>
      <c r="I9" s="948"/>
      <c r="J9" s="531"/>
      <c r="K9" s="133"/>
      <c r="L9" s="869" t="s">
        <v>567</v>
      </c>
      <c r="M9" s="870"/>
      <c r="N9" s="870"/>
      <c r="O9" s="870"/>
      <c r="P9" s="870"/>
      <c r="Q9" s="870"/>
      <c r="R9" s="870"/>
      <c r="S9" s="870"/>
      <c r="T9" s="871"/>
      <c r="U9" s="233" t="s">
        <v>5</v>
      </c>
    </row>
    <row r="10" spans="1:21" ht="30" customHeight="1">
      <c r="A10" s="848" t="s">
        <v>2950</v>
      </c>
      <c r="B10" s="849"/>
      <c r="C10" s="849"/>
      <c r="D10" s="849"/>
      <c r="E10" s="849"/>
      <c r="F10" s="849"/>
      <c r="G10" s="849"/>
      <c r="H10" s="849"/>
      <c r="I10" s="132">
        <f>80*12</f>
        <v>960</v>
      </c>
      <c r="J10" s="531" t="s">
        <v>76</v>
      </c>
      <c r="K10" s="551">
        <f t="shared" si="0"/>
        <v>2016</v>
      </c>
      <c r="L10" s="872" t="s">
        <v>2966</v>
      </c>
      <c r="M10" s="873"/>
      <c r="N10" s="873"/>
      <c r="O10" s="873"/>
      <c r="P10" s="873"/>
      <c r="Q10" s="873"/>
      <c r="R10" s="873"/>
      <c r="S10" s="873"/>
      <c r="T10" s="538">
        <f>88*12</f>
        <v>1056</v>
      </c>
      <c r="U10" s="234" t="s">
        <v>76</v>
      </c>
    </row>
    <row r="11" spans="1:21" ht="45" customHeight="1">
      <c r="A11" s="874" t="s">
        <v>2951</v>
      </c>
      <c r="B11" s="875"/>
      <c r="C11" s="875"/>
      <c r="D11" s="875"/>
      <c r="E11" s="875"/>
      <c r="F11" s="875"/>
      <c r="G11" s="875"/>
      <c r="H11" s="875"/>
      <c r="I11" s="132">
        <v>616</v>
      </c>
      <c r="J11" s="531" t="s">
        <v>94</v>
      </c>
      <c r="K11" s="551">
        <f t="shared" si="0"/>
        <v>1293.5999999999999</v>
      </c>
      <c r="L11" s="848" t="s">
        <v>2967</v>
      </c>
      <c r="M11" s="849"/>
      <c r="N11" s="849"/>
      <c r="O11" s="849"/>
      <c r="P11" s="849"/>
      <c r="Q11" s="849"/>
      <c r="R11" s="849"/>
      <c r="S11" s="849"/>
      <c r="T11" s="542">
        <v>677.6</v>
      </c>
      <c r="U11" s="243" t="s">
        <v>94</v>
      </c>
    </row>
    <row r="12" spans="1:21" ht="15" customHeight="1" thickBot="1">
      <c r="A12" s="874" t="s">
        <v>2952</v>
      </c>
      <c r="B12" s="875"/>
      <c r="C12" s="875"/>
      <c r="D12" s="875"/>
      <c r="E12" s="875"/>
      <c r="F12" s="875"/>
      <c r="G12" s="875"/>
      <c r="H12" s="875"/>
      <c r="I12" s="132">
        <v>1517</v>
      </c>
      <c r="J12" s="531" t="s">
        <v>94</v>
      </c>
      <c r="K12" s="551">
        <f t="shared" si="0"/>
        <v>3185.48</v>
      </c>
      <c r="L12" s="848" t="s">
        <v>2968</v>
      </c>
      <c r="M12" s="849"/>
      <c r="N12" s="849"/>
      <c r="O12" s="849"/>
      <c r="P12" s="849"/>
      <c r="Q12" s="849"/>
      <c r="R12" s="849"/>
      <c r="S12" s="849"/>
      <c r="T12" s="542">
        <v>1668.48</v>
      </c>
      <c r="U12" s="243" t="s">
        <v>94</v>
      </c>
    </row>
    <row r="13" spans="1:21" ht="15" customHeight="1">
      <c r="A13" s="848" t="s">
        <v>2953</v>
      </c>
      <c r="B13" s="849"/>
      <c r="C13" s="849"/>
      <c r="D13" s="849"/>
      <c r="E13" s="849"/>
      <c r="F13" s="849"/>
      <c r="G13" s="849"/>
      <c r="H13" s="849"/>
      <c r="I13" s="132">
        <f>16*1*1*0.65+31*1.9*1*0.65+2*1.1*0.65</f>
        <v>50.115000000000002</v>
      </c>
      <c r="J13" s="531" t="s">
        <v>162</v>
      </c>
      <c r="K13" s="551">
        <f t="shared" si="0"/>
        <v>156.24</v>
      </c>
      <c r="L13" s="972" t="s">
        <v>2962</v>
      </c>
      <c r="M13" s="973"/>
      <c r="N13" s="973"/>
      <c r="O13" s="973"/>
      <c r="P13" s="973"/>
      <c r="Q13" s="973"/>
      <c r="R13" s="973"/>
      <c r="S13" s="974"/>
      <c r="T13" s="538">
        <f>26*(0.6+0.4)*(0.6+0.4)*(0.6+0.6+0.05)+31*(1.5+0.4)*(0.6+0.4)*(0.6+0.6+0.05)</f>
        <v>106.125</v>
      </c>
      <c r="U13" s="234" t="s">
        <v>162</v>
      </c>
    </row>
    <row r="14" spans="1:21" ht="15" customHeight="1">
      <c r="A14" s="854" t="s">
        <v>568</v>
      </c>
      <c r="B14" s="855"/>
      <c r="C14" s="855"/>
      <c r="D14" s="855"/>
      <c r="E14" s="855"/>
      <c r="F14" s="855"/>
      <c r="G14" s="855"/>
      <c r="H14" s="855"/>
      <c r="I14" s="134">
        <f>I42/0.14*0.54</f>
        <v>105.95571428571428</v>
      </c>
      <c r="J14" s="531" t="s">
        <v>162</v>
      </c>
      <c r="K14" s="551">
        <f t="shared" si="0"/>
        <v>204.31571428571428</v>
      </c>
      <c r="L14" s="867" t="s">
        <v>1502</v>
      </c>
      <c r="M14" s="868"/>
      <c r="N14" s="868"/>
      <c r="O14" s="868"/>
      <c r="P14" s="868"/>
      <c r="Q14" s="868"/>
      <c r="R14" s="868"/>
      <c r="S14" s="868"/>
      <c r="T14" s="539">
        <v>98.36</v>
      </c>
      <c r="U14" s="230" t="s">
        <v>162</v>
      </c>
    </row>
    <row r="15" spans="1:21" ht="15" customHeight="1">
      <c r="A15" s="874" t="s">
        <v>643</v>
      </c>
      <c r="B15" s="875"/>
      <c r="C15" s="875"/>
      <c r="D15" s="875"/>
      <c r="E15" s="875"/>
      <c r="F15" s="875"/>
      <c r="G15" s="875"/>
      <c r="H15" s="875"/>
      <c r="I15" s="134">
        <f>16*1*1+31*1.9*1+2*1.1</f>
        <v>77.100000000000009</v>
      </c>
      <c r="J15" s="531" t="s">
        <v>161</v>
      </c>
      <c r="K15" s="551">
        <f t="shared" si="0"/>
        <v>162</v>
      </c>
      <c r="L15" s="867" t="s">
        <v>619</v>
      </c>
      <c r="M15" s="868"/>
      <c r="N15" s="868"/>
      <c r="O15" s="868"/>
      <c r="P15" s="868"/>
      <c r="Q15" s="868"/>
      <c r="R15" s="868"/>
      <c r="S15" s="868"/>
      <c r="T15" s="539">
        <f>T13/(0.05+0.6+0.6)</f>
        <v>84.9</v>
      </c>
      <c r="U15" s="230" t="s">
        <v>161</v>
      </c>
    </row>
    <row r="16" spans="1:21" ht="15" customHeight="1">
      <c r="A16" s="854" t="s">
        <v>569</v>
      </c>
      <c r="B16" s="855"/>
      <c r="C16" s="855"/>
      <c r="D16" s="855"/>
      <c r="E16" s="855"/>
      <c r="F16" s="855"/>
      <c r="G16" s="855"/>
      <c r="H16" s="855"/>
      <c r="I16" s="134">
        <f>I14/0.6</f>
        <v>176.59285714285713</v>
      </c>
      <c r="J16" s="531" t="s">
        <v>161</v>
      </c>
      <c r="K16" s="551">
        <f t="shared" si="0"/>
        <v>340.52619047619044</v>
      </c>
      <c r="L16" s="867" t="s">
        <v>620</v>
      </c>
      <c r="M16" s="868"/>
      <c r="N16" s="868"/>
      <c r="O16" s="868"/>
      <c r="P16" s="868"/>
      <c r="Q16" s="868"/>
      <c r="R16" s="868"/>
      <c r="S16" s="868"/>
      <c r="T16" s="539">
        <f>T14/0.6</f>
        <v>163.93333333333334</v>
      </c>
      <c r="U16" s="230" t="s">
        <v>161</v>
      </c>
    </row>
    <row r="17" spans="1:21" ht="15" customHeight="1">
      <c r="A17" s="872" t="s">
        <v>2963</v>
      </c>
      <c r="B17" s="873"/>
      <c r="C17" s="873"/>
      <c r="D17" s="873"/>
      <c r="E17" s="873"/>
      <c r="F17" s="873"/>
      <c r="G17" s="873"/>
      <c r="H17" s="873"/>
      <c r="I17" s="134">
        <f>I14-I42+I13-I31</f>
        <v>107.73071428571427</v>
      </c>
      <c r="J17" s="531" t="s">
        <v>162</v>
      </c>
      <c r="K17" s="551">
        <f t="shared" si="0"/>
        <v>261.95971428571431</v>
      </c>
      <c r="L17" s="872" t="s">
        <v>2963</v>
      </c>
      <c r="M17" s="873"/>
      <c r="N17" s="873"/>
      <c r="O17" s="873"/>
      <c r="P17" s="873"/>
      <c r="Q17" s="873"/>
      <c r="R17" s="873"/>
      <c r="S17" s="873"/>
      <c r="T17" s="538">
        <f>T13+T14-T31-T42</f>
        <v>154.22900000000001</v>
      </c>
      <c r="U17" s="230" t="s">
        <v>162</v>
      </c>
    </row>
    <row r="18" spans="1:21" ht="15" customHeight="1">
      <c r="A18" s="872" t="s">
        <v>2964</v>
      </c>
      <c r="B18" s="873"/>
      <c r="C18" s="873"/>
      <c r="D18" s="873"/>
      <c r="E18" s="873"/>
      <c r="F18" s="873"/>
      <c r="G18" s="873"/>
      <c r="H18" s="873"/>
      <c r="I18" s="134">
        <f>I31*1.4+I42*1.4</f>
        <v>67.676000000000002</v>
      </c>
      <c r="J18" s="531" t="s">
        <v>162</v>
      </c>
      <c r="K18" s="551">
        <f t="shared" si="0"/>
        <v>133.00880000000001</v>
      </c>
      <c r="L18" s="872" t="s">
        <v>2964</v>
      </c>
      <c r="M18" s="873"/>
      <c r="N18" s="873"/>
      <c r="O18" s="873"/>
      <c r="P18" s="873"/>
      <c r="Q18" s="873"/>
      <c r="R18" s="873"/>
      <c r="S18" s="873"/>
      <c r="T18" s="538">
        <f>(T31+T42)*1.3</f>
        <v>65.332800000000006</v>
      </c>
      <c r="U18" s="230" t="s">
        <v>162</v>
      </c>
    </row>
    <row r="19" spans="1:21" ht="15" customHeight="1">
      <c r="A19" s="532" t="s">
        <v>2954</v>
      </c>
      <c r="B19" s="533"/>
      <c r="C19" s="533"/>
      <c r="D19" s="533"/>
      <c r="E19" s="533"/>
      <c r="F19" s="533"/>
      <c r="G19" s="533"/>
      <c r="H19" s="533"/>
      <c r="I19" s="134">
        <f>I15</f>
        <v>77.100000000000009</v>
      </c>
      <c r="J19" s="531" t="s">
        <v>161</v>
      </c>
      <c r="K19" s="551">
        <f t="shared" si="0"/>
        <v>162</v>
      </c>
      <c r="L19" s="867" t="s">
        <v>1503</v>
      </c>
      <c r="M19" s="868"/>
      <c r="N19" s="868"/>
      <c r="O19" s="868"/>
      <c r="P19" s="868"/>
      <c r="Q19" s="868"/>
      <c r="R19" s="868"/>
      <c r="S19" s="868"/>
      <c r="T19" s="539">
        <f>T15</f>
        <v>84.9</v>
      </c>
      <c r="U19" s="230" t="s">
        <v>161</v>
      </c>
    </row>
    <row r="20" spans="1:21" ht="30" customHeight="1">
      <c r="A20" s="913" t="s">
        <v>1488</v>
      </c>
      <c r="B20" s="914"/>
      <c r="C20" s="914"/>
      <c r="D20" s="914"/>
      <c r="E20" s="914"/>
      <c r="F20" s="914"/>
      <c r="G20" s="914"/>
      <c r="H20" s="914"/>
      <c r="I20" s="136">
        <f>I16</f>
        <v>176.59285714285713</v>
      </c>
      <c r="J20" s="531" t="s">
        <v>161</v>
      </c>
      <c r="K20" s="551">
        <f t="shared" si="0"/>
        <v>340.52619047619044</v>
      </c>
      <c r="L20" s="980" t="s">
        <v>1504</v>
      </c>
      <c r="M20" s="981"/>
      <c r="N20" s="981"/>
      <c r="O20" s="981"/>
      <c r="P20" s="981"/>
      <c r="Q20" s="981"/>
      <c r="R20" s="981"/>
      <c r="S20" s="981"/>
      <c r="T20" s="540">
        <f>T16</f>
        <v>163.93333333333334</v>
      </c>
      <c r="U20" s="230" t="s">
        <v>161</v>
      </c>
    </row>
    <row r="21" spans="1:21" ht="30" customHeight="1">
      <c r="A21" s="854" t="s">
        <v>571</v>
      </c>
      <c r="B21" s="855"/>
      <c r="C21" s="855"/>
      <c r="D21" s="855"/>
      <c r="E21" s="855"/>
      <c r="F21" s="855"/>
      <c r="G21" s="855"/>
      <c r="H21" s="855"/>
      <c r="I21" s="134">
        <f>I41</f>
        <v>442.43</v>
      </c>
      <c r="J21" s="531" t="s">
        <v>161</v>
      </c>
      <c r="K21" s="551">
        <f t="shared" si="0"/>
        <v>858.93000000000006</v>
      </c>
      <c r="L21" s="867" t="s">
        <v>623</v>
      </c>
      <c r="M21" s="868"/>
      <c r="N21" s="868"/>
      <c r="O21" s="868"/>
      <c r="P21" s="868"/>
      <c r="Q21" s="868"/>
      <c r="R21" s="868"/>
      <c r="S21" s="868"/>
      <c r="T21" s="541">
        <v>416.5</v>
      </c>
      <c r="U21" s="230" t="s">
        <v>161</v>
      </c>
    </row>
    <row r="22" spans="1:21" ht="30" customHeight="1" thickBot="1">
      <c r="A22" s="852" t="s">
        <v>573</v>
      </c>
      <c r="B22" s="853"/>
      <c r="C22" s="853"/>
      <c r="D22" s="853"/>
      <c r="E22" s="853"/>
      <c r="F22" s="853"/>
      <c r="G22" s="853"/>
      <c r="H22" s="853"/>
      <c r="I22" s="135">
        <v>963.47</v>
      </c>
      <c r="J22" s="531" t="s">
        <v>161</v>
      </c>
      <c r="K22" s="550">
        <f t="shared" si="0"/>
        <v>1895.8899999999999</v>
      </c>
      <c r="L22" s="982" t="s">
        <v>625</v>
      </c>
      <c r="M22" s="976"/>
      <c r="N22" s="976"/>
      <c r="O22" s="976"/>
      <c r="P22" s="976"/>
      <c r="Q22" s="976"/>
      <c r="R22" s="976"/>
      <c r="S22" s="975"/>
      <c r="T22" s="539">
        <v>932.42</v>
      </c>
      <c r="U22" s="230" t="s">
        <v>161</v>
      </c>
    </row>
    <row r="23" spans="1:21" ht="17.25" customHeight="1" thickBot="1">
      <c r="A23" s="955" t="s">
        <v>154</v>
      </c>
      <c r="B23" s="956"/>
      <c r="C23" s="956"/>
      <c r="D23" s="956"/>
      <c r="E23" s="956"/>
      <c r="F23" s="956"/>
      <c r="G23" s="956"/>
      <c r="H23" s="956"/>
      <c r="I23" s="957"/>
      <c r="J23" s="531"/>
      <c r="K23" s="133"/>
      <c r="L23" s="983" t="s">
        <v>154</v>
      </c>
      <c r="M23" s="984"/>
      <c r="N23" s="984"/>
      <c r="O23" s="984"/>
      <c r="P23" s="984"/>
      <c r="Q23" s="984"/>
      <c r="R23" s="984"/>
      <c r="S23" s="984"/>
      <c r="T23" s="985"/>
      <c r="U23" s="235" t="s">
        <v>5</v>
      </c>
    </row>
    <row r="24" spans="1:21" ht="15" customHeight="1">
      <c r="A24" s="854" t="s">
        <v>575</v>
      </c>
      <c r="B24" s="855"/>
      <c r="C24" s="855"/>
      <c r="D24" s="855"/>
      <c r="E24" s="855"/>
      <c r="F24" s="855"/>
      <c r="G24" s="855"/>
      <c r="H24" s="855"/>
      <c r="I24" s="134">
        <f>I25*0.05</f>
        <v>48.173500000000004</v>
      </c>
      <c r="J24" s="531" t="s">
        <v>128</v>
      </c>
      <c r="K24" s="133">
        <f t="shared" si="0"/>
        <v>980.59349999999995</v>
      </c>
      <c r="L24" s="867" t="s">
        <v>1505</v>
      </c>
      <c r="M24" s="868"/>
      <c r="N24" s="868"/>
      <c r="O24" s="868"/>
      <c r="P24" s="868"/>
      <c r="Q24" s="868"/>
      <c r="R24" s="868"/>
      <c r="S24" s="868"/>
      <c r="T24" s="539">
        <f>T22</f>
        <v>932.42</v>
      </c>
      <c r="U24" s="230" t="s">
        <v>161</v>
      </c>
    </row>
    <row r="25" spans="1:21" ht="15.75" customHeight="1">
      <c r="A25" s="874" t="s">
        <v>572</v>
      </c>
      <c r="B25" s="875"/>
      <c r="C25" s="875"/>
      <c r="D25" s="875"/>
      <c r="E25" s="875"/>
      <c r="F25" s="875"/>
      <c r="G25" s="875"/>
      <c r="H25" s="875"/>
      <c r="I25" s="134">
        <f>I22</f>
        <v>963.47</v>
      </c>
      <c r="J25" s="531" t="s">
        <v>73</v>
      </c>
      <c r="K25" s="133">
        <f t="shared" si="0"/>
        <v>1895.8899999999999</v>
      </c>
      <c r="L25" s="867" t="s">
        <v>1506</v>
      </c>
      <c r="M25" s="868"/>
      <c r="N25" s="868"/>
      <c r="O25" s="868"/>
      <c r="P25" s="868"/>
      <c r="Q25" s="868"/>
      <c r="R25" s="868"/>
      <c r="S25" s="868"/>
      <c r="T25" s="539">
        <f>T22</f>
        <v>932.42</v>
      </c>
      <c r="U25" s="230" t="s">
        <v>161</v>
      </c>
    </row>
    <row r="26" spans="1:21" ht="18" customHeight="1">
      <c r="A26" s="874" t="s">
        <v>574</v>
      </c>
      <c r="B26" s="875"/>
      <c r="C26" s="875"/>
      <c r="D26" s="875"/>
      <c r="E26" s="875"/>
      <c r="F26" s="875"/>
      <c r="G26" s="875"/>
      <c r="H26" s="875"/>
      <c r="I26" s="134">
        <f>I22*0.07</f>
        <v>67.442900000000009</v>
      </c>
      <c r="J26" s="531" t="s">
        <v>128</v>
      </c>
      <c r="K26" s="133">
        <f t="shared" si="0"/>
        <v>132.71230000000003</v>
      </c>
      <c r="L26" s="867" t="s">
        <v>626</v>
      </c>
      <c r="M26" s="868"/>
      <c r="N26" s="868"/>
      <c r="O26" s="868"/>
      <c r="P26" s="868"/>
      <c r="Q26" s="868"/>
      <c r="R26" s="868"/>
      <c r="S26" s="868"/>
      <c r="T26" s="539">
        <f>T22*0.07</f>
        <v>65.269400000000005</v>
      </c>
      <c r="U26" s="230" t="s">
        <v>162</v>
      </c>
    </row>
    <row r="27" spans="1:21" ht="15" customHeight="1">
      <c r="A27" s="874" t="s">
        <v>576</v>
      </c>
      <c r="B27" s="875"/>
      <c r="C27" s="875"/>
      <c r="D27" s="875"/>
      <c r="E27" s="875"/>
      <c r="F27" s="875"/>
      <c r="G27" s="875"/>
      <c r="H27" s="875"/>
      <c r="I27" s="134">
        <f>I26</f>
        <v>67.442900000000009</v>
      </c>
      <c r="J27" s="531" t="s">
        <v>128</v>
      </c>
      <c r="K27" s="133">
        <f t="shared" si="0"/>
        <v>132.71230000000003</v>
      </c>
      <c r="L27" s="867" t="s">
        <v>627</v>
      </c>
      <c r="M27" s="868"/>
      <c r="N27" s="868"/>
      <c r="O27" s="868"/>
      <c r="P27" s="868"/>
      <c r="Q27" s="868"/>
      <c r="R27" s="868"/>
      <c r="S27" s="868"/>
      <c r="T27" s="539">
        <f>T26</f>
        <v>65.269400000000005</v>
      </c>
      <c r="U27" s="230" t="s">
        <v>162</v>
      </c>
    </row>
    <row r="28" spans="1:21" ht="15.75" customHeight="1" thickBot="1">
      <c r="A28" s="881" t="s">
        <v>1500</v>
      </c>
      <c r="B28" s="882"/>
      <c r="C28" s="882"/>
      <c r="D28" s="882"/>
      <c r="E28" s="882"/>
      <c r="F28" s="882"/>
      <c r="G28" s="882"/>
      <c r="H28" s="882"/>
      <c r="I28" s="135">
        <f>I22*1.2</f>
        <v>1156.164</v>
      </c>
      <c r="J28" s="531" t="s">
        <v>73</v>
      </c>
      <c r="K28" s="133">
        <f t="shared" si="0"/>
        <v>2275.0680000000002</v>
      </c>
      <c r="L28" s="867" t="s">
        <v>2965</v>
      </c>
      <c r="M28" s="868"/>
      <c r="N28" s="868"/>
      <c r="O28" s="868"/>
      <c r="P28" s="868"/>
      <c r="Q28" s="868"/>
      <c r="R28" s="868"/>
      <c r="S28" s="868"/>
      <c r="T28" s="539">
        <f>T22*1.2</f>
        <v>1118.904</v>
      </c>
      <c r="U28" s="230" t="s">
        <v>161</v>
      </c>
    </row>
    <row r="29" spans="1:21" ht="18" customHeight="1" thickBot="1">
      <c r="A29" s="958" t="s">
        <v>2955</v>
      </c>
      <c r="B29" s="959"/>
      <c r="C29" s="959"/>
      <c r="D29" s="959"/>
      <c r="E29" s="959"/>
      <c r="F29" s="959"/>
      <c r="G29" s="959"/>
      <c r="H29" s="959"/>
      <c r="I29" s="960"/>
      <c r="J29" s="531"/>
      <c r="K29" s="133"/>
      <c r="L29" s="869" t="s">
        <v>2969</v>
      </c>
      <c r="M29" s="870"/>
      <c r="N29" s="870"/>
      <c r="O29" s="870"/>
      <c r="P29" s="870"/>
      <c r="Q29" s="870"/>
      <c r="R29" s="870"/>
      <c r="S29" s="870"/>
      <c r="T29" s="871"/>
      <c r="U29" s="236" t="s">
        <v>5</v>
      </c>
    </row>
    <row r="30" spans="1:21" ht="15" customHeight="1">
      <c r="A30" s="879" t="s">
        <v>152</v>
      </c>
      <c r="B30" s="880"/>
      <c r="C30" s="880"/>
      <c r="D30" s="880"/>
      <c r="E30" s="880"/>
      <c r="F30" s="880"/>
      <c r="G30" s="880"/>
      <c r="H30" s="880"/>
      <c r="I30" s="132">
        <v>103.92</v>
      </c>
      <c r="J30" s="531" t="s">
        <v>73</v>
      </c>
      <c r="K30" s="551">
        <f t="shared" si="0"/>
        <v>219.48000000000002</v>
      </c>
      <c r="L30" s="872" t="s">
        <v>628</v>
      </c>
      <c r="M30" s="873"/>
      <c r="N30" s="873"/>
      <c r="O30" s="873"/>
      <c r="P30" s="873"/>
      <c r="Q30" s="873"/>
      <c r="R30" s="873"/>
      <c r="S30" s="873"/>
      <c r="T30" s="538">
        <f>31*(1.5+1.5+0.6+0.6)*0.6+26*(0.6+0.6+0.6+0.6)*0.6</f>
        <v>115.56</v>
      </c>
      <c r="U30" s="234" t="s">
        <v>161</v>
      </c>
    </row>
    <row r="31" spans="1:21">
      <c r="A31" s="874" t="s">
        <v>578</v>
      </c>
      <c r="B31" s="875"/>
      <c r="C31" s="875"/>
      <c r="D31" s="875"/>
      <c r="E31" s="875"/>
      <c r="F31" s="875"/>
      <c r="G31" s="875"/>
      <c r="H31" s="875"/>
      <c r="I31" s="134">
        <v>20.87</v>
      </c>
      <c r="J31" s="531" t="s">
        <v>128</v>
      </c>
      <c r="K31" s="551">
        <f t="shared" si="0"/>
        <v>43.225999999999999</v>
      </c>
      <c r="L31" s="867" t="s">
        <v>629</v>
      </c>
      <c r="M31" s="868"/>
      <c r="N31" s="868"/>
      <c r="O31" s="868"/>
      <c r="P31" s="868"/>
      <c r="Q31" s="868"/>
      <c r="R31" s="868"/>
      <c r="S31" s="868"/>
      <c r="T31" s="539">
        <f>31*1.5*0.6*0.6+26*0.6*0.6*0.6</f>
        <v>22.355999999999998</v>
      </c>
      <c r="U31" s="230" t="s">
        <v>162</v>
      </c>
    </row>
    <row r="32" spans="1:21" ht="18" customHeight="1">
      <c r="A32" s="874" t="s">
        <v>576</v>
      </c>
      <c r="B32" s="875"/>
      <c r="C32" s="875"/>
      <c r="D32" s="875"/>
      <c r="E32" s="875"/>
      <c r="F32" s="875"/>
      <c r="G32" s="875"/>
      <c r="H32" s="875"/>
      <c r="I32" s="134">
        <f>I31</f>
        <v>20.87</v>
      </c>
      <c r="J32" s="531" t="s">
        <v>128</v>
      </c>
      <c r="K32" s="551">
        <f t="shared" si="0"/>
        <v>43.225999999999999</v>
      </c>
      <c r="L32" s="867" t="s">
        <v>627</v>
      </c>
      <c r="M32" s="868"/>
      <c r="N32" s="868"/>
      <c r="O32" s="868"/>
      <c r="P32" s="868"/>
      <c r="Q32" s="868"/>
      <c r="R32" s="868"/>
      <c r="S32" s="868"/>
      <c r="T32" s="539">
        <f>T31</f>
        <v>22.355999999999998</v>
      </c>
      <c r="U32" s="230" t="s">
        <v>162</v>
      </c>
    </row>
    <row r="33" spans="1:21">
      <c r="A33" s="867" t="s">
        <v>630</v>
      </c>
      <c r="B33" s="868"/>
      <c r="C33" s="868"/>
      <c r="D33" s="868"/>
      <c r="E33" s="868"/>
      <c r="F33" s="868"/>
      <c r="G33" s="868"/>
      <c r="H33" s="868"/>
      <c r="I33" s="539">
        <v>0</v>
      </c>
      <c r="J33" s="230" t="s">
        <v>94</v>
      </c>
      <c r="K33" s="551">
        <f t="shared" si="0"/>
        <v>0</v>
      </c>
      <c r="L33" s="867" t="s">
        <v>630</v>
      </c>
      <c r="M33" s="868"/>
      <c r="N33" s="868"/>
      <c r="O33" s="868"/>
      <c r="P33" s="868"/>
      <c r="Q33" s="868"/>
      <c r="R33" s="868"/>
      <c r="S33" s="868"/>
      <c r="T33" s="539">
        <v>0</v>
      </c>
      <c r="U33" s="230" t="s">
        <v>94</v>
      </c>
    </row>
    <row r="34" spans="1:21" ht="15" customHeight="1">
      <c r="A34" s="874" t="s">
        <v>2956</v>
      </c>
      <c r="B34" s="875"/>
      <c r="C34" s="875"/>
      <c r="D34" s="875"/>
      <c r="E34" s="875"/>
      <c r="F34" s="875"/>
      <c r="G34" s="875"/>
      <c r="H34" s="875"/>
      <c r="I34" s="134">
        <v>351</v>
      </c>
      <c r="J34" s="531" t="s">
        <v>577</v>
      </c>
      <c r="K34" s="551">
        <f t="shared" si="0"/>
        <v>679</v>
      </c>
      <c r="L34" s="867" t="s">
        <v>634</v>
      </c>
      <c r="M34" s="868"/>
      <c r="N34" s="868"/>
      <c r="O34" s="868"/>
      <c r="P34" s="868"/>
      <c r="Q34" s="868"/>
      <c r="R34" s="868"/>
      <c r="S34" s="868"/>
      <c r="T34" s="539">
        <v>328</v>
      </c>
      <c r="U34" s="230" t="s">
        <v>94</v>
      </c>
    </row>
    <row r="35" spans="1:21" ht="15.75" customHeight="1">
      <c r="A35" s="874" t="s">
        <v>2957</v>
      </c>
      <c r="B35" s="875"/>
      <c r="C35" s="875"/>
      <c r="D35" s="875"/>
      <c r="E35" s="875"/>
      <c r="F35" s="875"/>
      <c r="G35" s="875"/>
      <c r="H35" s="875"/>
      <c r="I35" s="134">
        <v>81</v>
      </c>
      <c r="J35" s="531" t="s">
        <v>577</v>
      </c>
      <c r="K35" s="551">
        <f t="shared" si="0"/>
        <v>81</v>
      </c>
      <c r="L35" s="867" t="s">
        <v>635</v>
      </c>
      <c r="M35" s="868"/>
      <c r="N35" s="868"/>
      <c r="O35" s="868"/>
      <c r="P35" s="868"/>
      <c r="Q35" s="868"/>
      <c r="R35" s="868"/>
      <c r="S35" s="868"/>
      <c r="T35" s="539">
        <v>0</v>
      </c>
      <c r="U35" s="230" t="s">
        <v>94</v>
      </c>
    </row>
    <row r="36" spans="1:21" ht="18" customHeight="1">
      <c r="A36" s="874" t="s">
        <v>2958</v>
      </c>
      <c r="B36" s="875"/>
      <c r="C36" s="875"/>
      <c r="D36" s="875"/>
      <c r="E36" s="875"/>
      <c r="F36" s="875"/>
      <c r="G36" s="875"/>
      <c r="H36" s="875"/>
      <c r="I36" s="134">
        <v>326</v>
      </c>
      <c r="J36" s="531" t="s">
        <v>577</v>
      </c>
      <c r="K36" s="551">
        <f t="shared" si="0"/>
        <v>712</v>
      </c>
      <c r="L36" s="867" t="s">
        <v>631</v>
      </c>
      <c r="M36" s="868"/>
      <c r="N36" s="868"/>
      <c r="O36" s="868"/>
      <c r="P36" s="868"/>
      <c r="Q36" s="868"/>
      <c r="R36" s="868"/>
      <c r="S36" s="868"/>
      <c r="T36" s="539">
        <v>386</v>
      </c>
      <c r="U36" s="230" t="s">
        <v>94</v>
      </c>
    </row>
    <row r="37" spans="1:21" ht="15" customHeight="1">
      <c r="A37" s="239"/>
      <c r="B37" s="240"/>
      <c r="C37" s="240"/>
      <c r="D37" s="240"/>
      <c r="E37" s="240"/>
      <c r="F37" s="240"/>
      <c r="G37" s="240"/>
      <c r="H37" s="240"/>
      <c r="I37" s="241"/>
      <c r="K37" s="551">
        <f t="shared" si="0"/>
        <v>249</v>
      </c>
      <c r="L37" s="867" t="s">
        <v>1497</v>
      </c>
      <c r="M37" s="868"/>
      <c r="N37" s="868"/>
      <c r="O37" s="868"/>
      <c r="P37" s="868"/>
      <c r="Q37" s="868"/>
      <c r="R37" s="868"/>
      <c r="S37" s="868"/>
      <c r="T37" s="539">
        <v>249</v>
      </c>
      <c r="U37" s="230" t="s">
        <v>94</v>
      </c>
    </row>
    <row r="38" spans="1:21" ht="15" customHeight="1">
      <c r="A38" s="239"/>
      <c r="B38" s="240"/>
      <c r="C38" s="240"/>
      <c r="D38" s="240"/>
      <c r="E38" s="240"/>
      <c r="F38" s="240"/>
      <c r="G38" s="240"/>
      <c r="H38" s="240"/>
      <c r="I38" s="241"/>
      <c r="K38" s="133"/>
      <c r="L38" s="867" t="s">
        <v>636</v>
      </c>
      <c r="M38" s="868"/>
      <c r="N38" s="868"/>
      <c r="O38" s="868"/>
      <c r="P38" s="868"/>
      <c r="Q38" s="868"/>
      <c r="R38" s="868"/>
      <c r="S38" s="868"/>
      <c r="T38" s="539">
        <v>0</v>
      </c>
      <c r="U38" s="230" t="s">
        <v>94</v>
      </c>
    </row>
    <row r="39" spans="1:21" ht="15.75" customHeight="1" thickBot="1">
      <c r="A39" s="239"/>
      <c r="B39" s="240"/>
      <c r="C39" s="240"/>
      <c r="D39" s="240"/>
      <c r="E39" s="240"/>
      <c r="F39" s="240"/>
      <c r="G39" s="240"/>
      <c r="H39" s="240"/>
      <c r="I39" s="241"/>
      <c r="K39" s="133"/>
      <c r="L39" s="867"/>
      <c r="M39" s="868"/>
      <c r="N39" s="868"/>
      <c r="O39" s="868"/>
      <c r="P39" s="868"/>
      <c r="Q39" s="868"/>
      <c r="R39" s="868"/>
      <c r="S39" s="868"/>
      <c r="T39" s="231"/>
      <c r="U39" s="230" t="s">
        <v>101</v>
      </c>
    </row>
    <row r="40" spans="1:21" ht="18" customHeight="1" thickBot="1">
      <c r="A40" s="946" t="s">
        <v>581</v>
      </c>
      <c r="B40" s="947"/>
      <c r="C40" s="947"/>
      <c r="D40" s="947"/>
      <c r="E40" s="947"/>
      <c r="F40" s="947"/>
      <c r="G40" s="947"/>
      <c r="H40" s="947"/>
      <c r="I40" s="948"/>
      <c r="K40" s="133"/>
      <c r="L40" s="869" t="s">
        <v>581</v>
      </c>
      <c r="M40" s="870"/>
      <c r="N40" s="870"/>
      <c r="O40" s="870"/>
      <c r="P40" s="870"/>
      <c r="Q40" s="870"/>
      <c r="R40" s="870"/>
      <c r="S40" s="870"/>
      <c r="T40" s="871"/>
      <c r="U40" s="236" t="s">
        <v>5</v>
      </c>
    </row>
    <row r="41" spans="1:21">
      <c r="A41" s="879" t="s">
        <v>152</v>
      </c>
      <c r="B41" s="880"/>
      <c r="C41" s="880"/>
      <c r="D41" s="880"/>
      <c r="E41" s="880"/>
      <c r="F41" s="880"/>
      <c r="G41" s="880"/>
      <c r="H41" s="880"/>
      <c r="I41" s="545">
        <v>442.43</v>
      </c>
      <c r="J41" s="547" t="s">
        <v>73</v>
      </c>
      <c r="K41" s="551">
        <f t="shared" si="0"/>
        <v>896.82999999999993</v>
      </c>
      <c r="L41" s="974" t="s">
        <v>633</v>
      </c>
      <c r="M41" s="873"/>
      <c r="N41" s="873"/>
      <c r="O41" s="873"/>
      <c r="P41" s="873"/>
      <c r="Q41" s="873"/>
      <c r="R41" s="873"/>
      <c r="S41" s="873"/>
      <c r="T41" s="538">
        <v>454.4</v>
      </c>
      <c r="U41" s="234" t="s">
        <v>161</v>
      </c>
    </row>
    <row r="42" spans="1:21" ht="15" customHeight="1">
      <c r="A42" s="874" t="s">
        <v>578</v>
      </c>
      <c r="B42" s="875"/>
      <c r="C42" s="875"/>
      <c r="D42" s="875"/>
      <c r="E42" s="875"/>
      <c r="F42" s="875"/>
      <c r="G42" s="875"/>
      <c r="H42" s="875"/>
      <c r="I42" s="546">
        <v>27.47</v>
      </c>
      <c r="J42" s="547" t="s">
        <v>128</v>
      </c>
      <c r="K42" s="551">
        <f t="shared" si="0"/>
        <v>55.37</v>
      </c>
      <c r="L42" s="975" t="s">
        <v>629</v>
      </c>
      <c r="M42" s="868"/>
      <c r="N42" s="868"/>
      <c r="O42" s="868"/>
      <c r="P42" s="868"/>
      <c r="Q42" s="868"/>
      <c r="R42" s="868"/>
      <c r="S42" s="868"/>
      <c r="T42" s="539">
        <v>27.9</v>
      </c>
      <c r="U42" s="230" t="s">
        <v>162</v>
      </c>
    </row>
    <row r="43" spans="1:21" ht="15" customHeight="1">
      <c r="A43" s="874" t="s">
        <v>576</v>
      </c>
      <c r="B43" s="875"/>
      <c r="C43" s="875"/>
      <c r="D43" s="875"/>
      <c r="E43" s="875"/>
      <c r="F43" s="875"/>
      <c r="G43" s="875"/>
      <c r="H43" s="875"/>
      <c r="I43" s="546">
        <f>I42</f>
        <v>27.47</v>
      </c>
      <c r="J43" s="547" t="s">
        <v>128</v>
      </c>
      <c r="K43" s="551">
        <f t="shared" si="0"/>
        <v>55.37</v>
      </c>
      <c r="L43" s="975" t="s">
        <v>627</v>
      </c>
      <c r="M43" s="868"/>
      <c r="N43" s="868"/>
      <c r="O43" s="868"/>
      <c r="P43" s="868"/>
      <c r="Q43" s="868"/>
      <c r="R43" s="868"/>
      <c r="S43" s="868"/>
      <c r="T43" s="539">
        <f>T42</f>
        <v>27.9</v>
      </c>
      <c r="U43" s="230" t="s">
        <v>162</v>
      </c>
    </row>
    <row r="44" spans="1:21" ht="15.75" customHeight="1">
      <c r="A44" s="874" t="s">
        <v>582</v>
      </c>
      <c r="B44" s="875"/>
      <c r="C44" s="875"/>
      <c r="D44" s="875"/>
      <c r="E44" s="875"/>
      <c r="F44" s="875"/>
      <c r="G44" s="875"/>
      <c r="H44" s="875"/>
      <c r="I44" s="546">
        <f>151+138+61</f>
        <v>350</v>
      </c>
      <c r="J44" s="547" t="s">
        <v>577</v>
      </c>
      <c r="K44" s="551">
        <f t="shared" si="0"/>
        <v>797</v>
      </c>
      <c r="L44" s="976" t="s">
        <v>630</v>
      </c>
      <c r="M44" s="976"/>
      <c r="N44" s="976"/>
      <c r="O44" s="976"/>
      <c r="P44" s="976"/>
      <c r="Q44" s="976"/>
      <c r="R44" s="976"/>
      <c r="S44" s="975"/>
      <c r="T44" s="539">
        <v>447</v>
      </c>
      <c r="U44" s="230" t="s">
        <v>94</v>
      </c>
    </row>
    <row r="45" spans="1:21" ht="18" customHeight="1">
      <c r="A45" s="874" t="s">
        <v>583</v>
      </c>
      <c r="B45" s="875"/>
      <c r="C45" s="875"/>
      <c r="D45" s="875"/>
      <c r="E45" s="875"/>
      <c r="F45" s="875"/>
      <c r="G45" s="875"/>
      <c r="H45" s="875"/>
      <c r="I45" s="546">
        <f>228+155+42</f>
        <v>425</v>
      </c>
      <c r="J45" s="547" t="s">
        <v>577</v>
      </c>
      <c r="K45" s="551">
        <f t="shared" si="0"/>
        <v>705</v>
      </c>
      <c r="L45" s="976" t="s">
        <v>634</v>
      </c>
      <c r="M45" s="976"/>
      <c r="N45" s="976"/>
      <c r="O45" s="976"/>
      <c r="P45" s="976"/>
      <c r="Q45" s="976"/>
      <c r="R45" s="976"/>
      <c r="S45" s="975"/>
      <c r="T45" s="539">
        <v>280</v>
      </c>
      <c r="U45" s="230" t="s">
        <v>94</v>
      </c>
    </row>
    <row r="46" spans="1:21" ht="18" customHeight="1">
      <c r="A46" s="874" t="s">
        <v>584</v>
      </c>
      <c r="B46" s="875"/>
      <c r="C46" s="875"/>
      <c r="D46" s="875"/>
      <c r="E46" s="875"/>
      <c r="F46" s="875"/>
      <c r="G46" s="875"/>
      <c r="H46" s="875"/>
      <c r="I46" s="546">
        <f>61+54</f>
        <v>115</v>
      </c>
      <c r="J46" s="547" t="s">
        <v>577</v>
      </c>
      <c r="K46" s="551">
        <f t="shared" si="0"/>
        <v>324</v>
      </c>
      <c r="L46" s="975" t="s">
        <v>635</v>
      </c>
      <c r="M46" s="868"/>
      <c r="N46" s="868"/>
      <c r="O46" s="868"/>
      <c r="P46" s="868"/>
      <c r="Q46" s="868"/>
      <c r="R46" s="868"/>
      <c r="S46" s="868"/>
      <c r="T46" s="539">
        <v>209</v>
      </c>
      <c r="U46" s="230" t="s">
        <v>94</v>
      </c>
    </row>
    <row r="47" spans="1:21" ht="15" customHeight="1" thickBot="1">
      <c r="A47" s="874" t="s">
        <v>579</v>
      </c>
      <c r="B47" s="875"/>
      <c r="C47" s="875"/>
      <c r="D47" s="875"/>
      <c r="E47" s="875"/>
      <c r="F47" s="875"/>
      <c r="G47" s="875"/>
      <c r="H47" s="875"/>
      <c r="I47" s="546">
        <f>328+258+109</f>
        <v>695</v>
      </c>
      <c r="J47" s="547" t="s">
        <v>577</v>
      </c>
      <c r="K47" s="551">
        <f t="shared" si="0"/>
        <v>1594</v>
      </c>
      <c r="L47" s="977" t="s">
        <v>631</v>
      </c>
      <c r="M47" s="968"/>
      <c r="N47" s="968"/>
      <c r="O47" s="968"/>
      <c r="P47" s="968"/>
      <c r="Q47" s="968"/>
      <c r="R47" s="968"/>
      <c r="S47" s="968"/>
      <c r="T47" s="543">
        <v>899</v>
      </c>
      <c r="U47" s="232" t="s">
        <v>94</v>
      </c>
    </row>
    <row r="48" spans="1:21" ht="18" customHeight="1" thickBot="1">
      <c r="A48" s="952" t="s">
        <v>2972</v>
      </c>
      <c r="B48" s="953"/>
      <c r="C48" s="953"/>
      <c r="D48" s="953"/>
      <c r="E48" s="953"/>
      <c r="F48" s="953"/>
      <c r="G48" s="953"/>
      <c r="H48" s="953"/>
      <c r="I48" s="954"/>
      <c r="J48" s="531"/>
      <c r="K48" s="133"/>
      <c r="L48" s="978" t="s">
        <v>2972</v>
      </c>
      <c r="M48" s="965"/>
      <c r="N48" s="965"/>
      <c r="O48" s="965"/>
      <c r="P48" s="965"/>
      <c r="Q48" s="965"/>
      <c r="R48" s="965"/>
      <c r="S48" s="965"/>
      <c r="T48" s="979"/>
      <c r="U48" s="228"/>
    </row>
    <row r="49" spans="1:21" ht="18" customHeight="1" thickBot="1">
      <c r="A49" s="946" t="s">
        <v>587</v>
      </c>
      <c r="B49" s="947"/>
      <c r="C49" s="947"/>
      <c r="D49" s="947"/>
      <c r="E49" s="947"/>
      <c r="F49" s="947"/>
      <c r="G49" s="947"/>
      <c r="H49" s="947"/>
      <c r="I49" s="948"/>
      <c r="J49" s="531"/>
      <c r="K49" s="133"/>
      <c r="L49" s="869" t="s">
        <v>587</v>
      </c>
      <c r="M49" s="870"/>
      <c r="N49" s="870"/>
      <c r="O49" s="870"/>
      <c r="P49" s="870"/>
      <c r="Q49" s="870"/>
      <c r="R49" s="870"/>
      <c r="S49" s="870"/>
      <c r="T49" s="871"/>
      <c r="U49" s="236" t="s">
        <v>5</v>
      </c>
    </row>
    <row r="50" spans="1:21" ht="15" customHeight="1">
      <c r="A50" s="879" t="s">
        <v>588</v>
      </c>
      <c r="B50" s="880"/>
      <c r="C50" s="880"/>
      <c r="D50" s="880"/>
      <c r="E50" s="880"/>
      <c r="F50" s="880"/>
      <c r="G50" s="880"/>
      <c r="H50" s="880"/>
      <c r="I50" s="545">
        <f>34+178.48+43.45</f>
        <v>255.93</v>
      </c>
      <c r="J50" s="547" t="s">
        <v>73</v>
      </c>
      <c r="K50" s="551">
        <f t="shared" si="0"/>
        <v>604.23</v>
      </c>
      <c r="L50" s="974" t="s">
        <v>633</v>
      </c>
      <c r="M50" s="873"/>
      <c r="N50" s="873"/>
      <c r="O50" s="873"/>
      <c r="P50" s="873"/>
      <c r="Q50" s="873"/>
      <c r="R50" s="873"/>
      <c r="S50" s="873"/>
      <c r="T50" s="538">
        <f>224.7+78.3+45.3</f>
        <v>348.3</v>
      </c>
      <c r="U50" s="234" t="s">
        <v>161</v>
      </c>
    </row>
    <row r="51" spans="1:21" ht="15" customHeight="1">
      <c r="A51" s="874" t="s">
        <v>578</v>
      </c>
      <c r="B51" s="875"/>
      <c r="C51" s="875"/>
      <c r="D51" s="875"/>
      <c r="E51" s="875"/>
      <c r="F51" s="875"/>
      <c r="G51" s="875"/>
      <c r="H51" s="875"/>
      <c r="I51" s="546">
        <f>2.21+11.58+2.82</f>
        <v>16.61</v>
      </c>
      <c r="J51" s="547" t="s">
        <v>128</v>
      </c>
      <c r="K51" s="551">
        <f t="shared" si="0"/>
        <v>38.61</v>
      </c>
      <c r="L51" s="975" t="s">
        <v>629</v>
      </c>
      <c r="M51" s="868"/>
      <c r="N51" s="868"/>
      <c r="O51" s="868"/>
      <c r="P51" s="868"/>
      <c r="Q51" s="868"/>
      <c r="R51" s="868"/>
      <c r="S51" s="868"/>
      <c r="T51" s="539">
        <f>14.1+5+2.9</f>
        <v>22</v>
      </c>
      <c r="U51" s="230" t="s">
        <v>162</v>
      </c>
    </row>
    <row r="52" spans="1:21" ht="15.75" customHeight="1">
      <c r="A52" s="874" t="s">
        <v>576</v>
      </c>
      <c r="B52" s="875"/>
      <c r="C52" s="875"/>
      <c r="D52" s="875"/>
      <c r="E52" s="875"/>
      <c r="F52" s="875"/>
      <c r="G52" s="875"/>
      <c r="H52" s="875"/>
      <c r="I52" s="546">
        <f>I51</f>
        <v>16.61</v>
      </c>
      <c r="J52" s="547" t="s">
        <v>128</v>
      </c>
      <c r="K52" s="551">
        <f t="shared" si="0"/>
        <v>38.61</v>
      </c>
      <c r="L52" s="975" t="s">
        <v>627</v>
      </c>
      <c r="M52" s="868"/>
      <c r="N52" s="868"/>
      <c r="O52" s="868"/>
      <c r="P52" s="868"/>
      <c r="Q52" s="868"/>
      <c r="R52" s="868"/>
      <c r="S52" s="868"/>
      <c r="T52" s="539">
        <f>T51</f>
        <v>22</v>
      </c>
      <c r="U52" s="230" t="s">
        <v>162</v>
      </c>
    </row>
    <row r="53" spans="1:21" ht="18" customHeight="1">
      <c r="A53" s="874" t="s">
        <v>582</v>
      </c>
      <c r="B53" s="875"/>
      <c r="C53" s="875"/>
      <c r="D53" s="875"/>
      <c r="E53" s="875"/>
      <c r="F53" s="875"/>
      <c r="G53" s="875"/>
      <c r="H53" s="875"/>
      <c r="I53" s="546">
        <v>430</v>
      </c>
      <c r="J53" s="547" t="s">
        <v>577</v>
      </c>
      <c r="K53" s="551">
        <f t="shared" si="0"/>
        <v>963</v>
      </c>
      <c r="L53" s="975" t="s">
        <v>630</v>
      </c>
      <c r="M53" s="868"/>
      <c r="N53" s="868"/>
      <c r="O53" s="868"/>
      <c r="P53" s="868"/>
      <c r="Q53" s="868"/>
      <c r="R53" s="868"/>
      <c r="S53" s="868"/>
      <c r="T53" s="539">
        <f>40+146+347</f>
        <v>533</v>
      </c>
      <c r="U53" s="230" t="s">
        <v>94</v>
      </c>
    </row>
    <row r="54" spans="1:21" ht="15" customHeight="1">
      <c r="A54" s="874" t="s">
        <v>584</v>
      </c>
      <c r="B54" s="875"/>
      <c r="C54" s="875"/>
      <c r="D54" s="875"/>
      <c r="E54" s="875"/>
      <c r="F54" s="875"/>
      <c r="G54" s="875"/>
      <c r="H54" s="875"/>
      <c r="I54" s="546">
        <v>50</v>
      </c>
      <c r="J54" s="547" t="s">
        <v>577</v>
      </c>
      <c r="K54" s="551">
        <f t="shared" si="0"/>
        <v>103</v>
      </c>
      <c r="L54" s="975" t="s">
        <v>635</v>
      </c>
      <c r="M54" s="868"/>
      <c r="N54" s="868"/>
      <c r="O54" s="868"/>
      <c r="P54" s="868"/>
      <c r="Q54" s="868"/>
      <c r="R54" s="868"/>
      <c r="S54" s="868"/>
      <c r="T54" s="539">
        <f>10+33+10</f>
        <v>53</v>
      </c>
      <c r="U54" s="230" t="s">
        <v>94</v>
      </c>
    </row>
    <row r="55" spans="1:21" ht="15" customHeight="1">
      <c r="A55" s="874" t="s">
        <v>579</v>
      </c>
      <c r="B55" s="875"/>
      <c r="C55" s="875"/>
      <c r="D55" s="875"/>
      <c r="E55" s="875"/>
      <c r="F55" s="875"/>
      <c r="G55" s="875"/>
      <c r="H55" s="875"/>
      <c r="I55" s="546">
        <v>858</v>
      </c>
      <c r="J55" s="547" t="s">
        <v>577</v>
      </c>
      <c r="K55" s="551">
        <f t="shared" si="0"/>
        <v>1975</v>
      </c>
      <c r="L55" s="975" t="s">
        <v>631</v>
      </c>
      <c r="M55" s="868"/>
      <c r="N55" s="868"/>
      <c r="O55" s="868"/>
      <c r="P55" s="868"/>
      <c r="Q55" s="868"/>
      <c r="R55" s="868"/>
      <c r="S55" s="868"/>
      <c r="T55" s="539">
        <f>80+289+748</f>
        <v>1117</v>
      </c>
      <c r="U55" s="230" t="s">
        <v>94</v>
      </c>
    </row>
    <row r="56" spans="1:21" ht="15" customHeight="1" thickBot="1">
      <c r="A56" s="874" t="s">
        <v>580</v>
      </c>
      <c r="B56" s="875"/>
      <c r="C56" s="875"/>
      <c r="D56" s="875"/>
      <c r="E56" s="875"/>
      <c r="F56" s="875"/>
      <c r="G56" s="875"/>
      <c r="H56" s="875"/>
      <c r="I56" s="546">
        <v>167</v>
      </c>
      <c r="J56" s="547" t="s">
        <v>577</v>
      </c>
      <c r="K56" s="551">
        <f t="shared" si="0"/>
        <v>167</v>
      </c>
      <c r="L56" s="975" t="s">
        <v>1497</v>
      </c>
      <c r="M56" s="868"/>
      <c r="N56" s="868"/>
      <c r="O56" s="868"/>
      <c r="P56" s="868"/>
      <c r="Q56" s="868"/>
      <c r="R56" s="868"/>
      <c r="S56" s="868"/>
      <c r="T56" s="539">
        <v>0</v>
      </c>
      <c r="U56" s="230" t="s">
        <v>94</v>
      </c>
    </row>
    <row r="57" spans="1:21" ht="15.75" customHeight="1" thickBot="1">
      <c r="A57" s="946" t="s">
        <v>590</v>
      </c>
      <c r="B57" s="947"/>
      <c r="C57" s="947"/>
      <c r="D57" s="947"/>
      <c r="E57" s="947"/>
      <c r="F57" s="947"/>
      <c r="G57" s="947"/>
      <c r="H57" s="947"/>
      <c r="I57" s="948"/>
      <c r="J57" s="531"/>
      <c r="K57" s="133"/>
      <c r="L57" s="997" t="s">
        <v>590</v>
      </c>
      <c r="M57" s="870"/>
      <c r="N57" s="870"/>
      <c r="O57" s="870"/>
      <c r="P57" s="870"/>
      <c r="Q57" s="870"/>
      <c r="R57" s="870"/>
      <c r="S57" s="870"/>
      <c r="T57" s="871"/>
      <c r="U57" s="236" t="s">
        <v>5</v>
      </c>
    </row>
    <row r="58" spans="1:21">
      <c r="A58" s="879" t="s">
        <v>588</v>
      </c>
      <c r="B58" s="880"/>
      <c r="C58" s="880"/>
      <c r="D58" s="880"/>
      <c r="E58" s="880"/>
      <c r="F58" s="880"/>
      <c r="G58" s="880"/>
      <c r="H58" s="880"/>
      <c r="I58" s="545">
        <f>458.14+98.84</f>
        <v>556.98</v>
      </c>
      <c r="J58" s="547" t="s">
        <v>73</v>
      </c>
      <c r="K58" s="551">
        <f t="shared" si="0"/>
        <v>1361.58</v>
      </c>
      <c r="L58" s="872" t="s">
        <v>633</v>
      </c>
      <c r="M58" s="873"/>
      <c r="N58" s="873"/>
      <c r="O58" s="873"/>
      <c r="P58" s="873"/>
      <c r="Q58" s="873"/>
      <c r="R58" s="873"/>
      <c r="S58" s="873"/>
      <c r="T58" s="538">
        <f>125.5+283.3+395.8</f>
        <v>804.6</v>
      </c>
      <c r="U58" s="234" t="s">
        <v>161</v>
      </c>
    </row>
    <row r="59" spans="1:21">
      <c r="A59" s="874" t="s">
        <v>578</v>
      </c>
      <c r="B59" s="875"/>
      <c r="C59" s="875"/>
      <c r="D59" s="875"/>
      <c r="E59" s="875"/>
      <c r="F59" s="875"/>
      <c r="G59" s="875"/>
      <c r="H59" s="875"/>
      <c r="I59" s="546">
        <f>36.44+6.8</f>
        <v>43.239999999999995</v>
      </c>
      <c r="J59" s="547" t="s">
        <v>128</v>
      </c>
      <c r="K59" s="551">
        <f t="shared" si="0"/>
        <v>105.34</v>
      </c>
      <c r="L59" s="975" t="s">
        <v>629</v>
      </c>
      <c r="M59" s="868"/>
      <c r="N59" s="868"/>
      <c r="O59" s="868"/>
      <c r="P59" s="868"/>
      <c r="Q59" s="868"/>
      <c r="R59" s="868"/>
      <c r="S59" s="868"/>
      <c r="T59" s="539">
        <f>8.8+22.2+31.1</f>
        <v>62.1</v>
      </c>
      <c r="U59" s="230" t="s">
        <v>162</v>
      </c>
    </row>
    <row r="60" spans="1:21" ht="15" customHeight="1">
      <c r="A60" s="874" t="s">
        <v>576</v>
      </c>
      <c r="B60" s="875"/>
      <c r="C60" s="875"/>
      <c r="D60" s="875"/>
      <c r="E60" s="875"/>
      <c r="F60" s="875"/>
      <c r="G60" s="875"/>
      <c r="H60" s="875"/>
      <c r="I60" s="546">
        <f>I59</f>
        <v>43.239999999999995</v>
      </c>
      <c r="J60" s="547" t="s">
        <v>128</v>
      </c>
      <c r="K60" s="551">
        <f t="shared" si="0"/>
        <v>105.34</v>
      </c>
      <c r="L60" s="975" t="s">
        <v>627</v>
      </c>
      <c r="M60" s="868"/>
      <c r="N60" s="868"/>
      <c r="O60" s="868"/>
      <c r="P60" s="868"/>
      <c r="Q60" s="868"/>
      <c r="R60" s="868"/>
      <c r="S60" s="868"/>
      <c r="T60" s="539">
        <f>T59</f>
        <v>62.1</v>
      </c>
      <c r="U60" s="230" t="s">
        <v>162</v>
      </c>
    </row>
    <row r="61" spans="1:21" ht="15" customHeight="1">
      <c r="A61" s="874" t="s">
        <v>582</v>
      </c>
      <c r="B61" s="875"/>
      <c r="C61" s="875"/>
      <c r="D61" s="875"/>
      <c r="E61" s="875"/>
      <c r="F61" s="875"/>
      <c r="G61" s="875"/>
      <c r="H61" s="875"/>
      <c r="I61" s="546">
        <f>206+226+84</f>
        <v>516</v>
      </c>
      <c r="J61" s="547" t="s">
        <v>577</v>
      </c>
      <c r="K61" s="551">
        <f t="shared" si="0"/>
        <v>1261</v>
      </c>
      <c r="L61" s="975" t="s">
        <v>630</v>
      </c>
      <c r="M61" s="868"/>
      <c r="N61" s="868"/>
      <c r="O61" s="868"/>
      <c r="P61" s="868"/>
      <c r="Q61" s="868"/>
      <c r="R61" s="868"/>
      <c r="S61" s="868"/>
      <c r="T61" s="539">
        <f>108+254+383</f>
        <v>745</v>
      </c>
      <c r="U61" s="230" t="s">
        <v>94</v>
      </c>
    </row>
    <row r="62" spans="1:21" ht="15.75" customHeight="1">
      <c r="A62" s="874" t="s">
        <v>583</v>
      </c>
      <c r="B62" s="875"/>
      <c r="C62" s="875"/>
      <c r="D62" s="875"/>
      <c r="E62" s="875"/>
      <c r="F62" s="875"/>
      <c r="G62" s="875"/>
      <c r="H62" s="875"/>
      <c r="I62" s="546">
        <f>192+145+127</f>
        <v>464</v>
      </c>
      <c r="J62" s="547" t="s">
        <v>577</v>
      </c>
      <c r="K62" s="551">
        <f t="shared" si="0"/>
        <v>952</v>
      </c>
      <c r="L62" s="867" t="s">
        <v>1507</v>
      </c>
      <c r="M62" s="868"/>
      <c r="N62" s="868"/>
      <c r="O62" s="868"/>
      <c r="P62" s="868"/>
      <c r="Q62" s="868"/>
      <c r="R62" s="868"/>
      <c r="S62" s="868"/>
      <c r="T62" s="539">
        <f>242+125+121</f>
        <v>488</v>
      </c>
      <c r="U62" s="230" t="s">
        <v>94</v>
      </c>
    </row>
    <row r="63" spans="1:21" ht="17.25" customHeight="1">
      <c r="A63" s="874" t="s">
        <v>584</v>
      </c>
      <c r="B63" s="875"/>
      <c r="C63" s="875"/>
      <c r="D63" s="875"/>
      <c r="E63" s="875"/>
      <c r="F63" s="875"/>
      <c r="G63" s="875"/>
      <c r="H63" s="875"/>
      <c r="I63" s="546">
        <f>126+108</f>
        <v>234</v>
      </c>
      <c r="J63" s="547" t="s">
        <v>577</v>
      </c>
      <c r="K63" s="551">
        <f t="shared" si="0"/>
        <v>817</v>
      </c>
      <c r="L63" s="975" t="s">
        <v>635</v>
      </c>
      <c r="M63" s="868"/>
      <c r="N63" s="868"/>
      <c r="O63" s="868"/>
      <c r="P63" s="868"/>
      <c r="Q63" s="868"/>
      <c r="R63" s="868"/>
      <c r="S63" s="868"/>
      <c r="T63" s="539">
        <f>8+315+260</f>
        <v>583</v>
      </c>
      <c r="U63" s="230" t="s">
        <v>94</v>
      </c>
    </row>
    <row r="64" spans="1:21" ht="15" customHeight="1">
      <c r="A64" s="874" t="s">
        <v>579</v>
      </c>
      <c r="B64" s="875"/>
      <c r="C64" s="875"/>
      <c r="D64" s="875"/>
      <c r="E64" s="875"/>
      <c r="F64" s="875"/>
      <c r="G64" s="875"/>
      <c r="H64" s="875"/>
      <c r="I64" s="546">
        <f>405+565+190</f>
        <v>1160</v>
      </c>
      <c r="J64" s="547" t="s">
        <v>577</v>
      </c>
      <c r="K64" s="551">
        <f t="shared" si="0"/>
        <v>2825</v>
      </c>
      <c r="L64" s="975" t="s">
        <v>631</v>
      </c>
      <c r="M64" s="868"/>
      <c r="N64" s="868"/>
      <c r="O64" s="868"/>
      <c r="P64" s="868"/>
      <c r="Q64" s="868"/>
      <c r="R64" s="868"/>
      <c r="S64" s="868"/>
      <c r="T64" s="539">
        <f>260+547+858</f>
        <v>1665</v>
      </c>
      <c r="U64" s="230" t="s">
        <v>94</v>
      </c>
    </row>
    <row r="65" spans="1:21" ht="15" customHeight="1">
      <c r="A65" s="874" t="s">
        <v>580</v>
      </c>
      <c r="B65" s="875"/>
      <c r="C65" s="875"/>
      <c r="D65" s="875"/>
      <c r="E65" s="875"/>
      <c r="F65" s="875"/>
      <c r="G65" s="875"/>
      <c r="H65" s="875"/>
      <c r="I65" s="546">
        <f>88+64+15</f>
        <v>167</v>
      </c>
      <c r="J65" s="547" t="s">
        <v>577</v>
      </c>
      <c r="K65" s="551">
        <f t="shared" si="0"/>
        <v>318</v>
      </c>
      <c r="L65" s="975" t="s">
        <v>1497</v>
      </c>
      <c r="M65" s="868"/>
      <c r="N65" s="868"/>
      <c r="O65" s="868"/>
      <c r="P65" s="868"/>
      <c r="Q65" s="868"/>
      <c r="R65" s="868"/>
      <c r="S65" s="868"/>
      <c r="T65" s="539">
        <f>86+55+10</f>
        <v>151</v>
      </c>
      <c r="U65" s="230" t="s">
        <v>94</v>
      </c>
    </row>
    <row r="66" spans="1:21" ht="15.75" customHeight="1" thickBot="1">
      <c r="A66" s="881" t="s">
        <v>585</v>
      </c>
      <c r="B66" s="882"/>
      <c r="C66" s="882"/>
      <c r="D66" s="882"/>
      <c r="E66" s="882"/>
      <c r="F66" s="882"/>
      <c r="G66" s="882"/>
      <c r="H66" s="882"/>
      <c r="I66" s="548">
        <f>13</f>
        <v>13</v>
      </c>
      <c r="J66" s="547" t="s">
        <v>577</v>
      </c>
      <c r="K66" s="551">
        <f t="shared" si="0"/>
        <v>135</v>
      </c>
      <c r="L66" s="867" t="s">
        <v>636</v>
      </c>
      <c r="M66" s="868"/>
      <c r="N66" s="868"/>
      <c r="O66" s="868"/>
      <c r="P66" s="868"/>
      <c r="Q66" s="868"/>
      <c r="R66" s="868"/>
      <c r="S66" s="868"/>
      <c r="T66" s="539">
        <v>122</v>
      </c>
      <c r="U66" s="230" t="s">
        <v>94</v>
      </c>
    </row>
    <row r="67" spans="1:21" ht="18" customHeight="1" thickBot="1">
      <c r="A67" s="961" t="s">
        <v>597</v>
      </c>
      <c r="B67" s="962"/>
      <c r="C67" s="962"/>
      <c r="D67" s="962"/>
      <c r="E67" s="962"/>
      <c r="F67" s="962"/>
      <c r="G67" s="962"/>
      <c r="H67" s="962"/>
      <c r="I67" s="963"/>
      <c r="J67" s="531"/>
      <c r="K67" s="133"/>
      <c r="L67" s="991" t="s">
        <v>1509</v>
      </c>
      <c r="M67" s="992"/>
      <c r="N67" s="992"/>
      <c r="O67" s="992"/>
      <c r="P67" s="992"/>
      <c r="Q67" s="992"/>
      <c r="R67" s="992"/>
      <c r="S67" s="992"/>
      <c r="T67" s="993"/>
      <c r="U67" s="236" t="s">
        <v>5</v>
      </c>
    </row>
    <row r="68" spans="1:21" ht="27" customHeight="1">
      <c r="A68" s="854" t="s">
        <v>2959</v>
      </c>
      <c r="B68" s="855"/>
      <c r="C68" s="855"/>
      <c r="D68" s="855"/>
      <c r="E68" s="855"/>
      <c r="F68" s="855"/>
      <c r="G68" s="855"/>
      <c r="H68" s="855"/>
      <c r="I68" s="546">
        <v>963.47</v>
      </c>
      <c r="J68" s="547" t="s">
        <v>595</v>
      </c>
      <c r="K68" s="551">
        <f t="shared" si="0"/>
        <v>1968.0700000000002</v>
      </c>
      <c r="L68" s="994" t="s">
        <v>1510</v>
      </c>
      <c r="M68" s="989"/>
      <c r="N68" s="989"/>
      <c r="O68" s="989"/>
      <c r="P68" s="989"/>
      <c r="Q68" s="989"/>
      <c r="R68" s="989"/>
      <c r="S68" s="990"/>
      <c r="T68" s="538">
        <v>1004.6</v>
      </c>
      <c r="U68" s="234" t="s">
        <v>161</v>
      </c>
    </row>
    <row r="69" spans="1:21" ht="15" customHeight="1" thickBot="1">
      <c r="A69" s="854" t="s">
        <v>1500</v>
      </c>
      <c r="B69" s="855"/>
      <c r="C69" s="855"/>
      <c r="D69" s="855"/>
      <c r="E69" s="855"/>
      <c r="F69" s="855"/>
      <c r="G69" s="855"/>
      <c r="H69" s="855"/>
      <c r="I69" s="546">
        <f>I68*1.2</f>
        <v>1156.164</v>
      </c>
      <c r="J69" s="547" t="s">
        <v>595</v>
      </c>
      <c r="K69" s="551">
        <f t="shared" ref="K69:K73" si="1">I69+T69</f>
        <v>2361.6840000000002</v>
      </c>
      <c r="L69" s="854" t="s">
        <v>1500</v>
      </c>
      <c r="M69" s="855"/>
      <c r="N69" s="855"/>
      <c r="O69" s="855"/>
      <c r="P69" s="855"/>
      <c r="Q69" s="855"/>
      <c r="R69" s="855"/>
      <c r="S69" s="855"/>
      <c r="T69" s="538">
        <f>T68*1.2</f>
        <v>1205.52</v>
      </c>
      <c r="U69" s="547" t="s">
        <v>595</v>
      </c>
    </row>
    <row r="70" spans="1:21" ht="15.75" customHeight="1" thickBot="1">
      <c r="A70" s="961" t="s">
        <v>591</v>
      </c>
      <c r="B70" s="962"/>
      <c r="C70" s="962"/>
      <c r="D70" s="962"/>
      <c r="E70" s="962"/>
      <c r="F70" s="962"/>
      <c r="G70" s="962"/>
      <c r="H70" s="962"/>
      <c r="I70" s="963"/>
      <c r="J70" s="531"/>
      <c r="K70" s="133"/>
      <c r="L70" s="991" t="s">
        <v>75</v>
      </c>
      <c r="M70" s="992"/>
      <c r="N70" s="992"/>
      <c r="O70" s="992"/>
      <c r="P70" s="992"/>
      <c r="Q70" s="992"/>
      <c r="R70" s="992"/>
      <c r="S70" s="992"/>
      <c r="T70" s="993"/>
      <c r="U70" s="228"/>
    </row>
    <row r="71" spans="1:21" ht="18" customHeight="1" thickBot="1">
      <c r="A71" s="995" t="s">
        <v>592</v>
      </c>
      <c r="B71" s="996"/>
      <c r="C71" s="996"/>
      <c r="D71" s="996"/>
      <c r="E71" s="996"/>
      <c r="F71" s="996"/>
      <c r="G71" s="996"/>
      <c r="H71" s="996"/>
      <c r="I71" s="549">
        <f>13509.37</f>
        <v>13509.37</v>
      </c>
      <c r="J71" s="547" t="s">
        <v>593</v>
      </c>
      <c r="K71" s="551">
        <f t="shared" si="1"/>
        <v>33535.83</v>
      </c>
      <c r="L71" s="988" t="s">
        <v>592</v>
      </c>
      <c r="M71" s="989"/>
      <c r="N71" s="989"/>
      <c r="O71" s="989"/>
      <c r="P71" s="989"/>
      <c r="Q71" s="989"/>
      <c r="R71" s="989"/>
      <c r="S71" s="990"/>
      <c r="T71" s="544">
        <v>20026.46</v>
      </c>
      <c r="U71" s="237" t="s">
        <v>5</v>
      </c>
    </row>
    <row r="72" spans="1:21" ht="18" customHeight="1">
      <c r="A72" s="874" t="s">
        <v>594</v>
      </c>
      <c r="B72" s="875"/>
      <c r="C72" s="875"/>
      <c r="D72" s="875"/>
      <c r="E72" s="875"/>
      <c r="F72" s="875"/>
      <c r="G72" s="875"/>
      <c r="H72" s="875"/>
      <c r="I72" s="546">
        <v>841.44</v>
      </c>
      <c r="J72" s="547" t="s">
        <v>595</v>
      </c>
      <c r="K72" s="551">
        <f t="shared" si="1"/>
        <v>1772.04</v>
      </c>
      <c r="L72" s="982" t="s">
        <v>594</v>
      </c>
      <c r="M72" s="976"/>
      <c r="N72" s="976"/>
      <c r="O72" s="976"/>
      <c r="P72" s="976"/>
      <c r="Q72" s="976"/>
      <c r="R72" s="976"/>
      <c r="S72" s="975"/>
      <c r="T72" s="539">
        <v>930.6</v>
      </c>
      <c r="U72" s="234" t="s">
        <v>94</v>
      </c>
    </row>
    <row r="73" spans="1:21" ht="18" customHeight="1" thickBot="1">
      <c r="A73" s="881" t="s">
        <v>596</v>
      </c>
      <c r="B73" s="882"/>
      <c r="C73" s="882"/>
      <c r="D73" s="882"/>
      <c r="E73" s="882"/>
      <c r="F73" s="882"/>
      <c r="G73" s="882"/>
      <c r="H73" s="882"/>
      <c r="I73" s="548">
        <v>156.46</v>
      </c>
      <c r="J73" s="547" t="s">
        <v>593</v>
      </c>
      <c r="K73" s="551">
        <f t="shared" si="1"/>
        <v>308.18</v>
      </c>
      <c r="L73" s="986" t="s">
        <v>596</v>
      </c>
      <c r="M73" s="987"/>
      <c r="N73" s="987"/>
      <c r="O73" s="987"/>
      <c r="P73" s="987"/>
      <c r="Q73" s="987"/>
      <c r="R73" s="987"/>
      <c r="S73" s="977"/>
      <c r="T73" s="543">
        <v>151.72</v>
      </c>
      <c r="U73" s="230" t="s">
        <v>161</v>
      </c>
    </row>
  </sheetData>
  <mergeCells count="138">
    <mergeCell ref="L73:S73"/>
    <mergeCell ref="L72:S72"/>
    <mergeCell ref="L71:S71"/>
    <mergeCell ref="L70:T70"/>
    <mergeCell ref="L68:S68"/>
    <mergeCell ref="L67:T67"/>
    <mergeCell ref="L69:S69"/>
    <mergeCell ref="A33:H33"/>
    <mergeCell ref="L61:S61"/>
    <mergeCell ref="L62:S62"/>
    <mergeCell ref="L63:S63"/>
    <mergeCell ref="A70:I70"/>
    <mergeCell ref="A71:H71"/>
    <mergeCell ref="A72:H72"/>
    <mergeCell ref="A73:H73"/>
    <mergeCell ref="L57:T57"/>
    <mergeCell ref="L58:S58"/>
    <mergeCell ref="L59:S59"/>
    <mergeCell ref="L65:S65"/>
    <mergeCell ref="L66:S66"/>
    <mergeCell ref="L60:S60"/>
    <mergeCell ref="L64:S64"/>
    <mergeCell ref="L52:S52"/>
    <mergeCell ref="L53:S53"/>
    <mergeCell ref="L29:T29"/>
    <mergeCell ref="L31:S31"/>
    <mergeCell ref="L39:S39"/>
    <mergeCell ref="L40:T40"/>
    <mergeCell ref="L47:S47"/>
    <mergeCell ref="L48:T48"/>
    <mergeCell ref="L20:S20"/>
    <mergeCell ref="L22:S22"/>
    <mergeCell ref="L36:S36"/>
    <mergeCell ref="L37:S37"/>
    <mergeCell ref="L38:S38"/>
    <mergeCell ref="L41:S41"/>
    <mergeCell ref="L30:S30"/>
    <mergeCell ref="L32:S32"/>
    <mergeCell ref="L33:S33"/>
    <mergeCell ref="L34:S34"/>
    <mergeCell ref="L35:S35"/>
    <mergeCell ref="L24:S24"/>
    <mergeCell ref="L26:S26"/>
    <mergeCell ref="L27:S27"/>
    <mergeCell ref="L28:S28"/>
    <mergeCell ref="L23:T23"/>
    <mergeCell ref="L25:S25"/>
    <mergeCell ref="A31:H31"/>
    <mergeCell ref="A32:H32"/>
    <mergeCell ref="A40:I40"/>
    <mergeCell ref="A44:H44"/>
    <mergeCell ref="A45:H45"/>
    <mergeCell ref="A46:H46"/>
    <mergeCell ref="A47:H47"/>
    <mergeCell ref="A48:I48"/>
    <mergeCell ref="A49:I49"/>
    <mergeCell ref="A42:H42"/>
    <mergeCell ref="A43:H43"/>
    <mergeCell ref="L54:S54"/>
    <mergeCell ref="L55:S55"/>
    <mergeCell ref="L56:S56"/>
    <mergeCell ref="L49:T49"/>
    <mergeCell ref="L50:S50"/>
    <mergeCell ref="L51:S51"/>
    <mergeCell ref="L42:S42"/>
    <mergeCell ref="L43:S43"/>
    <mergeCell ref="L44:S44"/>
    <mergeCell ref="L45:S45"/>
    <mergeCell ref="L46:S46"/>
    <mergeCell ref="L19:S19"/>
    <mergeCell ref="L21:S21"/>
    <mergeCell ref="L17:S17"/>
    <mergeCell ref="L18:S18"/>
    <mergeCell ref="L15:S15"/>
    <mergeCell ref="L16:S16"/>
    <mergeCell ref="L1:U1"/>
    <mergeCell ref="L3:T3"/>
    <mergeCell ref="L4:S4"/>
    <mergeCell ref="L5:S5"/>
    <mergeCell ref="L6:S6"/>
    <mergeCell ref="L8:T8"/>
    <mergeCell ref="L9:T9"/>
    <mergeCell ref="L13:S13"/>
    <mergeCell ref="L14:S14"/>
    <mergeCell ref="L10:S10"/>
    <mergeCell ref="L11:S11"/>
    <mergeCell ref="L12:S12"/>
    <mergeCell ref="A69:H69"/>
    <mergeCell ref="A63:H63"/>
    <mergeCell ref="A64:H64"/>
    <mergeCell ref="A65:H65"/>
    <mergeCell ref="A66:H66"/>
    <mergeCell ref="A68:H68"/>
    <mergeCell ref="A56:H56"/>
    <mergeCell ref="A58:H58"/>
    <mergeCell ref="A59:H59"/>
    <mergeCell ref="A60:H60"/>
    <mergeCell ref="A57:I57"/>
    <mergeCell ref="A61:H61"/>
    <mergeCell ref="A62:H62"/>
    <mergeCell ref="A67:I67"/>
    <mergeCell ref="A54:H54"/>
    <mergeCell ref="A55:H55"/>
    <mergeCell ref="A34:H34"/>
    <mergeCell ref="A35:H35"/>
    <mergeCell ref="A36:H36"/>
    <mergeCell ref="A41:H41"/>
    <mergeCell ref="A50:H50"/>
    <mergeCell ref="A51:H51"/>
    <mergeCell ref="A52:H52"/>
    <mergeCell ref="A53:H53"/>
    <mergeCell ref="A25:H25"/>
    <mergeCell ref="A27:H27"/>
    <mergeCell ref="A28:H28"/>
    <mergeCell ref="A30:H30"/>
    <mergeCell ref="A18:H18"/>
    <mergeCell ref="A21:H21"/>
    <mergeCell ref="A22:H22"/>
    <mergeCell ref="A24:H24"/>
    <mergeCell ref="A23:I23"/>
    <mergeCell ref="A26:H26"/>
    <mergeCell ref="A29:I29"/>
    <mergeCell ref="A20:H20"/>
    <mergeCell ref="A17:H17"/>
    <mergeCell ref="A9:I9"/>
    <mergeCell ref="A10:H10"/>
    <mergeCell ref="A11:H11"/>
    <mergeCell ref="A12:H12"/>
    <mergeCell ref="A13:H13"/>
    <mergeCell ref="A14:H14"/>
    <mergeCell ref="A1:I1"/>
    <mergeCell ref="A3:I3"/>
    <mergeCell ref="A4:H4"/>
    <mergeCell ref="A5:H5"/>
    <mergeCell ref="A6:H6"/>
    <mergeCell ref="A8:I8"/>
    <mergeCell ref="A15:H15"/>
    <mergeCell ref="A16:H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Plan3"/>
  <dimension ref="A1:X100"/>
  <sheetViews>
    <sheetView showGridLines="0" topLeftCell="A64" zoomScalePageLayoutView="55" workbookViewId="0">
      <selection activeCell="R3" sqref="R3"/>
    </sheetView>
  </sheetViews>
  <sheetFormatPr defaultRowHeight="12.75"/>
  <cols>
    <col min="1" max="1" width="10.7109375" style="3" customWidth="1"/>
    <col min="2" max="2" width="32.85546875" style="4" customWidth="1"/>
    <col min="3" max="3" width="17" style="3" bestFit="1" customWidth="1"/>
    <col min="4" max="4" width="10.5703125" style="5" customWidth="1"/>
    <col min="5" max="5" width="13.85546875" style="4" customWidth="1"/>
    <col min="6" max="6" width="13.85546875" style="4" bestFit="1" customWidth="1"/>
    <col min="7" max="7" width="13.85546875" style="4" customWidth="1"/>
    <col min="8" max="8" width="9.140625" style="4"/>
    <col min="9" max="9" width="14.5703125" style="4" bestFit="1" customWidth="1"/>
    <col min="10" max="10" width="9.140625" style="4"/>
    <col min="11" max="11" width="14.5703125" style="4" bestFit="1" customWidth="1"/>
    <col min="12" max="12" width="10.5703125" style="4" bestFit="1" customWidth="1"/>
    <col min="13" max="13" width="14.5703125" style="4" bestFit="1" customWidth="1"/>
    <col min="14" max="14" width="9.140625" style="4"/>
    <col min="15" max="15" width="15.42578125" style="4" bestFit="1" customWidth="1"/>
    <col min="16" max="16" width="9.7109375" style="4" bestFit="1" customWidth="1"/>
    <col min="17" max="17" width="15.42578125" style="4" bestFit="1" customWidth="1"/>
    <col min="18" max="18" width="11.42578125" style="4" customWidth="1"/>
    <col min="19" max="19" width="14.5703125" style="4" bestFit="1" customWidth="1"/>
    <col min="20" max="20" width="10.5703125" style="4" bestFit="1" customWidth="1"/>
    <col min="21" max="21" width="14.5703125" style="4" bestFit="1" customWidth="1"/>
    <col min="22" max="22" width="9.140625" style="4"/>
    <col min="23" max="23" width="14.5703125" style="4" bestFit="1" customWidth="1"/>
    <col min="24" max="16384" width="9.140625" style="4"/>
  </cols>
  <sheetData>
    <row r="1" spans="1:24" ht="57" customHeight="1">
      <c r="A1" s="38" t="s">
        <v>2</v>
      </c>
      <c r="B1" s="770" t="str">
        <f>'PLANILHA ORÇAMENTARIA'!B1:C1</f>
        <v>Construção de Escola Padrão SEDUC/MT, constituída de:  16 salas de aula, sala de articulação, biblioteca e laboratórios de física, informática e química; Espaços Administrativos – diretoria, secretaria, coordenadoria, sala de professores, arquivo, copa, e sanitários; Refeitório  –  Cozinha com área de higienização, cocção, depósito de alimentos, depósito de utensílios, sanitários e serviços; Quadra Poliesportiva com vestiários feminino e masculino incluindo PCD F/M; instalações elétricas de baixa tensão, posto de transformação, SPDA , instalações hidrossanitárias e instalações combate a incêndio e pânico,  observando as normas vigentes de acessibilidade e segurança, na EE Parque Sabiá – Localizada no município deVárzea Grande/ MT.</v>
      </c>
      <c r="C1" s="770"/>
      <c r="D1" s="770"/>
      <c r="E1" s="770"/>
      <c r="F1" s="770"/>
      <c r="G1" s="770"/>
      <c r="H1" s="770"/>
      <c r="I1" s="770"/>
      <c r="J1" s="770"/>
      <c r="K1" s="770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38.25" customHeight="1">
      <c r="A2" s="1" t="s">
        <v>44</v>
      </c>
      <c r="B2" s="8" t="str">
        <f>'PLANILHA ORÇAMENTARIA'!B2</f>
        <v>Várzea Grande/ MT</v>
      </c>
      <c r="D2" s="10"/>
      <c r="Q2" s="108" t="s">
        <v>34</v>
      </c>
      <c r="R2" s="37">
        <f>'PLANILHA ORÇAMENTARIA'!E2</f>
        <v>0.26729999999999998</v>
      </c>
      <c r="T2" s="26" t="s">
        <v>47</v>
      </c>
      <c r="U2" s="998" t="str">
        <f>'PLANILHA ORÇAMENTARIA'!H2</f>
        <v xml:space="preserve">02/2017 SINAPI
02/2017 SEDUC
</v>
      </c>
      <c r="V2" s="998"/>
    </row>
    <row r="3" spans="1:24" ht="15" customHeight="1">
      <c r="A3" s="1" t="s">
        <v>45</v>
      </c>
      <c r="B3" s="8" t="str">
        <f>'PLANILHA ORÇAMENTARIA'!B3</f>
        <v>Rua  Juscelino Kubitschek, S/ nº, Parque Sabiá ( São Matheus) - Várzea Grande/ MT</v>
      </c>
      <c r="C3" s="9"/>
      <c r="D3" s="10"/>
      <c r="Q3" s="107" t="s">
        <v>247</v>
      </c>
      <c r="R3" s="105" t="s">
        <v>448</v>
      </c>
      <c r="U3" s="998"/>
      <c r="V3" s="998"/>
    </row>
    <row r="4" spans="1:24" ht="15.75" customHeight="1" thickBot="1">
      <c r="A4" s="11"/>
      <c r="B4" s="12"/>
      <c r="C4" s="13"/>
      <c r="D4" s="14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999"/>
      <c r="V4" s="999"/>
      <c r="W4" s="30"/>
      <c r="X4" s="30"/>
    </row>
    <row r="5" spans="1:24" ht="13.5" thickTop="1">
      <c r="A5" s="1001" t="s">
        <v>447</v>
      </c>
      <c r="B5" s="1001"/>
      <c r="C5" s="1001"/>
      <c r="D5" s="1001"/>
      <c r="E5" s="1001"/>
      <c r="F5" s="1001"/>
      <c r="G5" s="1001"/>
      <c r="H5" s="1001"/>
      <c r="I5" s="1001"/>
      <c r="J5" s="1001"/>
      <c r="K5" s="1001"/>
      <c r="L5" s="1001"/>
      <c r="M5" s="1001"/>
      <c r="N5" s="1001"/>
      <c r="O5" s="1001"/>
      <c r="P5" s="1001"/>
      <c r="Q5" s="1001"/>
      <c r="R5" s="1001"/>
      <c r="S5" s="1001"/>
      <c r="T5" s="1001"/>
      <c r="U5" s="1001"/>
      <c r="V5" s="1001"/>
      <c r="W5" s="1001"/>
      <c r="X5" s="1001"/>
    </row>
    <row r="6" spans="1:24" s="3" customFormat="1" ht="12.75" customHeight="1">
      <c r="A6" s="1002" t="s">
        <v>0</v>
      </c>
      <c r="B6" s="1002" t="s">
        <v>1</v>
      </c>
      <c r="C6" s="1002" t="s">
        <v>37</v>
      </c>
      <c r="D6" s="1005" t="s">
        <v>3</v>
      </c>
      <c r="E6" s="1000" t="s">
        <v>38</v>
      </c>
      <c r="F6" s="1003"/>
      <c r="G6" s="1000" t="s">
        <v>40</v>
      </c>
      <c r="H6" s="1003"/>
      <c r="I6" s="1000" t="s">
        <v>41</v>
      </c>
      <c r="J6" s="1003"/>
      <c r="K6" s="1000" t="s">
        <v>42</v>
      </c>
      <c r="L6" s="1003"/>
      <c r="M6" s="1000" t="s">
        <v>215</v>
      </c>
      <c r="N6" s="1003"/>
      <c r="O6" s="1000" t="s">
        <v>216</v>
      </c>
      <c r="P6" s="1003"/>
      <c r="Q6" s="1000" t="s">
        <v>442</v>
      </c>
      <c r="R6" s="1003"/>
      <c r="S6" s="1000" t="s">
        <v>443</v>
      </c>
      <c r="T6" s="1003"/>
      <c r="U6" s="1000" t="s">
        <v>444</v>
      </c>
      <c r="V6" s="1003"/>
      <c r="W6" s="1000" t="s">
        <v>445</v>
      </c>
      <c r="X6" s="773"/>
    </row>
    <row r="7" spans="1:24" s="3" customFormat="1">
      <c r="A7" s="1004"/>
      <c r="B7" s="1004"/>
      <c r="C7" s="1004"/>
      <c r="D7" s="1006"/>
      <c r="E7" s="19" t="s">
        <v>39</v>
      </c>
      <c r="F7" s="20" t="s">
        <v>3</v>
      </c>
      <c r="G7" s="19" t="s">
        <v>39</v>
      </c>
      <c r="H7" s="20" t="s">
        <v>3</v>
      </c>
      <c r="I7" s="19" t="s">
        <v>39</v>
      </c>
      <c r="J7" s="20" t="s">
        <v>3</v>
      </c>
      <c r="K7" s="19" t="s">
        <v>39</v>
      </c>
      <c r="L7" s="20" t="s">
        <v>3</v>
      </c>
      <c r="M7" s="19" t="s">
        <v>39</v>
      </c>
      <c r="N7" s="20" t="s">
        <v>3</v>
      </c>
      <c r="O7" s="19" t="s">
        <v>39</v>
      </c>
      <c r="P7" s="20" t="s">
        <v>3</v>
      </c>
      <c r="Q7" s="19" t="s">
        <v>39</v>
      </c>
      <c r="R7" s="20" t="s">
        <v>3</v>
      </c>
      <c r="S7" s="19" t="s">
        <v>39</v>
      </c>
      <c r="T7" s="20" t="s">
        <v>3</v>
      </c>
      <c r="U7" s="19" t="s">
        <v>39</v>
      </c>
      <c r="V7" s="20" t="s">
        <v>3</v>
      </c>
      <c r="W7" s="19" t="s">
        <v>39</v>
      </c>
      <c r="X7" s="123" t="s">
        <v>3</v>
      </c>
    </row>
    <row r="8" spans="1:24" s="3" customFormat="1">
      <c r="A8" s="1002" t="str">
        <f>RESUMO!A11</f>
        <v>PRELIMINARES</v>
      </c>
      <c r="B8" s="1002"/>
      <c r="C8" s="1002"/>
      <c r="D8" s="1002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1:24" s="3" customFormat="1">
      <c r="A9" s="3" t="str">
        <f>RESUMO!A12</f>
        <v>1.0</v>
      </c>
      <c r="B9" s="4" t="str">
        <f>RESUMO!B12</f>
        <v>ADMINISTRAÇÃO DE OBRA</v>
      </c>
      <c r="C9" s="15">
        <f>RESUMO!D12</f>
        <v>353400.9</v>
      </c>
      <c r="D9" s="16">
        <f>C9/$C$88</f>
        <v>4.2414072419554291E-2</v>
      </c>
      <c r="E9" s="17">
        <f>$C$9/10</f>
        <v>35340.090000000004</v>
      </c>
      <c r="F9" s="18">
        <f>E9/$C$9</f>
        <v>0.1</v>
      </c>
      <c r="G9" s="17">
        <f>$C$9/10</f>
        <v>35340.090000000004</v>
      </c>
      <c r="H9" s="18">
        <f>G9/$C$9</f>
        <v>0.1</v>
      </c>
      <c r="I9" s="17">
        <f>$C$9/10</f>
        <v>35340.090000000004</v>
      </c>
      <c r="J9" s="18">
        <f>I9/$C$9</f>
        <v>0.1</v>
      </c>
      <c r="K9" s="17">
        <f>$C$9/10</f>
        <v>35340.090000000004</v>
      </c>
      <c r="L9" s="18">
        <f>K9/$C$9</f>
        <v>0.1</v>
      </c>
      <c r="M9" s="17">
        <f>$C$9/10</f>
        <v>35340.090000000004</v>
      </c>
      <c r="N9" s="18">
        <f>M9/$C$9</f>
        <v>0.1</v>
      </c>
      <c r="O9" s="17">
        <f>$C$9/10</f>
        <v>35340.090000000004</v>
      </c>
      <c r="P9" s="18">
        <f>O9/$C$9</f>
        <v>0.1</v>
      </c>
      <c r="Q9" s="17">
        <f>$C$9/10</f>
        <v>35340.090000000004</v>
      </c>
      <c r="R9" s="18">
        <f>Q9/$C$9</f>
        <v>0.1</v>
      </c>
      <c r="S9" s="17">
        <f>$C$9/10</f>
        <v>35340.090000000004</v>
      </c>
      <c r="T9" s="18">
        <f>S9/$C$9</f>
        <v>0.1</v>
      </c>
      <c r="U9" s="17">
        <f>$C$9/10</f>
        <v>35340.090000000004</v>
      </c>
      <c r="V9" s="18">
        <f>U9/$C$9</f>
        <v>0.1</v>
      </c>
      <c r="W9" s="17">
        <f>$C$9/10</f>
        <v>35340.090000000004</v>
      </c>
      <c r="X9" s="18">
        <f>W9/$C$9</f>
        <v>0.1</v>
      </c>
    </row>
    <row r="10" spans="1:24" s="3" customFormat="1">
      <c r="A10" s="3" t="str">
        <f>RESUMO!A13</f>
        <v>2.0</v>
      </c>
      <c r="B10" s="4" t="str">
        <f>RESUMO!B13</f>
        <v>SERVIÇOS  PRELIMINARES</v>
      </c>
      <c r="C10" s="15">
        <f>RESUMO!D13</f>
        <v>113459.02</v>
      </c>
      <c r="D10" s="16">
        <f>C10/$C$88</f>
        <v>1.3616997271177459E-2</v>
      </c>
      <c r="E10" s="17">
        <f>C10*100%</f>
        <v>113459.02</v>
      </c>
      <c r="F10" s="18">
        <f>E10/$C$12</f>
        <v>2.9261389822281818</v>
      </c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24" s="3" customFormat="1">
      <c r="A11" s="1002" t="str">
        <f>RESUMO!A15</f>
        <v>BLOCO DE SALAS DE AULA E ADMINISTRATIVO</v>
      </c>
      <c r="B11" s="1002"/>
      <c r="C11" s="1002"/>
      <c r="D11" s="1002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</row>
    <row r="12" spans="1:24" ht="25.5">
      <c r="A12" s="3" t="str">
        <f>RESUMO!A16</f>
        <v>3.0</v>
      </c>
      <c r="B12" s="4" t="str">
        <f>RESUMO!B16</f>
        <v>MOVIMENTAÇÃO DE TERRA (PLATÔ)</v>
      </c>
      <c r="C12" s="15">
        <f>RESUMO!D16</f>
        <v>38774.31</v>
      </c>
      <c r="D12" s="16">
        <f t="shared" ref="D12:D26" si="0">C12/$C$88</f>
        <v>4.6535716019915283E-3</v>
      </c>
      <c r="E12" s="17">
        <f>C12*50%</f>
        <v>19387.154999999999</v>
      </c>
      <c r="F12" s="18">
        <f>E12/$C$12</f>
        <v>0.5</v>
      </c>
      <c r="G12" s="17">
        <f>C12*50%</f>
        <v>19387.154999999999</v>
      </c>
      <c r="H12" s="18">
        <f>G12/$C$12</f>
        <v>0.5</v>
      </c>
      <c r="I12" s="96"/>
      <c r="J12" s="97"/>
      <c r="K12" s="96"/>
      <c r="L12" s="97"/>
      <c r="M12" s="96"/>
      <c r="N12" s="97"/>
      <c r="O12" s="96"/>
      <c r="P12" s="97"/>
      <c r="Q12" s="96"/>
      <c r="R12" s="97"/>
      <c r="S12" s="96"/>
      <c r="T12" s="97"/>
      <c r="U12" s="96"/>
      <c r="V12" s="97"/>
      <c r="W12" s="96"/>
      <c r="X12" s="97"/>
    </row>
    <row r="13" spans="1:24">
      <c r="A13" s="3" t="str">
        <f>RESUMO!A17</f>
        <v>4.0</v>
      </c>
      <c r="B13" s="4" t="str">
        <f>RESUMO!B17</f>
        <v>FUNDAÇÃO</v>
      </c>
      <c r="C13" s="15">
        <f>RESUMO!D17</f>
        <v>446056.77</v>
      </c>
      <c r="D13" s="16">
        <f t="shared" si="0"/>
        <v>5.3534340591697614E-2</v>
      </c>
      <c r="G13" s="17">
        <f>C13*50%</f>
        <v>223028.38500000001</v>
      </c>
      <c r="H13" s="18">
        <f>G13/C13</f>
        <v>0.5</v>
      </c>
      <c r="I13" s="17">
        <f>C13*50%</f>
        <v>223028.38500000001</v>
      </c>
      <c r="J13" s="18">
        <f>I13/C13</f>
        <v>0.5</v>
      </c>
      <c r="K13" s="96"/>
      <c r="L13" s="97"/>
    </row>
    <row r="14" spans="1:24">
      <c r="A14" s="3" t="str">
        <f>RESUMO!A18</f>
        <v>5.0</v>
      </c>
      <c r="B14" s="4" t="str">
        <f>RESUMO!B18</f>
        <v>MESO ESTRUTURA</v>
      </c>
      <c r="C14" s="15">
        <f>RESUMO!D18</f>
        <v>125658.95</v>
      </c>
      <c r="D14" s="16">
        <f t="shared" si="0"/>
        <v>1.508119477190112E-2</v>
      </c>
      <c r="E14" s="96"/>
      <c r="F14" s="97"/>
      <c r="I14" s="17">
        <f>C14*50%</f>
        <v>62829.474999999999</v>
      </c>
      <c r="J14" s="18">
        <f>I14/C14</f>
        <v>0.5</v>
      </c>
      <c r="K14" s="17">
        <f>C14*50%</f>
        <v>62829.474999999999</v>
      </c>
      <c r="L14" s="18">
        <f>K14/C14</f>
        <v>0.5</v>
      </c>
      <c r="M14" s="96"/>
      <c r="N14" s="97"/>
      <c r="O14" s="96"/>
      <c r="P14" s="97"/>
    </row>
    <row r="15" spans="1:24">
      <c r="A15" s="3" t="str">
        <f>RESUMO!A19</f>
        <v>6.0</v>
      </c>
      <c r="B15" s="4" t="str">
        <f>RESUMO!B19</f>
        <v>SUPER ESTRUTURA</v>
      </c>
      <c r="C15" s="15">
        <f>RESUMO!D19</f>
        <v>506542.1</v>
      </c>
      <c r="D15" s="16">
        <f t="shared" si="0"/>
        <v>6.0793601015031673E-2</v>
      </c>
      <c r="I15" s="17">
        <f>C15*15%</f>
        <v>75981.314999999988</v>
      </c>
      <c r="J15" s="18">
        <f>I15/C15</f>
        <v>0.15</v>
      </c>
      <c r="K15" s="17">
        <f>C15*50%</f>
        <v>253271.05</v>
      </c>
      <c r="L15" s="18">
        <f>K15/C15</f>
        <v>0.5</v>
      </c>
      <c r="M15" s="17">
        <f>C15*35%</f>
        <v>177289.73499999999</v>
      </c>
      <c r="N15" s="18">
        <f>M15/C15</f>
        <v>0.35</v>
      </c>
      <c r="Q15" s="96"/>
      <c r="R15" s="97"/>
      <c r="S15" s="96"/>
      <c r="T15" s="97"/>
      <c r="U15" s="96"/>
      <c r="V15" s="97"/>
    </row>
    <row r="16" spans="1:24">
      <c r="A16" s="3" t="str">
        <f>RESUMO!A20</f>
        <v>7.0</v>
      </c>
      <c r="B16" s="4" t="str">
        <f>RESUMO!B20</f>
        <v>CONTRAPISO ARMADO</v>
      </c>
      <c r="C16" s="15">
        <f>RESUMO!D20</f>
        <v>203651.86000000002</v>
      </c>
      <c r="D16" s="16">
        <f t="shared" si="0"/>
        <v>2.4441660274257739E-2</v>
      </c>
      <c r="E16" s="96"/>
      <c r="F16" s="97"/>
      <c r="K16" s="17">
        <f>C16*50%</f>
        <v>101825.93000000001</v>
      </c>
      <c r="L16" s="18">
        <f>K16/C16</f>
        <v>0.5</v>
      </c>
      <c r="M16" s="17">
        <f>C16*50%</f>
        <v>101825.93000000001</v>
      </c>
      <c r="N16" s="18">
        <f>M16/C16</f>
        <v>0.5</v>
      </c>
      <c r="O16" s="96"/>
      <c r="P16" s="97"/>
      <c r="Q16" s="96"/>
      <c r="R16" s="97"/>
      <c r="S16" s="96"/>
      <c r="T16" s="97"/>
    </row>
    <row r="17" spans="1:24">
      <c r="A17" s="3" t="str">
        <f>RESUMO!A21</f>
        <v>8.0</v>
      </c>
      <c r="B17" s="4" t="str">
        <f>RESUMO!B21</f>
        <v>COBERTURA</v>
      </c>
      <c r="C17" s="15">
        <f>RESUMO!D21</f>
        <v>625816.41999999993</v>
      </c>
      <c r="D17" s="16">
        <f t="shared" si="0"/>
        <v>7.5108532432221306E-2</v>
      </c>
      <c r="E17" s="96"/>
      <c r="F17" s="97"/>
      <c r="G17" s="96"/>
      <c r="H17" s="97"/>
      <c r="I17" s="96"/>
      <c r="J17" s="97"/>
      <c r="K17" s="96"/>
      <c r="L17" s="97"/>
      <c r="O17" s="17">
        <f>C17*100%</f>
        <v>625816.41999999993</v>
      </c>
      <c r="P17" s="18">
        <f>O17/C17</f>
        <v>1</v>
      </c>
      <c r="Q17" s="77"/>
      <c r="R17" s="77"/>
      <c r="S17" s="96"/>
      <c r="T17" s="97"/>
    </row>
    <row r="18" spans="1:24">
      <c r="A18" s="3" t="str">
        <f>RESUMO!A22</f>
        <v>9.0</v>
      </c>
      <c r="B18" s="4" t="str">
        <f>RESUMO!B22</f>
        <v>ESQUADRIAS</v>
      </c>
      <c r="C18" s="15">
        <f>RESUMO!D22</f>
        <v>336792.75999999995</v>
      </c>
      <c r="D18" s="16">
        <f t="shared" si="0"/>
        <v>4.0420815320565295E-2</v>
      </c>
      <c r="E18" s="96"/>
      <c r="F18" s="97"/>
      <c r="G18" s="96"/>
      <c r="H18" s="97"/>
      <c r="I18" s="96"/>
      <c r="J18" s="97"/>
      <c r="K18" s="96"/>
      <c r="L18" s="97"/>
      <c r="O18" s="96"/>
      <c r="P18" s="97"/>
      <c r="Q18" s="17">
        <f>C18*100%</f>
        <v>336792.75999999995</v>
      </c>
      <c r="R18" s="18">
        <f>Q18/C18</f>
        <v>1</v>
      </c>
      <c r="S18" s="96"/>
      <c r="T18" s="97"/>
    </row>
    <row r="19" spans="1:24">
      <c r="A19" s="3" t="str">
        <f>RESUMO!A23</f>
        <v>10.0</v>
      </c>
      <c r="B19" s="4" t="str">
        <f>RESUMO!B23</f>
        <v>ELEMENTOS DE VEDAÇÃO</v>
      </c>
      <c r="C19" s="15">
        <f>RESUMO!D23</f>
        <v>229897.43</v>
      </c>
      <c r="D19" s="16">
        <f t="shared" si="0"/>
        <v>2.7591571626131715E-2</v>
      </c>
      <c r="E19" s="96"/>
      <c r="F19" s="97"/>
      <c r="G19" s="96"/>
      <c r="H19" s="97"/>
      <c r="I19" s="96"/>
      <c r="J19" s="97"/>
      <c r="K19" s="96"/>
      <c r="L19" s="97"/>
      <c r="M19" s="96"/>
      <c r="N19" s="97"/>
      <c r="O19" s="17">
        <f>C19*40%</f>
        <v>91958.972000000009</v>
      </c>
      <c r="P19" s="18">
        <f>O19/C19</f>
        <v>0.40000000000000008</v>
      </c>
      <c r="Q19" s="17">
        <f>C19*60%</f>
        <v>137938.45799999998</v>
      </c>
      <c r="R19" s="18">
        <f>Q19/C19</f>
        <v>0.6</v>
      </c>
      <c r="S19" s="96"/>
      <c r="T19" s="97"/>
    </row>
    <row r="20" spans="1:24">
      <c r="A20" s="3" t="str">
        <f>RESUMO!A24</f>
        <v>11.0</v>
      </c>
      <c r="B20" s="4" t="str">
        <f>RESUMO!B24</f>
        <v>REVESTIMENTO</v>
      </c>
      <c r="C20" s="15">
        <f>RESUMO!D24</f>
        <v>589253.00999999989</v>
      </c>
      <c r="D20" s="16">
        <f t="shared" si="0"/>
        <v>7.0720306144043038E-2</v>
      </c>
      <c r="E20" s="96"/>
      <c r="F20" s="97"/>
      <c r="G20" s="96"/>
      <c r="H20" s="97"/>
      <c r="I20" s="96"/>
      <c r="J20" s="97"/>
      <c r="K20" s="96"/>
      <c r="L20" s="97"/>
      <c r="O20" s="17">
        <f>C20*50%</f>
        <v>294626.50499999995</v>
      </c>
      <c r="P20" s="18">
        <f>O20/C20</f>
        <v>0.5</v>
      </c>
      <c r="Q20" s="17">
        <f>C20*50%</f>
        <v>294626.50499999995</v>
      </c>
      <c r="R20" s="18">
        <f>Q20/C20</f>
        <v>0.5</v>
      </c>
      <c r="S20" s="96"/>
      <c r="T20" s="97"/>
    </row>
    <row r="21" spans="1:24">
      <c r="A21" s="3" t="str">
        <f>RESUMO!A25</f>
        <v>12.0</v>
      </c>
      <c r="B21" s="4" t="str">
        <f>RESUMO!B25</f>
        <v>PISOS</v>
      </c>
      <c r="C21" s="15">
        <f>RESUMO!D25</f>
        <v>187135.47999999998</v>
      </c>
      <c r="D21" s="16">
        <f t="shared" si="0"/>
        <v>2.245941592392111E-2</v>
      </c>
      <c r="E21" s="96"/>
      <c r="F21" s="97"/>
      <c r="G21" s="96"/>
      <c r="H21" s="97"/>
      <c r="I21" s="96"/>
      <c r="J21" s="97"/>
      <c r="Q21" s="17">
        <f>C21*50%</f>
        <v>93567.739999999991</v>
      </c>
      <c r="R21" s="18">
        <f>Q21/C21</f>
        <v>0.5</v>
      </c>
      <c r="S21" s="17">
        <f>C21*50%</f>
        <v>93567.739999999991</v>
      </c>
      <c r="T21" s="18">
        <f>S21/C21</f>
        <v>0.5</v>
      </c>
      <c r="U21" s="96"/>
      <c r="V21" s="97"/>
    </row>
    <row r="22" spans="1:24">
      <c r="A22" s="3" t="str">
        <f>RESUMO!A26</f>
        <v>13.0</v>
      </c>
      <c r="B22" s="4" t="str">
        <f>RESUMO!B26</f>
        <v>PINTURA INTERNA E EXTERNA</v>
      </c>
      <c r="C22" s="15">
        <f>RESUMO!D26</f>
        <v>167619.23999999996</v>
      </c>
      <c r="D22" s="16">
        <f t="shared" si="0"/>
        <v>2.0117137744331295E-2</v>
      </c>
      <c r="E22" s="96"/>
      <c r="F22" s="97"/>
      <c r="G22" s="96"/>
      <c r="H22" s="97"/>
      <c r="I22" s="96"/>
      <c r="J22" s="97"/>
      <c r="K22" s="96"/>
      <c r="L22" s="97"/>
      <c r="M22" s="96"/>
      <c r="N22" s="97"/>
      <c r="Q22" s="17">
        <f>C22*50%</f>
        <v>83809.619999999981</v>
      </c>
      <c r="R22" s="18">
        <f>Q22/C22</f>
        <v>0.5</v>
      </c>
      <c r="S22" s="17">
        <f>C22*50%</f>
        <v>83809.619999999981</v>
      </c>
      <c r="T22" s="18">
        <f>S22/C22</f>
        <v>0.5</v>
      </c>
    </row>
    <row r="23" spans="1:24">
      <c r="A23" s="3" t="str">
        <f>RESUMO!A27</f>
        <v>14.0</v>
      </c>
      <c r="B23" s="4" t="str">
        <f>RESUMO!B27</f>
        <v>FORROS E DIVISÓRIAS</v>
      </c>
      <c r="C23" s="15">
        <f>RESUMO!D27</f>
        <v>25940.11</v>
      </c>
      <c r="D23" s="16">
        <f t="shared" si="0"/>
        <v>3.1132509965628393E-3</v>
      </c>
      <c r="E23" s="96"/>
      <c r="F23" s="97"/>
      <c r="G23" s="96"/>
      <c r="H23" s="97"/>
      <c r="I23" s="96"/>
      <c r="J23" s="97"/>
      <c r="K23" s="96"/>
      <c r="L23" s="97"/>
      <c r="M23" s="96"/>
      <c r="N23" s="97"/>
      <c r="O23" s="96"/>
      <c r="P23" s="97"/>
      <c r="Q23" s="96"/>
      <c r="R23" s="97"/>
      <c r="S23" s="17">
        <f>C23*100%</f>
        <v>25940.11</v>
      </c>
      <c r="T23" s="18">
        <f>S23/C23</f>
        <v>1</v>
      </c>
    </row>
    <row r="24" spans="1:24">
      <c r="A24" s="3" t="str">
        <f>RESUMO!A28</f>
        <v>15.0</v>
      </c>
      <c r="B24" s="4" t="str">
        <f>RESUMO!B28</f>
        <v>ACESSIBILIDADE</v>
      </c>
      <c r="C24" s="15">
        <f>RESUMO!D28</f>
        <v>194651.74</v>
      </c>
      <c r="D24" s="16">
        <f t="shared" si="0"/>
        <v>2.3361493977384469E-2</v>
      </c>
      <c r="E24" s="96"/>
      <c r="F24" s="97"/>
      <c r="G24" s="96"/>
      <c r="H24" s="97"/>
      <c r="I24" s="96"/>
      <c r="J24" s="97"/>
      <c r="K24" s="96"/>
      <c r="L24" s="97"/>
      <c r="M24" s="96"/>
      <c r="N24" s="97"/>
      <c r="O24" s="96"/>
      <c r="P24" s="97"/>
      <c r="Q24" s="96"/>
      <c r="R24" s="97"/>
      <c r="S24" s="17">
        <f>C24*100%</f>
        <v>194651.74</v>
      </c>
      <c r="T24" s="18">
        <f>S24/C24</f>
        <v>1</v>
      </c>
      <c r="U24" s="96"/>
      <c r="V24" s="97"/>
      <c r="W24" s="96"/>
      <c r="X24" s="97"/>
    </row>
    <row r="25" spans="1:24">
      <c r="A25" s="3" t="str">
        <f>RESUMO!A29</f>
        <v>16.0</v>
      </c>
      <c r="B25" s="4" t="str">
        <f>RESUMO!B29</f>
        <v>SERVIÇOS COMPLEMENTARES</v>
      </c>
      <c r="C25" s="15">
        <f>RESUMO!D29</f>
        <v>134606.96000000002</v>
      </c>
      <c r="D25" s="16">
        <f t="shared" si="0"/>
        <v>1.6155106989303218E-2</v>
      </c>
      <c r="E25" s="96"/>
      <c r="F25" s="97"/>
      <c r="G25" s="96"/>
      <c r="H25" s="97"/>
      <c r="I25" s="96"/>
      <c r="J25" s="97"/>
      <c r="K25" s="96"/>
      <c r="L25" s="97"/>
      <c r="M25" s="77"/>
      <c r="N25" s="77"/>
      <c r="O25" s="96"/>
      <c r="P25" s="97"/>
      <c r="Q25" s="96"/>
      <c r="R25" s="97"/>
      <c r="S25" s="96"/>
      <c r="T25" s="97"/>
      <c r="U25" s="17">
        <f>C25*100%</f>
        <v>134606.96000000002</v>
      </c>
      <c r="V25" s="18">
        <f>U25/C25</f>
        <v>1</v>
      </c>
      <c r="W25" s="96"/>
      <c r="X25" s="97"/>
    </row>
    <row r="26" spans="1:24">
      <c r="A26" s="3" t="str">
        <f>RESUMO!A30</f>
        <v>17.0</v>
      </c>
      <c r="B26" s="4" t="str">
        <f>RESUMO!B30</f>
        <v>LIMPEZA</v>
      </c>
      <c r="C26" s="15">
        <f>RESUMO!D30</f>
        <v>21724.97</v>
      </c>
      <c r="D26" s="16">
        <f t="shared" si="0"/>
        <v>2.6073630567795508E-3</v>
      </c>
      <c r="E26" s="96"/>
      <c r="F26" s="97"/>
      <c r="G26" s="96"/>
      <c r="H26" s="97"/>
      <c r="I26" s="96"/>
      <c r="J26" s="97"/>
      <c r="K26" s="96"/>
      <c r="L26" s="97"/>
      <c r="M26" s="77"/>
      <c r="N26" s="77"/>
      <c r="O26" s="96"/>
      <c r="P26" s="97"/>
      <c r="Q26" s="96"/>
      <c r="R26" s="97"/>
      <c r="S26" s="96"/>
      <c r="T26" s="97"/>
      <c r="U26" s="17">
        <f>C26*100%</f>
        <v>21724.97</v>
      </c>
      <c r="V26" s="18">
        <f>U26/C26</f>
        <v>1</v>
      </c>
      <c r="W26" s="96"/>
      <c r="X26" s="97"/>
    </row>
    <row r="27" spans="1:24">
      <c r="A27" s="1002" t="str">
        <f>RESUMO!A32</f>
        <v>REFEITÓRIO</v>
      </c>
      <c r="B27" s="1002"/>
      <c r="C27" s="1002"/>
      <c r="D27" s="1002"/>
      <c r="E27" s="101"/>
      <c r="F27" s="102"/>
      <c r="G27" s="101"/>
      <c r="H27" s="102"/>
      <c r="I27" s="101"/>
      <c r="J27" s="102"/>
      <c r="K27" s="101"/>
      <c r="L27" s="102"/>
      <c r="M27" s="101"/>
      <c r="N27" s="102"/>
      <c r="O27" s="101"/>
      <c r="P27" s="102"/>
      <c r="Q27" s="101"/>
      <c r="R27" s="102"/>
      <c r="S27" s="101"/>
      <c r="T27" s="102"/>
      <c r="U27" s="101"/>
      <c r="V27" s="102"/>
      <c r="W27" s="101"/>
      <c r="X27" s="102"/>
    </row>
    <row r="28" spans="1:24" ht="25.5">
      <c r="A28" s="3" t="str">
        <f>RESUMO!A33</f>
        <v>18.0</v>
      </c>
      <c r="B28" s="4" t="str">
        <f>RESUMO!B33</f>
        <v>MOVIMENTAÇÃO DE TERRA (PLATÔ)</v>
      </c>
      <c r="C28" s="15">
        <f>RESUMO!D33</f>
        <v>8611.43</v>
      </c>
      <c r="D28" s="16">
        <f t="shared" ref="D28:D40" si="1">C28/$C$88</f>
        <v>1.0335169368723236E-3</v>
      </c>
      <c r="E28" s="17">
        <f>C28*50%</f>
        <v>4305.7150000000001</v>
      </c>
      <c r="F28" s="18">
        <f>E28/$C$12</f>
        <v>0.11104556083654359</v>
      </c>
      <c r="G28" s="17">
        <f>C28*50%</f>
        <v>4305.7150000000001</v>
      </c>
      <c r="H28" s="18">
        <f>G28/$C$12</f>
        <v>0.11104556083654359</v>
      </c>
      <c r="I28" s="96"/>
      <c r="J28" s="97"/>
      <c r="K28" s="96"/>
      <c r="L28" s="97"/>
      <c r="M28" s="96"/>
      <c r="N28" s="97"/>
      <c r="O28" s="96"/>
      <c r="P28" s="97"/>
      <c r="Q28" s="96"/>
      <c r="R28" s="97"/>
      <c r="S28" s="96"/>
      <c r="T28" s="97"/>
      <c r="U28" s="96"/>
      <c r="V28" s="97"/>
      <c r="W28" s="96"/>
      <c r="X28" s="97"/>
    </row>
    <row r="29" spans="1:24">
      <c r="A29" s="3" t="str">
        <f>RESUMO!A34</f>
        <v>19.0</v>
      </c>
      <c r="B29" s="4" t="str">
        <f>RESUMO!B34</f>
        <v>FUNDAÇÃO</v>
      </c>
      <c r="C29" s="15">
        <f>RESUMO!D34</f>
        <v>138672.78</v>
      </c>
      <c r="D29" s="16">
        <f t="shared" si="1"/>
        <v>1.6643074008982205E-2</v>
      </c>
      <c r="G29" s="17">
        <f>C29*70%</f>
        <v>97070.945999999996</v>
      </c>
      <c r="H29" s="18">
        <f>G29/C29</f>
        <v>0.7</v>
      </c>
      <c r="I29" s="17">
        <f>C29*30%</f>
        <v>41601.833999999995</v>
      </c>
      <c r="J29" s="18">
        <f>I29/C29</f>
        <v>0.3</v>
      </c>
      <c r="K29" s="96"/>
      <c r="L29" s="97"/>
      <c r="O29" s="96"/>
      <c r="P29" s="97"/>
      <c r="Q29" s="96"/>
      <c r="R29" s="97"/>
      <c r="S29" s="96"/>
      <c r="T29" s="97"/>
      <c r="U29" s="96"/>
      <c r="V29" s="97"/>
      <c r="W29" s="96"/>
      <c r="X29" s="97"/>
    </row>
    <row r="30" spans="1:24">
      <c r="A30" s="3" t="str">
        <f>RESUMO!A35</f>
        <v>20.0</v>
      </c>
      <c r="B30" s="4" t="str">
        <f>RESUMO!B35</f>
        <v>MESO ESTRUTURA</v>
      </c>
      <c r="C30" s="15">
        <f>RESUMO!D35</f>
        <v>40876.050000000003</v>
      </c>
      <c r="D30" s="16">
        <f t="shared" si="1"/>
        <v>4.9058158734890658E-3</v>
      </c>
      <c r="E30" s="96"/>
      <c r="F30" s="97"/>
      <c r="I30" s="17">
        <f>C30*70%</f>
        <v>28613.235000000001</v>
      </c>
      <c r="J30" s="18">
        <f>I30/C30</f>
        <v>0.7</v>
      </c>
      <c r="K30" s="17">
        <f>C30*30%</f>
        <v>12262.815000000001</v>
      </c>
      <c r="L30" s="18">
        <f>K30/C30</f>
        <v>0.3</v>
      </c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</row>
    <row r="31" spans="1:24">
      <c r="A31" s="3" t="str">
        <f>RESUMO!A36</f>
        <v>21.0</v>
      </c>
      <c r="B31" s="4" t="str">
        <f>RESUMO!B36</f>
        <v>SUPER ESTRUTURA</v>
      </c>
      <c r="C31" s="15">
        <f>RESUMO!D36</f>
        <v>43176.979999999996</v>
      </c>
      <c r="D31" s="16">
        <f t="shared" si="1"/>
        <v>5.1819663067571332E-3</v>
      </c>
      <c r="I31" s="96"/>
      <c r="J31" s="97"/>
      <c r="K31" s="17">
        <f>C31*50%</f>
        <v>21588.489999999998</v>
      </c>
      <c r="L31" s="18">
        <f>K31/C31</f>
        <v>0.5</v>
      </c>
      <c r="M31" s="17">
        <f>C31*50%</f>
        <v>21588.489999999998</v>
      </c>
      <c r="N31" s="18">
        <f>M31/C31</f>
        <v>0.5</v>
      </c>
      <c r="O31" s="96"/>
      <c r="P31" s="97"/>
      <c r="Q31" s="96"/>
      <c r="R31" s="97"/>
      <c r="S31" s="96"/>
      <c r="T31" s="97"/>
      <c r="U31" s="96"/>
      <c r="V31" s="97"/>
      <c r="W31" s="96"/>
      <c r="X31" s="97"/>
    </row>
    <row r="32" spans="1:24">
      <c r="A32" s="3" t="str">
        <f>RESUMO!A37</f>
        <v>22.0</v>
      </c>
      <c r="B32" s="4" t="str">
        <f>RESUMO!B37</f>
        <v>CONTRAPISO ARMADO</v>
      </c>
      <c r="C32" s="15">
        <f>RESUMO!D37</f>
        <v>20050.329999999998</v>
      </c>
      <c r="D32" s="16">
        <f t="shared" si="1"/>
        <v>2.406377993536411E-3</v>
      </c>
      <c r="E32" s="96"/>
      <c r="F32" s="97"/>
      <c r="K32" s="96"/>
      <c r="L32" s="97"/>
      <c r="M32" s="17">
        <f>C32*100%</f>
        <v>20050.329999999998</v>
      </c>
      <c r="N32" s="18">
        <f>M32/C32</f>
        <v>1</v>
      </c>
      <c r="O32" s="96"/>
      <c r="P32" s="97"/>
      <c r="Q32" s="96"/>
      <c r="R32" s="97"/>
      <c r="S32" s="96"/>
      <c r="T32" s="97"/>
      <c r="U32" s="96"/>
      <c r="V32" s="97"/>
      <c r="W32" s="96"/>
      <c r="X32" s="97"/>
    </row>
    <row r="33" spans="1:24">
      <c r="A33" s="3" t="str">
        <f>RESUMO!A38</f>
        <v>23.0</v>
      </c>
      <c r="B33" s="4" t="str">
        <f>RESUMO!B38</f>
        <v>ELEMENTOS DE VEDAÇÃO</v>
      </c>
      <c r="C33" s="15">
        <f>RESUMO!D38</f>
        <v>34755.08</v>
      </c>
      <c r="D33" s="16">
        <f t="shared" si="1"/>
        <v>4.1711961686215363E-3</v>
      </c>
      <c r="E33" s="96"/>
      <c r="F33" s="97"/>
      <c r="G33" s="96"/>
      <c r="H33" s="97"/>
      <c r="I33" s="96"/>
      <c r="J33" s="97"/>
      <c r="K33" s="96"/>
      <c r="L33" s="97"/>
      <c r="M33" s="17">
        <f>C33*40%</f>
        <v>13902.032000000001</v>
      </c>
      <c r="N33" s="18">
        <f>M33/C33</f>
        <v>0.4</v>
      </c>
      <c r="O33" s="17">
        <f>C33*60%</f>
        <v>20853.047999999999</v>
      </c>
      <c r="P33" s="18">
        <f>O33/C33</f>
        <v>0.6</v>
      </c>
      <c r="S33" s="96"/>
      <c r="T33" s="97"/>
      <c r="U33" s="96"/>
      <c r="V33" s="97"/>
      <c r="W33" s="96"/>
      <c r="X33" s="97"/>
    </row>
    <row r="34" spans="1:24">
      <c r="A34" s="3" t="str">
        <f>RESUMO!A39</f>
        <v>24.0</v>
      </c>
      <c r="B34" s="4" t="str">
        <f>RESUMO!B39</f>
        <v>COBERTURA</v>
      </c>
      <c r="C34" s="15">
        <f>RESUMO!D39</f>
        <v>89899.799999999988</v>
      </c>
      <c r="D34" s="16">
        <f t="shared" si="1"/>
        <v>1.0789493257384025E-2</v>
      </c>
      <c r="E34" s="96"/>
      <c r="F34" s="97"/>
      <c r="G34" s="96"/>
      <c r="H34" s="97"/>
      <c r="I34" s="96"/>
      <c r="J34" s="97"/>
      <c r="K34" s="96"/>
      <c r="L34" s="97"/>
      <c r="M34" s="96"/>
      <c r="N34" s="97"/>
      <c r="Q34" s="17">
        <f>C34*100%</f>
        <v>89899.799999999988</v>
      </c>
      <c r="R34" s="18">
        <f>Q34/C34</f>
        <v>1</v>
      </c>
      <c r="U34" s="96"/>
      <c r="V34" s="97"/>
      <c r="W34" s="96"/>
      <c r="X34" s="97"/>
    </row>
    <row r="35" spans="1:24">
      <c r="A35" s="3" t="str">
        <f>RESUMO!A40</f>
        <v>25.0</v>
      </c>
      <c r="B35" s="4" t="str">
        <f>RESUMO!B40</f>
        <v>REVESTIMENTO</v>
      </c>
      <c r="C35" s="15">
        <f>RESUMO!D40</f>
        <v>71013.47</v>
      </c>
      <c r="D35" s="16">
        <f t="shared" si="1"/>
        <v>8.5228149089146225E-3</v>
      </c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  <c r="S35" s="17">
        <f>C35*100%</f>
        <v>71013.47</v>
      </c>
      <c r="T35" s="18">
        <f>S35/C35</f>
        <v>1</v>
      </c>
      <c r="U35" s="96"/>
      <c r="V35" s="97"/>
      <c r="W35" s="96"/>
      <c r="X35" s="97"/>
    </row>
    <row r="36" spans="1:24">
      <c r="A36" s="3" t="str">
        <f>RESUMO!A41</f>
        <v>26.0</v>
      </c>
      <c r="B36" s="4" t="str">
        <f>RESUMO!B41</f>
        <v>PISOS</v>
      </c>
      <c r="C36" s="15">
        <f>RESUMO!D41</f>
        <v>46653.140000000007</v>
      </c>
      <c r="D36" s="16">
        <f t="shared" si="1"/>
        <v>5.5991641746232258E-3</v>
      </c>
      <c r="E36" s="96"/>
      <c r="F36" s="97"/>
      <c r="G36" s="96"/>
      <c r="H36" s="97"/>
      <c r="I36" s="96"/>
      <c r="J36" s="97"/>
      <c r="K36" s="96"/>
      <c r="L36" s="97"/>
      <c r="M36" s="96"/>
      <c r="N36" s="97"/>
      <c r="O36" s="96"/>
      <c r="P36" s="97"/>
      <c r="Q36" s="96"/>
      <c r="R36" s="97"/>
      <c r="S36" s="17">
        <f>C36*100%</f>
        <v>46653.140000000007</v>
      </c>
      <c r="T36" s="18">
        <f>S36/C36</f>
        <v>1</v>
      </c>
      <c r="U36" s="96"/>
      <c r="V36" s="97"/>
      <c r="W36" s="96"/>
      <c r="X36" s="97"/>
    </row>
    <row r="37" spans="1:24">
      <c r="A37" s="3" t="str">
        <f>RESUMO!A42</f>
        <v>27.0</v>
      </c>
      <c r="B37" s="4" t="str">
        <f>RESUMO!B42</f>
        <v>ESQUADRIAS</v>
      </c>
      <c r="C37" s="15">
        <f>RESUMO!D42</f>
        <v>33571.53</v>
      </c>
      <c r="D37" s="16">
        <f t="shared" si="1"/>
        <v>4.0291501936051645E-3</v>
      </c>
      <c r="E37" s="96"/>
      <c r="F37" s="97"/>
      <c r="G37" s="96"/>
      <c r="H37" s="97"/>
      <c r="I37" s="96"/>
      <c r="J37" s="97"/>
      <c r="K37" s="96"/>
      <c r="L37" s="97"/>
      <c r="M37" s="96"/>
      <c r="N37" s="97"/>
      <c r="O37" s="96"/>
      <c r="P37" s="97"/>
      <c r="Q37" s="17">
        <f>C37*100%</f>
        <v>33571.53</v>
      </c>
      <c r="R37" s="18">
        <f>Q37/C37</f>
        <v>1</v>
      </c>
      <c r="S37" s="96"/>
      <c r="T37" s="97"/>
      <c r="U37" s="96"/>
      <c r="V37" s="97"/>
      <c r="W37" s="96"/>
      <c r="X37" s="97"/>
    </row>
    <row r="38" spans="1:24">
      <c r="A38" s="3" t="str">
        <f>RESUMO!A43</f>
        <v>28.0</v>
      </c>
      <c r="B38" s="4" t="str">
        <f>RESUMO!B43</f>
        <v>PINTURA INTERNA E EXTERNA</v>
      </c>
      <c r="C38" s="15">
        <f>RESUMO!D43</f>
        <v>15683.209999999997</v>
      </c>
      <c r="D38" s="16">
        <f t="shared" si="1"/>
        <v>1.8822498887554554E-3</v>
      </c>
      <c r="E38" s="96"/>
      <c r="F38" s="97"/>
      <c r="G38" s="96"/>
      <c r="H38" s="97"/>
      <c r="I38" s="96"/>
      <c r="J38" s="97"/>
      <c r="K38" s="96"/>
      <c r="L38" s="97"/>
      <c r="M38" s="96"/>
      <c r="N38" s="97"/>
      <c r="O38" s="96"/>
      <c r="P38" s="97"/>
      <c r="Q38" s="96"/>
      <c r="R38" s="97"/>
      <c r="S38" s="17">
        <f>C38*100%</f>
        <v>15683.209999999997</v>
      </c>
      <c r="T38" s="18">
        <f>S38/C38</f>
        <v>1</v>
      </c>
      <c r="U38" s="96"/>
      <c r="V38" s="97"/>
      <c r="W38" s="96"/>
      <c r="X38" s="97"/>
    </row>
    <row r="39" spans="1:24">
      <c r="A39" s="3" t="str">
        <f>RESUMO!A44</f>
        <v>29.0</v>
      </c>
      <c r="B39" s="4" t="str">
        <f>RESUMO!B44</f>
        <v>SERVIÇOS COMPLEMENTARES</v>
      </c>
      <c r="C39" s="15">
        <f>RESUMO!D44</f>
        <v>20041.579999999998</v>
      </c>
      <c r="D39" s="16">
        <f t="shared" si="1"/>
        <v>2.4053278458608641E-3</v>
      </c>
      <c r="E39" s="96"/>
      <c r="F39" s="97"/>
      <c r="G39" s="96"/>
      <c r="H39" s="97"/>
      <c r="I39" s="96"/>
      <c r="J39" s="97"/>
      <c r="K39" s="96"/>
      <c r="L39" s="97"/>
      <c r="M39" s="96"/>
      <c r="N39" s="97"/>
      <c r="O39" s="96"/>
      <c r="P39" s="97"/>
      <c r="Q39" s="96"/>
      <c r="R39" s="97"/>
      <c r="S39" s="96"/>
      <c r="T39" s="97"/>
      <c r="U39" s="17">
        <f>C39*100%</f>
        <v>20041.579999999998</v>
      </c>
      <c r="V39" s="18">
        <f>U39/C39</f>
        <v>1</v>
      </c>
      <c r="W39" s="96"/>
      <c r="X39" s="97"/>
    </row>
    <row r="40" spans="1:24">
      <c r="A40" s="3" t="str">
        <f>RESUMO!A45</f>
        <v>30.0</v>
      </c>
      <c r="B40" s="4" t="str">
        <f>RESUMO!B45</f>
        <v>LIMPEZA</v>
      </c>
      <c r="C40" s="15">
        <f>RESUMO!D45</f>
        <v>999.1</v>
      </c>
      <c r="D40" s="16">
        <f t="shared" si="1"/>
        <v>1.1990886201584854E-4</v>
      </c>
      <c r="E40" s="96"/>
      <c r="F40" s="97"/>
      <c r="G40" s="96"/>
      <c r="H40" s="97"/>
      <c r="I40" s="96"/>
      <c r="J40" s="97"/>
      <c r="K40" s="96"/>
      <c r="L40" s="97"/>
      <c r="M40" s="96"/>
      <c r="N40" s="97"/>
      <c r="O40" s="96"/>
      <c r="P40" s="97"/>
      <c r="Q40" s="96"/>
      <c r="R40" s="97"/>
      <c r="S40" s="96"/>
      <c r="T40" s="97"/>
      <c r="U40" s="17">
        <f>C40*100%</f>
        <v>999.1</v>
      </c>
      <c r="V40" s="18">
        <f>U40/C40</f>
        <v>1</v>
      </c>
      <c r="W40" s="96"/>
      <c r="X40" s="97"/>
    </row>
    <row r="41" spans="1:24">
      <c r="A41" s="1002" t="str">
        <f>RESUMO!A47</f>
        <v>QUADRA E VESTIÁRIOS</v>
      </c>
      <c r="B41" s="1002"/>
      <c r="C41" s="1002"/>
      <c r="D41" s="1002"/>
      <c r="E41" s="101"/>
      <c r="F41" s="102"/>
      <c r="G41" s="101"/>
      <c r="H41" s="102"/>
      <c r="I41" s="101"/>
      <c r="J41" s="102"/>
      <c r="K41" s="101"/>
      <c r="L41" s="102"/>
      <c r="M41" s="101"/>
      <c r="N41" s="102"/>
      <c r="O41" s="101"/>
      <c r="P41" s="102"/>
      <c r="Q41" s="101"/>
      <c r="R41" s="102"/>
      <c r="S41" s="101"/>
      <c r="T41" s="102"/>
      <c r="U41" s="101"/>
      <c r="V41" s="102"/>
      <c r="W41" s="101"/>
      <c r="X41" s="102"/>
    </row>
    <row r="42" spans="1:24" ht="25.5">
      <c r="A42" s="3" t="str">
        <f>RESUMO!A48</f>
        <v>31.0</v>
      </c>
      <c r="B42" s="4" t="str">
        <f>RESUMO!B48</f>
        <v>MOVIMENTAÇÃO DE TERRA (PLATÔ)</v>
      </c>
      <c r="C42" s="15">
        <f>RESUMO!D48</f>
        <v>25551.86</v>
      </c>
      <c r="D42" s="16">
        <f t="shared" ref="D42:D56" si="2">C42/$C$88</f>
        <v>3.0666544439878689E-3</v>
      </c>
      <c r="E42" s="17">
        <f>C42*50%</f>
        <v>12775.93</v>
      </c>
      <c r="F42" s="18">
        <f>E42/$C$12</f>
        <v>0.32949470925465857</v>
      </c>
      <c r="G42" s="17">
        <f>C42*50%</f>
        <v>12775.93</v>
      </c>
      <c r="H42" s="18">
        <f>G42/$C$12</f>
        <v>0.32949470925465857</v>
      </c>
      <c r="I42" s="96"/>
      <c r="J42" s="97"/>
      <c r="K42" s="96"/>
      <c r="L42" s="97"/>
      <c r="M42" s="96"/>
      <c r="N42" s="97"/>
      <c r="O42" s="96"/>
      <c r="P42" s="97"/>
      <c r="Q42" s="96"/>
      <c r="R42" s="97"/>
      <c r="S42" s="96"/>
      <c r="T42" s="97"/>
      <c r="U42" s="96"/>
      <c r="V42" s="97"/>
      <c r="W42" s="96"/>
      <c r="X42" s="97"/>
    </row>
    <row r="43" spans="1:24">
      <c r="A43" s="3" t="str">
        <f>RESUMO!A49</f>
        <v>32.0</v>
      </c>
      <c r="B43" s="4" t="str">
        <f>RESUMO!B49</f>
        <v>FUNDAÇÃO</v>
      </c>
      <c r="C43" s="15">
        <f>RESUMO!D49</f>
        <v>171836.55</v>
      </c>
      <c r="D43" s="16">
        <f t="shared" si="2"/>
        <v>2.0623286120738122E-2</v>
      </c>
      <c r="G43" s="17">
        <f>C43*50%</f>
        <v>85918.274999999994</v>
      </c>
      <c r="H43" s="18">
        <f>G43/C43</f>
        <v>0.5</v>
      </c>
      <c r="I43" s="17">
        <f>C43*50%</f>
        <v>85918.274999999994</v>
      </c>
      <c r="J43" s="18">
        <f>I43/C43</f>
        <v>0.5</v>
      </c>
      <c r="K43" s="96"/>
      <c r="L43" s="97"/>
      <c r="O43" s="96"/>
      <c r="P43" s="97"/>
      <c r="Q43" s="96"/>
      <c r="R43" s="97"/>
      <c r="S43" s="96"/>
      <c r="T43" s="97"/>
      <c r="U43" s="96"/>
      <c r="V43" s="97"/>
      <c r="W43" s="96"/>
      <c r="X43" s="97"/>
    </row>
    <row r="44" spans="1:24">
      <c r="A44" s="3" t="str">
        <f>RESUMO!A50</f>
        <v>33.0</v>
      </c>
      <c r="B44" s="4" t="str">
        <f>RESUMO!B50</f>
        <v>MESO ESTRUTURA</v>
      </c>
      <c r="C44" s="15">
        <f>RESUMO!D50</f>
        <v>118519.59999999999</v>
      </c>
      <c r="D44" s="16">
        <f t="shared" si="2"/>
        <v>1.4224352279625223E-2</v>
      </c>
      <c r="E44" s="96"/>
      <c r="F44" s="97"/>
      <c r="I44" s="17">
        <f>C44*50%</f>
        <v>59259.799999999996</v>
      </c>
      <c r="J44" s="18">
        <f>I44/C44</f>
        <v>0.5</v>
      </c>
      <c r="K44" s="17">
        <f>C44*50%</f>
        <v>59259.799999999996</v>
      </c>
      <c r="L44" s="18">
        <f>K44/C44</f>
        <v>0.5</v>
      </c>
      <c r="M44" s="96"/>
      <c r="N44" s="97"/>
      <c r="O44" s="96"/>
      <c r="P44" s="97"/>
      <c r="Q44" s="96"/>
      <c r="R44" s="97"/>
      <c r="S44" s="96"/>
      <c r="T44" s="97"/>
      <c r="U44" s="96"/>
      <c r="V44" s="97"/>
      <c r="W44" s="96"/>
      <c r="X44" s="97"/>
    </row>
    <row r="45" spans="1:24">
      <c r="A45" s="3" t="str">
        <f>RESUMO!A51</f>
        <v>34.0</v>
      </c>
      <c r="B45" s="4" t="str">
        <f>RESUMO!B51</f>
        <v>SUPER ESTRUTURA</v>
      </c>
      <c r="C45" s="15">
        <f>RESUMO!D51</f>
        <v>140302.11000000002</v>
      </c>
      <c r="D45" s="16">
        <f t="shared" si="2"/>
        <v>1.6838621107519172E-2</v>
      </c>
      <c r="I45" s="17">
        <f>C45*15%</f>
        <v>21045.316500000001</v>
      </c>
      <c r="J45" s="18">
        <f>I45/C45</f>
        <v>0.15</v>
      </c>
      <c r="K45" s="17">
        <f>C45*50%</f>
        <v>70151.055000000008</v>
      </c>
      <c r="L45" s="18">
        <f>K45/C45</f>
        <v>0.5</v>
      </c>
      <c r="M45" s="17">
        <f>C45*35%</f>
        <v>49105.738499999999</v>
      </c>
      <c r="N45" s="18">
        <f>M45/C45</f>
        <v>0.35</v>
      </c>
      <c r="O45" s="96"/>
      <c r="P45" s="97"/>
      <c r="Q45" s="96"/>
      <c r="R45" s="97"/>
      <c r="S45" s="96"/>
      <c r="T45" s="97"/>
      <c r="U45" s="96"/>
      <c r="V45" s="97"/>
      <c r="W45" s="96"/>
      <c r="X45" s="97"/>
    </row>
    <row r="46" spans="1:24">
      <c r="A46" s="3" t="str">
        <f>RESUMO!A52</f>
        <v>35.0</v>
      </c>
      <c r="B46" s="4" t="str">
        <f>RESUMO!B52</f>
        <v>CONTRAPISO ARMADO</v>
      </c>
      <c r="C46" s="15">
        <f>RESUMO!D52</f>
        <v>102687.19</v>
      </c>
      <c r="D46" s="16">
        <f t="shared" si="2"/>
        <v>1.2324195872790733E-2</v>
      </c>
      <c r="I46" s="96"/>
      <c r="J46" s="97"/>
      <c r="K46" s="96"/>
      <c r="L46" s="97"/>
      <c r="M46" s="17">
        <f>C46*50%</f>
        <v>51343.595000000001</v>
      </c>
      <c r="N46" s="18">
        <f>M46/C46</f>
        <v>0.5</v>
      </c>
      <c r="O46" s="17">
        <f>C46*50%</f>
        <v>51343.595000000001</v>
      </c>
      <c r="P46" s="18">
        <f>O46/C46</f>
        <v>0.5</v>
      </c>
      <c r="Q46" s="96"/>
      <c r="R46" s="97"/>
      <c r="S46" s="96"/>
      <c r="T46" s="97"/>
      <c r="U46" s="96"/>
      <c r="V46" s="97"/>
      <c r="W46" s="96"/>
      <c r="X46" s="97"/>
    </row>
    <row r="47" spans="1:24">
      <c r="A47" s="3" t="s">
        <v>176</v>
      </c>
      <c r="B47" s="4" t="str">
        <f>RESUMO!B53</f>
        <v>ELEMENTOS DE VEDAÇÃO</v>
      </c>
      <c r="C47" s="15">
        <f>RESUMO!D53</f>
        <v>175557.63</v>
      </c>
      <c r="D47" s="16">
        <f t="shared" si="2"/>
        <v>2.1069878522169343E-2</v>
      </c>
      <c r="E47" s="96"/>
      <c r="F47" s="97"/>
      <c r="G47" s="96"/>
      <c r="H47" s="97"/>
      <c r="K47" s="17">
        <f>C47*10%</f>
        <v>17555.763000000003</v>
      </c>
      <c r="L47" s="18">
        <f>K47/C47</f>
        <v>0.1</v>
      </c>
      <c r="M47" s="17">
        <f>C47*70%</f>
        <v>122890.341</v>
      </c>
      <c r="N47" s="18">
        <f>M47/C47</f>
        <v>0.7</v>
      </c>
      <c r="O47" s="17">
        <f>C47*20%</f>
        <v>35111.526000000005</v>
      </c>
      <c r="P47" s="18">
        <f>O47/C47</f>
        <v>0.2</v>
      </c>
      <c r="Q47" s="96"/>
      <c r="R47" s="97"/>
      <c r="S47" s="96"/>
      <c r="T47" s="97"/>
      <c r="U47" s="96"/>
      <c r="V47" s="97"/>
      <c r="W47" s="96"/>
      <c r="X47" s="97"/>
    </row>
    <row r="48" spans="1:24" s="299" customFormat="1">
      <c r="A48" s="298" t="s">
        <v>177</v>
      </c>
      <c r="B48" s="299" t="str">
        <f>RESUMO!B54</f>
        <v>ESQUADRIAS</v>
      </c>
      <c r="C48" s="439">
        <f>RESUMO!D54</f>
        <v>23264.799999999999</v>
      </c>
      <c r="D48" s="440">
        <f>C48/$C$88</f>
        <v>2.7921686448066389E-3</v>
      </c>
      <c r="E48" s="125"/>
      <c r="F48" s="126"/>
      <c r="G48" s="125"/>
      <c r="H48" s="126"/>
      <c r="I48" s="125"/>
      <c r="J48" s="126"/>
      <c r="K48" s="125"/>
      <c r="L48" s="126"/>
      <c r="Q48" s="17">
        <f>C48*70%</f>
        <v>16285.359999999999</v>
      </c>
      <c r="R48" s="18">
        <f>Q48/C48</f>
        <v>0.7</v>
      </c>
      <c r="S48" s="17">
        <f>C48*30%</f>
        <v>6979.44</v>
      </c>
      <c r="T48" s="18">
        <f>S48/C48</f>
        <v>0.3</v>
      </c>
      <c r="U48" s="125"/>
      <c r="V48" s="126"/>
      <c r="W48" s="125"/>
      <c r="X48" s="126"/>
    </row>
    <row r="49" spans="1:24">
      <c r="A49" s="3" t="s">
        <v>178</v>
      </c>
      <c r="B49" s="4" t="str">
        <f>RESUMO!B55</f>
        <v>COBERTURA</v>
      </c>
      <c r="C49" s="15">
        <f>RESUMO!D55</f>
        <v>650641.54999999993</v>
      </c>
      <c r="D49" s="16">
        <f t="shared" si="2"/>
        <v>7.8087967011037734E-2</v>
      </c>
      <c r="E49" s="96"/>
      <c r="F49" s="97"/>
      <c r="G49" s="96"/>
      <c r="H49" s="97"/>
      <c r="I49" s="96"/>
      <c r="J49" s="97"/>
      <c r="K49" s="96"/>
      <c r="L49" s="97"/>
      <c r="Q49" s="17">
        <f>C49*70%</f>
        <v>455449.0849999999</v>
      </c>
      <c r="R49" s="18">
        <f>Q49/C49</f>
        <v>0.7</v>
      </c>
      <c r="S49" s="17">
        <f>C49*30%</f>
        <v>195192.46499999997</v>
      </c>
      <c r="T49" s="18">
        <f>S49/C49</f>
        <v>0.3</v>
      </c>
      <c r="U49" s="96"/>
      <c r="V49" s="97"/>
      <c r="W49" s="96"/>
      <c r="X49" s="97"/>
    </row>
    <row r="50" spans="1:24">
      <c r="A50" s="3" t="s">
        <v>179</v>
      </c>
      <c r="B50" s="4" t="str">
        <f>RESUMO!B56</f>
        <v>REVESTIMENTO</v>
      </c>
      <c r="C50" s="15">
        <f>RESUMO!D56</f>
        <v>180551.84</v>
      </c>
      <c r="D50" s="16">
        <f t="shared" si="2"/>
        <v>2.1669268010476993E-2</v>
      </c>
      <c r="E50" s="96"/>
      <c r="F50" s="97"/>
      <c r="G50" s="96"/>
      <c r="H50" s="97"/>
      <c r="I50" s="96"/>
      <c r="J50" s="97"/>
      <c r="K50" s="96"/>
      <c r="L50" s="97"/>
      <c r="M50" s="96"/>
      <c r="N50" s="97"/>
      <c r="O50" s="96"/>
      <c r="P50" s="97"/>
      <c r="S50" s="17">
        <f>C50*60%</f>
        <v>108331.10399999999</v>
      </c>
      <c r="T50" s="18">
        <f>S50/C50</f>
        <v>0.6</v>
      </c>
      <c r="U50" s="17">
        <f>C50*40%</f>
        <v>72220.736000000004</v>
      </c>
      <c r="V50" s="18">
        <f>U50/C50</f>
        <v>0.4</v>
      </c>
      <c r="W50" s="96"/>
      <c r="X50" s="97"/>
    </row>
    <row r="51" spans="1:24" s="299" customFormat="1">
      <c r="A51" s="298" t="s">
        <v>180</v>
      </c>
      <c r="B51" s="299" t="str">
        <f>RESUMO!B57</f>
        <v>PISOS</v>
      </c>
      <c r="C51" s="439">
        <f>RESUMO!D57</f>
        <v>22311.03</v>
      </c>
      <c r="D51" s="440">
        <f>C51/$C$88</f>
        <v>2.677700147834508E-3</v>
      </c>
      <c r="E51" s="125"/>
      <c r="F51" s="126"/>
      <c r="G51" s="125"/>
      <c r="H51" s="126"/>
      <c r="I51" s="125"/>
      <c r="J51" s="126"/>
      <c r="K51" s="125"/>
      <c r="L51" s="126"/>
      <c r="M51" s="125"/>
      <c r="N51" s="126"/>
      <c r="Q51" s="17">
        <f>C51*100%</f>
        <v>22311.03</v>
      </c>
      <c r="R51" s="18">
        <f>Q51/C51</f>
        <v>1</v>
      </c>
      <c r="S51" s="125"/>
      <c r="T51" s="126"/>
      <c r="U51" s="125"/>
      <c r="V51" s="126"/>
      <c r="W51" s="125"/>
      <c r="X51" s="126"/>
    </row>
    <row r="52" spans="1:24">
      <c r="A52" s="3" t="s">
        <v>387</v>
      </c>
      <c r="B52" s="4" t="str">
        <f>RESUMO!B58</f>
        <v>ARQUIBANCADA</v>
      </c>
      <c r="C52" s="15">
        <f>RESUMO!D58</f>
        <v>46021.369999999995</v>
      </c>
      <c r="D52" s="16">
        <f t="shared" si="2"/>
        <v>5.5233411121112111E-3</v>
      </c>
      <c r="E52" s="96"/>
      <c r="F52" s="97"/>
      <c r="G52" s="96"/>
      <c r="H52" s="97"/>
      <c r="I52" s="96"/>
      <c r="J52" s="97"/>
      <c r="K52" s="96"/>
      <c r="L52" s="97"/>
      <c r="M52" s="96"/>
      <c r="N52" s="97"/>
      <c r="Q52" s="17">
        <f>C52*100%</f>
        <v>46021.369999999995</v>
      </c>
      <c r="R52" s="18">
        <f>Q52/C52</f>
        <v>1</v>
      </c>
      <c r="S52" s="96"/>
      <c r="T52" s="97"/>
      <c r="U52" s="96"/>
      <c r="V52" s="97"/>
      <c r="W52" s="96"/>
      <c r="X52" s="97"/>
    </row>
    <row r="53" spans="1:24">
      <c r="A53" s="3" t="s">
        <v>391</v>
      </c>
      <c r="B53" s="4" t="str">
        <f>RESUMO!B59</f>
        <v>PINTURA</v>
      </c>
      <c r="C53" s="15">
        <f>RESUMO!D59</f>
        <v>149660.88</v>
      </c>
      <c r="D53" s="16">
        <f t="shared" si="2"/>
        <v>1.7961831457402128E-2</v>
      </c>
      <c r="E53" s="96"/>
      <c r="F53" s="97"/>
      <c r="G53" s="96"/>
      <c r="H53" s="97"/>
      <c r="I53" s="96"/>
      <c r="J53" s="97"/>
      <c r="K53" s="96"/>
      <c r="L53" s="97"/>
      <c r="M53" s="96"/>
      <c r="N53" s="97"/>
      <c r="O53" s="96"/>
      <c r="P53" s="97"/>
      <c r="Q53" s="96"/>
      <c r="R53" s="97"/>
      <c r="S53" s="96"/>
      <c r="T53" s="97"/>
      <c r="U53" s="17">
        <f>C53*100%</f>
        <v>149660.88</v>
      </c>
      <c r="V53" s="18">
        <f>U53/C53</f>
        <v>1</v>
      </c>
      <c r="W53" s="96"/>
      <c r="X53" s="97"/>
    </row>
    <row r="54" spans="1:24" s="299" customFormat="1">
      <c r="A54" s="298" t="s">
        <v>393</v>
      </c>
      <c r="B54" s="299" t="str">
        <f>RESUMO!B60</f>
        <v>FORROS E DIVISÓRIAS</v>
      </c>
      <c r="C54" s="439">
        <f>RESUMO!D60</f>
        <v>16037.119999999999</v>
      </c>
      <c r="D54" s="440">
        <f>C54/$C$88</f>
        <v>1.9247250617671953E-3</v>
      </c>
      <c r="E54" s="125"/>
      <c r="F54" s="126"/>
      <c r="G54" s="125"/>
      <c r="H54" s="126"/>
      <c r="I54" s="125"/>
      <c r="J54" s="126"/>
      <c r="K54" s="125"/>
      <c r="L54" s="126"/>
      <c r="M54" s="125"/>
      <c r="N54" s="126"/>
      <c r="O54" s="125"/>
      <c r="P54" s="126"/>
      <c r="Q54" s="125"/>
      <c r="R54" s="126"/>
      <c r="S54" s="17">
        <f>C54*100%</f>
        <v>16037.119999999999</v>
      </c>
      <c r="T54" s="18">
        <f>S54/C54</f>
        <v>1</v>
      </c>
      <c r="U54" s="125"/>
      <c r="V54" s="126"/>
      <c r="W54" s="125"/>
      <c r="X54" s="126"/>
    </row>
    <row r="55" spans="1:24">
      <c r="A55" s="3" t="s">
        <v>395</v>
      </c>
      <c r="B55" s="4" t="str">
        <f>RESUMO!B61</f>
        <v>SERVIÇOS COMPLEMENTARES</v>
      </c>
      <c r="C55" s="15">
        <f>RESUMO!D61</f>
        <v>46543</v>
      </c>
      <c r="D55" s="16">
        <f t="shared" si="2"/>
        <v>5.5859455157678296E-3</v>
      </c>
      <c r="E55" s="96"/>
      <c r="F55" s="97"/>
      <c r="G55" s="96"/>
      <c r="H55" s="97"/>
      <c r="I55" s="96"/>
      <c r="J55" s="97"/>
      <c r="K55" s="96"/>
      <c r="L55" s="97"/>
      <c r="M55" s="96"/>
      <c r="N55" s="97"/>
      <c r="O55" s="96"/>
      <c r="P55" s="97"/>
      <c r="Q55" s="96"/>
      <c r="R55" s="97"/>
      <c r="S55" s="96"/>
      <c r="T55" s="97"/>
      <c r="U55" s="96"/>
      <c r="V55" s="97"/>
      <c r="W55" s="17">
        <f>C55*100%</f>
        <v>46543</v>
      </c>
      <c r="X55" s="18">
        <f>W55/C55</f>
        <v>1</v>
      </c>
    </row>
    <row r="56" spans="1:24">
      <c r="A56" s="3" t="s">
        <v>398</v>
      </c>
      <c r="B56" s="4" t="str">
        <f>RESUMO!B62</f>
        <v>LIMPEZA</v>
      </c>
      <c r="C56" s="15">
        <f>RESUMO!D62</f>
        <v>4136.72</v>
      </c>
      <c r="D56" s="16">
        <f t="shared" si="2"/>
        <v>4.9647621627284656E-4</v>
      </c>
      <c r="E56" s="96"/>
      <c r="F56" s="97"/>
      <c r="G56" s="96"/>
      <c r="H56" s="97"/>
      <c r="I56" s="96"/>
      <c r="J56" s="97"/>
      <c r="K56" s="96"/>
      <c r="L56" s="97"/>
      <c r="M56" s="96"/>
      <c r="N56" s="97"/>
      <c r="O56" s="96"/>
      <c r="P56" s="97"/>
      <c r="Q56" s="96"/>
      <c r="R56" s="97"/>
      <c r="S56" s="96"/>
      <c r="T56" s="97"/>
      <c r="U56" s="96"/>
      <c r="V56" s="97"/>
      <c r="W56" s="17">
        <f>C56*100%</f>
        <v>4136.72</v>
      </c>
      <c r="X56" s="18">
        <f>W56/C56</f>
        <v>1</v>
      </c>
    </row>
    <row r="57" spans="1:24" ht="12.75" customHeight="1">
      <c r="A57" s="1002" t="str">
        <f>RESUMO!A64</f>
        <v>ÁREA EXTERNA</v>
      </c>
      <c r="B57" s="1002"/>
      <c r="C57" s="1002"/>
      <c r="D57" s="1002"/>
      <c r="E57" s="101"/>
      <c r="F57" s="102"/>
      <c r="G57" s="101"/>
      <c r="H57" s="102"/>
      <c r="I57" s="101"/>
      <c r="J57" s="102"/>
      <c r="K57" s="101"/>
      <c r="L57" s="102"/>
      <c r="M57" s="101"/>
      <c r="N57" s="102"/>
      <c r="O57" s="101"/>
      <c r="P57" s="102"/>
      <c r="Q57" s="101"/>
      <c r="R57" s="102"/>
      <c r="S57" s="101"/>
      <c r="T57" s="102"/>
      <c r="U57" s="101"/>
      <c r="V57" s="102"/>
      <c r="W57" s="101"/>
      <c r="X57" s="102"/>
    </row>
    <row r="58" spans="1:24">
      <c r="A58" s="3" t="str">
        <f>RESUMO!A65</f>
        <v>46.0</v>
      </c>
      <c r="B58" s="4" t="str">
        <f>RESUMO!B65</f>
        <v>URBANIZAÇÃO E PAISAGISMO</v>
      </c>
      <c r="C58" s="15">
        <f>RESUMO!D65</f>
        <v>59863.689999999995</v>
      </c>
      <c r="D58" s="16">
        <f>C58/$C$88</f>
        <v>7.1846531317881403E-3</v>
      </c>
      <c r="E58" s="96"/>
      <c r="F58" s="97"/>
      <c r="G58" s="96"/>
      <c r="H58" s="97"/>
      <c r="I58" s="96"/>
      <c r="J58" s="97"/>
      <c r="K58" s="96"/>
      <c r="L58" s="97"/>
      <c r="M58" s="96"/>
      <c r="N58" s="97"/>
      <c r="O58" s="96"/>
      <c r="P58" s="97"/>
      <c r="Q58" s="96"/>
      <c r="R58" s="97"/>
      <c r="S58" s="96"/>
      <c r="T58" s="97"/>
      <c r="U58" s="96"/>
      <c r="V58" s="97"/>
      <c r="W58" s="17">
        <f>C58*100%</f>
        <v>59863.689999999995</v>
      </c>
      <c r="X58" s="18">
        <f>W58/C58</f>
        <v>1</v>
      </c>
    </row>
    <row r="59" spans="1:24">
      <c r="A59" s="3" t="str">
        <f>RESUMO!A66</f>
        <v>47.0</v>
      </c>
      <c r="B59" s="4" t="str">
        <f>RESUMO!B66</f>
        <v>PERGOLADOS METÁLICOS</v>
      </c>
      <c r="C59" s="15">
        <f>RESUMO!D66</f>
        <v>45963.700000000004</v>
      </c>
      <c r="D59" s="16">
        <f>C59/$C$88</f>
        <v>5.5164197388027801E-3</v>
      </c>
      <c r="E59" s="96"/>
      <c r="F59" s="97"/>
      <c r="G59" s="96"/>
      <c r="H59" s="97"/>
      <c r="I59" s="96"/>
      <c r="J59" s="97"/>
      <c r="K59" s="96"/>
      <c r="L59" s="97"/>
      <c r="M59" s="96"/>
      <c r="N59" s="97"/>
      <c r="O59" s="96"/>
      <c r="P59" s="97"/>
      <c r="Q59" s="96"/>
      <c r="R59" s="97"/>
      <c r="S59" s="17">
        <f>C59*100%</f>
        <v>45963.700000000004</v>
      </c>
      <c r="T59" s="18">
        <f>S59/C59</f>
        <v>1</v>
      </c>
      <c r="W59" s="96"/>
      <c r="X59" s="97"/>
    </row>
    <row r="60" spans="1:24" ht="38.25">
      <c r="A60" s="3" t="str">
        <f>RESUMO!A67</f>
        <v>48.0</v>
      </c>
      <c r="B60" s="4" t="str">
        <f>RESUMO!B67</f>
        <v>MUROS, CERCAS, FECHAMENTOS E CALÇADAS DE ÁREAS DE CONVIVENCIA</v>
      </c>
      <c r="C60" s="15">
        <f>RESUMO!D67</f>
        <v>446901.43999999994</v>
      </c>
      <c r="D60" s="16">
        <f>C60/$C$88</f>
        <v>5.3635715247366635E-2</v>
      </c>
      <c r="E60" s="96"/>
      <c r="F60" s="97"/>
      <c r="G60" s="96"/>
      <c r="H60" s="97"/>
      <c r="I60" s="96"/>
      <c r="J60" s="97"/>
      <c r="K60" s="96"/>
      <c r="L60" s="97"/>
      <c r="M60" s="96"/>
      <c r="N60" s="97"/>
      <c r="O60" s="96"/>
      <c r="P60" s="97"/>
      <c r="Q60" s="96"/>
      <c r="R60" s="97"/>
      <c r="S60" s="96"/>
      <c r="T60" s="97"/>
      <c r="U60" s="17">
        <f>C60*50%</f>
        <v>223450.71999999997</v>
      </c>
      <c r="V60" s="18">
        <f>U60/C60</f>
        <v>0.5</v>
      </c>
      <c r="W60" s="17">
        <f>C60*50%</f>
        <v>223450.71999999997</v>
      </c>
      <c r="X60" s="18">
        <f>W60/C60</f>
        <v>0.5</v>
      </c>
    </row>
    <row r="61" spans="1:24">
      <c r="A61" s="3" t="str">
        <f>RESUMO!A68</f>
        <v>49.0</v>
      </c>
      <c r="B61" s="4" t="str">
        <f>RESUMO!B68</f>
        <v>ITENS COMPLEMENTARES</v>
      </c>
      <c r="C61" s="15">
        <f>RESUMO!D68</f>
        <v>4181.13</v>
      </c>
      <c r="D61" s="16">
        <f>C61/$C$88</f>
        <v>5.0180616578953535E-4</v>
      </c>
      <c r="E61" s="96"/>
      <c r="F61" s="97"/>
      <c r="G61" s="96"/>
      <c r="H61" s="97"/>
      <c r="I61" s="96"/>
      <c r="J61" s="97"/>
      <c r="K61" s="96"/>
      <c r="L61" s="97"/>
      <c r="M61" s="96"/>
      <c r="N61" s="97"/>
      <c r="O61" s="96"/>
      <c r="P61" s="97"/>
      <c r="Q61" s="96"/>
      <c r="R61" s="97"/>
      <c r="S61" s="96"/>
      <c r="T61" s="97"/>
      <c r="U61" s="96"/>
      <c r="V61" s="97"/>
      <c r="W61" s="17">
        <f>C61*100%</f>
        <v>4181.13</v>
      </c>
      <c r="X61" s="18">
        <f>W61/C61</f>
        <v>1</v>
      </c>
    </row>
    <row r="62" spans="1:24">
      <c r="A62" s="1002" t="str">
        <f>RESUMO!A70</f>
        <v>INSTALAÇÕES HIDROSSANITARIAS</v>
      </c>
      <c r="B62" s="1002"/>
      <c r="C62" s="1002"/>
      <c r="D62" s="1002"/>
      <c r="E62" s="101"/>
      <c r="F62" s="102"/>
      <c r="G62" s="101"/>
      <c r="H62" s="102"/>
      <c r="I62" s="101"/>
      <c r="J62" s="102"/>
      <c r="K62" s="101"/>
      <c r="L62" s="102"/>
      <c r="M62" s="101"/>
      <c r="N62" s="102"/>
      <c r="O62" s="101"/>
      <c r="P62" s="102"/>
      <c r="Q62" s="101"/>
      <c r="R62" s="102"/>
      <c r="S62" s="101"/>
      <c r="T62" s="102"/>
      <c r="U62" s="172"/>
      <c r="V62" s="173"/>
      <c r="W62" s="101"/>
      <c r="X62" s="102"/>
    </row>
    <row r="63" spans="1:24">
      <c r="A63" s="3" t="str">
        <f>RESUMO!A71</f>
        <v>50.0</v>
      </c>
      <c r="B63" s="4" t="str">
        <f>RESUMO!B71</f>
        <v>ALIMENTAÇÃO</v>
      </c>
      <c r="C63" s="15">
        <f>RESUMO!D71</f>
        <v>2893.2</v>
      </c>
      <c r="D63" s="16">
        <f>C63/$C$88</f>
        <v>3.4723282913047039E-4</v>
      </c>
      <c r="E63" s="96"/>
      <c r="F63" s="97"/>
      <c r="G63" s="17">
        <f>C63*100%</f>
        <v>2893.2</v>
      </c>
      <c r="H63" s="18">
        <f>G63/C63</f>
        <v>1</v>
      </c>
      <c r="I63" s="96"/>
      <c r="J63" s="97"/>
      <c r="K63" s="96"/>
      <c r="L63" s="97"/>
      <c r="M63" s="96"/>
      <c r="N63" s="97"/>
      <c r="W63" s="125"/>
      <c r="X63" s="97"/>
    </row>
    <row r="64" spans="1:24" ht="25.5">
      <c r="A64" s="3" t="str">
        <f>RESUMO!A72</f>
        <v>51.0</v>
      </c>
      <c r="B64" s="4" t="str">
        <f>RESUMO!B72</f>
        <v>ÁGUA FRIA - RAMAL DE DISTRIBUIÇÃO ESCOLAR</v>
      </c>
      <c r="C64" s="15">
        <f>RESUMO!D72</f>
        <v>26469.320000000003</v>
      </c>
      <c r="D64" s="16">
        <f t="shared" ref="D64:D76" si="3">C64/$C$88</f>
        <v>3.1767651281486742E-3</v>
      </c>
      <c r="E64" s="96"/>
      <c r="F64" s="97"/>
      <c r="G64" s="96"/>
      <c r="H64" s="97"/>
      <c r="I64" s="96"/>
      <c r="J64" s="97"/>
      <c r="K64" s="96"/>
      <c r="L64" s="97"/>
      <c r="M64" s="96"/>
      <c r="N64" s="97"/>
      <c r="O64" s="96"/>
      <c r="P64" s="97"/>
      <c r="Q64" s="96"/>
      <c r="R64" s="97"/>
      <c r="S64" s="17">
        <f>C64*100%</f>
        <v>26469.320000000003</v>
      </c>
      <c r="T64" s="18">
        <f>S64/$C64</f>
        <v>1</v>
      </c>
      <c r="U64" s="96"/>
      <c r="V64" s="97"/>
      <c r="W64" s="96"/>
      <c r="X64" s="97"/>
    </row>
    <row r="65" spans="1:24">
      <c r="A65" s="3" t="str">
        <f>RESUMO!A73</f>
        <v>52.0</v>
      </c>
      <c r="B65" s="4" t="str">
        <f>RESUMO!B73</f>
        <v>CISTERNA E CAIXAS D'ÁGUA</v>
      </c>
      <c r="C65" s="15">
        <f>RESUMO!D73</f>
        <v>128112.41</v>
      </c>
      <c r="D65" s="16">
        <f t="shared" si="3"/>
        <v>1.5375651379449318E-2</v>
      </c>
      <c r="E65" s="96"/>
      <c r="F65" s="97"/>
      <c r="G65" s="96"/>
      <c r="H65" s="97"/>
      <c r="I65" s="96"/>
      <c r="J65" s="97"/>
      <c r="K65" s="96"/>
      <c r="L65" s="97"/>
      <c r="M65" s="96"/>
      <c r="N65" s="97"/>
      <c r="O65" s="96"/>
      <c r="P65" s="97"/>
      <c r="Q65" s="96"/>
      <c r="R65" s="97"/>
      <c r="S65" s="96"/>
      <c r="T65" s="97"/>
      <c r="U65" s="17">
        <f>C65*100%</f>
        <v>128112.41</v>
      </c>
      <c r="V65" s="18">
        <f>U65/C65</f>
        <v>1</v>
      </c>
      <c r="W65" s="96"/>
      <c r="X65" s="97"/>
    </row>
    <row r="66" spans="1:24" ht="25.5">
      <c r="A66" s="3" t="str">
        <f>RESUMO!A74</f>
        <v>53.0</v>
      </c>
      <c r="B66" s="4" t="str">
        <f>RESUMO!B74</f>
        <v xml:space="preserve">LOUÇAS PARA OS BANHEIROS COLETIVOS </v>
      </c>
      <c r="C66" s="15">
        <f>RESUMO!D74</f>
        <v>7261.63</v>
      </c>
      <c r="D66" s="16">
        <f t="shared" si="3"/>
        <v>8.7151815602056469E-4</v>
      </c>
      <c r="E66" s="96"/>
      <c r="F66" s="97"/>
      <c r="G66" s="96"/>
      <c r="H66" s="97"/>
      <c r="I66" s="96"/>
      <c r="J66" s="97"/>
      <c r="K66" s="96"/>
      <c r="L66" s="97"/>
      <c r="M66" s="96"/>
      <c r="N66" s="97"/>
      <c r="O66" s="96"/>
      <c r="P66" s="97"/>
      <c r="Q66" s="96"/>
      <c r="R66" s="97"/>
      <c r="S66" s="17">
        <f>C66*100%</f>
        <v>7261.63</v>
      </c>
      <c r="T66" s="18">
        <f>S66/$C66</f>
        <v>1</v>
      </c>
      <c r="U66" s="96"/>
      <c r="V66" s="97"/>
      <c r="W66" s="96"/>
      <c r="X66" s="97"/>
    </row>
    <row r="67" spans="1:24">
      <c r="A67" s="3" t="str">
        <f>RESUMO!A75</f>
        <v>54.0</v>
      </c>
      <c r="B67" s="4" t="str">
        <f>RESUMO!B75</f>
        <v>LOUÇAS PARA VESTIÁRIOS</v>
      </c>
      <c r="C67" s="15">
        <f>RESUMO!D75</f>
        <v>3207.18</v>
      </c>
      <c r="D67" s="16">
        <f t="shared" si="3"/>
        <v>3.8491572823540096E-4</v>
      </c>
      <c r="E67" s="96"/>
      <c r="F67" s="97"/>
      <c r="G67" s="96"/>
      <c r="H67" s="97"/>
      <c r="I67" s="96"/>
      <c r="J67" s="97"/>
      <c r="K67" s="96"/>
      <c r="L67" s="97"/>
      <c r="M67" s="96"/>
      <c r="N67" s="97"/>
      <c r="O67" s="96"/>
      <c r="P67" s="97"/>
      <c r="Q67" s="96"/>
      <c r="R67" s="97"/>
      <c r="S67" s="17">
        <f>C67*100%</f>
        <v>3207.18</v>
      </c>
      <c r="T67" s="18">
        <f>S67/$C67</f>
        <v>1</v>
      </c>
      <c r="U67" s="96"/>
      <c r="V67" s="97"/>
      <c r="W67" s="125"/>
      <c r="X67" s="97"/>
    </row>
    <row r="68" spans="1:24" ht="25.5">
      <c r="A68" s="3" t="str">
        <f>RESUMO!A76</f>
        <v>55.0</v>
      </c>
      <c r="B68" s="4" t="str">
        <f>RESUMO!B76</f>
        <v>BANHEIROS FUNCIONÁRIOS E COPA</v>
      </c>
      <c r="C68" s="15">
        <f>RESUMO!D76</f>
        <v>2723.75</v>
      </c>
      <c r="D68" s="16">
        <f t="shared" si="3"/>
        <v>3.2689596928802669E-4</v>
      </c>
      <c r="E68" s="96"/>
      <c r="F68" s="97"/>
      <c r="G68" s="96"/>
      <c r="H68" s="97"/>
      <c r="I68" s="96"/>
      <c r="J68" s="97"/>
      <c r="K68" s="96"/>
      <c r="L68" s="97"/>
      <c r="M68" s="96"/>
      <c r="N68" s="97"/>
      <c r="O68" s="96"/>
      <c r="P68" s="97"/>
      <c r="Q68" s="96"/>
      <c r="R68" s="97"/>
      <c r="S68" s="17">
        <f>C68*100%</f>
        <v>2723.75</v>
      </c>
      <c r="T68" s="18">
        <f>S68/$C68</f>
        <v>1</v>
      </c>
      <c r="U68" s="96"/>
      <c r="V68" s="97"/>
      <c r="W68" s="96"/>
      <c r="X68" s="97"/>
    </row>
    <row r="69" spans="1:24">
      <c r="A69" s="3" t="str">
        <f>RESUMO!A77</f>
        <v>56.0</v>
      </c>
      <c r="B69" s="4" t="str">
        <f>RESUMO!B77</f>
        <v>LOUÇAS LABORATÓRIOS</v>
      </c>
      <c r="C69" s="15">
        <f>RESUMO!D77</f>
        <v>5133.3999999999996</v>
      </c>
      <c r="D69" s="16">
        <f t="shared" si="3"/>
        <v>6.1609463744585812E-4</v>
      </c>
      <c r="E69" s="96"/>
      <c r="F69" s="97"/>
      <c r="G69" s="96"/>
      <c r="H69" s="97"/>
      <c r="I69" s="96"/>
      <c r="J69" s="97"/>
      <c r="K69" s="96"/>
      <c r="L69" s="97"/>
      <c r="M69" s="96"/>
      <c r="N69" s="97"/>
      <c r="O69" s="96"/>
      <c r="P69" s="97"/>
      <c r="Q69" s="96"/>
      <c r="R69" s="97"/>
      <c r="S69" s="96"/>
      <c r="T69" s="97"/>
      <c r="U69" s="17">
        <f>C69*100%</f>
        <v>5133.3999999999996</v>
      </c>
      <c r="V69" s="18">
        <f>U69/C69</f>
        <v>1</v>
      </c>
      <c r="W69" s="125"/>
      <c r="X69" s="97"/>
    </row>
    <row r="70" spans="1:24" ht="51">
      <c r="A70" s="3" t="str">
        <f>RESUMO!A78</f>
        <v>57.0</v>
      </c>
      <c r="B70" s="4" t="str">
        <f>RESUMO!B78</f>
        <v>ACESSORIOS COMPLEMENTARES E LOUÇAS PARA COZINHA, ÁREA DE SERVIÇO E REFEITÓRIO</v>
      </c>
      <c r="C70" s="15">
        <f>RESUMO!D78</f>
        <v>22921.58</v>
      </c>
      <c r="D70" s="16">
        <f t="shared" si="3"/>
        <v>2.7509764522122247E-3</v>
      </c>
      <c r="E70" s="96"/>
      <c r="F70" s="97"/>
      <c r="G70" s="96"/>
      <c r="H70" s="97"/>
      <c r="I70" s="96"/>
      <c r="J70" s="97"/>
      <c r="K70" s="96"/>
      <c r="L70" s="97"/>
      <c r="M70" s="96"/>
      <c r="N70" s="97"/>
      <c r="O70" s="96"/>
      <c r="P70" s="97"/>
      <c r="Q70" s="96"/>
      <c r="R70" s="97"/>
      <c r="S70" s="96"/>
      <c r="T70" s="97"/>
      <c r="U70" s="17">
        <f>C70*100%</f>
        <v>22921.58</v>
      </c>
      <c r="V70" s="18">
        <f>U70/C70</f>
        <v>1</v>
      </c>
      <c r="W70" s="96"/>
      <c r="X70" s="97"/>
    </row>
    <row r="71" spans="1:24" ht="25.5">
      <c r="A71" s="3" t="str">
        <f>RESUMO!A79</f>
        <v>58.0</v>
      </c>
      <c r="B71" s="4" t="str">
        <f>RESUMO!B79</f>
        <v>BANHEIROS FUNCIONÁRIOS REFEITÓRIO</v>
      </c>
      <c r="C71" s="15">
        <f>RESUMO!D79</f>
        <v>1773.9599999999998</v>
      </c>
      <c r="D71" s="16">
        <f t="shared" si="3"/>
        <v>2.1290513948717311E-4</v>
      </c>
      <c r="E71" s="96"/>
      <c r="F71" s="97"/>
      <c r="G71" s="96"/>
      <c r="H71" s="97"/>
      <c r="I71" s="96"/>
      <c r="J71" s="97"/>
      <c r="K71" s="96"/>
      <c r="L71" s="97"/>
      <c r="M71" s="96"/>
      <c r="N71" s="97"/>
      <c r="O71" s="96"/>
      <c r="P71" s="97"/>
      <c r="Q71" s="96"/>
      <c r="R71" s="97"/>
      <c r="S71" s="17">
        <f>C71*100%</f>
        <v>1773.9599999999998</v>
      </c>
      <c r="T71" s="18">
        <f>S71/$C71</f>
        <v>1</v>
      </c>
      <c r="U71" s="96"/>
      <c r="V71" s="97"/>
      <c r="W71" s="125"/>
      <c r="X71" s="97"/>
    </row>
    <row r="72" spans="1:24" ht="25.5">
      <c r="A72" s="3" t="str">
        <f>RESUMO!A80</f>
        <v>59.0</v>
      </c>
      <c r="B72" s="4" t="str">
        <f>RESUMO!B80</f>
        <v>ACESSORIOS E LOUÇAS PARA BANHEIROS PCDs</v>
      </c>
      <c r="C72" s="15">
        <f>RESUMO!D80</f>
        <v>11032.18</v>
      </c>
      <c r="D72" s="16">
        <f t="shared" si="3"/>
        <v>1.3240477923671344E-3</v>
      </c>
      <c r="E72" s="96"/>
      <c r="F72" s="97"/>
      <c r="G72" s="96"/>
      <c r="H72" s="97"/>
      <c r="I72" s="96"/>
      <c r="J72" s="97"/>
      <c r="K72" s="96"/>
      <c r="L72" s="97"/>
      <c r="M72" s="96"/>
      <c r="N72" s="97"/>
      <c r="O72" s="96"/>
      <c r="P72" s="97"/>
      <c r="Q72" s="96"/>
      <c r="R72" s="97"/>
      <c r="S72" s="96"/>
      <c r="T72" s="97"/>
      <c r="U72" s="17">
        <f>C72*100%</f>
        <v>11032.18</v>
      </c>
      <c r="V72" s="18">
        <f>U72/C72</f>
        <v>1</v>
      </c>
      <c r="W72" s="96"/>
      <c r="X72" s="97"/>
    </row>
    <row r="73" spans="1:24">
      <c r="A73" s="3" t="str">
        <f>RESUMO!A81</f>
        <v>60.0</v>
      </c>
      <c r="B73" s="4" t="str">
        <f>RESUMO!B81</f>
        <v>INSTALAÇÕES SANITARIAS</v>
      </c>
      <c r="C73" s="15">
        <f>RESUMO!D81</f>
        <v>19667.41</v>
      </c>
      <c r="D73" s="16">
        <f t="shared" si="3"/>
        <v>2.360421130916945E-3</v>
      </c>
      <c r="E73" s="96"/>
      <c r="F73" s="97"/>
      <c r="G73" s="96"/>
      <c r="H73" s="97"/>
      <c r="I73" s="96"/>
      <c r="J73" s="97"/>
      <c r="K73" s="96"/>
      <c r="L73" s="97"/>
      <c r="M73" s="96"/>
      <c r="N73" s="97"/>
      <c r="O73" s="96"/>
      <c r="P73" s="97"/>
      <c r="Q73" s="96"/>
      <c r="R73" s="97"/>
      <c r="S73" s="17">
        <f>C73*50%</f>
        <v>9833.7049999999999</v>
      </c>
      <c r="T73" s="18">
        <f>S73/C73</f>
        <v>0.5</v>
      </c>
      <c r="U73" s="17">
        <f>C73*50%</f>
        <v>9833.7049999999999</v>
      </c>
      <c r="V73" s="18">
        <f>U73/C73</f>
        <v>0.5</v>
      </c>
      <c r="W73" s="125"/>
      <c r="X73" s="97"/>
    </row>
    <row r="74" spans="1:24">
      <c r="A74" s="3" t="str">
        <f>RESUMO!A82</f>
        <v>61.0</v>
      </c>
      <c r="B74" s="4" t="str">
        <f>RESUMO!B82</f>
        <v>VENTILAÇÃO ESGOTO</v>
      </c>
      <c r="C74" s="15">
        <f>RESUMO!D82</f>
        <v>1476.8200000000002</v>
      </c>
      <c r="D74" s="16">
        <f t="shared" si="3"/>
        <v>1.772433245943804E-4</v>
      </c>
      <c r="E74" s="96"/>
      <c r="F74" s="97"/>
      <c r="G74" s="96"/>
      <c r="H74" s="97"/>
      <c r="I74" s="96"/>
      <c r="J74" s="97"/>
      <c r="K74" s="96"/>
      <c r="L74" s="97"/>
      <c r="M74" s="96"/>
      <c r="N74" s="97"/>
      <c r="O74" s="96"/>
      <c r="P74" s="97"/>
      <c r="Q74" s="96"/>
      <c r="R74" s="97"/>
      <c r="S74" s="96"/>
      <c r="T74" s="97"/>
      <c r="U74" s="17">
        <f>C74*100%</f>
        <v>1476.8200000000002</v>
      </c>
      <c r="V74" s="18">
        <f>U74/C74</f>
        <v>1</v>
      </c>
      <c r="W74" s="96"/>
      <c r="X74" s="97"/>
    </row>
    <row r="75" spans="1:24" ht="25.5">
      <c r="A75" s="3" t="str">
        <f>RESUMO!A83</f>
        <v>62.0</v>
      </c>
      <c r="B75" s="4" t="str">
        <f>RESUMO!B83</f>
        <v>SISTEMA DE TRATAMENTO DE ESGOTO</v>
      </c>
      <c r="C75" s="15">
        <f>RESUMO!D83</f>
        <v>58115.32</v>
      </c>
      <c r="D75" s="16">
        <f t="shared" si="3"/>
        <v>6.9748192241886522E-3</v>
      </c>
      <c r="E75" s="96"/>
      <c r="F75" s="97"/>
      <c r="G75" s="96"/>
      <c r="H75" s="97"/>
      <c r="I75" s="96"/>
      <c r="J75" s="97"/>
      <c r="K75" s="96"/>
      <c r="L75" s="97"/>
      <c r="M75" s="96"/>
      <c r="N75" s="97"/>
      <c r="O75" s="96"/>
      <c r="P75" s="97"/>
      <c r="Q75" s="17">
        <f>C75*30%</f>
        <v>17434.595999999998</v>
      </c>
      <c r="R75" s="18">
        <f>Q75/C75</f>
        <v>0.3</v>
      </c>
      <c r="S75" s="17">
        <f>C75*40%</f>
        <v>23246.128000000001</v>
      </c>
      <c r="T75" s="18">
        <f>S75/C75</f>
        <v>0.4</v>
      </c>
      <c r="U75" s="17">
        <f>C75*30%</f>
        <v>17434.595999999998</v>
      </c>
      <c r="V75" s="18">
        <f>U75/C75</f>
        <v>0.3</v>
      </c>
      <c r="W75" s="125"/>
      <c r="X75" s="97"/>
    </row>
    <row r="76" spans="1:24" ht="25.5">
      <c r="A76" s="3" t="str">
        <f>RESUMO!A84</f>
        <v>63.0</v>
      </c>
      <c r="B76" s="4" t="str">
        <f>RESUMO!B84</f>
        <v>DRENO DOS CONDICIONADORES DE AR E DRENAGEM PLUVIAL</v>
      </c>
      <c r="C76" s="15">
        <f>RESUMO!D84</f>
        <v>74560.569999999992</v>
      </c>
      <c r="D76" s="16">
        <f t="shared" si="3"/>
        <v>8.9485267740496595E-3</v>
      </c>
      <c r="E76" s="96"/>
      <c r="F76" s="97"/>
      <c r="G76" s="96"/>
      <c r="H76" s="97"/>
      <c r="I76" s="96"/>
      <c r="J76" s="97"/>
      <c r="K76" s="96"/>
      <c r="L76" s="97"/>
      <c r="M76" s="96"/>
      <c r="N76" s="97"/>
      <c r="O76" s="96"/>
      <c r="P76" s="97"/>
      <c r="Q76" s="96"/>
      <c r="R76" s="97"/>
      <c r="S76" s="96"/>
      <c r="T76" s="97"/>
      <c r="U76" s="17">
        <f>C76*100%</f>
        <v>74560.569999999992</v>
      </c>
      <c r="V76" s="18">
        <f>U76/C76</f>
        <v>1</v>
      </c>
      <c r="W76" s="96"/>
      <c r="X76" s="97"/>
    </row>
    <row r="77" spans="1:24">
      <c r="A77" s="1002" t="str">
        <f>RESUMO!A86</f>
        <v>INSTALAÇÕES DE GÁS</v>
      </c>
      <c r="B77" s="1002"/>
      <c r="C77" s="1002"/>
      <c r="D77" s="1002"/>
      <c r="E77" s="101"/>
      <c r="F77" s="102"/>
      <c r="G77" s="101"/>
      <c r="H77" s="102"/>
      <c r="I77" s="101"/>
      <c r="J77" s="102"/>
      <c r="K77" s="101"/>
      <c r="L77" s="102"/>
      <c r="M77" s="101"/>
      <c r="N77" s="102"/>
      <c r="O77" s="101"/>
      <c r="P77" s="102"/>
      <c r="Q77" s="101"/>
      <c r="R77" s="102"/>
      <c r="S77" s="101"/>
      <c r="T77" s="102"/>
      <c r="U77" s="101"/>
      <c r="V77" s="102"/>
      <c r="W77" s="101"/>
      <c r="X77" s="102"/>
    </row>
    <row r="78" spans="1:24">
      <c r="A78" s="3" t="str">
        <f>RESUMO!A87</f>
        <v>64.0</v>
      </c>
      <c r="B78" s="4" t="str">
        <f>RESUMO!B87</f>
        <v>INSTALAÇÕES DE GÁS</v>
      </c>
      <c r="C78" s="15">
        <f>RESUMO!D87</f>
        <v>31753.57</v>
      </c>
      <c r="D78" s="16">
        <f>C78/$C$88</f>
        <v>3.8109643115209566E-3</v>
      </c>
      <c r="E78" s="96"/>
      <c r="F78" s="97"/>
      <c r="G78" s="96"/>
      <c r="H78" s="97"/>
      <c r="I78" s="96"/>
      <c r="J78" s="97"/>
      <c r="K78" s="96"/>
      <c r="L78" s="97"/>
      <c r="M78" s="96"/>
      <c r="N78" s="97"/>
      <c r="O78" s="96"/>
      <c r="P78" s="97"/>
      <c r="Q78" s="96"/>
      <c r="R78" s="97"/>
      <c r="S78" s="17">
        <f>C78*50%</f>
        <v>15876.785</v>
      </c>
      <c r="T78" s="18">
        <f>S78/C78</f>
        <v>0.5</v>
      </c>
      <c r="U78" s="17">
        <f>C78*50%</f>
        <v>15876.785</v>
      </c>
      <c r="V78" s="18">
        <f>U78/C78</f>
        <v>0.5</v>
      </c>
      <c r="W78" s="96"/>
      <c r="X78" s="97"/>
    </row>
    <row r="79" spans="1:24">
      <c r="A79" s="1002" t="str">
        <f>RESUMO!A89</f>
        <v>INSTALAÇÕES ELÉTRICAS, LÓGICA E SPDA</v>
      </c>
      <c r="B79" s="1002"/>
      <c r="C79" s="1002"/>
      <c r="D79" s="1002"/>
      <c r="E79" s="101"/>
      <c r="F79" s="102"/>
      <c r="G79" s="101"/>
      <c r="H79" s="102"/>
      <c r="I79" s="101"/>
      <c r="J79" s="102"/>
      <c r="K79" s="101"/>
      <c r="L79" s="102"/>
      <c r="M79" s="101"/>
      <c r="N79" s="102"/>
      <c r="O79" s="101"/>
      <c r="P79" s="102"/>
      <c r="Q79" s="101"/>
      <c r="R79" s="102"/>
      <c r="S79" s="101"/>
      <c r="T79" s="102"/>
      <c r="U79" s="101"/>
      <c r="V79" s="102"/>
      <c r="W79" s="101"/>
      <c r="X79" s="102"/>
    </row>
    <row r="80" spans="1:24" ht="25.5">
      <c r="A80" s="3" t="str">
        <f>RESUMO!A90</f>
        <v>65.0</v>
      </c>
      <c r="B80" s="4" t="str">
        <f>RESUMO!B90</f>
        <v>INSTALAÇÕES ELÉTRICAS - BAIXA TENSÃO</v>
      </c>
      <c r="C80" s="15">
        <f>RESUMO!D90</f>
        <v>440335.94</v>
      </c>
      <c r="D80" s="16">
        <f>C80/$C$88</f>
        <v>5.2847744440075027E-2</v>
      </c>
      <c r="E80" s="96"/>
      <c r="F80" s="97"/>
      <c r="G80" s="96"/>
      <c r="H80" s="97"/>
      <c r="I80" s="96"/>
      <c r="J80" s="97"/>
      <c r="K80" s="96"/>
      <c r="L80" s="97"/>
      <c r="M80" s="125"/>
      <c r="N80" s="126"/>
      <c r="O80" s="17">
        <f>C80*10%</f>
        <v>44033.594000000005</v>
      </c>
      <c r="P80" s="18">
        <f>O80/C80</f>
        <v>0.1</v>
      </c>
      <c r="Q80" s="17">
        <f>C80*10%</f>
        <v>44033.594000000005</v>
      </c>
      <c r="R80" s="18">
        <f>Q80/C80</f>
        <v>0.1</v>
      </c>
      <c r="S80" s="17">
        <f>C80*50%</f>
        <v>220167.97</v>
      </c>
      <c r="T80" s="18">
        <f>S80/C80</f>
        <v>0.5</v>
      </c>
      <c r="U80" s="17">
        <f>C80*30%</f>
        <v>132100.78200000001</v>
      </c>
      <c r="V80" s="18">
        <f>U80/C80</f>
        <v>0.3</v>
      </c>
      <c r="W80" s="125"/>
      <c r="X80" s="97"/>
    </row>
    <row r="81" spans="1:24" ht="38.25">
      <c r="A81" s="3" t="str">
        <f>RESUMO!A91</f>
        <v>66.0</v>
      </c>
      <c r="B81" s="4" t="str">
        <f>RESUMO!B91</f>
        <v>SPDA - SISTEMA DE PROTEÇÃO CONTRA DESCARGA ATMOSFERICAS</v>
      </c>
      <c r="C81" s="15">
        <f>RESUMO!D91</f>
        <v>111102.11</v>
      </c>
      <c r="D81" s="16">
        <f>C81/$C$88</f>
        <v>1.3334128293123438E-2</v>
      </c>
      <c r="E81" s="96"/>
      <c r="F81" s="97"/>
      <c r="G81" s="96"/>
      <c r="H81" s="97"/>
      <c r="I81" s="96"/>
      <c r="J81" s="97"/>
      <c r="K81" s="96"/>
      <c r="L81" s="97"/>
      <c r="M81" s="125"/>
      <c r="N81" s="126"/>
      <c r="O81" s="17">
        <f>$C81*0.2</f>
        <v>22220.422000000002</v>
      </c>
      <c r="P81" s="18">
        <f>O81/$C81</f>
        <v>0.2</v>
      </c>
      <c r="Q81" s="17">
        <f>$C81*0.2</f>
        <v>22220.422000000002</v>
      </c>
      <c r="R81" s="18">
        <f>Q81/$C81</f>
        <v>0.2</v>
      </c>
      <c r="S81" s="17">
        <f>$C81*0.2</f>
        <v>22220.422000000002</v>
      </c>
      <c r="T81" s="18">
        <f>S81/$C81</f>
        <v>0.2</v>
      </c>
      <c r="U81" s="17">
        <f>$C81*0.2</f>
        <v>22220.422000000002</v>
      </c>
      <c r="V81" s="18">
        <f>U81/$C81</f>
        <v>0.2</v>
      </c>
      <c r="W81" s="17">
        <f>$C81*0.2</f>
        <v>22220.422000000002</v>
      </c>
      <c r="X81" s="18">
        <f>W81/$C81</f>
        <v>0.2</v>
      </c>
    </row>
    <row r="82" spans="1:24">
      <c r="A82" s="1002" t="str">
        <f>RESUMO!A93</f>
        <v>PREVENÇÃO E COMBATE A INCÊNDIO</v>
      </c>
      <c r="B82" s="1002"/>
      <c r="C82" s="1002"/>
      <c r="D82" s="1002"/>
      <c r="E82" s="101"/>
      <c r="F82" s="102"/>
      <c r="G82" s="101"/>
      <c r="H82" s="102"/>
      <c r="I82" s="101"/>
      <c r="J82" s="102"/>
      <c r="K82" s="101"/>
      <c r="L82" s="102"/>
      <c r="M82" s="127"/>
      <c r="N82" s="128"/>
      <c r="O82" s="127"/>
      <c r="P82" s="128"/>
      <c r="Q82" s="127"/>
      <c r="R82" s="128"/>
      <c r="S82" s="127"/>
      <c r="T82" s="128"/>
      <c r="U82" s="127"/>
      <c r="V82" s="128"/>
      <c r="W82" s="127"/>
      <c r="X82" s="102"/>
    </row>
    <row r="83" spans="1:24">
      <c r="A83" s="3" t="str">
        <f>RESUMO!A94</f>
        <v>67.0</v>
      </c>
      <c r="B83" s="4" t="str">
        <f>RESUMO!B94</f>
        <v>EXTINTORES DE INCÊNDIO</v>
      </c>
      <c r="C83" s="15">
        <f>RESUMO!D94</f>
        <v>3462.2</v>
      </c>
      <c r="D83" s="16">
        <f>C83/$C$88</f>
        <v>4.1552243226030506E-4</v>
      </c>
      <c r="E83" s="96"/>
      <c r="F83" s="97"/>
      <c r="G83" s="96"/>
      <c r="H83" s="97"/>
      <c r="I83" s="96"/>
      <c r="J83" s="97"/>
      <c r="K83" s="96"/>
      <c r="L83" s="97"/>
      <c r="M83" s="125"/>
      <c r="N83" s="126"/>
      <c r="O83" s="125"/>
      <c r="P83" s="126"/>
      <c r="Q83" s="125"/>
      <c r="R83" s="126"/>
      <c r="S83" s="125"/>
      <c r="T83" s="126"/>
      <c r="U83" s="125"/>
      <c r="V83" s="126"/>
      <c r="W83" s="17">
        <f>C83*100%</f>
        <v>3462.2</v>
      </c>
      <c r="X83" s="18">
        <f>W83/C83</f>
        <v>1</v>
      </c>
    </row>
    <row r="84" spans="1:24" ht="25.5">
      <c r="A84" s="3" t="str">
        <f>RESUMO!A95</f>
        <v>68.0</v>
      </c>
      <c r="B84" s="4" t="str">
        <f>RESUMO!B95</f>
        <v>SINALIZAÇÃO - SAIDA DE EMERGENCIA</v>
      </c>
      <c r="C84" s="15">
        <f>RESUMO!D95</f>
        <v>2039.98</v>
      </c>
      <c r="D84" s="16">
        <f>C84/$C$88</f>
        <v>2.4483202916133589E-4</v>
      </c>
      <c r="E84" s="96"/>
      <c r="F84" s="97"/>
      <c r="G84" s="96"/>
      <c r="H84" s="97"/>
      <c r="I84" s="96"/>
      <c r="J84" s="97"/>
      <c r="K84" s="96"/>
      <c r="L84" s="97"/>
      <c r="M84" s="125"/>
      <c r="N84" s="126"/>
      <c r="O84" s="125"/>
      <c r="P84" s="126"/>
      <c r="Q84" s="125"/>
      <c r="R84" s="126"/>
      <c r="S84" s="125"/>
      <c r="T84" s="126"/>
      <c r="U84" s="125"/>
      <c r="V84" s="126"/>
      <c r="W84" s="17">
        <f>C84*100%</f>
        <v>2039.98</v>
      </c>
      <c r="X84" s="18">
        <f>W84/C84</f>
        <v>1</v>
      </c>
    </row>
    <row r="85" spans="1:24" ht="25.5">
      <c r="A85" s="3" t="str">
        <f>RESUMO!A96</f>
        <v>69.0</v>
      </c>
      <c r="B85" s="4" t="str">
        <f>RESUMO!B96</f>
        <v>SISTEMA DE ALARME DE EMERGENCIA</v>
      </c>
      <c r="C85" s="15">
        <f>RESUMO!D96</f>
        <v>14470.81</v>
      </c>
      <c r="D85" s="16">
        <f>C85/$C$88</f>
        <v>1.7367414268317097E-3</v>
      </c>
      <c r="E85" s="96"/>
      <c r="F85" s="97"/>
      <c r="G85" s="96"/>
      <c r="H85" s="97"/>
      <c r="I85" s="96"/>
      <c r="J85" s="97"/>
      <c r="K85" s="96"/>
      <c r="L85" s="97"/>
      <c r="M85" s="125"/>
      <c r="N85" s="126"/>
      <c r="O85" s="125"/>
      <c r="P85" s="126"/>
      <c r="Q85" s="17">
        <f>$C85*25%</f>
        <v>3617.7024999999999</v>
      </c>
      <c r="R85" s="18">
        <f>Q85/$C85</f>
        <v>0.25</v>
      </c>
      <c r="S85" s="17">
        <f>$C85*25%</f>
        <v>3617.7024999999999</v>
      </c>
      <c r="T85" s="18">
        <f>S85/$C85</f>
        <v>0.25</v>
      </c>
      <c r="U85" s="17">
        <f>$C85*25%</f>
        <v>3617.7024999999999</v>
      </c>
      <c r="V85" s="18">
        <f>U85/$C85</f>
        <v>0.25</v>
      </c>
      <c r="W85" s="17">
        <f>$C85*25%</f>
        <v>3617.7024999999999</v>
      </c>
      <c r="X85" s="18">
        <f>W85/$C85</f>
        <v>0.25</v>
      </c>
    </row>
    <row r="86" spans="1:24" ht="25.5">
      <c r="A86" s="3" t="str">
        <f>RESUMO!A97</f>
        <v>70.0</v>
      </c>
      <c r="B86" s="4" t="str">
        <f>RESUMO!B97</f>
        <v>SISTEMA DE ACIONAMENTO DO HIDRANTE</v>
      </c>
      <c r="C86" s="15">
        <f>RESUMO!D97</f>
        <v>64928.180000000008</v>
      </c>
      <c r="D86" s="16">
        <f>C86/$C$88</f>
        <v>7.7924774062257804E-3</v>
      </c>
      <c r="E86" s="96"/>
      <c r="F86" s="97"/>
      <c r="G86" s="96"/>
      <c r="H86" s="97"/>
      <c r="I86" s="96"/>
      <c r="J86" s="97"/>
      <c r="K86" s="96"/>
      <c r="L86" s="97"/>
      <c r="M86" s="125"/>
      <c r="N86" s="126"/>
      <c r="O86" s="125"/>
      <c r="P86" s="126"/>
      <c r="Q86" s="17">
        <f>$C86*25%</f>
        <v>16232.045000000002</v>
      </c>
      <c r="R86" s="18">
        <f>Q86/$C86</f>
        <v>0.25</v>
      </c>
      <c r="S86" s="17">
        <f>$C86*25%</f>
        <v>16232.045000000002</v>
      </c>
      <c r="T86" s="18">
        <f>S86/$C86</f>
        <v>0.25</v>
      </c>
      <c r="U86" s="17">
        <f>$C86*25%</f>
        <v>16232.045000000002</v>
      </c>
      <c r="V86" s="18">
        <f>U86/$C86</f>
        <v>0.25</v>
      </c>
      <c r="W86" s="17">
        <f>$C86*25%</f>
        <v>16232.045000000002</v>
      </c>
      <c r="X86" s="18">
        <f>W86/$C86</f>
        <v>0.25</v>
      </c>
    </row>
    <row r="87" spans="1:24">
      <c r="A87" s="3" t="str">
        <f>RESUMO!A98</f>
        <v>71.0</v>
      </c>
      <c r="B87" s="4" t="str">
        <f>RESUMO!B98</f>
        <v>LUMINARIA DE EMERGENCIA</v>
      </c>
      <c r="C87" s="15">
        <f>RESUMO!D98</f>
        <v>3200.23</v>
      </c>
      <c r="D87" s="16">
        <f>C87/$C$88</f>
        <v>3.8408161093882393E-4</v>
      </c>
      <c r="E87" s="96"/>
      <c r="F87" s="97"/>
      <c r="G87" s="96"/>
      <c r="H87" s="97"/>
      <c r="I87" s="96"/>
      <c r="J87" s="97"/>
      <c r="K87" s="96"/>
      <c r="L87" s="97"/>
      <c r="M87" s="125"/>
      <c r="N87" s="126"/>
      <c r="O87" s="125"/>
      <c r="P87" s="126"/>
      <c r="Q87" s="125"/>
      <c r="R87" s="126"/>
      <c r="S87" s="125"/>
      <c r="T87" s="126"/>
      <c r="U87" s="17">
        <f>C87*50%</f>
        <v>1600.115</v>
      </c>
      <c r="V87" s="18">
        <f>U87/C87</f>
        <v>0.5</v>
      </c>
      <c r="W87" s="17">
        <f>C87*50%</f>
        <v>1600.115</v>
      </c>
      <c r="X87" s="18">
        <f>W87/C87</f>
        <v>0.5</v>
      </c>
    </row>
    <row r="88" spans="1:24">
      <c r="A88" s="7"/>
      <c r="B88" s="6" t="s">
        <v>43</v>
      </c>
      <c r="C88" s="21">
        <f>SUM(C9:C87)</f>
        <v>8332161.4700000025</v>
      </c>
      <c r="D88" s="22">
        <f>SUM(D9:D87)</f>
        <v>0.99999999999999978</v>
      </c>
      <c r="E88" s="21">
        <f>SUM(E9:E87)</f>
        <v>185267.91</v>
      </c>
      <c r="F88" s="23">
        <f>E88/$C$88</f>
        <v>2.2235276004558747E-2</v>
      </c>
      <c r="G88" s="21">
        <f>SUM(G9:G87)</f>
        <v>480719.69600000005</v>
      </c>
      <c r="H88" s="23">
        <f>G88/$C$88</f>
        <v>5.769447672501718E-2</v>
      </c>
      <c r="I88" s="21">
        <f>SUM(I9:I87)</f>
        <v>633617.72549999994</v>
      </c>
      <c r="J88" s="23">
        <f>I88/$C$88</f>
        <v>7.6044820756456091E-2</v>
      </c>
      <c r="K88" s="21">
        <f>SUM(K9:K87)</f>
        <v>634084.46800000011</v>
      </c>
      <c r="L88" s="23">
        <f>K88/$C$88</f>
        <v>7.6100837733765123E-2</v>
      </c>
      <c r="M88" s="21">
        <f>SUM(M9:M87)</f>
        <v>593336.28150000004</v>
      </c>
      <c r="N88" s="23">
        <f>M88/$C$88</f>
        <v>7.1210367638254599E-2</v>
      </c>
      <c r="O88" s="21">
        <f>SUM(O9:O87)</f>
        <v>1221304.1719999998</v>
      </c>
      <c r="P88" s="23">
        <f>O88/$C$88</f>
        <v>0.14657711284128527</v>
      </c>
      <c r="Q88" s="21">
        <f>SUM(Q9:Q87)</f>
        <v>1749151.7074999996</v>
      </c>
      <c r="R88" s="23">
        <f>Q88/$C$88</f>
        <v>0.20992772569252657</v>
      </c>
      <c r="S88" s="21">
        <f>SUM(S9:S87)</f>
        <v>1291793.5464999995</v>
      </c>
      <c r="T88" s="23">
        <f>S88/$C$88</f>
        <v>0.1550370274449325</v>
      </c>
      <c r="U88" s="21">
        <f>SUM(U9:U87)</f>
        <v>1120198.1484999999</v>
      </c>
      <c r="V88" s="23">
        <f>U88/$C$88</f>
        <v>0.13444268363416625</v>
      </c>
      <c r="W88" s="21">
        <f>SUM(W9:W87)</f>
        <v>422687.81449999998</v>
      </c>
      <c r="X88" s="23">
        <f>W88/$C$88</f>
        <v>5.0729671529037214E-2</v>
      </c>
    </row>
    <row r="90" spans="1:24">
      <c r="F90" s="174"/>
      <c r="H90" s="174"/>
      <c r="J90" s="174"/>
      <c r="L90" s="174"/>
      <c r="N90" s="174"/>
      <c r="P90" s="174"/>
      <c r="R90" s="174"/>
      <c r="T90" s="174"/>
      <c r="V90" s="174"/>
      <c r="X90" s="174"/>
    </row>
    <row r="91" spans="1:24">
      <c r="A91" s="4"/>
      <c r="B91" s="8"/>
      <c r="C91" s="4"/>
      <c r="D91" s="4"/>
    </row>
    <row r="92" spans="1:24">
      <c r="W92" s="124"/>
    </row>
    <row r="95" spans="1:24">
      <c r="C95" s="15"/>
    </row>
    <row r="100" spans="3:3">
      <c r="C100" s="15"/>
    </row>
  </sheetData>
  <mergeCells count="26">
    <mergeCell ref="S6:T6"/>
    <mergeCell ref="U6:V6"/>
    <mergeCell ref="A11:D11"/>
    <mergeCell ref="A27:D27"/>
    <mergeCell ref="A79:D79"/>
    <mergeCell ref="A41:D41"/>
    <mergeCell ref="A8:D8"/>
    <mergeCell ref="A57:D57"/>
    <mergeCell ref="A62:D62"/>
    <mergeCell ref="A77:D77"/>
    <mergeCell ref="U2:V4"/>
    <mergeCell ref="W6:X6"/>
    <mergeCell ref="A5:X5"/>
    <mergeCell ref="B1:K1"/>
    <mergeCell ref="A82:D82"/>
    <mergeCell ref="M6:N6"/>
    <mergeCell ref="O6:P6"/>
    <mergeCell ref="A6:A7"/>
    <mergeCell ref="B6:B7"/>
    <mergeCell ref="C6:C7"/>
    <mergeCell ref="D6:D7"/>
    <mergeCell ref="E6:F6"/>
    <mergeCell ref="G6:H6"/>
    <mergeCell ref="I6:J6"/>
    <mergeCell ref="K6:L6"/>
    <mergeCell ref="Q6:R6"/>
  </mergeCells>
  <pageMargins left="0.51181102362204722" right="0.51181102362204722" top="0.82677165354330717" bottom="0.82677165354330717" header="0.31496062992125984" footer="0.31496062992125984"/>
  <pageSetup paperSize="9" scale="37" orientation="landscape" r:id="rId1"/>
  <headerFooter>
    <oddHeader>&amp;L&amp;G&amp;C&amp;"-,Negrito"&amp;9&amp;K00-048GOVERNO DO ESTADO DE MATO GROSSO&amp;"-,Regular"SECRETARIA DE ESTADO DE EDUCAÇÃOSECRETARIA ADJUNTA DE ESTRUTURA ESCOLAR&amp;R&amp;G</oddHeader>
    <oddFooter>&amp;L&amp;"-,Negrito"&amp;7&amp;K00-049Secretaria de Estado de Educação, Esporte e Lazer de Mato Grosso&amp;"-,Regular"Rua Engenheiro Edgar Prado Arze, 215 - Centro Político AdministrativoCEP: 78049-909 | Cuiabá-MTFone: (65) 3613-6300&amp;C&amp;9&amp;K00-049&amp;P / &amp;N&amp;R&amp;7&amp;K00-049&amp;A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9CC00"/>
  </sheetPr>
  <dimension ref="A1:E171"/>
  <sheetViews>
    <sheetView workbookViewId="0">
      <selection activeCell="B5" sqref="B5"/>
    </sheetView>
  </sheetViews>
  <sheetFormatPr defaultRowHeight="15"/>
  <cols>
    <col min="1" max="1" width="11.7109375" style="164" customWidth="1"/>
    <col min="2" max="2" width="48.28515625" style="42" customWidth="1"/>
    <col min="3" max="3" width="36" style="42" customWidth="1"/>
    <col min="4" max="4" width="9.7109375" style="42" customWidth="1"/>
    <col min="5" max="5" width="14.5703125" style="42" customWidth="1"/>
  </cols>
  <sheetData>
    <row r="1" spans="1:5" ht="15.75">
      <c r="A1" s="1007" t="s">
        <v>758</v>
      </c>
      <c r="B1" s="1007"/>
      <c r="C1" s="1007"/>
      <c r="D1" s="1007"/>
      <c r="E1" s="1007"/>
    </row>
    <row r="2" spans="1:5" ht="15.75">
      <c r="A2" s="150"/>
      <c r="B2" s="150"/>
      <c r="C2" s="150"/>
      <c r="D2" s="150"/>
      <c r="E2" s="150"/>
    </row>
    <row r="3" spans="1:5" ht="15.75">
      <c r="A3" s="151" t="s">
        <v>2</v>
      </c>
      <c r="B3" s="423" t="s">
        <v>2526</v>
      </c>
      <c r="C3" s="152" t="s">
        <v>2527</v>
      </c>
      <c r="D3" s="1008" t="s">
        <v>2528</v>
      </c>
      <c r="E3" s="1008"/>
    </row>
    <row r="4" spans="1:5" ht="15.75">
      <c r="A4" s="151" t="s">
        <v>759</v>
      </c>
      <c r="B4" s="423" t="s">
        <v>3310</v>
      </c>
      <c r="C4" s="152" t="s">
        <v>2529</v>
      </c>
      <c r="D4" s="1008">
        <v>0</v>
      </c>
      <c r="E4" s="1008"/>
    </row>
    <row r="5" spans="1:5" ht="15.75">
      <c r="A5" s="151" t="s">
        <v>760</v>
      </c>
      <c r="B5" s="423" t="s">
        <v>2530</v>
      </c>
      <c r="C5" s="152" t="s">
        <v>2531</v>
      </c>
      <c r="D5" s="1009">
        <v>42814</v>
      </c>
      <c r="E5" s="1008"/>
    </row>
    <row r="6" spans="1:5" ht="15.75">
      <c r="A6" s="151"/>
      <c r="B6" s="150"/>
      <c r="C6" s="150"/>
      <c r="D6" s="423"/>
      <c r="E6" s="423"/>
    </row>
    <row r="7" spans="1:5">
      <c r="A7" s="153"/>
      <c r="B7" s="154"/>
      <c r="C7" s="154"/>
      <c r="D7" s="76"/>
      <c r="E7" s="76"/>
    </row>
    <row r="8" spans="1:5">
      <c r="A8" s="155" t="s">
        <v>0</v>
      </c>
      <c r="B8" s="155" t="s">
        <v>761</v>
      </c>
      <c r="C8" s="156" t="s">
        <v>762</v>
      </c>
      <c r="D8" s="155" t="s">
        <v>5</v>
      </c>
      <c r="E8" s="155" t="s">
        <v>6</v>
      </c>
    </row>
    <row r="9" spans="1:5">
      <c r="A9" s="157"/>
      <c r="B9" s="158" t="s">
        <v>2532</v>
      </c>
      <c r="C9" s="159"/>
      <c r="D9" s="157"/>
      <c r="E9" s="157"/>
    </row>
    <row r="10" spans="1:5">
      <c r="A10" s="160" t="s">
        <v>1571</v>
      </c>
      <c r="B10" s="432" t="s">
        <v>2533</v>
      </c>
      <c r="C10" s="129"/>
      <c r="D10" s="433" t="s">
        <v>101</v>
      </c>
      <c r="E10" s="645">
        <v>70</v>
      </c>
    </row>
    <row r="11" spans="1:5">
      <c r="A11" s="160" t="s">
        <v>1573</v>
      </c>
      <c r="B11" s="432" t="s">
        <v>2534</v>
      </c>
      <c r="C11" s="129"/>
      <c r="D11" s="433" t="s">
        <v>101</v>
      </c>
      <c r="E11" s="645">
        <v>146</v>
      </c>
    </row>
    <row r="12" spans="1:5">
      <c r="A12" s="160" t="s">
        <v>1575</v>
      </c>
      <c r="B12" s="432" t="s">
        <v>2535</v>
      </c>
      <c r="C12" s="129"/>
      <c r="D12" s="433" t="s">
        <v>101</v>
      </c>
      <c r="E12" s="645">
        <v>50</v>
      </c>
    </row>
    <row r="13" spans="1:5">
      <c r="A13" s="160" t="s">
        <v>2536</v>
      </c>
      <c r="B13" s="432" t="s">
        <v>2537</v>
      </c>
      <c r="C13" s="129"/>
      <c r="D13" s="433" t="s">
        <v>101</v>
      </c>
      <c r="E13" s="645">
        <v>16</v>
      </c>
    </row>
    <row r="14" spans="1:5" ht="30">
      <c r="A14" s="160" t="s">
        <v>2538</v>
      </c>
      <c r="B14" s="432" t="s">
        <v>2539</v>
      </c>
      <c r="C14" s="129"/>
      <c r="D14" s="433" t="s">
        <v>5</v>
      </c>
      <c r="E14" s="645">
        <v>12</v>
      </c>
    </row>
    <row r="15" spans="1:5">
      <c r="A15" s="160" t="s">
        <v>2540</v>
      </c>
      <c r="B15" s="432" t="s">
        <v>2541</v>
      </c>
      <c r="C15" s="129"/>
      <c r="D15" s="433" t="s">
        <v>5</v>
      </c>
      <c r="E15" s="645">
        <v>20</v>
      </c>
    </row>
    <row r="16" spans="1:5">
      <c r="A16" s="160" t="s">
        <v>2542</v>
      </c>
      <c r="B16" s="162" t="s">
        <v>2543</v>
      </c>
      <c r="C16" s="129"/>
      <c r="D16" s="433" t="s">
        <v>5</v>
      </c>
      <c r="E16" s="645">
        <v>1</v>
      </c>
    </row>
    <row r="17" spans="2:5">
      <c r="B17" s="109"/>
      <c r="C17" s="112"/>
      <c r="D17" s="109"/>
      <c r="E17" s="434"/>
    </row>
    <row r="18" spans="2:5">
      <c r="B18" s="109"/>
      <c r="C18" s="113"/>
      <c r="D18" s="109"/>
      <c r="E18" s="434"/>
    </row>
    <row r="19" spans="2:5">
      <c r="B19" s="50"/>
      <c r="C19" s="50"/>
      <c r="D19" s="50"/>
      <c r="E19" s="50"/>
    </row>
    <row r="23" spans="2:5">
      <c r="C23" s="45"/>
      <c r="D23" s="46"/>
      <c r="E23" s="46"/>
    </row>
    <row r="24" spans="2:5">
      <c r="C24" s="47"/>
      <c r="D24" s="44"/>
      <c r="E24" s="44"/>
    </row>
    <row r="25" spans="2:5">
      <c r="C25" s="47"/>
      <c r="D25" s="44"/>
      <c r="E25" s="44"/>
    </row>
    <row r="26" spans="2:5">
      <c r="C26" s="47"/>
      <c r="D26" s="44"/>
      <c r="E26" s="44"/>
    </row>
    <row r="27" spans="2:5">
      <c r="C27" s="47"/>
      <c r="D27" s="44"/>
      <c r="E27" s="44"/>
    </row>
    <row r="28" spans="2:5">
      <c r="C28" s="47"/>
      <c r="D28" s="44"/>
      <c r="E28" s="44"/>
    </row>
    <row r="29" spans="2:5">
      <c r="C29" s="47"/>
      <c r="D29" s="44"/>
      <c r="E29" s="44"/>
    </row>
    <row r="30" spans="2:5">
      <c r="C30" s="47"/>
      <c r="D30" s="44"/>
      <c r="E30" s="44"/>
    </row>
    <row r="31" spans="2:5">
      <c r="C31" s="47"/>
      <c r="D31" s="44"/>
      <c r="E31" s="44"/>
    </row>
    <row r="32" spans="2:5">
      <c r="C32" s="47"/>
      <c r="D32" s="44"/>
      <c r="E32" s="44"/>
    </row>
    <row r="33" spans="3:5">
      <c r="C33" s="47"/>
      <c r="D33" s="44"/>
      <c r="E33" s="44"/>
    </row>
    <row r="34" spans="3:5">
      <c r="C34" s="47"/>
      <c r="D34" s="44"/>
      <c r="E34" s="44"/>
    </row>
    <row r="35" spans="3:5">
      <c r="C35" s="47"/>
      <c r="D35" s="44"/>
      <c r="E35" s="44"/>
    </row>
    <row r="36" spans="3:5">
      <c r="C36" s="47"/>
      <c r="D36" s="44"/>
      <c r="E36" s="44"/>
    </row>
    <row r="37" spans="3:5">
      <c r="C37" s="47"/>
      <c r="D37" s="44"/>
      <c r="E37" s="44"/>
    </row>
    <row r="38" spans="3:5">
      <c r="C38" s="47"/>
      <c r="D38" s="44"/>
      <c r="E38" s="44"/>
    </row>
    <row r="39" spans="3:5">
      <c r="C39" s="47"/>
      <c r="D39" s="44"/>
      <c r="E39" s="44"/>
    </row>
    <row r="40" spans="3:5">
      <c r="C40" s="47"/>
      <c r="D40" s="44"/>
      <c r="E40" s="44"/>
    </row>
    <row r="41" spans="3:5">
      <c r="C41" s="47"/>
      <c r="D41" s="44"/>
      <c r="E41" s="44"/>
    </row>
    <row r="42" spans="3:5">
      <c r="C42" s="47"/>
      <c r="D42" s="44"/>
      <c r="E42" s="44"/>
    </row>
    <row r="43" spans="3:5">
      <c r="C43" s="47"/>
      <c r="D43" s="44"/>
      <c r="E43" s="44"/>
    </row>
    <row r="44" spans="3:5">
      <c r="C44" s="47"/>
      <c r="D44" s="44"/>
      <c r="E44" s="44"/>
    </row>
    <row r="45" spans="3:5">
      <c r="C45" s="47"/>
      <c r="D45" s="44"/>
      <c r="E45" s="44"/>
    </row>
    <row r="46" spans="3:5">
      <c r="C46" s="45"/>
      <c r="D46" s="46"/>
      <c r="E46" s="46"/>
    </row>
    <row r="47" spans="3:5">
      <c r="C47" s="47"/>
      <c r="D47" s="44"/>
      <c r="E47" s="44"/>
    </row>
    <row r="48" spans="3:5">
      <c r="C48" s="47"/>
      <c r="D48" s="44"/>
      <c r="E48" s="44"/>
    </row>
    <row r="49" spans="3:5">
      <c r="C49" s="47"/>
      <c r="D49" s="44"/>
      <c r="E49" s="44"/>
    </row>
    <row r="50" spans="3:5">
      <c r="C50" s="47"/>
      <c r="D50" s="44"/>
      <c r="E50" s="44"/>
    </row>
    <row r="51" spans="3:5">
      <c r="C51" s="47"/>
      <c r="D51" s="44"/>
      <c r="E51" s="44"/>
    </row>
    <row r="52" spans="3:5">
      <c r="C52" s="47"/>
      <c r="D52" s="44"/>
      <c r="E52" s="44"/>
    </row>
    <row r="53" spans="3:5">
      <c r="C53" s="47"/>
      <c r="D53" s="44"/>
      <c r="E53" s="44"/>
    </row>
    <row r="54" spans="3:5">
      <c r="C54" s="47"/>
      <c r="D54" s="44"/>
      <c r="E54" s="44"/>
    </row>
    <row r="55" spans="3:5">
      <c r="C55" s="47"/>
      <c r="D55" s="44"/>
      <c r="E55" s="44"/>
    </row>
    <row r="56" spans="3:5">
      <c r="C56" s="47"/>
      <c r="D56" s="44"/>
      <c r="E56" s="44"/>
    </row>
    <row r="57" spans="3:5">
      <c r="C57" s="47"/>
      <c r="D57" s="44"/>
      <c r="E57" s="44"/>
    </row>
    <row r="58" spans="3:5">
      <c r="C58" s="47"/>
      <c r="D58" s="44"/>
      <c r="E58" s="44"/>
    </row>
    <row r="59" spans="3:5">
      <c r="C59" s="47"/>
      <c r="D59" s="44"/>
      <c r="E59" s="44"/>
    </row>
    <row r="60" spans="3:5">
      <c r="C60" s="47"/>
      <c r="D60" s="44"/>
      <c r="E60" s="44"/>
    </row>
    <row r="61" spans="3:5">
      <c r="C61" s="47"/>
      <c r="D61" s="44"/>
      <c r="E61" s="44"/>
    </row>
    <row r="62" spans="3:5">
      <c r="C62" s="47"/>
      <c r="D62" s="44"/>
      <c r="E62" s="44"/>
    </row>
    <row r="63" spans="3:5">
      <c r="C63" s="47"/>
      <c r="D63" s="44"/>
      <c r="E63" s="44"/>
    </row>
    <row r="64" spans="3:5">
      <c r="C64" s="47"/>
    </row>
    <row r="65" spans="2:5">
      <c r="C65" s="45"/>
      <c r="D65" s="46"/>
      <c r="E65" s="46"/>
    </row>
    <row r="66" spans="2:5">
      <c r="C66" s="47"/>
      <c r="D66" s="44"/>
      <c r="E66" s="44"/>
    </row>
    <row r="67" spans="2:5">
      <c r="C67" s="47"/>
      <c r="D67" s="44"/>
      <c r="E67" s="44"/>
    </row>
    <row r="68" spans="2:5">
      <c r="C68" s="47"/>
      <c r="D68" s="44"/>
      <c r="E68" s="44"/>
    </row>
    <row r="69" spans="2:5">
      <c r="C69" s="47"/>
      <c r="D69" s="44"/>
      <c r="E69" s="44"/>
    </row>
    <row r="70" spans="2:5">
      <c r="C70" s="47"/>
      <c r="D70" s="44"/>
      <c r="E70" s="44"/>
    </row>
    <row r="71" spans="2:5">
      <c r="C71" s="47"/>
      <c r="D71" s="44"/>
      <c r="E71" s="44"/>
    </row>
    <row r="72" spans="2:5">
      <c r="C72" s="47"/>
      <c r="D72" s="44"/>
      <c r="E72" s="44"/>
    </row>
    <row r="73" spans="2:5">
      <c r="C73" s="47"/>
      <c r="D73" s="44"/>
      <c r="E73" s="44"/>
    </row>
    <row r="74" spans="2:5">
      <c r="C74" s="47"/>
      <c r="D74" s="44"/>
      <c r="E74" s="44"/>
    </row>
    <row r="75" spans="2:5">
      <c r="C75" s="47"/>
      <c r="D75" s="44"/>
      <c r="E75" s="44"/>
    </row>
    <row r="76" spans="2:5">
      <c r="C76" s="47"/>
      <c r="D76" s="44"/>
      <c r="E76" s="44"/>
    </row>
    <row r="77" spans="2:5">
      <c r="B77" s="50"/>
      <c r="C77" s="51"/>
      <c r="D77" s="52"/>
      <c r="E77" s="52"/>
    </row>
    <row r="78" spans="2:5">
      <c r="B78" s="50"/>
      <c r="C78" s="51"/>
      <c r="D78" s="50"/>
      <c r="E78" s="50"/>
    </row>
    <row r="79" spans="2:5">
      <c r="B79" s="50"/>
      <c r="C79" s="53"/>
      <c r="D79" s="54"/>
      <c r="E79" s="54"/>
    </row>
    <row r="80" spans="2:5">
      <c r="B80" s="50"/>
      <c r="C80" s="51"/>
      <c r="D80" s="50"/>
      <c r="E80" s="50"/>
    </row>
    <row r="81" spans="2:5">
      <c r="B81" s="50"/>
      <c r="C81" s="51"/>
      <c r="D81" s="50"/>
      <c r="E81" s="50"/>
    </row>
    <row r="82" spans="2:5">
      <c r="B82" s="50"/>
      <c r="C82" s="55"/>
      <c r="D82" s="50"/>
      <c r="E82" s="50"/>
    </row>
    <row r="83" spans="2:5">
      <c r="B83" s="50"/>
      <c r="C83" s="51"/>
      <c r="D83" s="50"/>
      <c r="E83" s="50"/>
    </row>
    <row r="84" spans="2:5">
      <c r="B84" s="50"/>
      <c r="C84" s="51"/>
      <c r="D84" s="50"/>
      <c r="E84" s="50"/>
    </row>
    <row r="85" spans="2:5">
      <c r="B85" s="50"/>
      <c r="C85" s="51"/>
      <c r="D85" s="50"/>
      <c r="E85" s="50"/>
    </row>
    <row r="86" spans="2:5">
      <c r="B86" s="50"/>
      <c r="C86" s="51"/>
      <c r="D86" s="50"/>
      <c r="E86" s="50"/>
    </row>
    <row r="87" spans="2:5">
      <c r="B87" s="50"/>
      <c r="C87" s="51"/>
      <c r="D87" s="50"/>
      <c r="E87" s="50"/>
    </row>
    <row r="88" spans="2:5">
      <c r="B88" s="50"/>
      <c r="C88" s="51"/>
      <c r="D88" s="50"/>
      <c r="E88" s="50"/>
    </row>
    <row r="89" spans="2:5">
      <c r="B89" s="50"/>
      <c r="C89" s="51"/>
      <c r="D89" s="50"/>
      <c r="E89" s="50"/>
    </row>
    <row r="90" spans="2:5">
      <c r="B90" s="50"/>
      <c r="C90" s="51"/>
      <c r="D90" s="50"/>
      <c r="E90" s="50"/>
    </row>
    <row r="91" spans="2:5">
      <c r="B91" s="50"/>
      <c r="C91" s="51"/>
      <c r="D91" s="50"/>
      <c r="E91" s="50"/>
    </row>
    <row r="92" spans="2:5">
      <c r="B92" s="50"/>
      <c r="C92" s="51"/>
      <c r="D92" s="50"/>
      <c r="E92" s="50"/>
    </row>
    <row r="93" spans="2:5">
      <c r="B93" s="50"/>
      <c r="C93" s="51"/>
      <c r="D93" s="50"/>
      <c r="E93" s="50"/>
    </row>
    <row r="94" spans="2:5">
      <c r="B94" s="56"/>
      <c r="C94" s="53"/>
      <c r="D94" s="56"/>
      <c r="E94" s="50"/>
    </row>
    <row r="95" spans="2:5">
      <c r="B95" s="50"/>
      <c r="C95" s="51"/>
      <c r="D95" s="50"/>
      <c r="E95" s="50"/>
    </row>
    <row r="96" spans="2:5">
      <c r="B96" s="50"/>
      <c r="C96" s="51"/>
      <c r="D96" s="50"/>
      <c r="E96" s="50"/>
    </row>
    <row r="97" spans="2:5">
      <c r="B97" s="50"/>
      <c r="C97" s="51"/>
      <c r="D97" s="50"/>
      <c r="E97" s="50"/>
    </row>
    <row r="98" spans="2:5">
      <c r="B98" s="50"/>
      <c r="C98" s="51"/>
      <c r="D98" s="50"/>
      <c r="E98" s="50"/>
    </row>
    <row r="99" spans="2:5">
      <c r="B99" s="50"/>
      <c r="C99" s="51"/>
      <c r="D99" s="50"/>
      <c r="E99" s="50"/>
    </row>
    <row r="100" spans="2:5">
      <c r="B100" s="50"/>
      <c r="C100" s="51"/>
      <c r="D100" s="50"/>
      <c r="E100" s="50"/>
    </row>
    <row r="101" spans="2:5">
      <c r="B101" s="50"/>
      <c r="C101" s="51"/>
      <c r="D101" s="50"/>
      <c r="E101" s="50"/>
    </row>
    <row r="102" spans="2:5">
      <c r="B102" s="50"/>
      <c r="C102" s="51"/>
      <c r="D102" s="50"/>
      <c r="E102" s="50"/>
    </row>
    <row r="103" spans="2:5">
      <c r="C103" s="47"/>
    </row>
    <row r="104" spans="2:5">
      <c r="C104" s="47"/>
    </row>
    <row r="105" spans="2:5">
      <c r="C105" s="47"/>
    </row>
    <row r="106" spans="2:5">
      <c r="C106" s="47"/>
    </row>
    <row r="107" spans="2:5">
      <c r="C107" s="47"/>
    </row>
    <row r="108" spans="2:5">
      <c r="C108" s="47"/>
    </row>
    <row r="109" spans="2:5">
      <c r="C109" s="47"/>
    </row>
    <row r="110" spans="2:5">
      <c r="C110" s="47"/>
    </row>
    <row r="111" spans="2:5">
      <c r="C111" s="47"/>
    </row>
    <row r="112" spans="2:5">
      <c r="C112" s="47"/>
    </row>
    <row r="113" spans="3:3">
      <c r="C113" s="47"/>
    </row>
    <row r="114" spans="3:3">
      <c r="C114" s="47"/>
    </row>
    <row r="115" spans="3:3">
      <c r="C115" s="47"/>
    </row>
    <row r="116" spans="3:3">
      <c r="C116" s="47"/>
    </row>
    <row r="117" spans="3:3">
      <c r="C117" s="47"/>
    </row>
    <row r="118" spans="3:3">
      <c r="C118" s="47"/>
    </row>
    <row r="119" spans="3:3">
      <c r="C119" s="47"/>
    </row>
    <row r="120" spans="3:3">
      <c r="C120" s="47"/>
    </row>
    <row r="121" spans="3:3">
      <c r="C121" s="47"/>
    </row>
    <row r="122" spans="3:3">
      <c r="C122" s="47"/>
    </row>
    <row r="123" spans="3:3">
      <c r="C123" s="47"/>
    </row>
    <row r="124" spans="3:3">
      <c r="C124" s="47"/>
    </row>
    <row r="125" spans="3:3">
      <c r="C125" s="47"/>
    </row>
    <row r="126" spans="3:3">
      <c r="C126" s="47"/>
    </row>
    <row r="127" spans="3:3">
      <c r="C127" s="47"/>
    </row>
    <row r="128" spans="3:3">
      <c r="C128" s="47"/>
    </row>
    <row r="129" spans="3:3">
      <c r="C129" s="47"/>
    </row>
    <row r="130" spans="3:3">
      <c r="C130" s="47"/>
    </row>
    <row r="131" spans="3:3">
      <c r="C131" s="47"/>
    </row>
    <row r="132" spans="3:3">
      <c r="C132" s="47"/>
    </row>
    <row r="133" spans="3:3">
      <c r="C133" s="47"/>
    </row>
    <row r="134" spans="3:3">
      <c r="C134" s="47"/>
    </row>
    <row r="135" spans="3:3">
      <c r="C135" s="47"/>
    </row>
    <row r="136" spans="3:3">
      <c r="C136" s="47"/>
    </row>
    <row r="137" spans="3:3">
      <c r="C137" s="47"/>
    </row>
    <row r="138" spans="3:3">
      <c r="C138" s="47"/>
    </row>
    <row r="139" spans="3:3">
      <c r="C139" s="47"/>
    </row>
    <row r="140" spans="3:3">
      <c r="C140" s="47"/>
    </row>
    <row r="141" spans="3:3">
      <c r="C141" s="47"/>
    </row>
    <row r="142" spans="3:3">
      <c r="C142" s="47"/>
    </row>
    <row r="143" spans="3:3">
      <c r="C143" s="47"/>
    </row>
    <row r="144" spans="3:3">
      <c r="C144" s="47"/>
    </row>
    <row r="145" spans="3:3">
      <c r="C145" s="47"/>
    </row>
    <row r="146" spans="3:3">
      <c r="C146" s="47"/>
    </row>
    <row r="147" spans="3:3">
      <c r="C147" s="47"/>
    </row>
    <row r="148" spans="3:3">
      <c r="C148" s="47"/>
    </row>
    <row r="149" spans="3:3">
      <c r="C149" s="47"/>
    </row>
    <row r="150" spans="3:3">
      <c r="C150" s="47"/>
    </row>
    <row r="151" spans="3:3">
      <c r="C151" s="47"/>
    </row>
    <row r="152" spans="3:3">
      <c r="C152" s="47"/>
    </row>
    <row r="153" spans="3:3">
      <c r="C153" s="47"/>
    </row>
    <row r="154" spans="3:3">
      <c r="C154" s="47"/>
    </row>
    <row r="155" spans="3:3">
      <c r="C155" s="47"/>
    </row>
    <row r="156" spans="3:3">
      <c r="C156" s="47"/>
    </row>
    <row r="157" spans="3:3">
      <c r="C157" s="47"/>
    </row>
    <row r="158" spans="3:3">
      <c r="C158" s="47"/>
    </row>
    <row r="159" spans="3:3">
      <c r="C159" s="47"/>
    </row>
    <row r="160" spans="3:3">
      <c r="C160" s="47"/>
    </row>
    <row r="161" spans="3:3">
      <c r="C161" s="47"/>
    </row>
    <row r="162" spans="3:3">
      <c r="C162" s="47"/>
    </row>
    <row r="163" spans="3:3">
      <c r="C163" s="47"/>
    </row>
    <row r="164" spans="3:3">
      <c r="C164" s="47"/>
    </row>
    <row r="165" spans="3:3">
      <c r="C165" s="47"/>
    </row>
    <row r="166" spans="3:3">
      <c r="C166" s="47"/>
    </row>
    <row r="167" spans="3:3">
      <c r="C167" s="47"/>
    </row>
    <row r="168" spans="3:3">
      <c r="C168" s="47"/>
    </row>
    <row r="169" spans="3:3">
      <c r="C169" s="47"/>
    </row>
    <row r="170" spans="3:3">
      <c r="C170" s="47"/>
    </row>
    <row r="171" spans="3:3">
      <c r="C171" s="47"/>
    </row>
  </sheetData>
  <mergeCells count="4">
    <mergeCell ref="A1:E1"/>
    <mergeCell ref="D3:E3"/>
    <mergeCell ref="D4:E4"/>
    <mergeCell ref="D5:E5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38"/>
  <sheetViews>
    <sheetView showGridLines="0" workbookViewId="0">
      <selection activeCell="B37" sqref="B37"/>
    </sheetView>
  </sheetViews>
  <sheetFormatPr defaultRowHeight="14.25"/>
  <cols>
    <col min="1" max="1" width="12.7109375" style="187" customWidth="1"/>
    <col min="2" max="2" width="47.85546875" style="187" customWidth="1"/>
    <col min="3" max="3" width="15.140625" style="187" customWidth="1"/>
    <col min="4" max="4" width="20" style="187" customWidth="1"/>
    <col min="5" max="16384" width="9.140625" style="187"/>
  </cols>
  <sheetData>
    <row r="1" spans="1:4" ht="15" thickBot="1">
      <c r="A1" s="1015" t="s">
        <v>450</v>
      </c>
      <c r="B1" s="1016"/>
      <c r="C1" s="1016"/>
      <c r="D1" s="1017"/>
    </row>
    <row r="2" spans="1:4">
      <c r="A2" s="1018" t="s">
        <v>4</v>
      </c>
      <c r="B2" s="1020" t="s">
        <v>1</v>
      </c>
      <c r="C2" s="1020" t="s">
        <v>451</v>
      </c>
      <c r="D2" s="1022"/>
    </row>
    <row r="3" spans="1:4" ht="15" thickBot="1">
      <c r="A3" s="1019"/>
      <c r="B3" s="1021"/>
      <c r="C3" s="188" t="s">
        <v>452</v>
      </c>
      <c r="D3" s="189" t="s">
        <v>453</v>
      </c>
    </row>
    <row r="4" spans="1:4">
      <c r="A4" s="1010" t="s">
        <v>454</v>
      </c>
      <c r="B4" s="1011"/>
      <c r="C4" s="1011"/>
      <c r="D4" s="1012"/>
    </row>
    <row r="5" spans="1:4">
      <c r="A5" s="190" t="s">
        <v>455</v>
      </c>
      <c r="B5" s="191" t="s">
        <v>456</v>
      </c>
      <c r="C5" s="192">
        <v>0</v>
      </c>
      <c r="D5" s="193">
        <v>0</v>
      </c>
    </row>
    <row r="6" spans="1:4">
      <c r="A6" s="190" t="s">
        <v>457</v>
      </c>
      <c r="B6" s="191" t="s">
        <v>458</v>
      </c>
      <c r="C6" s="192">
        <v>1.4999999999999999E-2</v>
      </c>
      <c r="D6" s="193">
        <v>1.4999999999999999E-2</v>
      </c>
    </row>
    <row r="7" spans="1:4">
      <c r="A7" s="190" t="s">
        <v>459</v>
      </c>
      <c r="B7" s="191" t="s">
        <v>460</v>
      </c>
      <c r="C7" s="192">
        <v>0.01</v>
      </c>
      <c r="D7" s="193">
        <v>0.01</v>
      </c>
    </row>
    <row r="8" spans="1:4">
      <c r="A8" s="190" t="s">
        <v>461</v>
      </c>
      <c r="B8" s="191" t="s">
        <v>462</v>
      </c>
      <c r="C8" s="192">
        <v>2E-3</v>
      </c>
      <c r="D8" s="193">
        <v>2E-3</v>
      </c>
    </row>
    <row r="9" spans="1:4">
      <c r="A9" s="190" t="s">
        <v>463</v>
      </c>
      <c r="B9" s="191" t="s">
        <v>464</v>
      </c>
      <c r="C9" s="192">
        <v>6.0000000000000001E-3</v>
      </c>
      <c r="D9" s="193">
        <v>6.0000000000000001E-3</v>
      </c>
    </row>
    <row r="10" spans="1:4">
      <c r="A10" s="190" t="s">
        <v>465</v>
      </c>
      <c r="B10" s="191" t="s">
        <v>466</v>
      </c>
      <c r="C10" s="192">
        <v>2.5000000000000001E-2</v>
      </c>
      <c r="D10" s="193">
        <v>2.5000000000000001E-2</v>
      </c>
    </row>
    <row r="11" spans="1:4">
      <c r="A11" s="190" t="s">
        <v>467</v>
      </c>
      <c r="B11" s="191" t="s">
        <v>468</v>
      </c>
      <c r="C11" s="192">
        <v>0.03</v>
      </c>
      <c r="D11" s="193">
        <v>0.03</v>
      </c>
    </row>
    <row r="12" spans="1:4">
      <c r="A12" s="190" t="s">
        <v>469</v>
      </c>
      <c r="B12" s="191" t="s">
        <v>470</v>
      </c>
      <c r="C12" s="192">
        <v>0.08</v>
      </c>
      <c r="D12" s="193">
        <v>0.08</v>
      </c>
    </row>
    <row r="13" spans="1:4">
      <c r="A13" s="190" t="s">
        <v>471</v>
      </c>
      <c r="B13" s="191" t="s">
        <v>472</v>
      </c>
      <c r="C13" s="192">
        <v>0</v>
      </c>
      <c r="D13" s="193">
        <v>0</v>
      </c>
    </row>
    <row r="14" spans="1:4">
      <c r="A14" s="194" t="s">
        <v>473</v>
      </c>
      <c r="B14" s="195" t="s">
        <v>474</v>
      </c>
      <c r="C14" s="196">
        <v>0.16800000000000001</v>
      </c>
      <c r="D14" s="197">
        <v>0.16800000000000001</v>
      </c>
    </row>
    <row r="15" spans="1:4">
      <c r="A15" s="1010" t="s">
        <v>475</v>
      </c>
      <c r="B15" s="1011"/>
      <c r="C15" s="1011"/>
      <c r="D15" s="1012"/>
    </row>
    <row r="16" spans="1:4">
      <c r="A16" s="190" t="s">
        <v>476</v>
      </c>
      <c r="B16" s="191" t="s">
        <v>477</v>
      </c>
      <c r="C16" s="192">
        <v>0.17780000000000001</v>
      </c>
      <c r="D16" s="198" t="s">
        <v>478</v>
      </c>
    </row>
    <row r="17" spans="1:4">
      <c r="A17" s="190" t="s">
        <v>479</v>
      </c>
      <c r="B17" s="191" t="s">
        <v>480</v>
      </c>
      <c r="C17" s="192">
        <v>3.6700000000000003E-2</v>
      </c>
      <c r="D17" s="198" t="s">
        <v>478</v>
      </c>
    </row>
    <row r="18" spans="1:4">
      <c r="A18" s="190" t="s">
        <v>481</v>
      </c>
      <c r="B18" s="191" t="s">
        <v>482</v>
      </c>
      <c r="C18" s="192">
        <v>9.1999999999999998E-3</v>
      </c>
      <c r="D18" s="193">
        <v>6.8999999999999999E-3</v>
      </c>
    </row>
    <row r="19" spans="1:4">
      <c r="A19" s="190" t="s">
        <v>483</v>
      </c>
      <c r="B19" s="191" t="s">
        <v>484</v>
      </c>
      <c r="C19" s="192">
        <v>0.11070000000000001</v>
      </c>
      <c r="D19" s="193">
        <v>8.3299999999999999E-2</v>
      </c>
    </row>
    <row r="20" spans="1:4">
      <c r="A20" s="190" t="s">
        <v>485</v>
      </c>
      <c r="B20" s="191" t="s">
        <v>486</v>
      </c>
      <c r="C20" s="192">
        <v>8.0000000000000004E-4</v>
      </c>
      <c r="D20" s="193">
        <v>5.9999999999999995E-4</v>
      </c>
    </row>
    <row r="21" spans="1:4">
      <c r="A21" s="190" t="s">
        <v>487</v>
      </c>
      <c r="B21" s="191" t="s">
        <v>488</v>
      </c>
      <c r="C21" s="192">
        <v>7.4000000000000003E-3</v>
      </c>
      <c r="D21" s="193">
        <v>5.5999999999999999E-3</v>
      </c>
    </row>
    <row r="22" spans="1:4">
      <c r="A22" s="190" t="s">
        <v>489</v>
      </c>
      <c r="B22" s="191" t="s">
        <v>490</v>
      </c>
      <c r="C22" s="192">
        <v>1.0999999999999999E-2</v>
      </c>
      <c r="D22" s="198" t="s">
        <v>478</v>
      </c>
    </row>
    <row r="23" spans="1:4">
      <c r="A23" s="190" t="s">
        <v>491</v>
      </c>
      <c r="B23" s="191" t="s">
        <v>492</v>
      </c>
      <c r="C23" s="192">
        <v>1.2999999999999999E-3</v>
      </c>
      <c r="D23" s="193">
        <v>8.9999999999999998E-4</v>
      </c>
    </row>
    <row r="24" spans="1:4">
      <c r="A24" s="190" t="s">
        <v>493</v>
      </c>
      <c r="B24" s="191" t="s">
        <v>494</v>
      </c>
      <c r="C24" s="192">
        <v>0.1376</v>
      </c>
      <c r="D24" s="193">
        <v>0.1036</v>
      </c>
    </row>
    <row r="25" spans="1:4">
      <c r="A25" s="190" t="s">
        <v>495</v>
      </c>
      <c r="B25" s="191" t="s">
        <v>496</v>
      </c>
      <c r="C25" s="192">
        <v>2.9999999999999997E-4</v>
      </c>
      <c r="D25" s="193">
        <v>2.0000000000000001E-4</v>
      </c>
    </row>
    <row r="26" spans="1:4">
      <c r="A26" s="194" t="s">
        <v>497</v>
      </c>
      <c r="B26" s="195" t="s">
        <v>474</v>
      </c>
      <c r="C26" s="196">
        <v>0.49280000000000002</v>
      </c>
      <c r="D26" s="197">
        <v>0.2011</v>
      </c>
    </row>
    <row r="27" spans="1:4">
      <c r="A27" s="1010" t="s">
        <v>498</v>
      </c>
      <c r="B27" s="1011"/>
      <c r="C27" s="1011"/>
      <c r="D27" s="1012"/>
    </row>
    <row r="28" spans="1:4">
      <c r="A28" s="190" t="s">
        <v>499</v>
      </c>
      <c r="B28" s="191" t="s">
        <v>500</v>
      </c>
      <c r="C28" s="192">
        <v>8.2799999999999999E-2</v>
      </c>
      <c r="D28" s="193">
        <v>6.2300000000000001E-2</v>
      </c>
    </row>
    <row r="29" spans="1:4">
      <c r="A29" s="190" t="s">
        <v>501</v>
      </c>
      <c r="B29" s="191" t="s">
        <v>502</v>
      </c>
      <c r="C29" s="192">
        <v>2E-3</v>
      </c>
      <c r="D29" s="193">
        <v>1.5E-3</v>
      </c>
    </row>
    <row r="30" spans="1:4">
      <c r="A30" s="190" t="s">
        <v>503</v>
      </c>
      <c r="B30" s="191" t="s">
        <v>504</v>
      </c>
      <c r="C30" s="192">
        <v>9.2999999999999992E-3</v>
      </c>
      <c r="D30" s="193">
        <v>7.0000000000000001E-3</v>
      </c>
    </row>
    <row r="31" spans="1:4">
      <c r="A31" s="190" t="s">
        <v>505</v>
      </c>
      <c r="B31" s="191" t="s">
        <v>506</v>
      </c>
      <c r="C31" s="192">
        <v>4.8399999999999999E-2</v>
      </c>
      <c r="D31" s="193">
        <v>3.6499999999999998E-2</v>
      </c>
    </row>
    <row r="32" spans="1:4">
      <c r="A32" s="190" t="s">
        <v>507</v>
      </c>
      <c r="B32" s="191" t="s">
        <v>508</v>
      </c>
      <c r="C32" s="192">
        <v>7.0000000000000001E-3</v>
      </c>
      <c r="D32" s="193">
        <v>5.1999999999999998E-3</v>
      </c>
    </row>
    <row r="33" spans="1:4">
      <c r="A33" s="194" t="s">
        <v>509</v>
      </c>
      <c r="B33" s="195" t="s">
        <v>474</v>
      </c>
      <c r="C33" s="196">
        <v>0.14949999999999999</v>
      </c>
      <c r="D33" s="197">
        <v>0.1125</v>
      </c>
    </row>
    <row r="34" spans="1:4">
      <c r="A34" s="1010" t="s">
        <v>510</v>
      </c>
      <c r="B34" s="1011"/>
      <c r="C34" s="1011"/>
      <c r="D34" s="1012"/>
    </row>
    <row r="35" spans="1:4">
      <c r="A35" s="190" t="s">
        <v>511</v>
      </c>
      <c r="B35" s="191" t="s">
        <v>512</v>
      </c>
      <c r="C35" s="192">
        <v>8.2799999999999999E-2</v>
      </c>
      <c r="D35" s="193">
        <v>3.3799999999999997E-2</v>
      </c>
    </row>
    <row r="36" spans="1:4" ht="24">
      <c r="A36" s="190" t="s">
        <v>513</v>
      </c>
      <c r="B36" s="191" t="s">
        <v>514</v>
      </c>
      <c r="C36" s="192">
        <v>7.0000000000000001E-3</v>
      </c>
      <c r="D36" s="193">
        <v>5.1999999999999998E-3</v>
      </c>
    </row>
    <row r="37" spans="1:4">
      <c r="A37" s="194" t="s">
        <v>515</v>
      </c>
      <c r="B37" s="195" t="s">
        <v>474</v>
      </c>
      <c r="C37" s="196">
        <v>8.9800000000000005E-2</v>
      </c>
      <c r="D37" s="197">
        <v>3.9E-2</v>
      </c>
    </row>
    <row r="38" spans="1:4" ht="15" thickBot="1">
      <c r="A38" s="1013" t="s">
        <v>516</v>
      </c>
      <c r="B38" s="1014"/>
      <c r="C38" s="199">
        <v>0.90010000000000001</v>
      </c>
      <c r="D38" s="200">
        <v>0.52059999999999995</v>
      </c>
    </row>
  </sheetData>
  <mergeCells count="9">
    <mergeCell ref="A27:D27"/>
    <mergeCell ref="A34:D34"/>
    <mergeCell ref="A38:B38"/>
    <mergeCell ref="A1:D1"/>
    <mergeCell ref="A2:A3"/>
    <mergeCell ref="B2:B3"/>
    <mergeCell ref="C2:D2"/>
    <mergeCell ref="A4:D4"/>
    <mergeCell ref="A15:D15"/>
  </mergeCells>
  <pageMargins left="0.51181102362204722" right="0.51181102362204722" top="0.78740157480314965" bottom="0.78740157480314965" header="0.31496062992125984" footer="0.31496062992125984"/>
  <pageSetup paperSize="9" scale="9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36"/>
  <sheetViews>
    <sheetView showGridLines="0" view="pageLayout" topLeftCell="A19" zoomScaleSheetLayoutView="100" workbookViewId="0">
      <selection activeCell="A36" sqref="A36"/>
    </sheetView>
  </sheetViews>
  <sheetFormatPr defaultRowHeight="12.75"/>
  <cols>
    <col min="1" max="1" width="36.140625" style="441" customWidth="1"/>
    <col min="2" max="2" width="26.5703125" style="441" customWidth="1"/>
    <col min="3" max="3" width="15.28515625" style="441" customWidth="1"/>
    <col min="4" max="256" width="9.140625" style="441"/>
    <col min="257" max="257" width="36.140625" style="441" customWidth="1"/>
    <col min="258" max="258" width="26.5703125" style="441" customWidth="1"/>
    <col min="259" max="259" width="15.28515625" style="441" customWidth="1"/>
    <col min="260" max="512" width="9.140625" style="441"/>
    <col min="513" max="513" width="36.140625" style="441" customWidth="1"/>
    <col min="514" max="514" width="26.5703125" style="441" customWidth="1"/>
    <col min="515" max="515" width="15.28515625" style="441" customWidth="1"/>
    <col min="516" max="768" width="9.140625" style="441"/>
    <col min="769" max="769" width="36.140625" style="441" customWidth="1"/>
    <col min="770" max="770" width="26.5703125" style="441" customWidth="1"/>
    <col min="771" max="771" width="15.28515625" style="441" customWidth="1"/>
    <col min="772" max="1024" width="9.140625" style="441"/>
    <col min="1025" max="1025" width="36.140625" style="441" customWidth="1"/>
    <col min="1026" max="1026" width="26.5703125" style="441" customWidth="1"/>
    <col min="1027" max="1027" width="15.28515625" style="441" customWidth="1"/>
    <col min="1028" max="1280" width="9.140625" style="441"/>
    <col min="1281" max="1281" width="36.140625" style="441" customWidth="1"/>
    <col min="1282" max="1282" width="26.5703125" style="441" customWidth="1"/>
    <col min="1283" max="1283" width="15.28515625" style="441" customWidth="1"/>
    <col min="1284" max="1536" width="9.140625" style="441"/>
    <col min="1537" max="1537" width="36.140625" style="441" customWidth="1"/>
    <col min="1538" max="1538" width="26.5703125" style="441" customWidth="1"/>
    <col min="1539" max="1539" width="15.28515625" style="441" customWidth="1"/>
    <col min="1540" max="1792" width="9.140625" style="441"/>
    <col min="1793" max="1793" width="36.140625" style="441" customWidth="1"/>
    <col min="1794" max="1794" width="26.5703125" style="441" customWidth="1"/>
    <col min="1795" max="1795" width="15.28515625" style="441" customWidth="1"/>
    <col min="1796" max="2048" width="9.140625" style="441"/>
    <col min="2049" max="2049" width="36.140625" style="441" customWidth="1"/>
    <col min="2050" max="2050" width="26.5703125" style="441" customWidth="1"/>
    <col min="2051" max="2051" width="15.28515625" style="441" customWidth="1"/>
    <col min="2052" max="2304" width="9.140625" style="441"/>
    <col min="2305" max="2305" width="36.140625" style="441" customWidth="1"/>
    <col min="2306" max="2306" width="26.5703125" style="441" customWidth="1"/>
    <col min="2307" max="2307" width="15.28515625" style="441" customWidth="1"/>
    <col min="2308" max="2560" width="9.140625" style="441"/>
    <col min="2561" max="2561" width="36.140625" style="441" customWidth="1"/>
    <col min="2562" max="2562" width="26.5703125" style="441" customWidth="1"/>
    <col min="2563" max="2563" width="15.28515625" style="441" customWidth="1"/>
    <col min="2564" max="2816" width="9.140625" style="441"/>
    <col min="2817" max="2817" width="36.140625" style="441" customWidth="1"/>
    <col min="2818" max="2818" width="26.5703125" style="441" customWidth="1"/>
    <col min="2819" max="2819" width="15.28515625" style="441" customWidth="1"/>
    <col min="2820" max="3072" width="9.140625" style="441"/>
    <col min="3073" max="3073" width="36.140625" style="441" customWidth="1"/>
    <col min="3074" max="3074" width="26.5703125" style="441" customWidth="1"/>
    <col min="3075" max="3075" width="15.28515625" style="441" customWidth="1"/>
    <col min="3076" max="3328" width="9.140625" style="441"/>
    <col min="3329" max="3329" width="36.140625" style="441" customWidth="1"/>
    <col min="3330" max="3330" width="26.5703125" style="441" customWidth="1"/>
    <col min="3331" max="3331" width="15.28515625" style="441" customWidth="1"/>
    <col min="3332" max="3584" width="9.140625" style="441"/>
    <col min="3585" max="3585" width="36.140625" style="441" customWidth="1"/>
    <col min="3586" max="3586" width="26.5703125" style="441" customWidth="1"/>
    <col min="3587" max="3587" width="15.28515625" style="441" customWidth="1"/>
    <col min="3588" max="3840" width="9.140625" style="441"/>
    <col min="3841" max="3841" width="36.140625" style="441" customWidth="1"/>
    <col min="3842" max="3842" width="26.5703125" style="441" customWidth="1"/>
    <col min="3843" max="3843" width="15.28515625" style="441" customWidth="1"/>
    <col min="3844" max="4096" width="9.140625" style="441"/>
    <col min="4097" max="4097" width="36.140625" style="441" customWidth="1"/>
    <col min="4098" max="4098" width="26.5703125" style="441" customWidth="1"/>
    <col min="4099" max="4099" width="15.28515625" style="441" customWidth="1"/>
    <col min="4100" max="4352" width="9.140625" style="441"/>
    <col min="4353" max="4353" width="36.140625" style="441" customWidth="1"/>
    <col min="4354" max="4354" width="26.5703125" style="441" customWidth="1"/>
    <col min="4355" max="4355" width="15.28515625" style="441" customWidth="1"/>
    <col min="4356" max="4608" width="9.140625" style="441"/>
    <col min="4609" max="4609" width="36.140625" style="441" customWidth="1"/>
    <col min="4610" max="4610" width="26.5703125" style="441" customWidth="1"/>
    <col min="4611" max="4611" width="15.28515625" style="441" customWidth="1"/>
    <col min="4612" max="4864" width="9.140625" style="441"/>
    <col min="4865" max="4865" width="36.140625" style="441" customWidth="1"/>
    <col min="4866" max="4866" width="26.5703125" style="441" customWidth="1"/>
    <col min="4867" max="4867" width="15.28515625" style="441" customWidth="1"/>
    <col min="4868" max="5120" width="9.140625" style="441"/>
    <col min="5121" max="5121" width="36.140625" style="441" customWidth="1"/>
    <col min="5122" max="5122" width="26.5703125" style="441" customWidth="1"/>
    <col min="5123" max="5123" width="15.28515625" style="441" customWidth="1"/>
    <col min="5124" max="5376" width="9.140625" style="441"/>
    <col min="5377" max="5377" width="36.140625" style="441" customWidth="1"/>
    <col min="5378" max="5378" width="26.5703125" style="441" customWidth="1"/>
    <col min="5379" max="5379" width="15.28515625" style="441" customWidth="1"/>
    <col min="5380" max="5632" width="9.140625" style="441"/>
    <col min="5633" max="5633" width="36.140625" style="441" customWidth="1"/>
    <col min="5634" max="5634" width="26.5703125" style="441" customWidth="1"/>
    <col min="5635" max="5635" width="15.28515625" style="441" customWidth="1"/>
    <col min="5636" max="5888" width="9.140625" style="441"/>
    <col min="5889" max="5889" width="36.140625" style="441" customWidth="1"/>
    <col min="5890" max="5890" width="26.5703125" style="441" customWidth="1"/>
    <col min="5891" max="5891" width="15.28515625" style="441" customWidth="1"/>
    <col min="5892" max="6144" width="9.140625" style="441"/>
    <col min="6145" max="6145" width="36.140625" style="441" customWidth="1"/>
    <col min="6146" max="6146" width="26.5703125" style="441" customWidth="1"/>
    <col min="6147" max="6147" width="15.28515625" style="441" customWidth="1"/>
    <col min="6148" max="6400" width="9.140625" style="441"/>
    <col min="6401" max="6401" width="36.140625" style="441" customWidth="1"/>
    <col min="6402" max="6402" width="26.5703125" style="441" customWidth="1"/>
    <col min="6403" max="6403" width="15.28515625" style="441" customWidth="1"/>
    <col min="6404" max="6656" width="9.140625" style="441"/>
    <col min="6657" max="6657" width="36.140625" style="441" customWidth="1"/>
    <col min="6658" max="6658" width="26.5703125" style="441" customWidth="1"/>
    <col min="6659" max="6659" width="15.28515625" style="441" customWidth="1"/>
    <col min="6660" max="6912" width="9.140625" style="441"/>
    <col min="6913" max="6913" width="36.140625" style="441" customWidth="1"/>
    <col min="6914" max="6914" width="26.5703125" style="441" customWidth="1"/>
    <col min="6915" max="6915" width="15.28515625" style="441" customWidth="1"/>
    <col min="6916" max="7168" width="9.140625" style="441"/>
    <col min="7169" max="7169" width="36.140625" style="441" customWidth="1"/>
    <col min="7170" max="7170" width="26.5703125" style="441" customWidth="1"/>
    <col min="7171" max="7171" width="15.28515625" style="441" customWidth="1"/>
    <col min="7172" max="7424" width="9.140625" style="441"/>
    <col min="7425" max="7425" width="36.140625" style="441" customWidth="1"/>
    <col min="7426" max="7426" width="26.5703125" style="441" customWidth="1"/>
    <col min="7427" max="7427" width="15.28515625" style="441" customWidth="1"/>
    <col min="7428" max="7680" width="9.140625" style="441"/>
    <col min="7681" max="7681" width="36.140625" style="441" customWidth="1"/>
    <col min="7682" max="7682" width="26.5703125" style="441" customWidth="1"/>
    <col min="7683" max="7683" width="15.28515625" style="441" customWidth="1"/>
    <col min="7684" max="7936" width="9.140625" style="441"/>
    <col min="7937" max="7937" width="36.140625" style="441" customWidth="1"/>
    <col min="7938" max="7938" width="26.5703125" style="441" customWidth="1"/>
    <col min="7939" max="7939" width="15.28515625" style="441" customWidth="1"/>
    <col min="7940" max="8192" width="9.140625" style="441"/>
    <col min="8193" max="8193" width="36.140625" style="441" customWidth="1"/>
    <col min="8194" max="8194" width="26.5703125" style="441" customWidth="1"/>
    <col min="8195" max="8195" width="15.28515625" style="441" customWidth="1"/>
    <col min="8196" max="8448" width="9.140625" style="441"/>
    <col min="8449" max="8449" width="36.140625" style="441" customWidth="1"/>
    <col min="8450" max="8450" width="26.5703125" style="441" customWidth="1"/>
    <col min="8451" max="8451" width="15.28515625" style="441" customWidth="1"/>
    <col min="8452" max="8704" width="9.140625" style="441"/>
    <col min="8705" max="8705" width="36.140625" style="441" customWidth="1"/>
    <col min="8706" max="8706" width="26.5703125" style="441" customWidth="1"/>
    <col min="8707" max="8707" width="15.28515625" style="441" customWidth="1"/>
    <col min="8708" max="8960" width="9.140625" style="441"/>
    <col min="8961" max="8961" width="36.140625" style="441" customWidth="1"/>
    <col min="8962" max="8962" width="26.5703125" style="441" customWidth="1"/>
    <col min="8963" max="8963" width="15.28515625" style="441" customWidth="1"/>
    <col min="8964" max="9216" width="9.140625" style="441"/>
    <col min="9217" max="9217" width="36.140625" style="441" customWidth="1"/>
    <col min="9218" max="9218" width="26.5703125" style="441" customWidth="1"/>
    <col min="9219" max="9219" width="15.28515625" style="441" customWidth="1"/>
    <col min="9220" max="9472" width="9.140625" style="441"/>
    <col min="9473" max="9473" width="36.140625" style="441" customWidth="1"/>
    <col min="9474" max="9474" width="26.5703125" style="441" customWidth="1"/>
    <col min="9475" max="9475" width="15.28515625" style="441" customWidth="1"/>
    <col min="9476" max="9728" width="9.140625" style="441"/>
    <col min="9729" max="9729" width="36.140625" style="441" customWidth="1"/>
    <col min="9730" max="9730" width="26.5703125" style="441" customWidth="1"/>
    <col min="9731" max="9731" width="15.28515625" style="441" customWidth="1"/>
    <col min="9732" max="9984" width="9.140625" style="441"/>
    <col min="9985" max="9985" width="36.140625" style="441" customWidth="1"/>
    <col min="9986" max="9986" width="26.5703125" style="441" customWidth="1"/>
    <col min="9987" max="9987" width="15.28515625" style="441" customWidth="1"/>
    <col min="9988" max="10240" width="9.140625" style="441"/>
    <col min="10241" max="10241" width="36.140625" style="441" customWidth="1"/>
    <col min="10242" max="10242" width="26.5703125" style="441" customWidth="1"/>
    <col min="10243" max="10243" width="15.28515625" style="441" customWidth="1"/>
    <col min="10244" max="10496" width="9.140625" style="441"/>
    <col min="10497" max="10497" width="36.140625" style="441" customWidth="1"/>
    <col min="10498" max="10498" width="26.5703125" style="441" customWidth="1"/>
    <col min="10499" max="10499" width="15.28515625" style="441" customWidth="1"/>
    <col min="10500" max="10752" width="9.140625" style="441"/>
    <col min="10753" max="10753" width="36.140625" style="441" customWidth="1"/>
    <col min="10754" max="10754" width="26.5703125" style="441" customWidth="1"/>
    <col min="10755" max="10755" width="15.28515625" style="441" customWidth="1"/>
    <col min="10756" max="11008" width="9.140625" style="441"/>
    <col min="11009" max="11009" width="36.140625" style="441" customWidth="1"/>
    <col min="11010" max="11010" width="26.5703125" style="441" customWidth="1"/>
    <col min="11011" max="11011" width="15.28515625" style="441" customWidth="1"/>
    <col min="11012" max="11264" width="9.140625" style="441"/>
    <col min="11265" max="11265" width="36.140625" style="441" customWidth="1"/>
    <col min="11266" max="11266" width="26.5703125" style="441" customWidth="1"/>
    <col min="11267" max="11267" width="15.28515625" style="441" customWidth="1"/>
    <col min="11268" max="11520" width="9.140625" style="441"/>
    <col min="11521" max="11521" width="36.140625" style="441" customWidth="1"/>
    <col min="11522" max="11522" width="26.5703125" style="441" customWidth="1"/>
    <col min="11523" max="11523" width="15.28515625" style="441" customWidth="1"/>
    <col min="11524" max="11776" width="9.140625" style="441"/>
    <col min="11777" max="11777" width="36.140625" style="441" customWidth="1"/>
    <col min="11778" max="11778" width="26.5703125" style="441" customWidth="1"/>
    <col min="11779" max="11779" width="15.28515625" style="441" customWidth="1"/>
    <col min="11780" max="12032" width="9.140625" style="441"/>
    <col min="12033" max="12033" width="36.140625" style="441" customWidth="1"/>
    <col min="12034" max="12034" width="26.5703125" style="441" customWidth="1"/>
    <col min="12035" max="12035" width="15.28515625" style="441" customWidth="1"/>
    <col min="12036" max="12288" width="9.140625" style="441"/>
    <col min="12289" max="12289" width="36.140625" style="441" customWidth="1"/>
    <col min="12290" max="12290" width="26.5703125" style="441" customWidth="1"/>
    <col min="12291" max="12291" width="15.28515625" style="441" customWidth="1"/>
    <col min="12292" max="12544" width="9.140625" style="441"/>
    <col min="12545" max="12545" width="36.140625" style="441" customWidth="1"/>
    <col min="12546" max="12546" width="26.5703125" style="441" customWidth="1"/>
    <col min="12547" max="12547" width="15.28515625" style="441" customWidth="1"/>
    <col min="12548" max="12800" width="9.140625" style="441"/>
    <col min="12801" max="12801" width="36.140625" style="441" customWidth="1"/>
    <col min="12802" max="12802" width="26.5703125" style="441" customWidth="1"/>
    <col min="12803" max="12803" width="15.28515625" style="441" customWidth="1"/>
    <col min="12804" max="13056" width="9.140625" style="441"/>
    <col min="13057" max="13057" width="36.140625" style="441" customWidth="1"/>
    <col min="13058" max="13058" width="26.5703125" style="441" customWidth="1"/>
    <col min="13059" max="13059" width="15.28515625" style="441" customWidth="1"/>
    <col min="13060" max="13312" width="9.140625" style="441"/>
    <col min="13313" max="13313" width="36.140625" style="441" customWidth="1"/>
    <col min="13314" max="13314" width="26.5703125" style="441" customWidth="1"/>
    <col min="13315" max="13315" width="15.28515625" style="441" customWidth="1"/>
    <col min="13316" max="13568" width="9.140625" style="441"/>
    <col min="13569" max="13569" width="36.140625" style="441" customWidth="1"/>
    <col min="13570" max="13570" width="26.5703125" style="441" customWidth="1"/>
    <col min="13571" max="13571" width="15.28515625" style="441" customWidth="1"/>
    <col min="13572" max="13824" width="9.140625" style="441"/>
    <col min="13825" max="13825" width="36.140625" style="441" customWidth="1"/>
    <col min="13826" max="13826" width="26.5703125" style="441" customWidth="1"/>
    <col min="13827" max="13827" width="15.28515625" style="441" customWidth="1"/>
    <col min="13828" max="14080" width="9.140625" style="441"/>
    <col min="14081" max="14081" width="36.140625" style="441" customWidth="1"/>
    <col min="14082" max="14082" width="26.5703125" style="441" customWidth="1"/>
    <col min="14083" max="14083" width="15.28515625" style="441" customWidth="1"/>
    <col min="14084" max="14336" width="9.140625" style="441"/>
    <col min="14337" max="14337" width="36.140625" style="441" customWidth="1"/>
    <col min="14338" max="14338" width="26.5703125" style="441" customWidth="1"/>
    <col min="14339" max="14339" width="15.28515625" style="441" customWidth="1"/>
    <col min="14340" max="14592" width="9.140625" style="441"/>
    <col min="14593" max="14593" width="36.140625" style="441" customWidth="1"/>
    <col min="14594" max="14594" width="26.5703125" style="441" customWidth="1"/>
    <col min="14595" max="14595" width="15.28515625" style="441" customWidth="1"/>
    <col min="14596" max="14848" width="9.140625" style="441"/>
    <col min="14849" max="14849" width="36.140625" style="441" customWidth="1"/>
    <col min="14850" max="14850" width="26.5703125" style="441" customWidth="1"/>
    <col min="14851" max="14851" width="15.28515625" style="441" customWidth="1"/>
    <col min="14852" max="15104" width="9.140625" style="441"/>
    <col min="15105" max="15105" width="36.140625" style="441" customWidth="1"/>
    <col min="15106" max="15106" width="26.5703125" style="441" customWidth="1"/>
    <col min="15107" max="15107" width="15.28515625" style="441" customWidth="1"/>
    <col min="15108" max="15360" width="9.140625" style="441"/>
    <col min="15361" max="15361" width="36.140625" style="441" customWidth="1"/>
    <col min="15362" max="15362" width="26.5703125" style="441" customWidth="1"/>
    <col min="15363" max="15363" width="15.28515625" style="441" customWidth="1"/>
    <col min="15364" max="15616" width="9.140625" style="441"/>
    <col min="15617" max="15617" width="36.140625" style="441" customWidth="1"/>
    <col min="15618" max="15618" width="26.5703125" style="441" customWidth="1"/>
    <col min="15619" max="15619" width="15.28515625" style="441" customWidth="1"/>
    <col min="15620" max="15872" width="9.140625" style="441"/>
    <col min="15873" max="15873" width="36.140625" style="441" customWidth="1"/>
    <col min="15874" max="15874" width="26.5703125" style="441" customWidth="1"/>
    <col min="15875" max="15875" width="15.28515625" style="441" customWidth="1"/>
    <col min="15876" max="16128" width="9.140625" style="441"/>
    <col min="16129" max="16129" width="36.140625" style="441" customWidth="1"/>
    <col min="16130" max="16130" width="26.5703125" style="441" customWidth="1"/>
    <col min="16131" max="16131" width="15.28515625" style="441" customWidth="1"/>
    <col min="16132" max="16384" width="9.140625" style="441"/>
  </cols>
  <sheetData>
    <row r="1" spans="1:3" ht="15.75" thickBot="1">
      <c r="A1" s="1030" t="s">
        <v>2585</v>
      </c>
      <c r="B1" s="1031"/>
      <c r="C1" s="1032"/>
    </row>
    <row r="2" spans="1:3" ht="15">
      <c r="A2" s="1033" t="s">
        <v>2586</v>
      </c>
      <c r="B2" s="1034"/>
      <c r="C2" s="442" t="s">
        <v>2587</v>
      </c>
    </row>
    <row r="3" spans="1:3">
      <c r="A3" s="443" t="s">
        <v>217</v>
      </c>
      <c r="B3" s="444" t="s">
        <v>218</v>
      </c>
      <c r="C3" s="445">
        <v>0.03</v>
      </c>
    </row>
    <row r="4" spans="1:3">
      <c r="A4" s="443" t="s">
        <v>219</v>
      </c>
      <c r="B4" s="444" t="s">
        <v>220</v>
      </c>
      <c r="C4" s="445">
        <v>0.01</v>
      </c>
    </row>
    <row r="5" spans="1:3">
      <c r="A5" s="443" t="s">
        <v>221</v>
      </c>
      <c r="B5" s="444" t="s">
        <v>222</v>
      </c>
      <c r="C5" s="445">
        <v>9.7000000000000003E-3</v>
      </c>
    </row>
    <row r="6" spans="1:3">
      <c r="A6" s="443" t="s">
        <v>223</v>
      </c>
      <c r="B6" s="1035" t="s">
        <v>224</v>
      </c>
      <c r="C6" s="445">
        <v>8.0000000000000002E-3</v>
      </c>
    </row>
    <row r="7" spans="1:3">
      <c r="A7" s="446" t="s">
        <v>225</v>
      </c>
      <c r="B7" s="1036"/>
      <c r="C7" s="447">
        <v>2E-3</v>
      </c>
    </row>
    <row r="8" spans="1:3" ht="15.75" thickBot="1">
      <c r="A8" s="448"/>
      <c r="B8" s="449" t="s">
        <v>226</v>
      </c>
      <c r="C8" s="450">
        <f>SUM(C3:C7)</f>
        <v>5.9700000000000003E-2</v>
      </c>
    </row>
    <row r="9" spans="1:3" ht="15.75" thickTop="1">
      <c r="A9" s="443"/>
      <c r="B9" s="451"/>
      <c r="C9" s="452"/>
    </row>
    <row r="10" spans="1:3" ht="15">
      <c r="A10" s="1037" t="s">
        <v>2588</v>
      </c>
      <c r="B10" s="1038"/>
      <c r="C10" s="453" t="s">
        <v>2587</v>
      </c>
    </row>
    <row r="11" spans="1:3">
      <c r="A11" s="454" t="s">
        <v>227</v>
      </c>
      <c r="B11" s="455" t="s">
        <v>228</v>
      </c>
      <c r="C11" s="456">
        <v>7.3999999999999996E-2</v>
      </c>
    </row>
    <row r="12" spans="1:3" ht="15.75" thickBot="1">
      <c r="A12" s="448"/>
      <c r="B12" s="449" t="s">
        <v>226</v>
      </c>
      <c r="C12" s="450">
        <f>SUM(C11)</f>
        <v>7.3999999999999996E-2</v>
      </c>
    </row>
    <row r="13" spans="1:3" ht="13.5" thickTop="1">
      <c r="A13" s="443"/>
      <c r="C13" s="457"/>
    </row>
    <row r="14" spans="1:3" ht="15">
      <c r="A14" s="1037" t="s">
        <v>2589</v>
      </c>
      <c r="B14" s="1038"/>
      <c r="C14" s="458">
        <v>0.14130000000000001</v>
      </c>
    </row>
    <row r="15" spans="1:3" ht="15">
      <c r="A15" s="1037" t="s">
        <v>2590</v>
      </c>
      <c r="B15" s="1038"/>
      <c r="C15" s="453" t="s">
        <v>2587</v>
      </c>
    </row>
    <row r="16" spans="1:3">
      <c r="A16" s="459" t="s">
        <v>229</v>
      </c>
      <c r="B16" s="441" t="s">
        <v>230</v>
      </c>
      <c r="C16" s="445">
        <v>6.4999999999999997E-3</v>
      </c>
    </row>
    <row r="17" spans="1:3">
      <c r="A17" s="459" t="s">
        <v>231</v>
      </c>
      <c r="B17" s="441" t="s">
        <v>232</v>
      </c>
      <c r="C17" s="445">
        <v>0.03</v>
      </c>
    </row>
    <row r="18" spans="1:3">
      <c r="A18" s="460" t="s">
        <v>233</v>
      </c>
      <c r="B18" s="461" t="s">
        <v>2591</v>
      </c>
      <c r="C18" s="462">
        <v>0.02</v>
      </c>
    </row>
    <row r="19" spans="1:3">
      <c r="A19" s="443" t="s">
        <v>234</v>
      </c>
      <c r="C19" s="445">
        <v>4.4999999999999998E-2</v>
      </c>
    </row>
    <row r="20" spans="1:3" ht="15.75" thickBot="1">
      <c r="A20" s="463"/>
      <c r="B20" s="464" t="s">
        <v>226</v>
      </c>
      <c r="C20" s="465">
        <f>SUM(C16:C19)</f>
        <v>0.10149999999999999</v>
      </c>
    </row>
    <row r="21" spans="1:3" ht="13.5" thickTop="1">
      <c r="A21" s="443"/>
      <c r="C21" s="457"/>
    </row>
    <row r="22" spans="1:3" ht="15.75">
      <c r="A22" s="466" t="s">
        <v>2592</v>
      </c>
      <c r="B22" s="467"/>
      <c r="C22" s="468">
        <f>ROUND((((1+C3+C6+C5+C7)*(1+C4)*(1+C11)/((1-C20)))-1),4)</f>
        <v>0.26729999999999998</v>
      </c>
    </row>
    <row r="23" spans="1:3">
      <c r="A23" s="443" t="s">
        <v>235</v>
      </c>
      <c r="C23" s="445">
        <v>0.80220000000000002</v>
      </c>
    </row>
    <row r="24" spans="1:3">
      <c r="A24" s="443" t="s">
        <v>449</v>
      </c>
      <c r="C24" s="445">
        <v>1</v>
      </c>
    </row>
    <row r="25" spans="1:3" ht="13.5" thickBot="1">
      <c r="A25" s="463" t="s">
        <v>236</v>
      </c>
      <c r="B25" s="469"/>
      <c r="C25" s="470">
        <f>C22</f>
        <v>0.26729999999999998</v>
      </c>
    </row>
    <row r="26" spans="1:3" ht="13.5" thickTop="1">
      <c r="A26" s="443"/>
      <c r="C26" s="457"/>
    </row>
    <row r="27" spans="1:3">
      <c r="A27" s="443"/>
      <c r="C27" s="457"/>
    </row>
    <row r="28" spans="1:3">
      <c r="A28" s="1023" t="s">
        <v>237</v>
      </c>
      <c r="B28" s="1024"/>
      <c r="C28" s="1025"/>
    </row>
    <row r="29" spans="1:3">
      <c r="A29" s="471" t="s">
        <v>2593</v>
      </c>
      <c r="B29" s="472" t="s">
        <v>240</v>
      </c>
      <c r="C29" s="473"/>
    </row>
    <row r="30" spans="1:3">
      <c r="A30" s="471" t="s">
        <v>238</v>
      </c>
      <c r="B30" s="472" t="s">
        <v>241</v>
      </c>
      <c r="C30" s="473"/>
    </row>
    <row r="31" spans="1:3" ht="21.75" customHeight="1">
      <c r="A31" s="471" t="s">
        <v>239</v>
      </c>
      <c r="B31" s="1026" t="s">
        <v>242</v>
      </c>
      <c r="C31" s="1027"/>
    </row>
    <row r="32" spans="1:3" ht="23.25" customHeight="1">
      <c r="A32" s="474"/>
      <c r="B32" s="1028" t="s">
        <v>243</v>
      </c>
      <c r="C32" s="1029"/>
    </row>
    <row r="33" spans="1:3">
      <c r="A33" s="475"/>
      <c r="C33" s="476"/>
    </row>
    <row r="34" spans="1:3" ht="12.75" customHeight="1">
      <c r="A34" s="477" t="s">
        <v>244</v>
      </c>
      <c r="B34" s="478" t="s">
        <v>245</v>
      </c>
      <c r="C34" s="479"/>
    </row>
    <row r="35" spans="1:3" ht="15" thickBot="1">
      <c r="A35" s="480" t="s">
        <v>3308</v>
      </c>
      <c r="B35" s="481" t="s">
        <v>246</v>
      </c>
      <c r="C35" s="482"/>
    </row>
    <row r="36" spans="1:3" ht="14.25">
      <c r="A36" s="483"/>
      <c r="B36" s="484"/>
      <c r="C36" s="485"/>
    </row>
  </sheetData>
  <mergeCells count="9">
    <mergeCell ref="A28:C28"/>
    <mergeCell ref="B31:C31"/>
    <mergeCell ref="B32:C32"/>
    <mergeCell ref="A1:C1"/>
    <mergeCell ref="A2:B2"/>
    <mergeCell ref="B6:B7"/>
    <mergeCell ref="A10:B10"/>
    <mergeCell ref="A14:B14"/>
    <mergeCell ref="A15:B15"/>
  </mergeCells>
  <printOptions horizontalCentered="1" verticalCentered="1"/>
  <pageMargins left="0.39370078740157483" right="0.39370078740157483" top="1.0625" bottom="0.78740157480314965" header="0.31496062992125984" footer="0.31496062992125984"/>
  <pageSetup scale="120" orientation="portrait" r:id="rId1"/>
  <headerFooter>
    <oddHeader>&amp;L&amp;G&amp;C&amp;"-,Negrito"&amp;8GOVERNO DO ESTADO DE MATO GROSSO&amp;"-,Regular"SECRETARIA DE ESTADO DE EDUCAÇÃOSECRETARIA ADJUNTA DE ESTRUTURA ESCOLAR&amp;R&amp;G</oddHeader>
    <oddFooter>&amp;L&amp;7Secretaria de Estado de Educação, Esporte e Lazer de Mato GrossoRua Engenheiro Edgar Prado Arze, 215 - Centro Político AdministrativoCEP: 78049-909 | Cuiabá-MTFone: (65) 3613-6300&amp;C&amp;8&amp;N&amp;R&amp;8COMPOSIÇÃO DE PARCELA DE BDI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16</vt:i4>
      </vt:variant>
    </vt:vector>
  </HeadingPairs>
  <TitlesOfParts>
    <vt:vector size="39" baseType="lpstr">
      <vt:lpstr>RESUMO</vt:lpstr>
      <vt:lpstr>PLANILHA ORÇAMENTARIA</vt:lpstr>
      <vt:lpstr>ARQ - BLOCO DE SALAS</vt:lpstr>
      <vt:lpstr>HIDROSANITÁRIO</vt:lpstr>
      <vt:lpstr>Orçamento Analítico</vt:lpstr>
      <vt:lpstr>MAPA COTAÇÃO</vt:lpstr>
      <vt:lpstr>REFERENCIAS COMP.</vt:lpstr>
      <vt:lpstr>INCÊNDIO (2)</vt:lpstr>
      <vt:lpstr>Quant Bloco Salas 18_03_2017</vt:lpstr>
      <vt:lpstr>DRENAGEM</vt:lpstr>
      <vt:lpstr>EST - QUADRA</vt:lpstr>
      <vt:lpstr>GLP</vt:lpstr>
      <vt:lpstr>SPDA</vt:lpstr>
      <vt:lpstr>ELÉTRICO</vt:lpstr>
      <vt:lpstr>PERGOLADO METÁLICO</vt:lpstr>
      <vt:lpstr>ARQ - QUADRA e VESTIÁRIOS</vt:lpstr>
      <vt:lpstr>ARQ - REFEITÓRIO</vt:lpstr>
      <vt:lpstr>EST - REFEITÓRIO</vt:lpstr>
      <vt:lpstr>EST - BLOCOS 01_02</vt:lpstr>
      <vt:lpstr>CRONOGRAMA</vt:lpstr>
      <vt:lpstr>LÓGICA</vt:lpstr>
      <vt:lpstr>ENCARGOS SOCIAIS</vt:lpstr>
      <vt:lpstr>BDI - Aliquota ISSQN - 5,0%</vt:lpstr>
      <vt:lpstr>'ARQ - QUADRA e VESTIÁRIOS'!Area_de_impressao</vt:lpstr>
      <vt:lpstr>'ARQ - REFEITÓRIO'!Area_de_impressao</vt:lpstr>
      <vt:lpstr>'BDI - Aliquota ISSQN - 5,0%'!Area_de_impressao</vt:lpstr>
      <vt:lpstr>ELÉTRICO!Area_de_impressao</vt:lpstr>
      <vt:lpstr>'ENCARGOS SOCIAIS'!Area_de_impressao</vt:lpstr>
      <vt:lpstr>'EST - BLOCOS 01_02'!Area_de_impressao</vt:lpstr>
      <vt:lpstr>'EST - QUADRA'!Area_de_impressao</vt:lpstr>
      <vt:lpstr>'EST - REFEITÓRIO'!Area_de_impressao</vt:lpstr>
      <vt:lpstr>HIDROSANITÁRIO!Area_de_impressao</vt:lpstr>
      <vt:lpstr>'INCÊNDIO (2)'!Area_de_impressao</vt:lpstr>
      <vt:lpstr>'MAPA COTAÇÃO'!Area_de_impressao</vt:lpstr>
      <vt:lpstr>'PERGOLADO METÁLICO'!Area_de_impressao</vt:lpstr>
      <vt:lpstr>'PLANILHA ORÇAMENTARIA'!Area_de_impressao</vt:lpstr>
      <vt:lpstr>'Quant Bloco Salas 18_03_2017'!Area_de_impressao</vt:lpstr>
      <vt:lpstr>SPDA!Area_de_impressao</vt:lpstr>
      <vt:lpstr>'MAPA COTAÇÃO'!Titulos_de_impressao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045311031</dc:creator>
  <cp:lastModifiedBy>Karina</cp:lastModifiedBy>
  <cp:lastPrinted>2017-09-20T21:43:18Z</cp:lastPrinted>
  <dcterms:created xsi:type="dcterms:W3CDTF">2015-08-31T13:56:44Z</dcterms:created>
  <dcterms:modified xsi:type="dcterms:W3CDTF">2017-09-26T17:44:53Z</dcterms:modified>
</cp:coreProperties>
</file>