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rgio.neto\Desktop\"/>
    </mc:Choice>
  </mc:AlternateContent>
  <bookViews>
    <workbookView xWindow="0" yWindow="0" windowWidth="20490" windowHeight="7620" tabRatio="1000"/>
  </bookViews>
  <sheets>
    <sheet name=" Resumo M.O." sheetId="1" r:id="rId1"/>
    <sheet name="Modulo 1" sheetId="2" r:id="rId2"/>
    <sheet name="Modulo 2.1" sheetId="3" r:id="rId3"/>
    <sheet name="Modulo 2.2" sheetId="4" r:id="rId4"/>
    <sheet name="Modulo 2.3" sheetId="5" r:id="rId5"/>
    <sheet name="Modulo 3" sheetId="6" r:id="rId6"/>
    <sheet name="Modulo 4" sheetId="7" r:id="rId7"/>
    <sheet name="Modulo 5" sheetId="8" r:id="rId8"/>
    <sheet name="Plan2" sheetId="10" state="hidden" r:id="rId9"/>
    <sheet name="Modulo 6" sheetId="9" r:id="rId10"/>
    <sheet name="Modulo 5.2 (Detalhado)" sheetId="11" r:id="rId11"/>
    <sheet name="EPI´s" sheetId="12" r:id="rId12"/>
  </sheets>
  <externalReferences>
    <externalReference r:id="rId13"/>
  </externalReferences>
  <definedNames>
    <definedName name="_xlnm.Print_Area" localSheetId="0">' Resumo M.O.'!$B$2:$K$25</definedName>
    <definedName name="_xlnm.Print_Area" localSheetId="11">EPI´s!$A$1:$H$10</definedName>
    <definedName name="_xlnm.Print_Area" localSheetId="1">'Modulo 1'!$B$1:$L$14</definedName>
    <definedName name="_xlnm.Print_Area" localSheetId="2">'Modulo 2.1'!$B$1:$K$11</definedName>
    <definedName name="_xlnm.Print_Area" localSheetId="3">'Modulo 2.2'!$B$1:$I$22</definedName>
    <definedName name="_xlnm.Print_Area" localSheetId="4">'Modulo 2.3'!$B$2:$P$13</definedName>
    <definedName name="_xlnm.Print_Area" localSheetId="5">'Modulo 3'!$B$2:$L$43</definedName>
    <definedName name="_xlnm.Print_Area" localSheetId="6">'Modulo 4'!$B$2:$I$28</definedName>
    <definedName name="_xlnm.Print_Area" localSheetId="7">'Modulo 5'!$B$1:$L$12</definedName>
    <definedName name="_xlnm.Print_Area" localSheetId="10">'Modulo 5.2 (Detalhado)'!$A$1:$J$83</definedName>
    <definedName name="_xlnm.Print_Area" localSheetId="9">'Modulo 6'!$B$1:$H$19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12" l="1"/>
  <c r="H8" i="12" s="1"/>
  <c r="E8" i="12"/>
  <c r="H7" i="12"/>
  <c r="G7" i="12"/>
  <c r="E7" i="12"/>
  <c r="G6" i="12"/>
  <c r="H6" i="12" s="1"/>
  <c r="E6" i="12"/>
  <c r="G5" i="12"/>
  <c r="H5" i="12" s="1"/>
  <c r="E5" i="12"/>
  <c r="E4" i="12"/>
  <c r="F4" i="12" s="1"/>
  <c r="G4" i="12" s="1"/>
  <c r="H4" i="12" s="1"/>
  <c r="I22" i="11"/>
  <c r="J22" i="11" s="1"/>
  <c r="I21" i="11"/>
  <c r="J21" i="11" s="1"/>
  <c r="I20" i="11"/>
  <c r="J20" i="11" s="1"/>
  <c r="I19" i="11"/>
  <c r="J19" i="11" s="1"/>
  <c r="I18" i="11"/>
  <c r="J18" i="11" s="1"/>
  <c r="I17" i="11"/>
  <c r="J17" i="11" s="1"/>
  <c r="I16" i="11"/>
  <c r="J16" i="11" s="1"/>
  <c r="I15" i="11"/>
  <c r="J15" i="11" s="1"/>
  <c r="I14" i="11"/>
  <c r="J14" i="11" s="1"/>
  <c r="I13" i="11"/>
  <c r="J13" i="11" s="1"/>
  <c r="I12" i="11"/>
  <c r="J12" i="11" s="1"/>
  <c r="I11" i="11"/>
  <c r="J11" i="11" s="1"/>
  <c r="I10" i="11"/>
  <c r="J10" i="11" s="1"/>
  <c r="J7" i="11"/>
  <c r="H81" i="11" s="1"/>
  <c r="I81" i="11" s="1"/>
  <c r="J81" i="11" s="1"/>
  <c r="J6" i="11"/>
  <c r="D6" i="11"/>
  <c r="J5" i="11"/>
  <c r="D5" i="11"/>
  <c r="J4" i="11"/>
  <c r="D4" i="11"/>
  <c r="D3" i="11"/>
  <c r="D2" i="11"/>
  <c r="K24" i="8"/>
  <c r="H9" i="12" l="1"/>
  <c r="H10" i="12" s="1"/>
  <c r="E2" i="11" s="1"/>
  <c r="E3" i="11"/>
  <c r="H24" i="11"/>
  <c r="I24" i="11" s="1"/>
  <c r="J24" i="11" s="1"/>
  <c r="H28" i="11"/>
  <c r="I28" i="11" s="1"/>
  <c r="J28" i="11" s="1"/>
  <c r="H32" i="11"/>
  <c r="I32" i="11" s="1"/>
  <c r="J32" i="11" s="1"/>
  <c r="H36" i="11"/>
  <c r="I36" i="11" s="1"/>
  <c r="J36" i="11" s="1"/>
  <c r="H40" i="11"/>
  <c r="I40" i="11" s="1"/>
  <c r="J40" i="11" s="1"/>
  <c r="H44" i="11"/>
  <c r="I44" i="11" s="1"/>
  <c r="J44" i="11" s="1"/>
  <c r="H48" i="11"/>
  <c r="I48" i="11" s="1"/>
  <c r="J48" i="11" s="1"/>
  <c r="H52" i="11"/>
  <c r="I52" i="11" s="1"/>
  <c r="J52" i="11" s="1"/>
  <c r="H56" i="11"/>
  <c r="I56" i="11" s="1"/>
  <c r="J56" i="11" s="1"/>
  <c r="H60" i="11"/>
  <c r="I60" i="11" s="1"/>
  <c r="J60" i="11" s="1"/>
  <c r="H64" i="11"/>
  <c r="I64" i="11" s="1"/>
  <c r="J64" i="11" s="1"/>
  <c r="H68" i="11"/>
  <c r="I68" i="11" s="1"/>
  <c r="J68" i="11" s="1"/>
  <c r="H72" i="11"/>
  <c r="I72" i="11" s="1"/>
  <c r="J72" i="11" s="1"/>
  <c r="H76" i="11"/>
  <c r="I76" i="11" s="1"/>
  <c r="J76" i="11" s="1"/>
  <c r="H80" i="11"/>
  <c r="I80" i="11" s="1"/>
  <c r="J80" i="11" s="1"/>
  <c r="H23" i="11"/>
  <c r="I23" i="11" s="1"/>
  <c r="J23" i="11" s="1"/>
  <c r="H27" i="11"/>
  <c r="I27" i="11" s="1"/>
  <c r="J27" i="11" s="1"/>
  <c r="H31" i="11"/>
  <c r="I31" i="11" s="1"/>
  <c r="J31" i="11" s="1"/>
  <c r="H35" i="11"/>
  <c r="I35" i="11" s="1"/>
  <c r="J35" i="11" s="1"/>
  <c r="H39" i="11"/>
  <c r="I39" i="11" s="1"/>
  <c r="J39" i="11" s="1"/>
  <c r="H43" i="11"/>
  <c r="I43" i="11" s="1"/>
  <c r="J43" i="11" s="1"/>
  <c r="H47" i="11"/>
  <c r="I47" i="11" s="1"/>
  <c r="J47" i="11" s="1"/>
  <c r="H51" i="11"/>
  <c r="I51" i="11" s="1"/>
  <c r="J51" i="11" s="1"/>
  <c r="H55" i="11"/>
  <c r="I55" i="11" s="1"/>
  <c r="J55" i="11" s="1"/>
  <c r="H59" i="11"/>
  <c r="I59" i="11" s="1"/>
  <c r="J59" i="11" s="1"/>
  <c r="H63" i="11"/>
  <c r="I63" i="11" s="1"/>
  <c r="J63" i="11" s="1"/>
  <c r="H67" i="11"/>
  <c r="I67" i="11" s="1"/>
  <c r="J67" i="11" s="1"/>
  <c r="H71" i="11"/>
  <c r="I71" i="11" s="1"/>
  <c r="J71" i="11" s="1"/>
  <c r="H75" i="11"/>
  <c r="I75" i="11" s="1"/>
  <c r="J75" i="11" s="1"/>
  <c r="H79" i="11"/>
  <c r="I79" i="11" s="1"/>
  <c r="J79" i="11" s="1"/>
  <c r="H83" i="11"/>
  <c r="I83" i="11" s="1"/>
  <c r="J83" i="11" s="1"/>
  <c r="H26" i="11"/>
  <c r="I26" i="11" s="1"/>
  <c r="J26" i="11" s="1"/>
  <c r="H30" i="11"/>
  <c r="I30" i="11" s="1"/>
  <c r="J30" i="11" s="1"/>
  <c r="H34" i="11"/>
  <c r="I34" i="11" s="1"/>
  <c r="J34" i="11" s="1"/>
  <c r="H38" i="11"/>
  <c r="I38" i="11" s="1"/>
  <c r="J38" i="11" s="1"/>
  <c r="H42" i="11"/>
  <c r="I42" i="11" s="1"/>
  <c r="J42" i="11" s="1"/>
  <c r="H46" i="11"/>
  <c r="I46" i="11" s="1"/>
  <c r="J46" i="11" s="1"/>
  <c r="H50" i="11"/>
  <c r="I50" i="11" s="1"/>
  <c r="J50" i="11" s="1"/>
  <c r="H54" i="11"/>
  <c r="I54" i="11" s="1"/>
  <c r="J54" i="11" s="1"/>
  <c r="H58" i="11"/>
  <c r="I58" i="11" s="1"/>
  <c r="J58" i="11" s="1"/>
  <c r="H62" i="11"/>
  <c r="I62" i="11" s="1"/>
  <c r="J62" i="11" s="1"/>
  <c r="H66" i="11"/>
  <c r="I66" i="11" s="1"/>
  <c r="J66" i="11" s="1"/>
  <c r="H70" i="11"/>
  <c r="I70" i="11" s="1"/>
  <c r="J70" i="11" s="1"/>
  <c r="H74" i="11"/>
  <c r="I74" i="11" s="1"/>
  <c r="J74" i="11" s="1"/>
  <c r="H78" i="11"/>
  <c r="I78" i="11" s="1"/>
  <c r="J78" i="11" s="1"/>
  <c r="H82" i="11"/>
  <c r="I82" i="11" s="1"/>
  <c r="J82" i="11" s="1"/>
  <c r="H25" i="11"/>
  <c r="I25" i="11" s="1"/>
  <c r="J25" i="11" s="1"/>
  <c r="H29" i="11"/>
  <c r="I29" i="11" s="1"/>
  <c r="J29" i="11" s="1"/>
  <c r="H33" i="11"/>
  <c r="I33" i="11" s="1"/>
  <c r="J33" i="11" s="1"/>
  <c r="H37" i="11"/>
  <c r="I37" i="11" s="1"/>
  <c r="J37" i="11" s="1"/>
  <c r="H41" i="11"/>
  <c r="I41" i="11" s="1"/>
  <c r="J41" i="11" s="1"/>
  <c r="H45" i="11"/>
  <c r="I45" i="11" s="1"/>
  <c r="J45" i="11" s="1"/>
  <c r="H49" i="11"/>
  <c r="I49" i="11" s="1"/>
  <c r="J49" i="11" s="1"/>
  <c r="H53" i="11"/>
  <c r="I53" i="11" s="1"/>
  <c r="J53" i="11" s="1"/>
  <c r="H57" i="11"/>
  <c r="I57" i="11" s="1"/>
  <c r="J57" i="11" s="1"/>
  <c r="H61" i="11"/>
  <c r="I61" i="11" s="1"/>
  <c r="J61" i="11" s="1"/>
  <c r="H65" i="11"/>
  <c r="I65" i="11" s="1"/>
  <c r="J65" i="11" s="1"/>
  <c r="H69" i="11"/>
  <c r="I69" i="11" s="1"/>
  <c r="J69" i="11" s="1"/>
  <c r="H73" i="11"/>
  <c r="I73" i="11" s="1"/>
  <c r="J73" i="11" s="1"/>
  <c r="H77" i="11"/>
  <c r="I77" i="11" s="1"/>
  <c r="J77" i="11" s="1"/>
  <c r="F10" i="5"/>
  <c r="I10" i="5" s="1"/>
  <c r="K10" i="5"/>
  <c r="M10" i="5" s="1"/>
  <c r="F12" i="5"/>
  <c r="I12" i="5" s="1"/>
  <c r="K12" i="5"/>
  <c r="M12" i="5" s="1"/>
  <c r="H11" i="2"/>
  <c r="V4" i="2"/>
  <c r="W4" i="2" s="1"/>
  <c r="D4" i="9"/>
  <c r="H37" i="6"/>
  <c r="H38" i="6"/>
  <c r="H39" i="6"/>
  <c r="H40" i="6"/>
  <c r="H41" i="6"/>
  <c r="H42" i="6"/>
  <c r="H43" i="6"/>
  <c r="H36" i="6"/>
  <c r="K26" i="6"/>
  <c r="K27" i="6"/>
  <c r="K28" i="6"/>
  <c r="K29" i="6"/>
  <c r="K30" i="6"/>
  <c r="K31" i="6"/>
  <c r="K32" i="6"/>
  <c r="K25" i="6"/>
  <c r="K14" i="6"/>
  <c r="K15" i="6"/>
  <c r="K16" i="6"/>
  <c r="K17" i="6"/>
  <c r="K18" i="6"/>
  <c r="K19" i="6"/>
  <c r="K20" i="6"/>
  <c r="K13" i="6"/>
  <c r="K6" i="5"/>
  <c r="V2" i="2"/>
  <c r="X2" i="2" s="1"/>
  <c r="Y2" i="2" s="1"/>
  <c r="F5" i="9"/>
  <c r="E19" i="9" s="1"/>
  <c r="D136" i="10"/>
  <c r="E136" i="10" s="1"/>
  <c r="D135" i="10"/>
  <c r="E135" i="10" s="1"/>
  <c r="D134" i="10"/>
  <c r="E134" i="10" s="1"/>
  <c r="D133" i="10"/>
  <c r="E133" i="10" s="1"/>
  <c r="E137" i="10" s="1"/>
  <c r="E128" i="10"/>
  <c r="E127" i="10"/>
  <c r="E126" i="10"/>
  <c r="E125" i="10"/>
  <c r="E124" i="10"/>
  <c r="E123" i="10"/>
  <c r="D122" i="10"/>
  <c r="E122" i="10" s="1"/>
  <c r="E117" i="10"/>
  <c r="E116" i="10"/>
  <c r="E115" i="10"/>
  <c r="D114" i="10"/>
  <c r="E114" i="10" s="1"/>
  <c r="D113" i="10"/>
  <c r="E113" i="10" s="1"/>
  <c r="E112" i="10"/>
  <c r="E111" i="10"/>
  <c r="D110" i="10"/>
  <c r="E110" i="10" s="1"/>
  <c r="D109" i="10"/>
  <c r="E109" i="10" s="1"/>
  <c r="D108" i="10"/>
  <c r="E108" i="10" s="1"/>
  <c r="D107" i="10"/>
  <c r="E107" i="10" s="1"/>
  <c r="D106" i="10"/>
  <c r="E106" i="10" s="1"/>
  <c r="D105" i="10"/>
  <c r="E105" i="10" s="1"/>
  <c r="E104" i="10"/>
  <c r="D104" i="10"/>
  <c r="D103" i="10"/>
  <c r="E103" i="10" s="1"/>
  <c r="D102" i="10"/>
  <c r="E102" i="10" s="1"/>
  <c r="D101" i="10"/>
  <c r="E101" i="10" s="1"/>
  <c r="D100" i="10"/>
  <c r="E100" i="10" s="1"/>
  <c r="D99" i="10"/>
  <c r="E99" i="10" s="1"/>
  <c r="D98" i="10"/>
  <c r="E98" i="10" s="1"/>
  <c r="D97" i="10"/>
  <c r="E97" i="10" s="1"/>
  <c r="D96" i="10"/>
  <c r="E96" i="10" s="1"/>
  <c r="D95" i="10"/>
  <c r="E95" i="10" s="1"/>
  <c r="D94" i="10"/>
  <c r="E94" i="10" s="1"/>
  <c r="D93" i="10"/>
  <c r="E93" i="10" s="1"/>
  <c r="D92" i="10"/>
  <c r="E92" i="10" s="1"/>
  <c r="D91" i="10"/>
  <c r="E91" i="10" s="1"/>
  <c r="E90" i="10"/>
  <c r="E89" i="10"/>
  <c r="E88" i="10"/>
  <c r="E83" i="10"/>
  <c r="K82" i="10"/>
  <c r="E82" i="10"/>
  <c r="K81" i="10"/>
  <c r="E81" i="10"/>
  <c r="K80" i="10"/>
  <c r="E80" i="10"/>
  <c r="K79" i="10"/>
  <c r="E79" i="10"/>
  <c r="K78" i="10"/>
  <c r="E78" i="10"/>
  <c r="K77" i="10"/>
  <c r="K84" i="10" s="1"/>
  <c r="E77" i="10"/>
  <c r="K76" i="10"/>
  <c r="E76" i="10"/>
  <c r="E84" i="10" s="1"/>
  <c r="C69" i="10"/>
  <c r="D69" i="10" s="1"/>
  <c r="C68" i="10"/>
  <c r="D68" i="10" s="1"/>
  <c r="C67" i="10"/>
  <c r="D67" i="10" s="1"/>
  <c r="C66" i="10"/>
  <c r="D66" i="10" s="1"/>
  <c r="C65" i="10"/>
  <c r="D65" i="10" s="1"/>
  <c r="C64" i="10"/>
  <c r="D64" i="10" s="1"/>
  <c r="C63" i="10"/>
  <c r="D63" i="10" s="1"/>
  <c r="C62" i="10"/>
  <c r="D62" i="10" s="1"/>
  <c r="C61" i="10"/>
  <c r="D61" i="10" s="1"/>
  <c r="C60" i="10"/>
  <c r="D60" i="10" s="1"/>
  <c r="C59" i="10"/>
  <c r="D59" i="10" s="1"/>
  <c r="C58" i="10"/>
  <c r="D58" i="10" s="1"/>
  <c r="C57" i="10"/>
  <c r="D57" i="10" s="1"/>
  <c r="C56" i="10"/>
  <c r="D56" i="10" s="1"/>
  <c r="C55" i="10"/>
  <c r="D55" i="10" s="1"/>
  <c r="C54" i="10"/>
  <c r="D54" i="10" s="1"/>
  <c r="C53" i="10"/>
  <c r="D53" i="10" s="1"/>
  <c r="C52" i="10"/>
  <c r="D52" i="10" s="1"/>
  <c r="C51" i="10"/>
  <c r="D51" i="10" s="1"/>
  <c r="C50" i="10"/>
  <c r="D50" i="10" s="1"/>
  <c r="C49" i="10"/>
  <c r="D49" i="10" s="1"/>
  <c r="C48" i="10"/>
  <c r="D48" i="10" s="1"/>
  <c r="D43" i="10"/>
  <c r="F43" i="10" s="1"/>
  <c r="D42" i="10"/>
  <c r="F42" i="10" s="1"/>
  <c r="D41" i="10"/>
  <c r="F41" i="10" s="1"/>
  <c r="D40" i="10"/>
  <c r="F40" i="10" s="1"/>
  <c r="D39" i="10"/>
  <c r="F39" i="10" s="1"/>
  <c r="D38" i="10"/>
  <c r="F38" i="10" s="1"/>
  <c r="D37" i="10"/>
  <c r="F37" i="10" s="1"/>
  <c r="D36" i="10"/>
  <c r="F36" i="10" s="1"/>
  <c r="D35" i="10"/>
  <c r="F35" i="10" s="1"/>
  <c r="D34" i="10"/>
  <c r="F34" i="10" s="1"/>
  <c r="D33" i="10"/>
  <c r="F33" i="10" s="1"/>
  <c r="D32" i="10"/>
  <c r="F32" i="10" s="1"/>
  <c r="D31" i="10"/>
  <c r="F31" i="10" s="1"/>
  <c r="D30" i="10"/>
  <c r="F30" i="10" s="1"/>
  <c r="D29" i="10"/>
  <c r="F29" i="10" s="1"/>
  <c r="D28" i="10"/>
  <c r="F28" i="10" s="1"/>
  <c r="D27" i="10"/>
  <c r="F27" i="10" s="1"/>
  <c r="D26" i="10"/>
  <c r="F26" i="10" s="1"/>
  <c r="D17" i="10"/>
  <c r="D20" i="10" s="1"/>
  <c r="D21" i="10" s="1"/>
  <c r="I6" i="10"/>
  <c r="F4" i="10"/>
  <c r="I4" i="10" s="1"/>
  <c r="B4" i="10"/>
  <c r="D4" i="10" s="1"/>
  <c r="F3" i="10"/>
  <c r="I3" i="10" s="1"/>
  <c r="B3" i="10"/>
  <c r="D3" i="10" s="1"/>
  <c r="G6" i="7"/>
  <c r="G7" i="7"/>
  <c r="G8" i="7"/>
  <c r="G9" i="7"/>
  <c r="G10" i="7"/>
  <c r="G11" i="7"/>
  <c r="G12" i="7"/>
  <c r="G13" i="7"/>
  <c r="G14" i="7"/>
  <c r="G15" i="7"/>
  <c r="G16" i="7"/>
  <c r="G5" i="7"/>
  <c r="I6" i="7"/>
  <c r="I17" i="7" s="1"/>
  <c r="I7" i="7"/>
  <c r="I8" i="7"/>
  <c r="I9" i="7"/>
  <c r="I10" i="7"/>
  <c r="I11" i="7"/>
  <c r="I12" i="7"/>
  <c r="I13" i="7"/>
  <c r="I14" i="7"/>
  <c r="I15" i="7"/>
  <c r="I16" i="7"/>
  <c r="I5" i="7"/>
  <c r="E16" i="9"/>
  <c r="K7" i="5"/>
  <c r="M7" i="5" s="1"/>
  <c r="K8" i="5"/>
  <c r="M8" i="5" s="1"/>
  <c r="K9" i="5"/>
  <c r="M9" i="5"/>
  <c r="K11" i="5"/>
  <c r="M11" i="5" s="1"/>
  <c r="K13" i="5"/>
  <c r="M13" i="5" s="1"/>
  <c r="M6" i="5"/>
  <c r="F7" i="5"/>
  <c r="I7" i="5" s="1"/>
  <c r="F8" i="5"/>
  <c r="I8" i="5" s="1"/>
  <c r="F9" i="5"/>
  <c r="I9" i="5"/>
  <c r="F11" i="5"/>
  <c r="I11" i="5" s="1"/>
  <c r="F13" i="5"/>
  <c r="I13" i="5" s="1"/>
  <c r="F6" i="5"/>
  <c r="I6" i="5" s="1"/>
  <c r="P6" i="5" s="1"/>
  <c r="D10" i="1" s="1"/>
  <c r="L8" i="2"/>
  <c r="E6" i="1" s="1"/>
  <c r="L14" i="2"/>
  <c r="K6" i="1" s="1"/>
  <c r="O2" i="2"/>
  <c r="Q2" i="2" s="1"/>
  <c r="R2" i="2" s="1"/>
  <c r="G22" i="4"/>
  <c r="E22" i="4"/>
  <c r="G21" i="4"/>
  <c r="E21" i="4"/>
  <c r="G20" i="4"/>
  <c r="E20" i="4"/>
  <c r="G19" i="4"/>
  <c r="E19" i="4"/>
  <c r="G18" i="4"/>
  <c r="E18" i="4"/>
  <c r="G17" i="4"/>
  <c r="E17" i="4"/>
  <c r="G16" i="4"/>
  <c r="E16" i="4"/>
  <c r="G15" i="4"/>
  <c r="E15" i="4"/>
  <c r="D11" i="4"/>
  <c r="G11" i="3"/>
  <c r="I11" i="3" s="1"/>
  <c r="G10" i="3"/>
  <c r="I10" i="3" s="1"/>
  <c r="G9" i="3"/>
  <c r="I9" i="3" s="1"/>
  <c r="G8" i="3"/>
  <c r="I8" i="3" s="1"/>
  <c r="G7" i="3"/>
  <c r="I7" i="3" s="1"/>
  <c r="G6" i="3"/>
  <c r="I6" i="3" s="1"/>
  <c r="G5" i="3"/>
  <c r="I5" i="3" s="1"/>
  <c r="G4" i="3"/>
  <c r="I4" i="3" s="1"/>
  <c r="E5" i="3"/>
  <c r="E6" i="3"/>
  <c r="E7" i="3"/>
  <c r="E8" i="3"/>
  <c r="E9" i="3"/>
  <c r="E10" i="3"/>
  <c r="E11" i="3"/>
  <c r="E4" i="3"/>
  <c r="F7" i="2"/>
  <c r="I13" i="2"/>
  <c r="I12" i="2"/>
  <c r="L12" i="2" s="1"/>
  <c r="D9" i="3" s="1"/>
  <c r="H10" i="2"/>
  <c r="L10" i="2" s="1"/>
  <c r="H9" i="2"/>
  <c r="L9" i="2" s="1"/>
  <c r="H7" i="2"/>
  <c r="D18" i="1"/>
  <c r="L7" i="2" l="1"/>
  <c r="D6" i="1" s="1"/>
  <c r="D5" i="3"/>
  <c r="H5" i="3" s="1"/>
  <c r="I5" i="10"/>
  <c r="G22" i="7"/>
  <c r="G23" i="7"/>
  <c r="D70" i="10"/>
  <c r="E118" i="10"/>
  <c r="D11" i="3"/>
  <c r="F11" i="3" s="1"/>
  <c r="G17" i="7"/>
  <c r="G27" i="7" s="1"/>
  <c r="D5" i="10"/>
  <c r="E129" i="10"/>
  <c r="E17" i="9"/>
  <c r="E5" i="11"/>
  <c r="E4" i="11"/>
  <c r="E6" i="11"/>
  <c r="B85" i="10"/>
  <c r="G25" i="7"/>
  <c r="G28" i="7"/>
  <c r="F44" i="10"/>
  <c r="D4" i="3"/>
  <c r="J4" i="3" s="1"/>
  <c r="F36" i="6" s="1"/>
  <c r="G21" i="7"/>
  <c r="O4" i="2"/>
  <c r="P4" i="2" s="1"/>
  <c r="R4" i="2" s="1"/>
  <c r="K13" i="2" s="1"/>
  <c r="L13" i="2" s="1"/>
  <c r="Y4" i="2"/>
  <c r="K11" i="2" s="1"/>
  <c r="L11" i="2" s="1"/>
  <c r="D8" i="3" s="1"/>
  <c r="J11" i="3"/>
  <c r="F43" i="6" s="1"/>
  <c r="P8" i="5"/>
  <c r="F10" i="1" s="1"/>
  <c r="P12" i="5"/>
  <c r="J10" i="1" s="1"/>
  <c r="P11" i="5"/>
  <c r="P10" i="5"/>
  <c r="H10" i="1" s="1"/>
  <c r="P13" i="5"/>
  <c r="K10" i="1" s="1"/>
  <c r="P9" i="5"/>
  <c r="G10" i="1" s="1"/>
  <c r="P7" i="5"/>
  <c r="E10" i="1" s="1"/>
  <c r="E18" i="9"/>
  <c r="E12" i="9"/>
  <c r="E15" i="9"/>
  <c r="E13" i="9"/>
  <c r="E14" i="9"/>
  <c r="D7" i="3"/>
  <c r="J7" i="3" s="1"/>
  <c r="F39" i="6" s="1"/>
  <c r="G6" i="1"/>
  <c r="F6" i="1"/>
  <c r="D6" i="3"/>
  <c r="H6" i="3" s="1"/>
  <c r="E38" i="6" s="1"/>
  <c r="F5" i="3"/>
  <c r="D37" i="6" s="1"/>
  <c r="J9" i="3"/>
  <c r="F41" i="6" s="1"/>
  <c r="F9" i="3"/>
  <c r="D41" i="6" s="1"/>
  <c r="I6" i="1"/>
  <c r="J5" i="3"/>
  <c r="F37" i="6" s="1"/>
  <c r="I10" i="1"/>
  <c r="H6" i="1"/>
  <c r="H9" i="3"/>
  <c r="E37" i="6"/>
  <c r="E7" i="11" l="1"/>
  <c r="I11" i="8" s="1"/>
  <c r="G24" i="7"/>
  <c r="H11" i="3"/>
  <c r="E43" i="6" s="1"/>
  <c r="H7" i="3"/>
  <c r="E39" i="6" s="1"/>
  <c r="F7" i="3"/>
  <c r="D39" i="6" s="1"/>
  <c r="G26" i="7"/>
  <c r="I7" i="8"/>
  <c r="I8" i="8"/>
  <c r="I12" i="8"/>
  <c r="I9" i="8"/>
  <c r="I10" i="8"/>
  <c r="D10" i="3"/>
  <c r="J6" i="1"/>
  <c r="F4" i="3"/>
  <c r="H4" i="3"/>
  <c r="E36" i="6" s="1"/>
  <c r="K5" i="3"/>
  <c r="E8" i="1" s="1"/>
  <c r="F6" i="3"/>
  <c r="J6" i="3"/>
  <c r="F38" i="6" s="1"/>
  <c r="G37" i="6"/>
  <c r="I37" i="6" s="1"/>
  <c r="E14" i="1" s="1"/>
  <c r="G39" i="6"/>
  <c r="I39" i="6" s="1"/>
  <c r="G14" i="1" s="1"/>
  <c r="J8" i="3"/>
  <c r="F40" i="6" s="1"/>
  <c r="F8" i="3"/>
  <c r="H8" i="3"/>
  <c r="E40" i="6" s="1"/>
  <c r="K7" i="3"/>
  <c r="E41" i="6"/>
  <c r="G41" i="6" s="1"/>
  <c r="I41" i="6" s="1"/>
  <c r="I14" i="1" s="1"/>
  <c r="K9" i="3"/>
  <c r="K11" i="3"/>
  <c r="D43" i="6"/>
  <c r="D16" i="4" l="1"/>
  <c r="G43" i="6"/>
  <c r="I43" i="6" s="1"/>
  <c r="K14" i="1" s="1"/>
  <c r="I6" i="8"/>
  <c r="J9" i="8"/>
  <c r="K9" i="8" s="1"/>
  <c r="J7" i="8"/>
  <c r="K7" i="8" s="1"/>
  <c r="J12" i="8"/>
  <c r="K12" i="8"/>
  <c r="J10" i="8"/>
  <c r="K10" i="8" s="1"/>
  <c r="J8" i="8"/>
  <c r="K8" i="8"/>
  <c r="J6" i="8"/>
  <c r="K6" i="8" s="1"/>
  <c r="J11" i="8"/>
  <c r="K11" i="8"/>
  <c r="D36" i="6"/>
  <c r="G36" i="6" s="1"/>
  <c r="I36" i="6" s="1"/>
  <c r="D14" i="1" s="1"/>
  <c r="K4" i="3"/>
  <c r="H10" i="3"/>
  <c r="E42" i="6" s="1"/>
  <c r="J10" i="3"/>
  <c r="F42" i="6" s="1"/>
  <c r="F10" i="3"/>
  <c r="D38" i="6"/>
  <c r="G38" i="6" s="1"/>
  <c r="I38" i="6" s="1"/>
  <c r="F14" i="1" s="1"/>
  <c r="K6" i="3"/>
  <c r="G8" i="1"/>
  <c r="D18" i="4"/>
  <c r="D20" i="4"/>
  <c r="I8" i="1"/>
  <c r="D40" i="6"/>
  <c r="G40" i="6" s="1"/>
  <c r="I40" i="6" s="1"/>
  <c r="H14" i="1" s="1"/>
  <c r="K8" i="3"/>
  <c r="F16" i="4"/>
  <c r="H16" i="4"/>
  <c r="K8" i="1"/>
  <c r="D22" i="4"/>
  <c r="D15" i="4" l="1"/>
  <c r="D8" i="1"/>
  <c r="K10" i="3"/>
  <c r="D42" i="6"/>
  <c r="G42" i="6" s="1"/>
  <c r="I42" i="6" s="1"/>
  <c r="J14" i="1" s="1"/>
  <c r="F8" i="1"/>
  <c r="D17" i="4"/>
  <c r="F20" i="4"/>
  <c r="H20" i="4"/>
  <c r="H18" i="4"/>
  <c r="F18" i="4"/>
  <c r="I18" i="4" s="1"/>
  <c r="H8" i="1"/>
  <c r="D19" i="4"/>
  <c r="G26" i="6"/>
  <c r="I26" i="6" s="1"/>
  <c r="G14" i="6"/>
  <c r="I14" i="6" s="1"/>
  <c r="D14" i="6"/>
  <c r="F14" i="6" s="1"/>
  <c r="J14" i="6" s="1"/>
  <c r="L14" i="6" s="1"/>
  <c r="E12" i="1" s="1"/>
  <c r="I16" i="4"/>
  <c r="F22" i="4"/>
  <c r="H22" i="4"/>
  <c r="J8" i="1" l="1"/>
  <c r="D21" i="4"/>
  <c r="F15" i="4"/>
  <c r="H15" i="4"/>
  <c r="H17" i="4"/>
  <c r="F17" i="4"/>
  <c r="I17" i="4" s="1"/>
  <c r="G9" i="1"/>
  <c r="G7" i="1" s="1"/>
  <c r="D28" i="6"/>
  <c r="F28" i="6" s="1"/>
  <c r="G18" i="6"/>
  <c r="I18" i="6" s="1"/>
  <c r="G30" i="6"/>
  <c r="I30" i="6" s="1"/>
  <c r="D18" i="6"/>
  <c r="F18" i="6" s="1"/>
  <c r="F19" i="4"/>
  <c r="H19" i="4"/>
  <c r="G28" i="6"/>
  <c r="I28" i="6" s="1"/>
  <c r="G16" i="6"/>
  <c r="I16" i="6" s="1"/>
  <c r="D16" i="6"/>
  <c r="F16" i="6" s="1"/>
  <c r="I20" i="4"/>
  <c r="E9" i="1"/>
  <c r="E7" i="1" s="1"/>
  <c r="D26" i="6"/>
  <c r="F26" i="6" s="1"/>
  <c r="J26" i="6" s="1"/>
  <c r="L26" i="6" s="1"/>
  <c r="E13" i="1" s="1"/>
  <c r="E11" i="1" s="1"/>
  <c r="G32" i="6"/>
  <c r="I32" i="6" s="1"/>
  <c r="G20" i="6"/>
  <c r="I20" i="6" s="1"/>
  <c r="D20" i="6"/>
  <c r="F20" i="6" s="1"/>
  <c r="J20" i="6" s="1"/>
  <c r="L20" i="6" s="1"/>
  <c r="K12" i="1" s="1"/>
  <c r="I22" i="4"/>
  <c r="I15" i="4" l="1"/>
  <c r="D9" i="1"/>
  <c r="D7" i="1" s="1"/>
  <c r="D25" i="6"/>
  <c r="F25" i="6" s="1"/>
  <c r="F21" i="4"/>
  <c r="H21" i="4"/>
  <c r="G13" i="6"/>
  <c r="I13" i="6" s="1"/>
  <c r="G25" i="6"/>
  <c r="I25" i="6" s="1"/>
  <c r="D13" i="6"/>
  <c r="F13" i="6" s="1"/>
  <c r="F9" i="1"/>
  <c r="F7" i="1" s="1"/>
  <c r="D27" i="6"/>
  <c r="F27" i="6" s="1"/>
  <c r="J16" i="6"/>
  <c r="L16" i="6" s="1"/>
  <c r="G12" i="1" s="1"/>
  <c r="G27" i="6"/>
  <c r="I27" i="6" s="1"/>
  <c r="G15" i="6"/>
  <c r="I15" i="6" s="1"/>
  <c r="D15" i="6"/>
  <c r="F15" i="6" s="1"/>
  <c r="G17" i="6"/>
  <c r="I17" i="6" s="1"/>
  <c r="G29" i="6"/>
  <c r="I29" i="6" s="1"/>
  <c r="D17" i="6"/>
  <c r="F17" i="6" s="1"/>
  <c r="I19" i="4"/>
  <c r="I9" i="1"/>
  <c r="I7" i="1" s="1"/>
  <c r="D30" i="6"/>
  <c r="F30" i="6" s="1"/>
  <c r="J30" i="6" s="1"/>
  <c r="L30" i="6" s="1"/>
  <c r="I13" i="1" s="1"/>
  <c r="J18" i="6"/>
  <c r="L18" i="6" s="1"/>
  <c r="I12" i="1" s="1"/>
  <c r="J28" i="6"/>
  <c r="L28" i="6" s="1"/>
  <c r="D22" i="7"/>
  <c r="F22" i="7" s="1"/>
  <c r="H22" i="7" s="1"/>
  <c r="I22" i="7" s="1"/>
  <c r="E15" i="1" s="1"/>
  <c r="K9" i="1"/>
  <c r="K7" i="1" s="1"/>
  <c r="D32" i="6"/>
  <c r="F32" i="6" s="1"/>
  <c r="J32" i="6" s="1"/>
  <c r="L32" i="6" s="1"/>
  <c r="K13" i="1" s="1"/>
  <c r="K11" i="1" s="1"/>
  <c r="J27" i="6" l="1"/>
  <c r="L27" i="6" s="1"/>
  <c r="F13" i="1" s="1"/>
  <c r="I21" i="4"/>
  <c r="G19" i="6"/>
  <c r="I19" i="6" s="1"/>
  <c r="G31" i="6"/>
  <c r="I31" i="6" s="1"/>
  <c r="D19" i="6"/>
  <c r="F19" i="6" s="1"/>
  <c r="J13" i="6"/>
  <c r="L13" i="6" s="1"/>
  <c r="J25" i="6"/>
  <c r="L25" i="6" s="1"/>
  <c r="J15" i="6"/>
  <c r="L15" i="6" s="1"/>
  <c r="F12" i="1" s="1"/>
  <c r="F11" i="1" s="1"/>
  <c r="J17" i="6"/>
  <c r="L17" i="6" s="1"/>
  <c r="H12" i="1" s="1"/>
  <c r="I11" i="1"/>
  <c r="H9" i="1"/>
  <c r="H7" i="1" s="1"/>
  <c r="D29" i="6"/>
  <c r="F29" i="6" s="1"/>
  <c r="J29" i="6" s="1"/>
  <c r="L29" i="6" s="1"/>
  <c r="H13" i="1" s="1"/>
  <c r="G13" i="1"/>
  <c r="G11" i="1" s="1"/>
  <c r="D26" i="7"/>
  <c r="F26" i="7" s="1"/>
  <c r="H26" i="7" s="1"/>
  <c r="I26" i="7" s="1"/>
  <c r="I15" i="1" s="1"/>
  <c r="D24" i="7"/>
  <c r="F24" i="7" s="1"/>
  <c r="H24" i="7" s="1"/>
  <c r="I24" i="7" s="1"/>
  <c r="G15" i="1" s="1"/>
  <c r="D6" i="8"/>
  <c r="D28" i="7"/>
  <c r="F28" i="7" s="1"/>
  <c r="H28" i="7" s="1"/>
  <c r="I28" i="7" s="1"/>
  <c r="K15" i="1" s="1"/>
  <c r="J19" i="6" l="1"/>
  <c r="L19" i="6" s="1"/>
  <c r="J12" i="1" s="1"/>
  <c r="H11" i="1"/>
  <c r="J9" i="1"/>
  <c r="J7" i="1" s="1"/>
  <c r="D31" i="6"/>
  <c r="F31" i="6" s="1"/>
  <c r="J31" i="6" s="1"/>
  <c r="L31" i="6" s="1"/>
  <c r="J13" i="1" s="1"/>
  <c r="J11" i="1" s="1"/>
  <c r="D12" i="1"/>
  <c r="D21" i="7"/>
  <c r="F21" i="7" s="1"/>
  <c r="H21" i="7" s="1"/>
  <c r="I21" i="7" s="1"/>
  <c r="D15" i="1" s="1"/>
  <c r="D23" i="7"/>
  <c r="F23" i="7" s="1"/>
  <c r="H23" i="7" s="1"/>
  <c r="I23" i="7" s="1"/>
  <c r="F15" i="1" s="1"/>
  <c r="D13" i="1"/>
  <c r="D25" i="7"/>
  <c r="F25" i="7" s="1"/>
  <c r="H25" i="7" s="1"/>
  <c r="I25" i="7" s="1"/>
  <c r="H15" i="1" s="1"/>
  <c r="D14" i="9"/>
  <c r="F14" i="9" s="1"/>
  <c r="F19" i="1" s="1"/>
  <c r="D8" i="8"/>
  <c r="D10" i="8"/>
  <c r="F6" i="8"/>
  <c r="D12" i="8"/>
  <c r="D27" i="7" l="1"/>
  <c r="F27" i="7" s="1"/>
  <c r="H27" i="7" s="1"/>
  <c r="I27" i="7" s="1"/>
  <c r="J15" i="1" s="1"/>
  <c r="D16" i="9"/>
  <c r="F16" i="9" s="1"/>
  <c r="H19" i="1" s="1"/>
  <c r="D7" i="8"/>
  <c r="F7" i="8" s="1"/>
  <c r="F17" i="1" s="1"/>
  <c r="F18" i="1"/>
  <c r="D9" i="8"/>
  <c r="D5" i="8"/>
  <c r="F5" i="8" s="1"/>
  <c r="D11" i="1"/>
  <c r="F8" i="8"/>
  <c r="F10" i="8"/>
  <c r="E17" i="1"/>
  <c r="F12" i="8"/>
  <c r="D11" i="8" l="1"/>
  <c r="F11" i="8" s="1"/>
  <c r="D17" i="1"/>
  <c r="D16" i="1" s="1"/>
  <c r="L5" i="8"/>
  <c r="D12" i="9" s="1"/>
  <c r="F12" i="9" s="1"/>
  <c r="D19" i="1" s="1"/>
  <c r="D20" i="1" s="1"/>
  <c r="D22" i="1" s="1"/>
  <c r="F9" i="8"/>
  <c r="H17" i="1" s="1"/>
  <c r="H18" i="1"/>
  <c r="F16" i="1"/>
  <c r="F20" i="1" s="1"/>
  <c r="F22" i="1" s="1"/>
  <c r="I17" i="1"/>
  <c r="G17" i="1"/>
  <c r="J17" i="1"/>
  <c r="L11" i="8"/>
  <c r="D18" i="9" s="1"/>
  <c r="F18" i="9" s="1"/>
  <c r="J19" i="1" s="1"/>
  <c r="L12" i="8"/>
  <c r="D19" i="9" s="1"/>
  <c r="F19" i="9" s="1"/>
  <c r="K19" i="1" s="1"/>
  <c r="K17" i="1"/>
  <c r="H16" i="1" l="1"/>
  <c r="H20" i="1" s="1"/>
  <c r="H22" i="1" s="1"/>
  <c r="I18" i="1"/>
  <c r="I16" i="1" s="1"/>
  <c r="L10" i="8"/>
  <c r="D17" i="9" s="1"/>
  <c r="F17" i="9" s="1"/>
  <c r="I19" i="1" s="1"/>
  <c r="J18" i="1"/>
  <c r="J16" i="1" s="1"/>
  <c r="J20" i="1" s="1"/>
  <c r="J22" i="1" s="1"/>
  <c r="E18" i="1"/>
  <c r="E16" i="1" s="1"/>
  <c r="L6" i="8"/>
  <c r="D13" i="9" s="1"/>
  <c r="F13" i="9" s="1"/>
  <c r="E19" i="1" s="1"/>
  <c r="K18" i="1"/>
  <c r="K16" i="1" s="1"/>
  <c r="K20" i="1" s="1"/>
  <c r="K22" i="1" s="1"/>
  <c r="I20" i="1" l="1"/>
  <c r="I22" i="1" s="1"/>
  <c r="G18" i="1"/>
  <c r="G16" i="1" s="1"/>
  <c r="L8" i="8"/>
  <c r="D15" i="9" s="1"/>
  <c r="F15" i="9" s="1"/>
  <c r="G19" i="1" s="1"/>
  <c r="E20" i="1"/>
  <c r="E22" i="1" s="1"/>
  <c r="G20" i="1" l="1"/>
  <c r="G22" i="1" s="1"/>
  <c r="K23" i="1" s="1"/>
  <c r="K24" i="1" s="1"/>
  <c r="K25" i="1" s="1"/>
</calcChain>
</file>

<file path=xl/comments1.xml><?xml version="1.0" encoding="utf-8"?>
<comments xmlns="http://schemas.openxmlformats.org/spreadsheetml/2006/main">
  <authors>
    <author>sergiomesquita86@gmail.com</author>
  </authors>
  <commentList>
    <comment ref="J3" authorId="0" shapeId="0">
      <text>
        <r>
          <rPr>
            <b/>
            <sz val="9"/>
            <color indexed="81"/>
            <rFont val="Segoe UI"/>
            <family val="2"/>
          </rPr>
          <t xml:space="preserve">
Valor determinado pela MP nº 919, de 2020</t>
        </r>
        <r>
          <rPr>
            <sz val="9"/>
            <color indexed="81"/>
            <rFont val="Segoe UI"/>
            <family val="2"/>
          </rPr>
          <t xml:space="preserve">
</t>
        </r>
      </text>
    </comment>
    <comment ref="J4" authorId="0" shapeId="0">
      <text>
        <r>
          <rPr>
            <b/>
            <sz val="9"/>
            <color indexed="81"/>
            <rFont val="Segoe UI"/>
            <family val="2"/>
          </rPr>
          <t xml:space="preserve">Percentual definido pela quantidade de colaboradores (não sendo um valor fixo).
CCT diz"Acima de 31 empregados prevalecerá à livre negociação"
</t>
        </r>
        <r>
          <rPr>
            <sz val="9"/>
            <color indexed="81"/>
            <rFont val="Segoe UI"/>
            <family val="2"/>
          </rPr>
          <t xml:space="preserve">
</t>
        </r>
      </text>
    </comment>
    <comment ref="D6" authorId="0" shapeId="0">
      <text>
        <r>
          <rPr>
            <sz val="9"/>
            <color indexed="81"/>
            <rFont val="Segoe UI"/>
            <family val="2"/>
          </rPr>
          <t xml:space="preserve">FAIXA SALARIAL DEFINIDO NA CCT 2019 CLÁUSULA TERCEIRA - DOS PISOS, SALÁRIOS E GRATIFICAÇÕES NAS TERCEIRIZAÇÕES MAO-DE-OBRA EM GERAL 
</t>
        </r>
      </text>
    </comment>
    <comment ref="G6" authorId="0" shapeId="0">
      <text>
        <r>
          <rPr>
            <sz val="9"/>
            <color indexed="81"/>
            <rFont val="Segoe UI"/>
            <family val="2"/>
          </rPr>
          <t xml:space="preserve">CCT/2019
§ primeiro – Na hipótese do empregado na função de Auxiliar de Serviços Gerais, laboral em setor hospitalar, fará jus à gratificação de função hospitalar, no valor de R$ 123,08
</t>
        </r>
      </text>
    </comment>
    <comment ref="H6" authorId="0" shapeId="0">
      <text>
        <r>
          <rPr>
            <sz val="9"/>
            <color indexed="81"/>
            <rFont val="Segoe UI"/>
            <family val="2"/>
          </rPr>
          <t>CCT- 2019
 § segundo – Ajusta-se que o adicional de i</t>
        </r>
        <r>
          <rPr>
            <b/>
            <sz val="9"/>
            <color indexed="81"/>
            <rFont val="Segoe UI"/>
            <family val="2"/>
          </rPr>
          <t>nsalubridade, na função hospitalar, deverá ser remunerado, sob
o piso da categoria mais a gratific</t>
        </r>
        <r>
          <rPr>
            <sz val="9"/>
            <color indexed="81"/>
            <rFont val="Segoe UI"/>
            <family val="2"/>
          </rPr>
          <t xml:space="preserve">ação HOSPITALAR
§ terceiro – visando a flexibilidade das transferências para outros setores e a garantia da empregabilidade,
esta gratificação de função hospitalar, quando do retorno do empregado, ao exercício de suas funções em
áreas não hospitalares, não serão mais devidas.
§ quarta – Ajusta-se que o </t>
        </r>
        <r>
          <rPr>
            <b/>
            <sz val="9"/>
            <color indexed="81"/>
            <rFont val="Segoe UI"/>
            <family val="2"/>
          </rPr>
          <t>adicional de insalubridade nas áreas críticas será de 40%</t>
        </r>
        <r>
          <rPr>
            <sz val="9"/>
            <color indexed="81"/>
            <rFont val="Segoe UI"/>
            <family val="2"/>
          </rPr>
          <t xml:space="preserve"> e na</t>
        </r>
        <r>
          <rPr>
            <b/>
            <sz val="9"/>
            <color indexed="81"/>
            <rFont val="Segoe UI"/>
            <family val="2"/>
          </rPr>
          <t xml:space="preserve"> semi-crítica de
20% do salário mínimo.</t>
        </r>
        <r>
          <rPr>
            <sz val="9"/>
            <color indexed="81"/>
            <rFont val="Segoe UI"/>
            <family val="2"/>
          </rPr>
          <t xml:space="preserve">
</t>
        </r>
      </text>
    </comment>
    <comment ref="K6" authorId="0" shapeId="0">
      <text>
        <r>
          <rPr>
            <sz val="9"/>
            <color indexed="81"/>
            <rFont val="Segoe UI"/>
            <family val="2"/>
          </rPr>
          <t xml:space="preserve">Artigo 73 da Consolidação das Leis do Trabalho (CLT), "Do Trabalho Noturno", o qual determina que " o trabalho noturno terá remuneração superior à do diurno e, para esse efeito, sua remuneração terá um acréscimo de 20% (vinte por cento), pelo menos, sobre a hora diurna".
</t>
        </r>
      </text>
    </comment>
  </commentList>
</comments>
</file>

<file path=xl/comments2.xml><?xml version="1.0" encoding="utf-8"?>
<comments xmlns="http://schemas.openxmlformats.org/spreadsheetml/2006/main">
  <authors>
    <author>sergiomesquita86@gmail.com</author>
  </authors>
  <commentList>
    <comment ref="D3" authorId="0" shapeId="0">
      <text>
        <r>
          <rPr>
            <sz val="9"/>
            <color indexed="81"/>
            <rFont val="Segoe UI"/>
            <family val="2"/>
          </rPr>
          <t xml:space="preserve">Módulo 1
</t>
        </r>
      </text>
    </comment>
    <comment ref="J3" authorId="0" shapeId="0">
      <text>
        <r>
          <rPr>
            <b/>
            <sz val="9"/>
            <color indexed="81"/>
            <rFont val="Segoe UI"/>
            <family val="2"/>
          </rPr>
          <t>Alíquota do Adicional: 33,33 % que corresponde a 1 ÷ 3 = 33,3333.
Provisionamento mensal: 8,33 % que corresponde a 1 ÷ 12 = 8,3333.
Valor: Base de Cálculo x Alíquota do Adicional x Provisionamento mensal.
Exemplo: Base x 33,33% x 8,33% = BASEx2,78%</t>
        </r>
        <r>
          <rPr>
            <sz val="9"/>
            <color indexed="81"/>
            <rFont val="Segoe UI"/>
            <family val="2"/>
          </rPr>
          <t xml:space="preserve">
</t>
        </r>
      </text>
    </comment>
  </commentList>
</comments>
</file>

<file path=xl/comments3.xml><?xml version="1.0" encoding="utf-8"?>
<comments xmlns="http://schemas.openxmlformats.org/spreadsheetml/2006/main">
  <authors>
    <author>sergiomesquita86@gmail.com</author>
  </authors>
  <commentList>
    <comment ref="C5" authorId="0" shapeId="0">
      <text>
        <r>
          <rPr>
            <sz val="9"/>
            <color indexed="81"/>
            <rFont val="Segoe UI"/>
            <family val="2"/>
          </rPr>
          <t xml:space="preserve">IN 05/2017
 O SAT a depender do grau de risco do serviço irá variar entre 1%, para risco leve, de 2%, para risco médio, e de 3% de risco grave.
</t>
        </r>
      </text>
    </comment>
    <comment ref="D14" authorId="0" shapeId="0">
      <text>
        <r>
          <rPr>
            <sz val="9"/>
            <color indexed="81"/>
            <rFont val="Segoe UI"/>
            <family val="2"/>
          </rPr>
          <t xml:space="preserve">Base de Cálculo: Módulo 1 + Submódulo 2.1
</t>
        </r>
      </text>
    </comment>
    <comment ref="H14" authorId="0" shapeId="0">
      <text>
        <r>
          <rPr>
            <sz val="9"/>
            <color indexed="81"/>
            <rFont val="Segoe UI"/>
            <family val="2"/>
          </rPr>
          <t xml:space="preserve">“Art. 15. Para os fins previstos nesta lei, todos os empregadores ficam obrigados a depositar, até
o dia 7 (sete) de cada mês, em conta bancária vinculada, a importância correspondente a 8 (oito) por
cento da remuneração paga ou devida, no mês anterior, a cada trabalhador, incluídas na remuneração as
parcelas de que tratam os arts. 457 e 458 da CLT e a gratificação de Natal a que se refere a Lei nº 4.090,
de 13 de julho de 1962, com as modificações da Lei nº 4.749, de 12 de agosto de 1965. (Vide Lei nº
13.189, de 2015)”
</t>
        </r>
      </text>
    </comment>
  </commentList>
</comments>
</file>

<file path=xl/comments4.xml><?xml version="1.0" encoding="utf-8"?>
<comments xmlns="http://schemas.openxmlformats.org/spreadsheetml/2006/main">
  <authors>
    <author>sergiomesquita86@gmail.com</author>
  </authors>
  <commentList>
    <comment ref="N4" authorId="0" shapeId="0">
      <text>
        <r>
          <rPr>
            <b/>
            <sz val="9"/>
            <color indexed="81"/>
            <rFont val="Segoe UI"/>
            <family val="2"/>
          </rPr>
          <t>“CLÁUSULA DÉCIMA – PRÊMIO CESTA BÁSICA A TÍTULO DE ASSIDUIDADE(...)
Parágrafo Primeiro – O valor do prêmio será de R$ 110,00 (Cento e dez reais) por mês, com
faculdade de fornecimento in natura, ticket, cartão ou em espécie, que deverá ser entregue até o dia 20 do
mês subsequente.”</t>
        </r>
        <r>
          <rPr>
            <sz val="9"/>
            <color indexed="81"/>
            <rFont val="Segoe UI"/>
            <family val="2"/>
          </rPr>
          <t xml:space="preserve">
</t>
        </r>
      </text>
    </comment>
    <comment ref="F5" authorId="0" shapeId="0">
      <text>
        <r>
          <rPr>
            <b/>
            <sz val="9"/>
            <color indexed="81"/>
            <rFont val="Segoe UI"/>
            <family val="2"/>
          </rPr>
          <t xml:space="preserve"> Parágrafo único do art. 4º da Lei nº 7.418, de 16 de dezembro de 1985:
“Art. 4º (...)
Parágrafo único - O empregador participará dos gastos de deslocamento do trabalhador com a
ajuda de custo equivalente à parcela que exceder a 6% (seis por cento) de seu salário básico. </t>
        </r>
        <r>
          <rPr>
            <sz val="9"/>
            <color indexed="81"/>
            <rFont val="Segoe UI"/>
            <family val="2"/>
          </rPr>
          <t xml:space="preserve">
</t>
        </r>
      </text>
    </comment>
    <comment ref="J5" authorId="0" shapeId="0">
      <text>
        <r>
          <rPr>
            <b/>
            <sz val="9"/>
            <color indexed="81"/>
            <rFont val="Segoe UI"/>
            <family val="2"/>
          </rPr>
          <t>“CLÁUSULA DÉCIMA QUINTA - AUXILIO ALIMENTAÇÃO (...)
§- primeiro – Aos trabalhadores que laborarem em carga horária igual ou superior a 7.20 (sete
horas e vinte minutos) horas diárias, farão jus ao AUXILIO-ALIMENTAÇÃO no valor facial de R$ 14,00
(Quatorze reais) por dia efetivamente trabalhado.”</t>
        </r>
        <r>
          <rPr>
            <sz val="9"/>
            <color indexed="81"/>
            <rFont val="Segoe UI"/>
            <family val="2"/>
          </rPr>
          <t xml:space="preserve">
</t>
        </r>
      </text>
    </comment>
    <comment ref="L5" authorId="0" shapeId="0">
      <text>
        <r>
          <rPr>
            <b/>
            <sz val="9"/>
            <color indexed="81"/>
            <rFont val="Segoe UI"/>
            <family val="2"/>
          </rPr>
          <t>“CLÁUSULA DÉCIMA QUINTA - AUXILIO ALIMENTAÇÃO (...)
§- terceiro – A participação financeira do empregado filiado, ao sindicado laboral fica limitada a
5% do custo direto da refeição, conforme expõe a Lei nº 6.321/1973, aprovada pelo Decreto n.º 5/1991,
artigo 2º, parágrafo primeiro, com redação do Decreto nº 7.349/1991 e portaria SIT/DSST nº 3/2002 e art.
4º .</t>
        </r>
        <r>
          <rPr>
            <sz val="9"/>
            <color indexed="81"/>
            <rFont val="Segoe UI"/>
            <family val="2"/>
          </rPr>
          <t xml:space="preserve">
</t>
        </r>
      </text>
    </comment>
  </commentList>
</comments>
</file>

<file path=xl/comments5.xml><?xml version="1.0" encoding="utf-8"?>
<comments xmlns="http://schemas.openxmlformats.org/spreadsheetml/2006/main">
  <authors>
    <author>sergiomesquita86@gmail.com</author>
  </authors>
  <commentList>
    <comment ref="D12" authorId="0" shapeId="0">
      <text>
        <r>
          <rPr>
            <b/>
            <sz val="9"/>
            <color indexed="81"/>
            <rFont val="Segoe UI"/>
            <family val="2"/>
          </rPr>
          <t>Módulo 1 + Módulo 2 (sem a incidência dos encargos previdenciários
correspondentes ao GPS). Considera-se a duração média do contrato de trabalho de 12 meses.</t>
        </r>
        <r>
          <rPr>
            <sz val="9"/>
            <color indexed="81"/>
            <rFont val="Segoe UI"/>
            <family val="2"/>
          </rPr>
          <t xml:space="preserve">
</t>
        </r>
      </text>
    </comment>
    <comment ref="G12" authorId="0" shapeId="0">
      <text>
        <r>
          <rPr>
            <b/>
            <sz val="9"/>
            <color indexed="81"/>
            <rFont val="Segoe UI"/>
            <family val="2"/>
          </rPr>
          <t>Corresponde ao valor do depósito mensal realizado no Fundo de Garantia por
Tempo de Serviço – FGTS.</t>
        </r>
        <r>
          <rPr>
            <sz val="9"/>
            <color indexed="81"/>
            <rFont val="Segoe UI"/>
            <family val="2"/>
          </rPr>
          <t xml:space="preserve">
</t>
        </r>
      </text>
    </comment>
    <comment ref="H12" authorId="0" shapeId="0">
      <text>
        <r>
          <rPr>
            <b/>
            <sz val="9"/>
            <color indexed="81"/>
            <rFont val="Segoe UI"/>
            <family val="2"/>
          </rPr>
          <t>corresponde a 50% dos quais 40% refere-se à multa do FGTS e 10% à
contribuição social a ser recolhida na rede bancária e transferida à Caixa Econômica Federal.</t>
        </r>
        <r>
          <rPr>
            <sz val="9"/>
            <color indexed="81"/>
            <rFont val="Segoe UI"/>
            <family val="2"/>
          </rPr>
          <t xml:space="preserve">
</t>
        </r>
      </text>
    </comment>
    <comment ref="J12" authorId="0" shapeId="0">
      <text>
        <r>
          <rPr>
            <b/>
            <sz val="9"/>
            <color indexed="81"/>
            <rFont val="Segoe UI"/>
            <family val="2"/>
          </rPr>
          <t>Valor a ser provisionado nos casos de Aviso Prévio Indenizado + multa do
FGTS e Contribuição Social.</t>
        </r>
        <r>
          <rPr>
            <sz val="9"/>
            <color indexed="81"/>
            <rFont val="Segoe UI"/>
            <family val="2"/>
          </rPr>
          <t xml:space="preserve">
</t>
        </r>
      </text>
    </comment>
    <comment ref="D24" authorId="0" shapeId="0">
      <text>
        <r>
          <rPr>
            <b/>
            <sz val="9"/>
            <color indexed="81"/>
            <rFont val="Segoe UI"/>
            <family val="2"/>
          </rPr>
          <t>Módulo 1 + Módulo 2. Considera-se a duração média do contrato de trabalho de
12 meses.</t>
        </r>
        <r>
          <rPr>
            <sz val="9"/>
            <color indexed="81"/>
            <rFont val="Segoe UI"/>
            <family val="2"/>
          </rPr>
          <t xml:space="preserve">
</t>
        </r>
      </text>
    </comment>
    <comment ref="G24" authorId="0" shapeId="0">
      <text>
        <r>
          <rPr>
            <b/>
            <sz val="9"/>
            <color indexed="81"/>
            <rFont val="Segoe UI"/>
            <family val="2"/>
          </rPr>
          <t>Corresponde ao valor do depósito mensal realizado no Fundo de Garantia por
Tempo de Serviço – FGTS.</t>
        </r>
        <r>
          <rPr>
            <sz val="9"/>
            <color indexed="81"/>
            <rFont val="Segoe UI"/>
            <family val="2"/>
          </rPr>
          <t xml:space="preserve">
</t>
        </r>
      </text>
    </comment>
    <comment ref="J24" authorId="0" shapeId="0">
      <text>
        <r>
          <rPr>
            <b/>
            <sz val="9"/>
            <color indexed="81"/>
            <rFont val="Segoe UI"/>
            <family val="2"/>
          </rPr>
          <t>Valor a ser provisionado nos casos de Aviso Prévio Trabalhado + Multa do
FGTS e Contribuição Social.</t>
        </r>
        <r>
          <rPr>
            <sz val="9"/>
            <color indexed="81"/>
            <rFont val="Segoe UI"/>
            <family val="2"/>
          </rPr>
          <t xml:space="preserve">
</t>
        </r>
      </text>
    </comment>
    <comment ref="G35" authorId="0" shapeId="0">
      <text>
        <r>
          <rPr>
            <b/>
            <sz val="9"/>
            <color indexed="81"/>
            <rFont val="Segoe UI"/>
            <family val="2"/>
          </rPr>
          <t>Valor mensal provisionado do 13º Salário + Valor mensal provisionado das Férias + valor
mensal provisionado do Adicional de Férias.</t>
        </r>
        <r>
          <rPr>
            <sz val="9"/>
            <color indexed="81"/>
            <rFont val="Segoe UI"/>
            <family val="2"/>
          </rPr>
          <t xml:space="preserve">
</t>
        </r>
      </text>
    </comment>
    <comment ref="H35" authorId="0" shapeId="0">
      <text>
        <r>
          <rPr>
            <b/>
            <sz val="9"/>
            <color indexed="81"/>
            <rFont val="Segoe UI"/>
            <family val="2"/>
          </rPr>
          <t xml:space="preserve">Dados do CAGED Cadastro Geral de Empregados e
Desempregados </t>
        </r>
      </text>
    </comment>
  </commentList>
</comments>
</file>

<file path=xl/comments6.xml><?xml version="1.0" encoding="utf-8"?>
<comments xmlns="http://schemas.openxmlformats.org/spreadsheetml/2006/main">
  <authors>
    <author>sergiomesquita86@gmail.com</author>
  </authors>
  <commentList>
    <comment ref="B19" authorId="0" shapeId="0">
      <text>
        <r>
          <rPr>
            <b/>
            <sz val="9"/>
            <color indexed="81"/>
            <rFont val="Segoe UI"/>
            <family val="2"/>
          </rPr>
          <t>Para o presente exercício foram atualizados os dados resultantes do estudo desenvolvido pela Fundação Instituto de Administração (FIA) em 2014/2015, adotando-se a métrica estabelecida por aquela instituição, com dados atualizados da Relação Anual de Informações Sociais-2016 (RAIS/MTE), da Pesquisa Nacional por Amostra de Domicílios-2016  PNAD/IBGE), do Registro Civil (IBGE)-2016 e dados estatísticos sobre saúde e segurança do trabalhador disponibilizados pelo INSS/MPS em 2014, em virtude da inexistência de base similar para 2016</t>
        </r>
        <r>
          <rPr>
            <sz val="9"/>
            <color indexed="81"/>
            <rFont val="Segoe UI"/>
            <family val="2"/>
          </rPr>
          <t xml:space="preserve">
</t>
        </r>
      </text>
    </comment>
    <comment ref="D20" authorId="0" shapeId="0">
      <text>
        <r>
          <rPr>
            <b/>
            <sz val="9"/>
            <color indexed="81"/>
            <rFont val="Segoe UI"/>
            <family val="2"/>
          </rPr>
          <t>Módulo 1 + Módulo 2 + Módulo 3</t>
        </r>
        <r>
          <rPr>
            <sz val="9"/>
            <color indexed="81"/>
            <rFont val="Segoe UI"/>
            <family val="2"/>
          </rPr>
          <t xml:space="preserve">
</t>
        </r>
      </text>
    </comment>
    <comment ref="E20" authorId="0" shapeId="0">
      <text>
        <r>
          <rPr>
            <b/>
            <sz val="9"/>
            <color indexed="81"/>
            <rFont val="Segoe UI"/>
            <family val="2"/>
          </rPr>
          <t>Por se tratar de jornadas de trabalho nas quais recebem por mês, aplica-se o divisor
de dia apresentado no art. 64 da CLT</t>
        </r>
        <r>
          <rPr>
            <sz val="9"/>
            <color indexed="81"/>
            <rFont val="Segoe UI"/>
            <family val="2"/>
          </rPr>
          <t xml:space="preserve">
</t>
        </r>
      </text>
    </comment>
    <comment ref="F20" authorId="0" shapeId="0">
      <text>
        <r>
          <rPr>
            <b/>
            <sz val="9"/>
            <color indexed="81"/>
            <rFont val="Segoe UI"/>
            <family val="2"/>
          </rPr>
          <t>Base de cálculo ÷ Divisor do dia</t>
        </r>
        <r>
          <rPr>
            <sz val="9"/>
            <color indexed="81"/>
            <rFont val="Segoe UI"/>
            <family val="2"/>
          </rPr>
          <t xml:space="preserve">
</t>
        </r>
      </text>
    </comment>
    <comment ref="G20" authorId="0" shapeId="0">
      <text>
        <r>
          <rPr>
            <b/>
            <sz val="9"/>
            <color indexed="81"/>
            <rFont val="Segoe UI"/>
            <family val="2"/>
          </rPr>
          <t xml:space="preserve"> total de dias no ano que terá a necessidade da reposição devido a
ausências legais.</t>
        </r>
        <r>
          <rPr>
            <sz val="9"/>
            <color indexed="81"/>
            <rFont val="Segoe UI"/>
            <family val="2"/>
          </rPr>
          <t xml:space="preserve">
</t>
        </r>
      </text>
    </comment>
    <comment ref="H20" authorId="0" shapeId="0">
      <text>
        <r>
          <rPr>
            <b/>
            <sz val="9"/>
            <color indexed="81"/>
            <rFont val="Segoe UI"/>
            <family val="2"/>
          </rPr>
          <t>Custo diário x Necessidade de Reposição</t>
        </r>
        <r>
          <rPr>
            <sz val="9"/>
            <color indexed="81"/>
            <rFont val="Segoe UI"/>
            <family val="2"/>
          </rPr>
          <t xml:space="preserve">
</t>
        </r>
      </text>
    </comment>
    <comment ref="I20" authorId="0" shapeId="0">
      <text>
        <r>
          <rPr>
            <b/>
            <sz val="9"/>
            <color indexed="81"/>
            <rFont val="Segoe UI"/>
            <family val="2"/>
          </rPr>
          <t>Custo anual ÷ 12 meses</t>
        </r>
        <r>
          <rPr>
            <sz val="9"/>
            <color indexed="81"/>
            <rFont val="Segoe UI"/>
            <family val="2"/>
          </rPr>
          <t xml:space="preserve">
</t>
        </r>
      </text>
    </comment>
  </commentList>
</comments>
</file>

<file path=xl/comments7.xml><?xml version="1.0" encoding="utf-8"?>
<comments xmlns="http://schemas.openxmlformats.org/spreadsheetml/2006/main">
  <authors>
    <author>sergiomesquita86@gmail.com</author>
  </authors>
  <commentList>
    <comment ref="D3" authorId="0" shapeId="0">
      <text>
        <r>
          <rPr>
            <b/>
            <sz val="9"/>
            <color indexed="81"/>
            <rFont val="Segoe UI"/>
            <family val="2"/>
          </rPr>
          <t>Elaborador: Os percentuais para o calculo foram extraídos da referência: Ministerio da Economia¹</t>
        </r>
        <r>
          <rPr>
            <sz val="9"/>
            <color indexed="81"/>
            <rFont val="Segoe UI"/>
            <family val="2"/>
          </rPr>
          <t xml:space="preserve">
</t>
        </r>
      </text>
    </comment>
    <comment ref="G3" authorId="0" shapeId="0">
      <text>
        <r>
          <rPr>
            <b/>
            <sz val="9"/>
            <color indexed="81"/>
            <rFont val="Segoe UI"/>
            <family val="2"/>
          </rPr>
          <t xml:space="preserve">Elaborador: A porcentagem para a extração dos valores utilizando a base de calculo foram extraídos do detalhamento do módulo 5.2. </t>
        </r>
        <r>
          <rPr>
            <sz val="9"/>
            <color indexed="81"/>
            <rFont val="Segoe UI"/>
            <family val="2"/>
          </rPr>
          <t xml:space="preserve">
</t>
        </r>
      </text>
    </comment>
    <comment ref="D4" authorId="0" shapeId="0">
      <text>
        <r>
          <rPr>
            <b/>
            <sz val="9"/>
            <color indexed="81"/>
            <rFont val="Segoe UI"/>
            <family val="2"/>
          </rPr>
          <t>Módulo 1 + Módulo 2 + Módulo 3 + Módulo 4.</t>
        </r>
        <r>
          <rPr>
            <sz val="9"/>
            <color indexed="81"/>
            <rFont val="Segoe UI"/>
            <family val="2"/>
          </rPr>
          <t xml:space="preserve">
</t>
        </r>
      </text>
    </comment>
    <comment ref="E4" authorId="0" shapeId="0">
      <text>
        <r>
          <rPr>
            <b/>
            <sz val="9"/>
            <color indexed="81"/>
            <rFont val="Segoe UI"/>
            <family val="2"/>
          </rPr>
          <t>percentual utilizado nos cadernos técnicos do ano de 2017.</t>
        </r>
        <r>
          <rPr>
            <sz val="9"/>
            <color indexed="81"/>
            <rFont val="Segoe UI"/>
            <family val="2"/>
          </rPr>
          <t xml:space="preserve">
</t>
        </r>
      </text>
    </comment>
    <comment ref="G4" authorId="0" shapeId="0">
      <text>
        <r>
          <rPr>
            <b/>
            <sz val="9"/>
            <color indexed="81"/>
            <rFont val="Segoe UI"/>
            <family val="2"/>
          </rPr>
          <t>Módulo 1 + Módulo 2 + Módulo 3 + Módulo 4 + Submódulo 5.1</t>
        </r>
        <r>
          <rPr>
            <sz val="9"/>
            <color indexed="81"/>
            <rFont val="Segoe UI"/>
            <family val="2"/>
          </rPr>
          <t xml:space="preserve">
</t>
        </r>
      </text>
    </comment>
    <comment ref="J4" authorId="0" shapeId="0">
      <text>
        <r>
          <rPr>
            <b/>
            <sz val="9"/>
            <color indexed="81"/>
            <rFont val="Segoe UI"/>
            <family val="2"/>
          </rPr>
          <t>COFINS: Corresponde ao percentual de 9,25% incidente no custo dos insumos.
*Obs: Retira-se o valor correspondente ao COFINS (9,25%) nessa etapa da planilha, visto que será
tributado no módulo CITL, evitando assim bitributação</t>
        </r>
        <r>
          <rPr>
            <sz val="9"/>
            <color indexed="81"/>
            <rFont val="Segoe UI"/>
            <family val="2"/>
          </rPr>
          <t xml:space="preserve">
</t>
        </r>
      </text>
    </comment>
  </commentList>
</comments>
</file>

<file path=xl/comments8.xml><?xml version="1.0" encoding="utf-8"?>
<comments xmlns="http://schemas.openxmlformats.org/spreadsheetml/2006/main">
  <authors>
    <author>sergiomesquita86@gmail.com</author>
  </authors>
  <commentList>
    <comment ref="C2" authorId="0" shapeId="0">
      <text>
        <r>
          <rPr>
            <sz val="9"/>
            <color indexed="81"/>
            <rFont val="Segoe UI"/>
            <family val="2"/>
          </rPr>
          <t xml:space="preserve">
Para a obtenção do preço de referência para contratação de um posto de serviço, é necessário acrescentar ao Custo Total do empregado os Custos Indiretos, Tributos e Lucro. O percentual referente ao CITL utilizados tem por base a metodologia adotada pela FIA em estudos desenvolvidos em 2014/2015</t>
        </r>
      </text>
    </comment>
    <comment ref="F4" authorId="0" shapeId="0">
      <text>
        <r>
          <rPr>
            <b/>
            <sz val="9"/>
            <color indexed="81"/>
            <rFont val="Segoe UI"/>
            <family val="2"/>
          </rPr>
          <t xml:space="preserve">
Percentual do CITL: obtido através da fórmula adotada pela FIA:
CILT=( (1+C.I.)/(1-T-L))-1</t>
        </r>
      </text>
    </comment>
  </commentList>
</comments>
</file>

<file path=xl/comments9.xml><?xml version="1.0" encoding="utf-8"?>
<comments xmlns="http://schemas.openxmlformats.org/spreadsheetml/2006/main">
  <authors>
    <author>sergio.neto</author>
  </authors>
  <commentList>
    <comment ref="C2" authorId="0" shapeId="0">
      <text>
        <r>
          <rPr>
            <sz val="9"/>
            <color indexed="81"/>
            <rFont val="Segoe UI"/>
            <family val="2"/>
          </rPr>
          <t xml:space="preserve">Os valores base para a formação do preço dos insumos, equipamentos e utensílios para execução do serviço foram extraídos do Sistema de registro preços de Várzea Grande-MT. Os itens que não são registrados, foram extraídos do Sistema RADAR do Tribunal de Contas do Estado - TCE
</t>
        </r>
      </text>
    </comment>
  </commentList>
</comments>
</file>

<file path=xl/sharedStrings.xml><?xml version="1.0" encoding="utf-8"?>
<sst xmlns="http://schemas.openxmlformats.org/spreadsheetml/2006/main" count="993" uniqueCount="499">
  <si>
    <t>Salário Base</t>
  </si>
  <si>
    <t>Gratificação por assiduidade</t>
  </si>
  <si>
    <t>Total</t>
  </si>
  <si>
    <t>1A</t>
  </si>
  <si>
    <t>1B</t>
  </si>
  <si>
    <t>ID</t>
  </si>
  <si>
    <t>Gratificação de função hospitalar</t>
  </si>
  <si>
    <t>Adicional de insalubridade 40%</t>
  </si>
  <si>
    <t>Adicional de insalubridade 20%</t>
  </si>
  <si>
    <t>Adicional de insalubridade 10%</t>
  </si>
  <si>
    <t>Sálario mínimo</t>
  </si>
  <si>
    <t>Categoria - descritivo da mão de obra</t>
  </si>
  <si>
    <t>1C</t>
  </si>
  <si>
    <t>2A</t>
  </si>
  <si>
    <t>2B</t>
  </si>
  <si>
    <t>2C</t>
  </si>
  <si>
    <t>2D</t>
  </si>
  <si>
    <t>2E</t>
  </si>
  <si>
    <r>
      <rPr>
        <b/>
        <sz val="11"/>
        <color theme="1"/>
        <rFont val="Calibri"/>
        <family val="2"/>
        <scheme val="minor"/>
      </rPr>
      <t xml:space="preserve">Servente - </t>
    </r>
    <r>
      <rPr>
        <sz val="11"/>
        <color theme="1"/>
        <rFont val="Calibri"/>
        <family val="2"/>
        <scheme val="minor"/>
      </rPr>
      <t xml:space="preserve">
Carga horária: 12h x 36h 
Área de labor: Crítica 
Período: Noturno</t>
    </r>
  </si>
  <si>
    <r>
      <rPr>
        <b/>
        <sz val="11"/>
        <color theme="1"/>
        <rFont val="Calibri"/>
        <family val="2"/>
        <scheme val="minor"/>
      </rPr>
      <t xml:space="preserve">Servente - </t>
    </r>
    <r>
      <rPr>
        <sz val="11"/>
        <color theme="1"/>
        <rFont val="Calibri"/>
        <family val="2"/>
        <scheme val="minor"/>
      </rPr>
      <t xml:space="preserve">
Carga horária: 12h x 36h 
Área de labor: Semi crítica 
Período: Noturno</t>
    </r>
  </si>
  <si>
    <r>
      <rPr>
        <b/>
        <sz val="11"/>
        <color theme="1"/>
        <rFont val="Calibri"/>
        <family val="2"/>
        <scheme val="minor"/>
      </rPr>
      <t>Servente (líder)</t>
    </r>
    <r>
      <rPr>
        <sz val="11"/>
        <color theme="1"/>
        <rFont val="Calibri"/>
        <family val="2"/>
        <scheme val="minor"/>
      </rPr>
      <t xml:space="preserve">
Carga horária: 44h Semanais 
Área de labor: Crítica, Semi critica e não crítica
Período: Diurno</t>
    </r>
  </si>
  <si>
    <r>
      <rPr>
        <b/>
        <sz val="11"/>
        <color theme="1"/>
        <rFont val="Calibri"/>
        <family val="2"/>
        <scheme val="minor"/>
      </rPr>
      <t xml:space="preserve">Servente de Fachada </t>
    </r>
    <r>
      <rPr>
        <sz val="11"/>
        <color theme="1"/>
        <rFont val="Calibri"/>
        <family val="2"/>
        <scheme val="minor"/>
      </rPr>
      <t xml:space="preserve">
Carga horária: 44h Semanais 
Área de labor: Crítica, Semi critica e não crítica
Período: Diurno</t>
    </r>
  </si>
  <si>
    <t>Gratificação de função (LÍDER)</t>
  </si>
  <si>
    <t>Função Líder</t>
  </si>
  <si>
    <t>Insalubridade</t>
  </si>
  <si>
    <t>Módulo 2 - ENCARGOS E BENEFÍCIOS (ANUAIS, MENSAIS E DIÁRIOS)</t>
  </si>
  <si>
    <t>Módulo 1 - REMUNERAÇÃO</t>
  </si>
  <si>
    <t>Base de Cálculo</t>
  </si>
  <si>
    <t>13° Salário</t>
  </si>
  <si>
    <t>Férias</t>
  </si>
  <si>
    <t>Adicional de Férias</t>
  </si>
  <si>
    <t>%</t>
  </si>
  <si>
    <t>SUB- MÓDULO 2.2 - Encargos previdenciários e FGTS</t>
  </si>
  <si>
    <t>GPS</t>
  </si>
  <si>
    <t>FGTS</t>
  </si>
  <si>
    <t>COMPOSIÇÃO DO GPS E FGTS</t>
  </si>
  <si>
    <t>ENCARGOS</t>
  </si>
  <si>
    <t>INSS - empregador</t>
  </si>
  <si>
    <t>Salário - Educação</t>
  </si>
  <si>
    <t>SAT - GIL/RAT</t>
  </si>
  <si>
    <t>SESC</t>
  </si>
  <si>
    <t>SENAC</t>
  </si>
  <si>
    <t>SEBRAE</t>
  </si>
  <si>
    <t>INCRA</t>
  </si>
  <si>
    <t>TOTAL</t>
  </si>
  <si>
    <t>Adicional Noturno 20%</t>
  </si>
  <si>
    <t>hora por mês</t>
  </si>
  <si>
    <t>horas noturnas mês</t>
  </si>
  <si>
    <t>normal</t>
  </si>
  <si>
    <t>Ad. Not.</t>
  </si>
  <si>
    <t>min</t>
  </si>
  <si>
    <t>horas</t>
  </si>
  <si>
    <t>Vale Transporte</t>
  </si>
  <si>
    <t>Desct. ($)</t>
  </si>
  <si>
    <t>Desct. %</t>
  </si>
  <si>
    <t>SUB- MÓDULO 2.3 - Vale transporte, vale refeição e cesta básica</t>
  </si>
  <si>
    <t>Dias</t>
  </si>
  <si>
    <t>Vales/dia</t>
  </si>
  <si>
    <t>Vale Transporte ($)</t>
  </si>
  <si>
    <t>Vale Refeição</t>
  </si>
  <si>
    <t>Valor ($)</t>
  </si>
  <si>
    <t>Desct. (%)</t>
  </si>
  <si>
    <t>Cesta Básica</t>
  </si>
  <si>
    <t>Total Geral</t>
  </si>
  <si>
    <t>PERCENTUAIS POR TIPO DE DESLIGAMENTO</t>
  </si>
  <si>
    <t>TIPOS</t>
  </si>
  <si>
    <t>Demissão SEM justa causa</t>
  </si>
  <si>
    <t>Demissão COM justa causa</t>
  </si>
  <si>
    <t>Desligamentos OUTROS TIPOS</t>
  </si>
  <si>
    <t>SEM justa Causa - AP INDENIZADO</t>
  </si>
  <si>
    <t>SEM justa Causa - AP Trabalhado</t>
  </si>
  <si>
    <t>SUB- MÓDULO 3.1 - AVISO PRÉVIO INDENIZADO</t>
  </si>
  <si>
    <t>Provisionamento Mensal</t>
  </si>
  <si>
    <t>Multa do FGTS E CONTRIBUIÇÃO SOCIAL SOBRE O AVISO PREVIO INDENIZADO</t>
  </si>
  <si>
    <t>% DA MULTA</t>
  </si>
  <si>
    <t>VALOR</t>
  </si>
  <si>
    <t>BASE DE CÁLCULO</t>
  </si>
  <si>
    <t>PERCENTUAL</t>
  </si>
  <si>
    <t>AVISO PRÉVIO INDENIZADO</t>
  </si>
  <si>
    <t>CUSTO DO AVISO PRÉVIO INDENIZADO</t>
  </si>
  <si>
    <t>AVISO PRÉVIO TRABALHADO</t>
  </si>
  <si>
    <t>Multa do FGTS E CONTRIBUIÇÃO SOCIAL SOBRE O AVISO PREVIO TRABALHADO</t>
  </si>
  <si>
    <t>CUSTO DO AVISO PRÉVIO TRABALHADO</t>
  </si>
  <si>
    <t>SUB- MÓDULO 3.3 - DEMISSÕES POR JUSTA CAUSA</t>
  </si>
  <si>
    <t>VALOR provisionado do 13° Salário</t>
  </si>
  <si>
    <t>VALOR Provisionado das férias</t>
  </si>
  <si>
    <t>VALOR provisionado do Adicional de férias</t>
  </si>
  <si>
    <t>VALOR (BASE DE CÁLCULO)</t>
  </si>
  <si>
    <t>Memória de Cálculo
Número de dias de reposição do profissional ausente para cada evento</t>
  </si>
  <si>
    <t>Espécie</t>
  </si>
  <si>
    <t>Incidência Anual</t>
  </si>
  <si>
    <t>Duração Legal da ausência</t>
  </si>
  <si>
    <t>44 horas semanais</t>
  </si>
  <si>
    <t>Proporção dias afetados</t>
  </si>
  <si>
    <t>Dias de reposição</t>
  </si>
  <si>
    <t>Ausencia justificada</t>
  </si>
  <si>
    <t>Acidente de trabalho</t>
  </si>
  <si>
    <t>Afastamento por doença</t>
  </si>
  <si>
    <t>Consulta médica filho</t>
  </si>
  <si>
    <t>Óbitos na fámilia</t>
  </si>
  <si>
    <t>Casamento</t>
  </si>
  <si>
    <t>Doação de sangue</t>
  </si>
  <si>
    <t>Testemunho</t>
  </si>
  <si>
    <t>Paternidade</t>
  </si>
  <si>
    <t>Maternidade</t>
  </si>
  <si>
    <t>Consulta pré natal</t>
  </si>
  <si>
    <t>12 x 36</t>
  </si>
  <si>
    <t>Total para reposição 12x 36</t>
  </si>
  <si>
    <t>Total para reposição 44h</t>
  </si>
  <si>
    <t>Módulo 4 - CUSTO DE REPOSIÇÃO DO PROFISSIONAL AUSENTE</t>
  </si>
  <si>
    <t>Divisor do dia</t>
  </si>
  <si>
    <t>Custo diário</t>
  </si>
  <si>
    <t>Necessidade de reposição</t>
  </si>
  <si>
    <t>Custo anual</t>
  </si>
  <si>
    <t>Custo Mensal</t>
  </si>
  <si>
    <t>CONJUNTO LIDER</t>
  </si>
  <si>
    <t>CONJUNTO HOSPITALAR</t>
  </si>
  <si>
    <t>ITENS</t>
  </si>
  <si>
    <t>VALOR MENSAL</t>
  </si>
  <si>
    <t>QTD</t>
  </si>
  <si>
    <t>VALOR TOTAL</t>
  </si>
  <si>
    <t>Blusa Estilo Blazer Oxford Bordado c/2 cores</t>
  </si>
  <si>
    <t>Jaleco Brin 100% leve c/3 bolsos serigrafado</t>
  </si>
  <si>
    <t>Calça Oxford Corte Social</t>
  </si>
  <si>
    <t>Calça brim pesado 100% c/2 bolsos</t>
  </si>
  <si>
    <t>TOTAL GERAL</t>
  </si>
  <si>
    <t>,</t>
  </si>
  <si>
    <t>EPI's</t>
  </si>
  <si>
    <t>Avental em PVC</t>
  </si>
  <si>
    <t>Bota de Borracha (Cano longo) Branco</t>
  </si>
  <si>
    <t>Bota de Borracha (Cano longo) Preto</t>
  </si>
  <si>
    <t>Máscara Descartável (PFF2 com Valvula de Alívio)</t>
  </si>
  <si>
    <t>Botina de Segurança com Biqueira em PVC</t>
  </si>
  <si>
    <t>Botina de segurança com Biqueira em aço</t>
  </si>
  <si>
    <t>Capa de Chuva (Jaqueta e Calça)</t>
  </si>
  <si>
    <t>Capacete (M.S.A) com Carneira e Jugular</t>
  </si>
  <si>
    <t>Luva de Procedimento Vinil (CX. com 100 Unidades)</t>
  </si>
  <si>
    <t>EQUIPAMENTOS, MAQUINAS E VEÍCULOS (Custos de propriedade + Custos de Operação)</t>
  </si>
  <si>
    <t>INVEST</t>
  </si>
  <si>
    <t>CP + CO</t>
  </si>
  <si>
    <t>QTDE</t>
  </si>
  <si>
    <t>Mensal</t>
  </si>
  <si>
    <t>Aplicador de cera UNGER (Haste)com balde</t>
  </si>
  <si>
    <t xml:space="preserve">Aspirador semi-industrial 23 Litros </t>
  </si>
  <si>
    <t>Carrinho para coleta de resíduos: Tipo Prefeitura</t>
  </si>
  <si>
    <t xml:space="preserve">Carrinho funcional  com Bolsa - </t>
  </si>
  <si>
    <t xml:space="preserve">Enceradeira industrial 350 mm </t>
  </si>
  <si>
    <t>Enceradeira industrial 410 mm Cleanner</t>
  </si>
  <si>
    <t>Escada de alumínio (R$ por degrau) dupla                            (5 DEGRAUS)</t>
  </si>
  <si>
    <t>Extensão. Padrão: 30 metros (completa com os plugs)</t>
  </si>
  <si>
    <t xml:space="preserve">Kit UNGER limpeza de vidros completo </t>
  </si>
  <si>
    <t xml:space="preserve">Máquina de alta pressão. Uso profissional </t>
  </si>
  <si>
    <t>Mop Água    ( completo , cabo , cabeleira e haste)</t>
  </si>
  <si>
    <t>Mop Pó (60) ( completo , cabo , cabeleira e haste)</t>
  </si>
  <si>
    <t>Placas sinalizadoras</t>
  </si>
  <si>
    <t>Porta papel higiênico. Rolão</t>
  </si>
  <si>
    <t>Porta papel toalha</t>
  </si>
  <si>
    <t>Rodo de alumínio 50 cm</t>
  </si>
  <si>
    <t>Saboneteira simples C/reservatorio</t>
  </si>
  <si>
    <t>Relógio de Ponto - IDNOX LT BIO PROX</t>
  </si>
  <si>
    <t>UTENSÍLIOS</t>
  </si>
  <si>
    <t>VLR</t>
  </si>
  <si>
    <t>QTDE MENSAL</t>
  </si>
  <si>
    <t>Baldes 15 Lts</t>
  </si>
  <si>
    <t>Baldes 6,5 Lts</t>
  </si>
  <si>
    <t>Baldes Pedreiro 12 Lts</t>
  </si>
  <si>
    <t>Escova de mão (plastica)</t>
  </si>
  <si>
    <t>Escova para enceradeira industrial 350 mm</t>
  </si>
  <si>
    <t>Escova para enceradeira industrial 410 mm</t>
  </si>
  <si>
    <t>Escova para enceradeira industrial 510 mm</t>
  </si>
  <si>
    <t>Escova sanitária</t>
  </si>
  <si>
    <t>Espátula 10 cm</t>
  </si>
  <si>
    <t>Mangueira 1/2 Completa (preço do metro)    50 Metros</t>
  </si>
  <si>
    <t>Pá de lixo</t>
  </si>
  <si>
    <t>Pá de lixo com cabo</t>
  </si>
  <si>
    <t>Pulverizador</t>
  </si>
  <si>
    <t>Rastelo</t>
  </si>
  <si>
    <t>Rodo de Madeira (90cm)</t>
  </si>
  <si>
    <t>Rodo de Madeira Duplo (40 cm)</t>
  </si>
  <si>
    <t>Rodo de Madeira Duplo (60 cm)</t>
  </si>
  <si>
    <t>Vassoura de Nylon</t>
  </si>
  <si>
    <t>Vassoura de Pelo (40 cm)</t>
  </si>
  <si>
    <t>Vassoura de Pelo (60 cm)</t>
  </si>
  <si>
    <t>Vassoura de Piaçava</t>
  </si>
  <si>
    <t>Vassoura de Teto</t>
  </si>
  <si>
    <t>MATERIAIS</t>
  </si>
  <si>
    <t>PISOS e SUPERFÍCIES</t>
  </si>
  <si>
    <t>LIMPEZA DE PISOS</t>
  </si>
  <si>
    <t>REPOSIÇÃO</t>
  </si>
  <si>
    <t xml:space="preserve">FUNÇÃO - MARCA/NOME </t>
  </si>
  <si>
    <t>APRESENTAÇÃO</t>
  </si>
  <si>
    <t xml:space="preserve">Discos 350 mm </t>
  </si>
  <si>
    <t>Unidade</t>
  </si>
  <si>
    <t>Sacos de Lixo 100 Lts branco</t>
  </si>
  <si>
    <t>unidade</t>
  </si>
  <si>
    <t xml:space="preserve">Discos 410 mm </t>
  </si>
  <si>
    <t>Sacos de Lixo 50 Lts branco</t>
  </si>
  <si>
    <t>Fibras para LT</t>
  </si>
  <si>
    <t>Sacos de Lixo 40 Lts branco</t>
  </si>
  <si>
    <t>Removedor sem cheiro</t>
  </si>
  <si>
    <t>Galão 5 Lts</t>
  </si>
  <si>
    <t>Sacos de Lixo 200 Lts preto</t>
  </si>
  <si>
    <t>Wax base seladora</t>
  </si>
  <si>
    <t>Sacos de Lixo 100 Lts preto</t>
  </si>
  <si>
    <t>Cera gold Carflex sem Perfume</t>
  </si>
  <si>
    <t>Sacos de Lixo 60 Lts preto</t>
  </si>
  <si>
    <t>Peroxy 4D</t>
  </si>
  <si>
    <t>Sacos de Lixo 40 Lts preto</t>
  </si>
  <si>
    <t>CDC-1- - Detergente Alcalino Clorado/Banheiro</t>
  </si>
  <si>
    <t>FUNÇÃO - MARCA/NOME - FABRICANTE</t>
  </si>
  <si>
    <t xml:space="preserve">Acqua bactericida </t>
  </si>
  <si>
    <t>Litro</t>
  </si>
  <si>
    <t xml:space="preserve">Água sanitária </t>
  </si>
  <si>
    <t>2 Litros</t>
  </si>
  <si>
    <t xml:space="preserve">Alcool 46º </t>
  </si>
  <si>
    <t>Alcool 70%</t>
  </si>
  <si>
    <t xml:space="preserve">Alcool Gel </t>
  </si>
  <si>
    <t>500 ml</t>
  </si>
  <si>
    <t xml:space="preserve">Azulim  </t>
  </si>
  <si>
    <t>Lã de aço</t>
  </si>
  <si>
    <t>Pacote</t>
  </si>
  <si>
    <t>Desinfetante</t>
  </si>
  <si>
    <t>500 ml = 5 Litros</t>
  </si>
  <si>
    <t xml:space="preserve">Desinfetante </t>
  </si>
  <si>
    <t xml:space="preserve">Esponja dupla face </t>
  </si>
  <si>
    <t xml:space="preserve">Fibra limpeza pesada </t>
  </si>
  <si>
    <t xml:space="preserve">Flanelas </t>
  </si>
  <si>
    <t xml:space="preserve">Hipoclorito </t>
  </si>
  <si>
    <t>5 Litros</t>
  </si>
  <si>
    <t xml:space="preserve">Limpa aluminio </t>
  </si>
  <si>
    <t xml:space="preserve">Lustra móveis </t>
  </si>
  <si>
    <t>200 ml</t>
  </si>
  <si>
    <t xml:space="preserve">Limpa vidros  </t>
  </si>
  <si>
    <t xml:space="preserve">Limpa vidros </t>
  </si>
  <si>
    <t xml:space="preserve">Multi uso </t>
  </si>
  <si>
    <t xml:space="preserve">Pano de chão </t>
  </si>
  <si>
    <t xml:space="preserve">Pedra sanitária </t>
  </si>
  <si>
    <t xml:space="preserve">Sabão em barra </t>
  </si>
  <si>
    <t xml:space="preserve">Sabão em Pó </t>
  </si>
  <si>
    <t>Kg</t>
  </si>
  <si>
    <t>Sacos de lixo 100 Lts div cores</t>
  </si>
  <si>
    <t>Sacos de lixo 60 Lts div. cores</t>
  </si>
  <si>
    <t>Sapóleo em Pó</t>
  </si>
  <si>
    <t xml:space="preserve">Super Sabão </t>
  </si>
  <si>
    <t>Vaselina</t>
  </si>
  <si>
    <t xml:space="preserve">Brilho Inox </t>
  </si>
  <si>
    <t xml:space="preserve">Limpa Metais </t>
  </si>
  <si>
    <t>HIGIENE PESSOAL</t>
  </si>
  <si>
    <t>Alcoól spray antibacteriano p/ mãos</t>
  </si>
  <si>
    <t>Sachê 500 ml</t>
  </si>
  <si>
    <t>Papel Toalha 100% celulose interfolhado</t>
  </si>
  <si>
    <t>Pcte c/ 2000 folhas</t>
  </si>
  <si>
    <t>Papel Higiênico rolão</t>
  </si>
  <si>
    <t>Cx. Com 8</t>
  </si>
  <si>
    <t>Sabonete Líquido</t>
  </si>
  <si>
    <t>DESODORIZAÇÃO DE AMBIENTES</t>
  </si>
  <si>
    <t xml:space="preserve">Aromatizante Floral Star - </t>
  </si>
  <si>
    <t>Aromatizante Essency Baby -</t>
  </si>
  <si>
    <t>Bom ar 400 ml</t>
  </si>
  <si>
    <t>Naftalina</t>
  </si>
  <si>
    <t>Colaboradores</t>
  </si>
  <si>
    <t>COLABORADORES</t>
  </si>
  <si>
    <t>Módulo 5 - INSUMOS DE MÃO DE OBRA</t>
  </si>
  <si>
    <t>SUBMÓDULO 5.1 INSUMOS DOS UNIFORMES</t>
  </si>
  <si>
    <t>BASE DE CÁCULO</t>
  </si>
  <si>
    <t>CUSTO MENSAL</t>
  </si>
  <si>
    <t>CONFINS</t>
  </si>
  <si>
    <t>SUBMÓDULO 5.2 INSUMOS MATERIAIS</t>
  </si>
  <si>
    <t>VALOR TOTAL SUBMODULO 5.1+5.2</t>
  </si>
  <si>
    <t>Módulo 6 - CUSTOS INDIRETOS, TRIBUTOS E LUCRO</t>
  </si>
  <si>
    <t>CUSTOS INDIRETOS (C.I.)</t>
  </si>
  <si>
    <t>TRIBUTOS</t>
  </si>
  <si>
    <t>Lucro antes do Imposto de renda (L)</t>
  </si>
  <si>
    <t>C.I.T.L.</t>
  </si>
  <si>
    <t>PIS</t>
  </si>
  <si>
    <t>COFINS</t>
  </si>
  <si>
    <t>ISS</t>
  </si>
  <si>
    <t>FORMULA (FIA)</t>
  </si>
  <si>
    <t>Módulo 1</t>
  </si>
  <si>
    <t>Módulo 2</t>
  </si>
  <si>
    <t>Módulo 3</t>
  </si>
  <si>
    <t>Módulo 4</t>
  </si>
  <si>
    <t>Módulo 5</t>
  </si>
  <si>
    <t>Módulo 6</t>
  </si>
  <si>
    <t>Módulo 5.1</t>
  </si>
  <si>
    <t>Módulo 5.2</t>
  </si>
  <si>
    <t>Sub módulo 2.2</t>
  </si>
  <si>
    <t>Sub módulo 2.1</t>
  </si>
  <si>
    <t>Sub módulo 2.3</t>
  </si>
  <si>
    <t>Sub módulo 3.1</t>
  </si>
  <si>
    <t>Sub módulo 3.2</t>
  </si>
  <si>
    <t>Sub módulo 3.3</t>
  </si>
  <si>
    <t>REMUNERAÇÃO</t>
  </si>
  <si>
    <t>ENCARGOS E BENEFÍCIOS</t>
  </si>
  <si>
    <t>13° sálario, férias e ad. De férias</t>
  </si>
  <si>
    <t>Encargos previdenciários e FGTS</t>
  </si>
  <si>
    <t>Benefícios mensais e diários</t>
  </si>
  <si>
    <t>PROVISÃO PARA RECISÃO</t>
  </si>
  <si>
    <t>Aviso Prévio Indenizado</t>
  </si>
  <si>
    <t>Aviso Prévio Trabalhado</t>
  </si>
  <si>
    <t>Demissão por justa causa</t>
  </si>
  <si>
    <t>CUSTO DE REPOSIÇÃO DO PROFISSIONAL AUSENTE</t>
  </si>
  <si>
    <t>Insumos dos uniformes</t>
  </si>
  <si>
    <t>Insumos dos materiais</t>
  </si>
  <si>
    <t>INSUMOS DE MÃO DE OBRA</t>
  </si>
  <si>
    <t>CUSTOS INDIRETOS, TRIBUTOS E LUCRO</t>
  </si>
  <si>
    <t>TOTAL  DOS CUSTOS POR FUNCIONÁRIOS</t>
  </si>
  <si>
    <t>TOTAL  DOS MÓDULOS</t>
  </si>
  <si>
    <t xml:space="preserve">QTD DE FUNCIONÁRIOS </t>
  </si>
  <si>
    <t>VALOR TOTAL/FUNCIONÁRIO MÊS</t>
  </si>
  <si>
    <t>Os índices utilizados pela FIA para o cálculo do CITL tem origem nos estudos elaborados pelo Governo do Estado de SP, Ministério Público e Supremo Tribunal Federal sem, contudo, serem limitadores. Os valores obtidos por esses estudos são:</t>
  </si>
  <si>
    <t>Preço por hora</t>
  </si>
  <si>
    <t>SUB- MÓDULO 2.1 - 13° SALÁRIO, FÉRIAS E ADICIONAL DE FÉRIAS</t>
  </si>
  <si>
    <t>Seguro de vida</t>
  </si>
  <si>
    <t>minutos</t>
  </si>
  <si>
    <t>Vale Alimentação ($/ dia)</t>
  </si>
  <si>
    <t>SUB- MÓDULO 3.2 - AVISO PRÉVIO TRABALHADO</t>
  </si>
  <si>
    <r>
      <t xml:space="preserve">QUADRO RESUMO 
</t>
    </r>
    <r>
      <rPr>
        <b/>
        <sz val="11"/>
        <color theme="1"/>
        <rFont val="Calibri"/>
        <family val="2"/>
        <scheme val="minor"/>
      </rPr>
      <t xml:space="preserve">LOTE 04 ( CENTRO DE ESPECIALIDADE EM SAÚDE - CES ) </t>
    </r>
    <r>
      <rPr>
        <sz val="11"/>
        <color theme="1"/>
        <rFont val="Calibri"/>
        <family val="2"/>
        <scheme val="minor"/>
      </rPr>
      <t xml:space="preserve">
RUA SÃO PEDRO - BAIRRO CENTRO SUL - Várzea Grande – MT.</t>
    </r>
  </si>
  <si>
    <r>
      <rPr>
        <b/>
        <sz val="11"/>
        <color theme="1"/>
        <rFont val="Calibri"/>
        <family val="2"/>
        <scheme val="minor"/>
      </rPr>
      <t xml:space="preserve">Servente - </t>
    </r>
    <r>
      <rPr>
        <sz val="11"/>
        <color theme="1"/>
        <rFont val="Calibri"/>
        <family val="2"/>
        <scheme val="minor"/>
      </rPr>
      <t xml:space="preserve">
Carga horária: 40h/semana
Área de labor: Crítica 
Período: Diurno</t>
    </r>
  </si>
  <si>
    <r>
      <rPr>
        <b/>
        <sz val="11"/>
        <color theme="1"/>
        <rFont val="Calibri"/>
        <family val="2"/>
        <scheme val="minor"/>
      </rPr>
      <t xml:space="preserve">Servente </t>
    </r>
    <r>
      <rPr>
        <sz val="11"/>
        <color theme="1"/>
        <rFont val="Calibri"/>
        <family val="2"/>
        <scheme val="minor"/>
      </rPr>
      <t xml:space="preserve">
Carga horária: 40h Semanais 
Área de labor:  Não crítica
Período: Diurno</t>
    </r>
  </si>
  <si>
    <r>
      <rPr>
        <b/>
        <sz val="11"/>
        <color theme="1"/>
        <rFont val="Calibri"/>
        <family val="2"/>
        <scheme val="minor"/>
      </rPr>
      <t xml:space="preserve">Servente - </t>
    </r>
    <r>
      <rPr>
        <sz val="11"/>
        <color theme="1"/>
        <rFont val="Calibri"/>
        <family val="2"/>
        <scheme val="minor"/>
      </rPr>
      <t xml:space="preserve">
Carga horária: 40h/semana
Área de labor: Semi crítica  
Período: Diurno</t>
    </r>
  </si>
  <si>
    <r>
      <rPr>
        <b/>
        <sz val="11"/>
        <color theme="1"/>
        <rFont val="Calibri"/>
        <family val="2"/>
        <scheme val="minor"/>
      </rPr>
      <t xml:space="preserve">Servente - </t>
    </r>
    <r>
      <rPr>
        <sz val="11"/>
        <color theme="1"/>
        <rFont val="Calibri"/>
        <family val="2"/>
        <scheme val="minor"/>
      </rPr>
      <t xml:space="preserve">
Carga horária: 40h/semana
Área de labor: Não crítica
Período: Diurno</t>
    </r>
  </si>
  <si>
    <r>
      <rPr>
        <b/>
        <sz val="11"/>
        <color theme="1"/>
        <rFont val="Calibri"/>
        <family val="2"/>
        <scheme val="minor"/>
      </rPr>
      <t xml:space="preserve">Servente - </t>
    </r>
    <r>
      <rPr>
        <sz val="11"/>
        <color theme="1"/>
        <rFont val="Calibri"/>
        <family val="2"/>
        <scheme val="minor"/>
      </rPr>
      <t xml:space="preserve">
Carga horária: 40h Semanais 
Área de labor: Não crítica
Período: Diurno</t>
    </r>
  </si>
  <si>
    <r>
      <rPr>
        <b/>
        <sz val="11"/>
        <color theme="1"/>
        <rFont val="Calibri"/>
        <family val="2"/>
        <scheme val="minor"/>
      </rPr>
      <t xml:space="preserve">Servente - </t>
    </r>
    <r>
      <rPr>
        <sz val="11"/>
        <color theme="1"/>
        <rFont val="Calibri"/>
        <family val="2"/>
        <scheme val="minor"/>
      </rPr>
      <t xml:space="preserve">
Carga horária: 40h Semanais 
Área de labor: Semi crítica  
Período: Diurno</t>
    </r>
  </si>
  <si>
    <r>
      <rPr>
        <b/>
        <sz val="11"/>
        <color theme="1"/>
        <rFont val="Calibri"/>
        <family val="2"/>
        <scheme val="minor"/>
      </rPr>
      <t xml:space="preserve">Servente - </t>
    </r>
    <r>
      <rPr>
        <sz val="11"/>
        <color theme="1"/>
        <rFont val="Calibri"/>
        <family val="2"/>
        <scheme val="minor"/>
      </rPr>
      <t xml:space="preserve">
Carga horária: 40h Semanais  
Área de labor: Crítica 
Período: Diurno</t>
    </r>
  </si>
  <si>
    <t xml:space="preserve">CUSTO DOS FUNCIONÁRIOS NECESSÁRIOS PARA EXECUÇÃO DO SERVIÇO - 
A metodologia utilizada para esta composição de custos e os valores derivaram dos documentos oficiais:  
-Ministerio da Economia SEGES – Caderno Técnico – Limpeza – Mato Grosso "Estudo sobre a Composição dos Custos dos Valores Limites Serviços de Limpeza - 2019" ( utilizando os valores máximos) disponível em: https://www.comprasgovernamentais.gov.br/images/conteudo/ArquivosCGNOR/Cadernostecnicos/Cadernos2019/CT_LIM_MT_2019.pdf
- CONVENÇÃO COLETIVA DE TRABALHO 2020  (NÚMERO DE REGISTRO NO MTE: MT000012/2020).
- IN INSTRUÇÃO NORMATIVA Nº 5, DE 25 DE MAIO DE 2017 - ANEXO VII-D (MODELO DE PLANILHA DE CUSTOS E FORMAÇÃO DE PREÇOS)
</t>
  </si>
  <si>
    <t>TOTAL/ MÊS</t>
  </si>
  <si>
    <t>TOTAL LOTE 04</t>
  </si>
  <si>
    <t>LOTE 04</t>
  </si>
  <si>
    <t>LOTE 01</t>
  </si>
  <si>
    <t>HMPSVG</t>
  </si>
  <si>
    <t>LOTE 02</t>
  </si>
  <si>
    <t>UPA - IPASE</t>
  </si>
  <si>
    <t>LOTE 03</t>
  </si>
  <si>
    <t>UPA - CRISTO REI</t>
  </si>
  <si>
    <t>CES</t>
  </si>
  <si>
    <t>ARP</t>
  </si>
  <si>
    <t xml:space="preserve">TIPO </t>
  </si>
  <si>
    <t>ITEM - DESCRITIVO</t>
  </si>
  <si>
    <t>UNIDADE DE MEDIDA</t>
  </si>
  <si>
    <t>VALOR ($)</t>
  </si>
  <si>
    <t>Qtd/ ano</t>
  </si>
  <si>
    <t>Qtd proporcional/ ano</t>
  </si>
  <si>
    <t>Qtd/ mês</t>
  </si>
  <si>
    <t>361123-0 cód. TCE</t>
  </si>
  <si>
    <t>EQUIPAMENTO</t>
  </si>
  <si>
    <r>
      <rPr>
        <b/>
        <sz val="7.5"/>
        <color theme="1"/>
        <rFont val="Times New Roman"/>
        <family val="1"/>
      </rPr>
      <t>CARRO DE LIMPEZA - CARRO COLETOR</t>
    </r>
    <r>
      <rPr>
        <sz val="7.5"/>
        <color theme="1"/>
        <rFont val="Times New Roman"/>
        <family val="1"/>
      </rPr>
      <t xml:space="preserve">, COM TAMPA EM POLIPROPILENO, PARA COLETA SELETIVA, NO FORMATO
RENTAGULAR, COM 2 RODAS,CAPACIDADE 240 LITROS, MEDINDO 116,0 X 73,0 X 57,0CM,NA COR AZUL </t>
    </r>
  </si>
  <si>
    <t>389237-9 cód. TCE</t>
  </si>
  <si>
    <r>
      <rPr>
        <b/>
        <sz val="7.5"/>
        <color theme="1"/>
        <rFont val="Times New Roman"/>
        <family val="1"/>
      </rPr>
      <t xml:space="preserve">CARRO DE LIMPEZA - CARRO FUNCIONAL COM SUPORTE </t>
    </r>
    <r>
      <rPr>
        <sz val="7.5"/>
        <color theme="1"/>
        <rFont val="Times New Roman"/>
        <family val="1"/>
      </rPr>
      <t>EM POLIETILENO E ESTRUTURA TUBULAR DE ALUMINIO, COM 03 PRATELEIRAS, 01 SACO EM VINIL AMARELO COM TAMPA E ZIPER PARA COLETA DE RESIDUOS,COM 04 RODAS,CAPACIDADE DE 90 LITROS, PESO APROXIMADO 18 KG, MEDINDO 116 X 57 X 100CM (COMPRIMENTO X LARGURA X TURA),ACOMPANHA SUPORTE DE FIXACAO PARA BALDE ESPREMEDOR, COMPOSTO DE 01 BALDE 15 LITROS AZUL, 01 BALDE 15 LITROS VERMELHO, 01 ESPREMEDOR VERMELHO E 01 CAVALETE PARA ESPREMEDOR</t>
    </r>
  </si>
  <si>
    <t>250435-9 cód. TCE</t>
  </si>
  <si>
    <t>Radar (PM de Agua Boa) PE 22/2019</t>
  </si>
  <si>
    <r>
      <rPr>
        <b/>
        <sz val="7.5"/>
        <color theme="1"/>
        <rFont val="Times New Roman"/>
        <family val="1"/>
      </rPr>
      <t>ENCERADEIRA</t>
    </r>
    <r>
      <rPr>
        <sz val="7.5"/>
        <color theme="1"/>
        <rFont val="Times New Roman"/>
        <family val="1"/>
      </rPr>
      <t xml:space="preserve"> </t>
    </r>
    <r>
      <rPr>
        <b/>
        <sz val="7.5"/>
        <color theme="1"/>
        <rFont val="Times New Roman"/>
        <family val="1"/>
      </rPr>
      <t>INDUSTRIAL (MODELO CL 350)</t>
    </r>
    <r>
      <rPr>
        <sz val="7.5"/>
        <color theme="1"/>
        <rFont val="Times New Roman"/>
        <family val="1"/>
      </rPr>
      <t>\, 110/220 VOLTS\, MEDINDO (350 X 1100)\, POTENCIA 0\,75 HP\, CAPACIDADE OPERACIONAL 1500M2\, PESO 30KG\, METAL E COMPRIMENTO DE 12M\, NYLON 350MM\, ESCOVA DE FIBRA VEGETAIS PARA ENCERRAR/LUSTRAR</t>
    </r>
  </si>
  <si>
    <t>172/2019</t>
  </si>
  <si>
    <r>
      <t>ENCERADEIRA INDUSTRIAL DE 500 MM DE DIÂMETRO</t>
    </r>
    <r>
      <rPr>
        <sz val="7.5"/>
        <color theme="1"/>
        <rFont val="Times New Roman"/>
        <family val="1"/>
      </rPr>
      <t>: UTILIZADA PARA LAVAR, LIXAR, RESTAURAR, ACABAMENTO E LIMPEZA DOS MAIS DIFERENTES TIPOS DE PISOS, ALTO RENDIMENTO, BAIXO CONSUMO DE ENERGIA, SILENCIOSA, RESISTENTE E DURÁVEL. MOTOR DE 1 HP BIVOLT MONOFÁSICO, ROTAÇÃO DA ESCOVA 175 RPM COM CÂMARA DE TRANSMISSÃO POR ENGRENAGENS HELICOIDAIS DE NYLON TECNEW COM LUBRIFICAÇÃO PERMANENTE. ACIONAMENTO COM ALAVANCA LIGA/DESLIGA. FIO DE 12 METROS NO MÍNIMO. BIVOLT. CABO DE METAL CROMADO ACOMPANHA 1 ESCOVA DE NYLON PARA LAVAR E 1 ESCOVA DE FIBRAS VEGETAIS PARA ENCERAR E LUSTRAR. CAPACIDADE OPERACIONAL DE NO MÍNIMO 3200 M2 GARANTIA DE NO MÍNIMO 12 MESES CONTRA QUALQUER DEFEITO DE FABRICAÇÃO</t>
    </r>
  </si>
  <si>
    <t>259302-5</t>
  </si>
  <si>
    <t>Radar (PM de Nova Monte Verde) PP 01/2019</t>
  </si>
  <si>
    <r>
      <rPr>
        <b/>
        <sz val="7.5"/>
        <color theme="1"/>
        <rFont val="Times New Roman"/>
        <family val="1"/>
      </rPr>
      <t xml:space="preserve">EXTENSAO </t>
    </r>
    <r>
      <rPr>
        <sz val="7.5"/>
        <color theme="1"/>
        <rFont val="Times New Roman"/>
        <family val="1"/>
      </rPr>
      <t>- ELETRICA,FLEXIVEL,PARA EQUIPAMENTO DE ILUMINACAO,COM COMPRIMENTO DE 30 M,NA BITOLA UNIVERSAL</t>
    </r>
  </si>
  <si>
    <t>427005-3</t>
  </si>
  <si>
    <t>Radar (PM de Uniao do Sul)</t>
  </si>
  <si>
    <r>
      <rPr>
        <b/>
        <sz val="7.5"/>
        <color theme="1"/>
        <rFont val="Times New Roman"/>
        <family val="1"/>
      </rPr>
      <t>KIT DE LIMPEZA</t>
    </r>
    <r>
      <rPr>
        <sz val="7.5"/>
        <color theme="1"/>
        <rFont val="Times New Roman"/>
        <family val="1"/>
      </rPr>
      <t xml:space="preserve"> - COMPOSTO POR BASE DE 40 CM, REFIL DE ALGODAO DE 40CM E CABO DE ALUMINIO DE 38CM,PARA </t>
    </r>
    <r>
      <rPr>
        <b/>
        <sz val="7.5"/>
        <color theme="1"/>
        <rFont val="Times New Roman"/>
        <family val="1"/>
      </rPr>
      <t>LIMPEZA DE VIDRO</t>
    </r>
  </si>
  <si>
    <r>
      <t>LAVADORA DE ALTA PRESSÃO LAVADORA DE ALTA PRESSÃO</t>
    </r>
    <r>
      <rPr>
        <sz val="7.5"/>
        <color theme="1"/>
        <rFont val="Times New Roman"/>
        <family val="1"/>
      </rPr>
      <t xml:space="preserve"> - 1800 LBS(MÍNIMO), 420 L/H (MÍNIMO), 220/V 60HZ, EQUIPAMENTO C/RODINHAS</t>
    </r>
  </si>
  <si>
    <t>203/2019</t>
  </si>
  <si>
    <r>
      <rPr>
        <b/>
        <sz val="7.5"/>
        <color theme="1"/>
        <rFont val="Times New Roman"/>
        <family val="1"/>
      </rPr>
      <t>MOP COM CABO DE ALUMÍNIO – MOP</t>
    </r>
    <r>
      <rPr>
        <sz val="7.5"/>
        <color theme="1"/>
        <rFont val="Times New Roman"/>
        <family val="1"/>
      </rPr>
      <t xml:space="preserve"> COM CABO DE ALUMINIO ANODIZADO MEDINDO 1,40M COM SUPORTE PARA UTILIZAÇÃO DE FIBRAS ABRASIVAS DE LIMPEZA, SENDO SUPORTE E COM JUNÇÃO ARTICULADA E ROSCA TIPO EURO (PRESSÃO MEDINDO 23 CM DE COMPRIMENTO E 10 CM DE LARGURA). PADRÃO DE QUALIDADE IGUAL OU SUPERIOR A PERFECT MOP.</t>
    </r>
  </si>
  <si>
    <r>
      <rPr>
        <b/>
        <sz val="7.5"/>
        <color theme="1"/>
        <rFont val="Times New Roman"/>
        <family val="1"/>
      </rPr>
      <t xml:space="preserve">DISPENSER PARA ÁLCOOL GEL </t>
    </r>
    <r>
      <rPr>
        <sz val="7.5"/>
        <color theme="1"/>
        <rFont val="Times New Roman"/>
        <family val="1"/>
      </rPr>
      <t>- POLIPROPILENO, 800 A 1000 ML, DIMENSÕES MÁXIMAS (LARGURA X PROFUNDIDADE X ALTURA) 140X110X270MM, BRANCO.</t>
    </r>
  </si>
  <si>
    <t>319128-1</t>
  </si>
  <si>
    <t>Radar (PM de Lucas do Rio Verde) PP 24/2019</t>
  </si>
  <si>
    <r>
      <rPr>
        <b/>
        <sz val="7.5"/>
        <color theme="1"/>
        <rFont val="Times New Roman"/>
        <family val="1"/>
      </rPr>
      <t>PLACAS SINALIZAÇAO INTERNA</t>
    </r>
    <r>
      <rPr>
        <sz val="7.5"/>
        <color theme="1"/>
        <rFont val="Times New Roman"/>
        <family val="1"/>
      </rPr>
      <t xml:space="preserve"> - PARA INDICACAO DE PISO MOLHADO, COM SINAIS GRAFICOS UNIVERSAIS E TEXTOS DE ADVERTENCIA EM PORTUGUES E INGLES, EM POLIPROPILENO, NA COR AMARELA,MEDINDO 68,00 X
28,00CM,DOBRAVEL,REFLETIVA, RESISTENTE A SOL E CHUVA.</t>
    </r>
  </si>
  <si>
    <r>
      <rPr>
        <b/>
        <sz val="7.5"/>
        <color theme="1"/>
        <rFont val="Times New Roman"/>
        <family val="1"/>
      </rPr>
      <t>DISPENSER PARA PAPEL HIGIÊNICO ROLO DE 300 METROS</t>
    </r>
    <r>
      <rPr>
        <sz val="7.5"/>
        <color theme="1"/>
        <rFont val="Times New Roman"/>
        <family val="1"/>
      </rPr>
      <t>, EM PLÁSTICO DE ALTA RESISTÊNCIA E DURABILIDADE NA COR BRANCA, SISTEMA DE ABERTURA E FECHAMENTO POR CHAVE, ACOMPANHA UM KIT PARA FIXAÇÃO NA PAREDE CONTENDO BUCHAS E PARAFUSOS MEDINDO NO MÍNIMO 26 CM X 27.2CM X 13 CM. O PRODUTO DEVERÁ CONTER DADOS DE IDENTIFICAÇÃO DO PRODUTO E MARCA DO FABRICANTE.</t>
    </r>
  </si>
  <si>
    <r>
      <t xml:space="preserve">DISPENSER PARA PAPEL TOALHA </t>
    </r>
    <r>
      <rPr>
        <sz val="7.5"/>
        <color theme="1"/>
        <rFont val="Times New Roman"/>
        <family val="1"/>
      </rPr>
      <t>INTERFOLHADO DUAS DOBRAS, EM PLÁSTICO DE ALTA RESISTÊNCIA E DURABILIDADE NA COR CINZA/BRANCO, SISTEMA DE ABERTURA E FECHAMENTO POR CHAVE, ACOMPANHA UM KIT PARA FIXAÇÃO NA PAREDE CONTENDO BUCHAS E PARAFUSOS MEDINDO NO MÍNIMO 32 X 26 X 12 CM. O PRODUTO DEVERÁ CONTER DADOS DE IDENTIFICAÇÃO DO PRODUTO E MARCA DO FABRICANTE.</t>
    </r>
  </si>
  <si>
    <r>
      <rPr>
        <b/>
        <sz val="7.5"/>
        <color theme="1"/>
        <rFont val="Times New Roman"/>
        <family val="1"/>
      </rPr>
      <t>DISPENSER PARA SABONETE LÍQUIDO</t>
    </r>
    <r>
      <rPr>
        <sz val="7.5"/>
        <color theme="1"/>
        <rFont val="Times New Roman"/>
        <family val="1"/>
      </rPr>
      <t>, CAPACIDADE MÍNIMA 1000 ML, EM PLÁSTICO DE ALTA RESISTÊNCIA E DURABILIDADE NA COR BRANCA, SISTEMA DE ABERTURA E FECHAMENTO POR CHAVE, ACOMPANHA UM KIT PARA FIXAÇÃO NA PAREDE CONTENDO BUCHAS E PARAFUSOS. O PRODUTO DEVERÁ CONTER DADOS DE IDENTIFICAÇÃO DO PRODUTO E MARCA DO FABRICANTE.</t>
    </r>
  </si>
  <si>
    <t>245167-0 Cód. TCE</t>
  </si>
  <si>
    <t>Radar (PM DE
COLIDER) PP 70/2019</t>
  </si>
  <si>
    <t>PRODUTO DE LIMPEZA</t>
  </si>
  <si>
    <r>
      <rPr>
        <b/>
        <sz val="7.5"/>
        <rFont val="Times New Roman"/>
        <family val="1"/>
      </rPr>
      <t xml:space="preserve">SELADORA IMPERMEABILIZANTE PARA PISOS </t>
    </r>
    <r>
      <rPr>
        <sz val="7.5"/>
        <rFont val="Times New Roman"/>
        <family val="1"/>
      </rPr>
      <t>- COMPOSTA DE A BASE DE POLIMEROS ACRILICOS, RESINAS ALCALIS SOLUVEIS E ETERES GLICOIS, TEOR MINIMO DE SOLIDOS IGUAL A 14%, PRONTO USO COM COM AGENTES PLASTIFICANTES E CONSERVANTES, NO TIPO LIQUIDO, COM BASE SELADORA E ACABAMENTO DEPARA APLICACAO EM PISOS POROSOS, NA COR INCOLOR, EMBALADO EM BOMBONA PLASTICA DE 5 LITROS, E SUAS CONDICOES DEVERAO ESTAR DE ACORDO COM A PRODUTO FABRICADO SOB AUTORIZACAO DO MINISTERIO DA SAUDE</t>
    </r>
  </si>
  <si>
    <t>bombona de 5 litros</t>
  </si>
  <si>
    <t>36013-9 cód TCE</t>
  </si>
  <si>
    <t>Radar  (PM Dom Aquino) PP 10/2019</t>
  </si>
  <si>
    <r>
      <t>REMOVEDOR -</t>
    </r>
    <r>
      <rPr>
        <sz val="7.5"/>
        <color theme="1"/>
        <rFont val="Times New Roman"/>
        <family val="1"/>
      </rPr>
      <t>SOLVENTE GLICOLICO, LIQUIDO,INCOLOR, PARA REMOCAO DE CERA, ACONDICIONADO EM GALAO</t>
    </r>
  </si>
  <si>
    <t>galão de 5 litros</t>
  </si>
  <si>
    <t>132280-0 Cód. TCE</t>
  </si>
  <si>
    <t>RADAR (P M de SANTO
ANTONIO
DO LESTE) PE  026/2019</t>
  </si>
  <si>
    <r>
      <t>DETERGENTE PARA AREA HOSPITALAR -</t>
    </r>
    <r>
      <rPr>
        <sz val="7.5"/>
        <color theme="1"/>
        <rFont val="Times New Roman"/>
        <family val="1"/>
      </rPr>
      <t>ALCALINO, LIQUIDO, INCOLOR, LAVANDA, PARA LAVAGEM DE PISOS, PARA BAIXAS E ALTAS TEMPERATURAS, ACIDO DODECILBENZENO,SULFONATO SODIO,ACIDO GRAXO DE COCO,LAURILETER SULFATO SODIO,ALCALINIZANTE., GALAO 10 LTS.</t>
    </r>
  </si>
  <si>
    <t>Galão de 10 L</t>
  </si>
  <si>
    <t>202/2019</t>
  </si>
  <si>
    <r>
      <t>ÁGUA SANITÁRIA</t>
    </r>
    <r>
      <rPr>
        <sz val="7.5"/>
        <color theme="1"/>
        <rFont val="Times New Roman"/>
        <family val="1"/>
      </rPr>
      <t xml:space="preserve"> - SOLUÇÃO AQUOSA, CLORO ATIVO, PRINCIPIO ATIVO DE 2,0% A 2,5% P/P, ESTABILIZANTE E ÁGUA, ALVEJA, DESINFETA E BACTERICIDA, EMBALAGEM DE 1 LITRO. PRAZO DE VALIDADE NÃO INFERIOR A 06 MESES A PARTIR DA DATA DE ENTREGA. DE ACORDO COM A RDC 109/2016 E RDC 59/2010.  POSSUIR REGISTRO NA ANVISA/MINISTÉRIO DA SAÚDE.</t>
    </r>
  </si>
  <si>
    <r>
      <t>ÁLCOOL ETÍLICO</t>
    </r>
    <r>
      <rPr>
        <sz val="7.5"/>
        <color theme="1"/>
        <rFont val="Times New Roman"/>
        <family val="1"/>
      </rPr>
      <t xml:space="preserve"> - COM TEOR ALCOÓLICO DE 70 GL, HIDRATADO, LIQUIDO, EMBALADO EM FRASCO PLÁSTICO RESISTENTE CONTENDO 01 LITRO COM DADOS DE IDENTIFICAÇÃO DO PRODUTO, MARCA DO FABRICANTE, DATA DE FABRICAÇÃO, COMPOSIÇÃO QUÍMICA, PRAZO DE VALIDADE NÃO INFERIOR 06 MESES A PARTIR DA DATA DE ENTREGA.  DE ACORDO COM A RDC 46/2002, POSSUIR REGISTRO NA ANVISA/MINISTÉRIO DA SAÚDE.</t>
    </r>
  </si>
  <si>
    <t>203/2020</t>
  </si>
  <si>
    <r>
      <rPr>
        <b/>
        <sz val="7.5"/>
        <color theme="1"/>
        <rFont val="Times New Roman"/>
        <family val="1"/>
      </rPr>
      <t>ALCOOL EM GEL</t>
    </r>
    <r>
      <rPr>
        <sz val="7.5"/>
        <color theme="1"/>
        <rFont val="Times New Roman"/>
        <family val="1"/>
      </rPr>
      <t xml:space="preserve"> -  ÁLCOOL ETÍLICO 70° INPM EM GEL. INDICADO PARALIMPEZA GERAL DE SUPERFÍCIES FIXAS E ONDE HOUVER A NECESSIDADE DE UTILIZAR UM PRODUTO EFICIENTE E VOLÁTIL.</t>
    </r>
  </si>
  <si>
    <r>
      <t>CERA LÍQUIDA INCOLOR PARA PISOS E CERÂMICAS</t>
    </r>
    <r>
      <rPr>
        <sz val="7.5"/>
        <color theme="1"/>
        <rFont val="Times New Roman"/>
        <family val="1"/>
      </rPr>
      <t>. EMBALAGEM COM NO MÍNIMO 750 ML, COM DADOS DE IDENTIFICAÇÃO DO PRODUTO, MARCA DO FABRICANTE, DATA DE FABRICAÇÃO, COMPOSIÇÃO QUÍMICA, PRAZO DE VALIDADE NÃO INFERIOR A 06 MESES A PARTIR DA DATA DE ENTREGA. DE ACORDO COM RDC 59/2010. POSSUIR REGISTRO NA ANVISA/MINISTÉRIO DA SAÚDE.</t>
    </r>
  </si>
  <si>
    <t>frasco 750ml</t>
  </si>
  <si>
    <t xml:space="preserve">00026274 Cód TCE </t>
  </si>
  <si>
    <t>Radar (PM de Juina) PP 78/2019</t>
  </si>
  <si>
    <r>
      <rPr>
        <b/>
        <sz val="7.5"/>
        <color theme="1"/>
        <rFont val="Times New Roman"/>
        <family val="1"/>
      </rPr>
      <t>LIMPADOR AMONIACA</t>
    </r>
    <r>
      <rPr>
        <sz val="7.5"/>
        <color theme="1"/>
        <rFont val="Times New Roman"/>
        <family val="1"/>
      </rPr>
      <t xml:space="preserve">L PARA REMOÇÃO </t>
    </r>
    <r>
      <rPr>
        <sz val="7.5"/>
        <color rgb="FF000000"/>
        <rFont val="Times New Roman"/>
        <family val="1"/>
      </rPr>
      <t xml:space="preserve">DE TODO TIPO DE SUJEIRA PESADA COMO GORDURA, ÓLEO, PELÍCULA DE CERA, GRAXA, ENTRE OUTROS A BASE DE HIDRÓXIDO DE AMÔNIO, DILUIÇÃO D 1:50 À DILUIR 1:100. PRODUTO EXCLUSIVAMENTE DE USO PROFISSIONAL. NOTIFICANDO NA ANVISA. VALIDADE MÍNIMA DE 24 MESES E GALÃO DE 5  LITROS.
</t>
    </r>
  </si>
  <si>
    <t>GALÃO 50L</t>
  </si>
  <si>
    <r>
      <rPr>
        <b/>
        <sz val="7.5"/>
        <color theme="1"/>
        <rFont val="Times New Roman"/>
        <family val="1"/>
      </rPr>
      <t>DETERGENTE NEUTRO PARA PISOS (AZULIM)</t>
    </r>
    <r>
      <rPr>
        <sz val="7.5"/>
        <color theme="1"/>
        <rFont val="Times New Roman"/>
        <family val="1"/>
      </rPr>
      <t>: DETERGENTE NEUTRO COM FRAGRÂNCIA PRODUTO PARA LAVAGEM DE PISOS DILUIÇÃO DE 1:10, 1:50 A 1:100 A BASE DE TENSOATIVO ANIÔNICO, TENSOATIVO NÃO IÔNICO, ALCALINIZANTE, NEUTRALIZANTE COM FRAGRÂNCIA. APRESENTAR LAUDO DE PH. VALIDADE MÍNIMA DE 24 MESES. APRESENTAR NOTIFICAÇÃO DA ANVISA.  PADRÃO DE QUALIDADE IGUAL OU SUPERIOR A DETERGENTE DE PISO MARCA QUIMISTAR OU PROFILATICA. 5 LITROS</t>
    </r>
  </si>
  <si>
    <r>
      <rPr>
        <b/>
        <sz val="7.5"/>
        <color theme="1"/>
        <rFont val="Times New Roman"/>
        <family val="1"/>
      </rPr>
      <t xml:space="preserve">LA DE AÇO </t>
    </r>
    <r>
      <rPr>
        <sz val="7.5"/>
        <color theme="1"/>
        <rFont val="Times New Roman"/>
        <family val="1"/>
      </rPr>
      <t>– COMPOSTO DE AÇO CARBONO, ACONDICIONADO EM SACO PLASTICO, EMBALADO EM PACOTE DE 60 G COM 08 UNIDADES. PADRÃO DE QUALIDADE IGUAL OU SUPERIOR ASSOLAN, BOMBRIL.</t>
    </r>
  </si>
  <si>
    <t>204/2019</t>
  </si>
  <si>
    <r>
      <rPr>
        <b/>
        <sz val="7.5"/>
        <rFont val="Times New Roman"/>
        <family val="1"/>
      </rPr>
      <t xml:space="preserve">DESINFETANTE CONTENDO COMPOSIÇÃO EQUILIBRADA DE PHMB (MÍNIMO 3%) E CLORETO DE ALQUILDIMETILBENZIL AMÔNIO (MÁXIMO 6%) </t>
    </r>
    <r>
      <rPr>
        <sz val="7.5"/>
        <rFont val="Times New Roman"/>
        <family val="1"/>
      </rPr>
      <t>DEVENDO O PRODUTO ESTAR DE ACORDO COM A ANVISA/RDC Nº 14 DE 28.02.2007 E RDC Nº 35 DE 16.08.2010. O PRODUTO DEVERÁ APRESENTAR DILUIÇÃO DE USO ENTRE 0,5% (5ML/LITRO) A 2% (20 ML/LITRO). O PRODUTO DEVE APRESENTAR LAUDOS DE ATIVIDADE ANTIMICROBIANA EMITIDOS POR LABORATÓRIOS REBLAS/ANVISA-MS COMPROVANDO, ENTRE OUTROS, A ATIVIDADE TUBERCULICIDA PELO TESTE CONFIRMATÓRIO ENTRE 5 A 10 MINUTOS DE CONTATO, ATRAVÉS DA ELIMINAÇÃO DE MYCOBACTERIUM BOVIS, CONFORME RDC Nº 35 DE 16.08.2010 – ANVISA/MS NA METODOLOGIA OFICIAL REFERÊNCIA: AOAC 19ª ED./2012 – MÉTODO 965.12 PARA MICOBACTÉRIA (AÇÃO TUBERCULICIDA). GALÃO DE 5 LITROS. O PRODUTO DEVE POSSUIR EM COMODATO SISTEMA ELETRÔNICO GERADOR DE PRODUTO PRONTO USO, MICROCONTROLADO, COM PRECISÃO DE DOSAGEM INDEPENDENTE DA VARIAÇÃO DE PRESSÃO DE ENTRADA DA ÁGUA E VOLUME DE PRODUTO GERADO PARA USO. DEVE POSSUIR AINDA PONTEIRA INTELIGENTE COM DESLIGAMENTO AUTOMÁTICO PARA PREENCHIMENTO DE FRASCOS APLICADORES OU RECIPIENTES DE GRANDE VOLUME. CERTIFICADO DE CALIBRAÇÃO COM RASTREABILIDADE RBC-INMETRO, GARANTINDO CONCENTRAÇÕES DE USO PRECISAS PARA USO DO DESINFETANTE CONFORME APROVADO E REGISTRADO PELA ANVISA-MS.</t>
    </r>
    <r>
      <rPr>
        <b/>
        <sz val="7.5"/>
        <rFont val="Times New Roman"/>
        <family val="1"/>
      </rPr>
      <t xml:space="preserve"> PADRÃO DE QUALIDADE IGUAL OU SUPERIOR AO SURFIC GL 5 LITROS</t>
    </r>
  </si>
  <si>
    <r>
      <rPr>
        <b/>
        <sz val="7.5"/>
        <color theme="1"/>
        <rFont val="Times New Roman"/>
        <family val="1"/>
      </rPr>
      <t xml:space="preserve">DESINFETANTE DE ALTO NÍVEL, ULTRA CONCENTRADO </t>
    </r>
    <r>
      <rPr>
        <sz val="7.5"/>
        <color theme="1"/>
        <rFont val="Times New Roman"/>
        <family val="1"/>
      </rPr>
      <t>PARA POSTERIOR USO DILUÍDO, COM SUBSTÂNCIA ATIVA ANTIMICROBIANA DERIVADA DE ALQUILAMINA EM CONCENTRAÇÃO MÍNIMA DE 8,5% (MÁXIMO 15%) EPROPIONATO, MÍNIMO DE 3,5% (MÁXIMO 8%), COMBINADOS ATENSOATIVO NÃO IÔNICO, TAMBÉM APROVADO E INDICADO PARA LIMPEZA E DESCONTAMINAÇÃO DE ARTIGOS. AS INDICAÇÕES DE USO CONFORME SOLICITAÇÃO PARA USO DEVE CONSTAR DESCRITAS E APROVADAS NO RÓTULO DO PRODUTO. O PRODUTO DEVE ESTAR DE ACORDO COM AS RDC Nº 35 DE 16.08.2010 / ANVISA E RDC Nº 14 DE 28.02.2007 / ANVISA. O PRODUTO DEVE SER ISENTO DE ALDEÍDOS, ÁCIDO PERACÉTICO, CLORO OU DERIVADOS, NÃO HAVENDO NECESSIDADE DE TRATAMENTO PARA DESCARTE NO AMBIENTE APÓS O USO. PARA CADA EMBALAGEM FORNECIDA DEVERÁ ACOMPANHAR 1 TUBO DE FITA TESTE ESPECÍFICA PARA O PRODUTO COM, PELO MENOS 25 UNIDADES, AFIM DE CHECAR A SOLUÇÃO EM USO, CONFORME ITEM 4.11 DA RDC Nº 35 DE 16.08.2010/ANVISA. O PRODUTO DEVE POSSUIR ESTABILIDADE MÍNIMA PARA USO APÓS PREPARADO DE 14 DIAS. GALÃO DE 5 LITROS. PADRÃO DE QUALIDADE IGUAL OU SUPERIOR AO ARPOSAFE GL 5 LITROS.</t>
    </r>
  </si>
  <si>
    <r>
      <t>DESINFETANTE LÍQUIDO PARA USO GERAL</t>
    </r>
    <r>
      <rPr>
        <sz val="7.5"/>
        <color theme="1"/>
        <rFont val="Times New Roman"/>
        <family val="1"/>
      </rPr>
      <t xml:space="preserve"> - FRAGRÂNCIA AGRADÁVEL, PARA USO GERAL, EMBALAGEM COM NO MÍNIMO 05 LITROS, COM DADOS DE IDENTIFICAÇÃO DO PRODUTO, MARCA DO FABRICANTE, DATA DE FABRICAÇÃO, COMPOSIÇÃO QUÍMICA, PRAZO DE VALIDADE NÃO INFERIOR A 06 MESES A PARTIR DA DATA DE ENTREGA. DE ACORDO COM RDC 59/2010. POSSUIR REGISTRO NA ANVISA/MINISTÉRIO DA SAÚDE.</t>
    </r>
  </si>
  <si>
    <r>
      <t>DESINFETANTE LÍQUIDO PARA USO GERAL</t>
    </r>
    <r>
      <rPr>
        <sz val="7.5"/>
        <color theme="1"/>
        <rFont val="Times New Roman"/>
        <family val="1"/>
      </rPr>
      <t xml:space="preserve"> - FRAGRÂNCIA AGRADÁVEL, PARA USO GERAL, EMBALAGEM COM NO MÍNIMO 01 LITROS, COM DADOS DE IDENTIFICAÇÃO DO PRODUTO, MARCA DO FABRICANTE, DATA DE FABRICAÇÃO, COMPOSIÇÃO QUÍMICA, PRAZO DE VALIDADE NÃO INFERIOR A 06 MESES A PARTIR DA DATA DE ENTREGA. DE ACORDO COM RDC 59/2010. POSSUIR REGISTRO NA ANVISA/MINISTÉRIO DA SAÚDE</t>
    </r>
  </si>
  <si>
    <t>1 Litro</t>
  </si>
  <si>
    <r>
      <rPr>
        <b/>
        <sz val="7.5"/>
        <color theme="1"/>
        <rFont val="Times New Roman"/>
        <family val="1"/>
      </rPr>
      <t>DESINFETANTE</t>
    </r>
    <r>
      <rPr>
        <sz val="7.5"/>
        <color theme="1"/>
        <rFont val="Times New Roman"/>
        <family val="1"/>
      </rPr>
      <t xml:space="preserve"> – AGENTE DESINFETANTE QUE ELIMINA GERMES E BACTÉRIAS, ALQUIL BENZENO, SULFONATO DE SÓDIO, COADJUVANTES SEQUESTRANTE, COMPOSIÇÃO AROMÁTICA FRAGRÂNCIA E ÁGUA ACONDICIONADA DE FORMA ADEQUADA. Garrafa de 2 litros.</t>
    </r>
  </si>
  <si>
    <t>2 litros</t>
  </si>
  <si>
    <r>
      <rPr>
        <b/>
        <sz val="7.5"/>
        <color theme="1"/>
        <rFont val="Times New Roman"/>
        <family val="1"/>
      </rPr>
      <t>ESPONJA PARA LIMPEZA TIPO DUPLA FACE</t>
    </r>
    <r>
      <rPr>
        <sz val="7.5"/>
        <color theme="1"/>
        <rFont val="Times New Roman"/>
        <family val="1"/>
      </rPr>
      <t xml:space="preserve"> – ESPONJA PARA LIMPEZA – TIPO DUPLA FACE, MEDINDO NO MINIMO DE 100 X 70 X 20 MM, COM FORMATO RETANGULAR, POLIURETANO COM BACTERICIDA, NA COR VERDE/AMARELA</t>
    </r>
  </si>
  <si>
    <r>
      <rPr>
        <b/>
        <sz val="7.5"/>
        <color theme="1"/>
        <rFont val="Times New Roman"/>
        <family val="1"/>
      </rPr>
      <t>ESPONJA PARA LIMPEZA</t>
    </r>
    <r>
      <rPr>
        <sz val="7.5"/>
        <color theme="1"/>
        <rFont val="Times New Roman"/>
        <family val="1"/>
      </rPr>
      <t xml:space="preserve"> - TIPO PARA LIMPEZA SUPER PESADA, MEDINDO (125 X 87) MM, COM FORMATO RETANGULAR, EM FIBRA DE ACO A EMBALAGEM DEVE CONTER CODIGO DE BARRA E DATA DE VALIDADE, NA COR AZUL PETRÓLEO. PADRÃO DE QUALIDADE IGUAL OU SUPERIOR A SCOTCH-BRITE.</t>
    </r>
  </si>
  <si>
    <r>
      <rPr>
        <b/>
        <sz val="7.5"/>
        <color theme="1"/>
        <rFont val="Times New Roman"/>
        <family val="1"/>
      </rPr>
      <t>FLANELA BRANCA 100 % ALGODÃO</t>
    </r>
    <r>
      <rPr>
        <sz val="7.5"/>
        <color theme="1"/>
        <rFont val="Times New Roman"/>
        <family val="1"/>
      </rPr>
      <t xml:space="preserve"> MEDINDO NO MÍNIMO 40 CM X 60 CM. COM ACABAMENTO NAS BORDAS. O PRODUTO DEVERÁ CONTER DADOS DE IDENTIFICAÇÃO DO PRODUTO E MARCA DO FABRICANTE.</t>
    </r>
  </si>
  <si>
    <r>
      <t>HIPOCLORITO DE SODIO</t>
    </r>
    <r>
      <rPr>
        <sz val="7.5"/>
        <color theme="1"/>
        <rFont val="Times New Roman"/>
        <family val="1"/>
      </rPr>
      <t xml:space="preserve"> – CATEGORIA COMERCIAL, COM TEOR DE CONCENTRAÇÃO DE CLORO ATIVO ENTRE 12% E 14%, ODOR DE HIPOCLORITO, COR AMARELO, PONTO DE FUSÃO 18 GRAUS CELSIUS, SOLUVEL EM ÁGUA, SOLUÇÃO PREPARADA COM MATERIAL DEVE SER LÍMPIDA, TEMPERATURA AMBIENTE, ACONDICIONADO EM BOMBONAS PLÁSTICAS HERMÉTICAS, RÓTULO COM N. DO LOTE, FÓRMULA, ARMAZENAMENTO, DATA DE VALIDADE, REGISTRO NA ANVISA/MS. BOMBONA 50 LITROS.</t>
    </r>
  </si>
  <si>
    <t>bombona</t>
  </si>
  <si>
    <t>205/2019</t>
  </si>
  <si>
    <r>
      <t>LIMPA ALUMINIO</t>
    </r>
    <r>
      <rPr>
        <sz val="7.5"/>
        <color theme="1"/>
        <rFont val="Times New Roman"/>
        <family val="1"/>
      </rPr>
      <t xml:space="preserve"> - LIMPADOR ESPECÍFICO PARA SUPERFÍCIES DE ALUMÍNIO, EFICIENTE NA REMOÇÃO DE SUJEIRAS E MANCHAS INCRUSTADAS, DEVE ALÉM DE REMOVER SUJEIRAS E MANCHAS DAR BRILHO AO ALUMÍNIO. EMBALAGEM CONTENDO IDENTIFICAÇÃO DO PRODUTO, MARCA DO FABRICANTE, PRAZO DE VALIDADE, PESO LÍQUIDO, REGISTRO NO MINISTÉRIO DA SAÚDE, INSTRUÇÕES E CUIDADOS NA UTILIZAÇÃO.FRASCO 500 MILILITRO</t>
    </r>
  </si>
  <si>
    <r>
      <t>LIMPA MOVEIS</t>
    </r>
    <r>
      <rPr>
        <sz val="7.5"/>
        <color theme="1"/>
        <rFont val="Times New Roman"/>
        <family val="1"/>
      </rPr>
      <t xml:space="preserve"> - EMULSAO AQUOSA CREMOSA, COM BICO APLICADOR, PERFUMADO NA FRAGANCIA LAVANDA, PARA SUPERFICIE EM GERAL (EXCETO PISO), COMPOSTO,CERAS,SILICONE,SOLVENTE,EMUSIFICANTES,CONSERVANTES</t>
    </r>
  </si>
  <si>
    <r>
      <t>LIMPADOR MULTIUSO DOMESTICO</t>
    </r>
    <r>
      <rPr>
        <sz val="7.5"/>
        <color theme="1"/>
        <rFont val="Times New Roman"/>
        <family val="1"/>
      </rPr>
      <t xml:space="preserve"> - LIQUIDO, CONCENTRADO,COMPOSICAO: ACIDO DODECILBENZENO SULFONICO LINEAR,COADJUVANTE, SOLVENTE,NEUTRALIZANTE, SEQUESTRANTE, ESPESSANTE,CONSERVANTE, FRAGANCIA E CORANTE,EM EMBALAGEM APROPRIADA DE 5 LITROS,LEGISLACAO VIGENTE DE ACORDO COM REGISTRO NO MINISTERIO DA SAUDE OU ANVISA</t>
    </r>
  </si>
  <si>
    <t xml:space="preserve"> 5 Litros</t>
  </si>
  <si>
    <r>
      <rPr>
        <b/>
        <sz val="7.5"/>
        <color theme="1"/>
        <rFont val="Times New Roman"/>
        <family val="1"/>
      </rPr>
      <t xml:space="preserve">LIMPADOR MULTIUSO DOMESTICO </t>
    </r>
    <r>
      <rPr>
        <sz val="7.5"/>
        <color theme="1"/>
        <rFont val="Times New Roman"/>
        <family val="1"/>
      </rPr>
      <t>- LIQUIDO, COMPOSTO DE ACIDO DODESILBERZENO, ACIDO SUFURICO, FLUORSUL, PERFUME, E AGUA, EMBALADO EM FRASCO PLASTICO, E SUAS CONDICOES DEVERAO ESTAR DE ACORDO COM A COM REGISTRO NO M. SAUDE. Frasco com 500 ml.</t>
    </r>
  </si>
  <si>
    <t>206/2019</t>
  </si>
  <si>
    <r>
      <rPr>
        <b/>
        <sz val="7.5"/>
        <color theme="1"/>
        <rFont val="Times New Roman"/>
        <family val="1"/>
      </rPr>
      <t>PANO DE CHÃO TIPO SACO</t>
    </r>
    <r>
      <rPr>
        <sz val="7.5"/>
        <color theme="1"/>
        <rFont val="Times New Roman"/>
        <family val="1"/>
      </rPr>
      <t>, 100% ALGODÃO, ALVEJADO, DIMENSÕES DE 70 X 50 CM, COM VARIAÇÃO DE NO MÁXIMO 5 % NA OSCILAÇÃO DAS MEDIDAS, EMBALADO DE ACORDO COM AS NORMAS VIGENTES, DEVERÁ CONTER DADOS DE IDENTIFICAÇÃO DO PRODUTO E MARCA DO FABRICANTE</t>
    </r>
  </si>
  <si>
    <r>
      <rPr>
        <b/>
        <sz val="7.5"/>
        <color theme="1"/>
        <rFont val="Times New Roman"/>
        <family val="1"/>
      </rPr>
      <t>PEDRA SANITARIA</t>
    </r>
    <r>
      <rPr>
        <sz val="7.5"/>
        <color theme="1"/>
        <rFont val="Times New Roman"/>
        <family val="1"/>
      </rPr>
      <t xml:space="preserve"> - TIPO DE 35 GRAMAS, EMBALADA EM PLASTICO TRANSPARENTE, COM SUPORTE PARA COLOCACAO EM BACIA SANITARIA, FRAGANCIA DIVERSAS, COM DADOS DE IDENTIFICAÇÃO DO PRODUTO, MARCA DO FABRICANTE, DATA DE FABRICAÇÃO, COMPOSIÇÃO QUÍMICA, PRAZO DE VALIDADE NÃO INFERIOR A 06 MESES </t>
    </r>
  </si>
  <si>
    <r>
      <rPr>
        <b/>
        <sz val="7.5"/>
        <color theme="1"/>
        <rFont val="Times New Roman"/>
        <family val="1"/>
      </rPr>
      <t>SABÃO EM BARRA 200 G</t>
    </r>
    <r>
      <rPr>
        <sz val="7.5"/>
        <color theme="1"/>
        <rFont val="Times New Roman"/>
        <family val="1"/>
      </rPr>
      <t xml:space="preserve"> MULTIUSO, PARA LIMPEZA EM GERAL, COR AMARELA. PACOTE COM 5 UNIDADES COM DADOS DO FABRICANTE DATA DE FABRICAÇÃO, COMPOSIÇÃO QUÍMICA E PRAZO DE VALIDADE NÃO INFERIOR A 06 MESES </t>
    </r>
  </si>
  <si>
    <r>
      <t>SABAO ALVEJANTE – EM PÓ DE 5 KG</t>
    </r>
    <r>
      <rPr>
        <sz val="7.5"/>
        <color theme="1"/>
        <rFont val="Times New Roman"/>
        <family val="1"/>
      </rPr>
      <t xml:space="preserve"> – SABAO ALVEJANTE PARA REMOÇÃO DE MANCHAS EM TECIDOS, EM MAQUINAS INDUSTRIAIS DE LAVANDERIA, COM ALQUIL BENZENO, SULFONATO, TRIPOLIFOSFATO, SILICATO E CARBONATO DE SODIO, CARBOXILMETILCELULOSE SODICA, ELIMINADOR BACTERICIDA DE GERMES, FUNGOS E VIRUS, COM PIGMENTO AZUL 4,4’ BIS (2 SULFOESTIRIL BIFENIL DISSODICO) ACIDO 4,4’ DIAMENO ESTILBENO 2,2’ DISSULFONICO, NA COR AZUL, POLIMEROS ACRILICO, ENZIMAS, PERFUME E ÁGUA, ACONDICIONADO EM EMBALAGEM  DE 5 KG, RÓTULO COM N. DO LOTE, FORMULA, DATA DE FABRICAÇÃO E VALIDADE. PADRÃO DE QUALIDADE IGUAL OU SUPERIOR A OMO, BRILHANTE.</t>
    </r>
  </si>
  <si>
    <t>5 Kg</t>
  </si>
  <si>
    <r>
      <rPr>
        <b/>
        <sz val="7.5"/>
        <color theme="1"/>
        <rFont val="Times New Roman"/>
        <family val="1"/>
      </rPr>
      <t>SACO PARA LIXO DE POLIETILENO PRETO,</t>
    </r>
    <r>
      <rPr>
        <sz val="7.5"/>
        <color theme="1"/>
        <rFont val="Times New Roman"/>
        <family val="1"/>
      </rPr>
      <t xml:space="preserve"> MEDINDO 75 X 105 CM;</t>
    </r>
    <r>
      <rPr>
        <b/>
        <sz val="7.5"/>
        <color theme="1"/>
        <rFont val="Times New Roman"/>
        <family val="1"/>
      </rPr>
      <t xml:space="preserve"> 100 LITROS</t>
    </r>
    <r>
      <rPr>
        <sz val="7.5"/>
        <color theme="1"/>
        <rFont val="Times New Roman"/>
        <family val="1"/>
      </rPr>
      <t>, PACOTE COM 05 UNIDADES, BOA QUALIDADE. O PRODUTO DEVERÁ CONTER DADOS DE IDENTIFICAÇÃO DO PRODUTO E MARCA DO FABRICANTE, DE ACORDO COM A NBR 9191:2002, PRODUTO DEVERA TER REGISTRO NO INMETRO E ATENDE AS NORMAS DA ABNT.</t>
    </r>
  </si>
  <si>
    <t>pacote</t>
  </si>
  <si>
    <t>201/2019</t>
  </si>
  <si>
    <r>
      <rPr>
        <b/>
        <sz val="7.5"/>
        <color theme="1"/>
        <rFont val="Times New Roman"/>
        <family val="1"/>
      </rPr>
      <t>SACO PARA LIXO POLIETILENO PRETO</t>
    </r>
    <r>
      <rPr>
        <sz val="7.5"/>
        <color theme="1"/>
        <rFont val="Times New Roman"/>
        <family val="1"/>
      </rPr>
      <t xml:space="preserve"> MEDINDO 59 X 62 CM; </t>
    </r>
    <r>
      <rPr>
        <b/>
        <sz val="7.5"/>
        <color theme="1"/>
        <rFont val="Times New Roman"/>
        <family val="1"/>
      </rPr>
      <t>30 LITROS</t>
    </r>
    <r>
      <rPr>
        <sz val="7.5"/>
        <color theme="1"/>
        <rFont val="Times New Roman"/>
        <family val="1"/>
      </rPr>
      <t>, PACOTE COM 10 UNIDADES, BOA QUALIDADE. O PRODUTO DEVERÁ CONTER DADOS DE IDENTIFICAÇÃO DO PRODUTO E MARCA DO FABRICANTE, DE ACORDO COM A NBR 9191:2002, O PRODUTO DEVERA TER REGISTRO NO INMETRO E ATENDE AS NORMAS DA ABNT.</t>
    </r>
  </si>
  <si>
    <r>
      <rPr>
        <b/>
        <sz val="7.5"/>
        <color theme="1"/>
        <rFont val="Times New Roman"/>
        <family val="1"/>
      </rPr>
      <t>SACO PARA LIXO POLIETILENO PRETO</t>
    </r>
    <r>
      <rPr>
        <sz val="7.5"/>
        <color theme="1"/>
        <rFont val="Times New Roman"/>
        <family val="1"/>
      </rPr>
      <t xml:space="preserve"> MEDINDO 63 X 80 CM, </t>
    </r>
    <r>
      <rPr>
        <b/>
        <sz val="7.5"/>
        <color theme="1"/>
        <rFont val="Times New Roman"/>
        <family val="1"/>
      </rPr>
      <t>50 LITROS</t>
    </r>
    <r>
      <rPr>
        <sz val="7.5"/>
        <color theme="1"/>
        <rFont val="Times New Roman"/>
        <family val="1"/>
      </rPr>
      <t>, PACOTE COM 10 UNIDADES, BOA QUALIDADE. O PRODUTO DEVERÁ CONTER DADOS DE IDENTIFICAÇÃO DO PRODUTO E MARCA DO FABRICANTE, DE ACORDO COM A NBR 9191:2002, O PRODUTO DEVERA TER REGISTRO NO INMETRO E ATENDE AS NORMAS DA ABNT</t>
    </r>
  </si>
  <si>
    <t>0001720 Cód TCE</t>
  </si>
  <si>
    <t>Radar ( PM Santo Antonio do Leverger) PP 08/2019</t>
  </si>
  <si>
    <r>
      <rPr>
        <b/>
        <sz val="7.5"/>
        <rFont val="Times New Roman"/>
        <family val="1"/>
      </rPr>
      <t xml:space="preserve">SACO PARA COLETA SELETIVA DE LIXO </t>
    </r>
    <r>
      <rPr>
        <sz val="7.5"/>
        <rFont val="Times New Roman"/>
        <family val="1"/>
      </rPr>
      <t>- CAPACIDADE</t>
    </r>
    <r>
      <rPr>
        <b/>
        <sz val="7.5"/>
        <rFont val="Times New Roman"/>
        <family val="1"/>
      </rPr>
      <t xml:space="preserve"> 150 LITROS,</t>
    </r>
    <r>
      <rPr>
        <sz val="7.5"/>
        <rFont val="Times New Roman"/>
        <family val="1"/>
      </rPr>
      <t xml:space="preserve"> MEDIDAS APROXIMADAS DE 90 CM X 115 CM X 08 MICRAS, NA COR PRETA, CONFECCIONADO EM POLIETILENO
DE ALTA DENSIDADE. EMBALAGEM CONTENDO ESPECIFICAÇÃO TÉCNICA COMPLETA DO PRODUTO E MARCA DO FABRICANTE </t>
    </r>
  </si>
  <si>
    <t>Pacote com 10 unidade</t>
  </si>
  <si>
    <r>
      <rPr>
        <b/>
        <sz val="7.5"/>
        <rFont val="Times New Roman"/>
        <family val="1"/>
      </rPr>
      <t>SACO PARA COLETA DE LIXO HOSPITALAR</t>
    </r>
    <r>
      <rPr>
        <sz val="7.5"/>
        <rFont val="Times New Roman"/>
        <family val="1"/>
      </rPr>
      <t xml:space="preserve"> - SACO DE LIXO </t>
    </r>
    <r>
      <rPr>
        <b/>
        <sz val="7.5"/>
        <rFont val="Times New Roman"/>
        <family val="1"/>
      </rPr>
      <t>100 LITROS</t>
    </r>
    <r>
      <rPr>
        <sz val="7.5"/>
        <rFont val="Times New Roman"/>
        <family val="1"/>
      </rPr>
      <t xml:space="preserve"> REFORCADO, BRANCO LEITOSO, MEDINDO NO MINIMO 75CM X 90 CM </t>
    </r>
  </si>
  <si>
    <r>
      <rPr>
        <b/>
        <sz val="7.5"/>
        <rFont val="Times New Roman"/>
        <family val="1"/>
      </rPr>
      <t>SACO PARA COLETA DE LIXO HOSPITALA</t>
    </r>
    <r>
      <rPr>
        <sz val="7.5"/>
        <rFont val="Times New Roman"/>
        <family val="1"/>
      </rPr>
      <t xml:space="preserve">R -CONFECCIONADO
EM POLIETILENO, 60 CM X 0,05 MM APROXIM., BRANCO LEITOSO, SEM TIMBRE, </t>
    </r>
    <r>
      <rPr>
        <b/>
        <sz val="7.5"/>
        <rFont val="Times New Roman"/>
        <family val="1"/>
      </rPr>
      <t>40 LITROS</t>
    </r>
    <r>
      <rPr>
        <sz val="7.5"/>
        <rFont val="Times New Roman"/>
        <family val="1"/>
      </rPr>
      <t>, O MATERIAL DEVERA ESTAR EM CONFORMIDADE COM NBR 9191</t>
    </r>
  </si>
  <si>
    <t>Pacote 100 Unidade</t>
  </si>
  <si>
    <r>
      <t>SAPONÁCEO EM PÓ, COM CLORO</t>
    </r>
    <r>
      <rPr>
        <sz val="7.5"/>
        <color theme="1"/>
        <rFont val="Times New Roman"/>
        <family val="1"/>
      </rPr>
      <t>. EMBALAGEM COM NO MÍNIMO 300 G, COMPOSIÇÃO: TALCO INDUSTRIAL, LAURIL, ÉTER, SULFATO DE SÓDIO E HIPOCLORITO DE SÓDIO, ALQUILBENZENO, SULFATO DE SÓDIO.COM DADOS DO FABRICANTE, DATA DE FABRICAÇÃO, COMPOSIÇÃO QUÍMICA E PRAZO DE VALIDADE NÃO INFERIOR A 06 MESES A PARTIR DA DATA DE ENTREGA. DE ACORDO COM RDC 59/2010. POSSUIR REGISTRO OU NOTIFICAÇÃO DA ANVISA/MINISTÉRIO DA SAÚDE.</t>
    </r>
  </si>
  <si>
    <r>
      <rPr>
        <b/>
        <sz val="7.5"/>
        <color theme="1"/>
        <rFont val="Times New Roman"/>
        <family val="1"/>
      </rPr>
      <t>SODA CÁUSTICA</t>
    </r>
    <r>
      <rPr>
        <sz val="7.5"/>
        <color theme="1"/>
        <rFont val="Times New Roman"/>
        <family val="1"/>
      </rPr>
      <t xml:space="preserve"> TIPO ESCAMAS.  EM EMBALAGEM CONTENDO NO MÍNIMO 01 KG COM DADOS DO FABRICANTE, DATA DE FABRICAÇÃO, COMPOSIÇÃO QUÍMICA E PRAZO DE VALIDADE NÃO INFERIOR A 06 MESES A PARTIR DA DATA DE ENTREGA. POSSUIR REGISTRO OU NOTIFICAÇÃO DA ANVISA/MINISTÉRIO DA SAÚDE.</t>
    </r>
  </si>
  <si>
    <t>KG</t>
  </si>
  <si>
    <t>HIGIENE/ DESODORIZAÇÃO DE AMBIENTES</t>
  </si>
  <si>
    <r>
      <t xml:space="preserve">ANTISSÉPTICO </t>
    </r>
    <r>
      <rPr>
        <sz val="7.5"/>
        <color theme="1"/>
        <rFont val="Times New Roman"/>
        <family val="1"/>
      </rPr>
      <t>- ÁGUA,ÁLCOOL ISOPROPILICO,GLICERINA,MIRISTATO DE ISOPROPILA,PROPILENO GLICOL, ÁLCOOL ETÍLICO, EM GEL, FORMULA NÃO TOXICA, ÁLCOOL ETÍLICO A 62% E ÁLCOOL ISOPROPILICO A 4%, ELIMINAÇÃO 99,9% DOS GERMES CAUSADORES DE INFECÇÕES, PARA ESTERILIZAR AS MÃOS, ACONDICIONADO EM EMBALADO EM BOLSA PLÁSTICA DE 1.000ML, COM VÁLVULA A AR DOSADORA  ADAPTÁVEL AO DISPENSADOR, DATA DE FAB/VAL. REG. NA  ANVISA/MINISTÉRIO DA SAÚDE</t>
    </r>
  </si>
  <si>
    <t>Sachê 1L</t>
  </si>
  <si>
    <r>
      <rPr>
        <b/>
        <sz val="7.5"/>
        <color theme="1"/>
        <rFont val="Times New Roman"/>
        <family val="1"/>
      </rPr>
      <t>PAPEL TOALHA INTERFOLHADO</t>
    </r>
    <r>
      <rPr>
        <sz val="7.5"/>
        <color theme="1"/>
        <rFont val="Times New Roman"/>
        <family val="1"/>
      </rPr>
      <t xml:space="preserve"> DE 1° QUALIDADE, BRANCO DUAS DOBRAS, NÃO RECICLADO, MEDINDO NO MÍNIMO 23 X 21 CM, NÃO RECICLADO. PACOTE COM NO MÍNIMO 1.000 FOLHAS, O PRODUTO DEVERÁ CONTER DADOS DE IDENTIFICAÇÃO DO PRODUTO E MARCA DO FABRICANTE.</t>
    </r>
  </si>
  <si>
    <t>Pcte c/ 1000 folhas</t>
  </si>
  <si>
    <r>
      <rPr>
        <b/>
        <sz val="7.5"/>
        <color theme="1"/>
        <rFont val="Times New Roman"/>
        <family val="1"/>
      </rPr>
      <t>PAPEL TOALHA FOLHA DUPLA</t>
    </r>
    <r>
      <rPr>
        <sz val="7.5"/>
        <color theme="1"/>
        <rFont val="Times New Roman"/>
        <family val="1"/>
      </rPr>
      <t xml:space="preserve"> PICOTADA NA COR BRANCA, PACOTE COM 2 ROLOS, MEDINDO 22 X 20 CM, EMBALAGEM COM BOA VISIBILIDADE DO PRODUTO, DEVERÁ CONTER DADOS DE IDENTIFICAÇÃO DO PRODUTO E MARCA DO FABRICANTE</t>
    </r>
  </si>
  <si>
    <r>
      <rPr>
        <b/>
        <sz val="7.5"/>
        <color theme="1"/>
        <rFont val="Times New Roman"/>
        <family val="1"/>
      </rPr>
      <t>PAPEL HIGIÊNICO SEM PERFUME (NEUTRO</t>
    </r>
    <r>
      <rPr>
        <sz val="7.5"/>
        <color theme="1"/>
        <rFont val="Times New Roman"/>
        <family val="1"/>
      </rPr>
      <t>), ROLO MEDINDO 10 CM X 300 M, NA COR BRANCA, FIBRAS 100% CELULÓSICAS. PACOTE COM 8 ROLOS</t>
    </r>
  </si>
  <si>
    <r>
      <rPr>
        <b/>
        <sz val="7.5"/>
        <color theme="1"/>
        <rFont val="Times New Roman"/>
        <family val="1"/>
      </rPr>
      <t xml:space="preserve">TOALHA DE PAPEL </t>
    </r>
    <r>
      <rPr>
        <sz val="7.5"/>
        <color theme="1"/>
        <rFont val="Times New Roman"/>
        <family val="1"/>
      </rPr>
      <t>- PAPEL TOALHA PICOTADA, BRANCO, MEDINDO NO MÍNIMO 23X22, FARDO COM 8 PACOTES COM 250 FOLHAS, CADA FOLHA COM TRÊS DOBRAS OU OUTRA DISTRIBUIÇÃO QUE TOTALIZA 2.000 FOLHAS POR FARDO, COMPOSIÇÃO 100% FIBRAS CELULOSICA COM EXTRATO E ALGODÃO. PADRÃO DE QUALIDADE IGUAL OU SUPERIOR A BELL PAPEIS, KLEENEX, INDAIAL, MILI</t>
    </r>
  </si>
  <si>
    <r>
      <rPr>
        <b/>
        <sz val="7.5"/>
        <color theme="1"/>
        <rFont val="Times New Roman"/>
        <family val="1"/>
      </rPr>
      <t xml:space="preserve">SABONETE LÍQUIDO PEROLADO </t>
    </r>
    <r>
      <rPr>
        <sz val="7.5"/>
        <color theme="1"/>
        <rFont val="Times New Roman"/>
        <family val="1"/>
      </rPr>
      <t>EMBALAGEM 5 LITROS HIDRATANTE E EMOLIENTE, ESSÊNCIA FLORAL, PH DE 8,9 A9,5 PARA HIGIENE DAS MÃOS, O PRODUTO DEVERÁ CONTER DADOS DO FABRICANTE, DATA DE FABRICAÇÃO, COMPOSIÇÃO QUÍMICA E PRAZO DE VALIDADE NÃO INFERIOR A 06 MESES A PARTIR DA DATA DE ENTREGA. DE ACORDO COM RDC 59/2010. POSSUIR REGISTRO OU NOTIFICAÇÃO DA ANVISA/MINISTÉRIO DA SAÚDE.</t>
    </r>
  </si>
  <si>
    <r>
      <rPr>
        <b/>
        <sz val="7.5"/>
        <color theme="1"/>
        <rFont val="Times New Roman"/>
        <family val="1"/>
      </rPr>
      <t>DESODORIZADOR AMBIENTAL</t>
    </r>
    <r>
      <rPr>
        <sz val="7.5"/>
        <color theme="1"/>
        <rFont val="Times New Roman"/>
        <family val="1"/>
      </rPr>
      <t xml:space="preserve"> - DO TIPO ODORIZADOR, A BASE DE SOLUBILIZANTE, DILUENTE, SEQUESTRANTE, CONSERVANTE, ÁGUA E FRAGRÂNCIA, PRODUTO PARA APLICACAO INDIRETA, PODENDO SER UTILIZADO PURO OU DILUÍDO EM ÁGUA COM O AUXILIO DE UM FRASCO APLICADOR, O PRODUTO DEVE SER NOTIFICADO NA ANVISA/MINISTÉRIO DA SAÚDE, VALIDADE MÍNIMA 24 MESES, COM GATILHO. FRASCO DE  500 ML</t>
    </r>
  </si>
  <si>
    <t>Frasco</t>
  </si>
  <si>
    <r>
      <rPr>
        <b/>
        <sz val="7.5"/>
        <color theme="1"/>
        <rFont val="Times New Roman"/>
        <family val="1"/>
      </rPr>
      <t>DESODORIZADOR, AROMATIZADOR, NEUTRALIZADOR DE ODORES</t>
    </r>
    <r>
      <rPr>
        <sz val="7.5"/>
        <color theme="1"/>
        <rFont val="Times New Roman"/>
        <family val="1"/>
      </rPr>
      <t>. SOLUCAO TIPO AEROSOL,DIVERSAS FRAGRÂNCIAS,COMPOSTO DE ÁLCOOL ETÍLICO, ANTIOXIDANTE, CONSERVANTE, DESNATURANTE, COADJUVANTE, FRAGANCIA, VEICULO E PROPELENTE, COMO DESNATURANTE BENZOATO DE DENATONIO,FRASCO DE ALUMÍNIO CONTEÚDO 360 ML/250GR.</t>
    </r>
  </si>
  <si>
    <t>um</t>
  </si>
  <si>
    <r>
      <rPr>
        <b/>
        <sz val="7.5"/>
        <color theme="1"/>
        <rFont val="Times New Roman"/>
        <family val="1"/>
      </rPr>
      <t>SABÃO LÍQUIDO/ESPUMA PARA HIGIENIZAÇÃO DAS MÃOS</t>
    </r>
    <r>
      <rPr>
        <sz val="7.5"/>
        <color theme="1"/>
        <rFont val="Times New Roman"/>
        <family val="1"/>
      </rPr>
      <t>, BACTERICIDA, COM FRAGRÂNCIA FLORAL OU NEUTRA, ACONDICIONADO EM REFIS DE 600ML, CADA REFIL DEVE CONTER SUA PROPRIA VALVULA DE ACIONAMENTO, DEVERÁ SER APRESENTADO REGISTRO NA ANVISA E FICHA TECNICA DO PRODUTO. O LICITANTE VENCEDOR DEVERÁ FORNECER TODOS OS DISPENSERS NECESSÁRIOS EM COMODATO. PADRÃO DE QUALIDADE IGUAL OU SUPERIOR AO SABONETE LÍQUIDO BACTERICIDA- PHMB.</t>
    </r>
  </si>
  <si>
    <t>REFIL</t>
  </si>
  <si>
    <t>132790-9</t>
  </si>
  <si>
    <t>Radar (PM de Tabaporã) PP 12/2019</t>
  </si>
  <si>
    <r>
      <t xml:space="preserve"> </t>
    </r>
    <r>
      <rPr>
        <b/>
        <sz val="7.5"/>
        <color theme="1"/>
        <rFont val="Times New Roman"/>
        <family val="1"/>
      </rPr>
      <t>REAGENTES QUIMICOS - ALFA NAFTALINA</t>
    </r>
    <r>
      <rPr>
        <sz val="7.5"/>
        <color theme="1"/>
        <rFont val="Times New Roman"/>
        <family val="1"/>
      </rPr>
      <t xml:space="preserve">, CATEGORIA P.A, ACONDICIONADO EM FRASCO COM 100 GRAMAS, ROTULO COM NR. DE LOTE, DATA DE FABRICACAO/VALIDADE,  FORMULA E PROCEDENCIA </t>
    </r>
  </si>
  <si>
    <t>Embalagem de 100 gramas</t>
  </si>
  <si>
    <t>UTENSÍLIOS DE LIMPEZA</t>
  </si>
  <si>
    <r>
      <rPr>
        <b/>
        <sz val="7.5"/>
        <color theme="1"/>
        <rFont val="Times New Roman"/>
        <family val="1"/>
      </rPr>
      <t>BALDE EM PLÁSTICO POLIPROPILENO</t>
    </r>
    <r>
      <rPr>
        <sz val="7.5"/>
        <color theme="1"/>
        <rFont val="Times New Roman"/>
        <family val="1"/>
      </rPr>
      <t>, ALTA DENSIDADE, RESISTENTE A IMPACTO, PAREDES E FUNDO REFORÇADOS, ALÇA EM AÇO 1010/20 ZINCADO,</t>
    </r>
    <r>
      <rPr>
        <b/>
        <sz val="7.5"/>
        <color theme="1"/>
        <rFont val="Times New Roman"/>
        <family val="1"/>
      </rPr>
      <t xml:space="preserve"> CAPACIDADE MÍNIMA 20 LITROS</t>
    </r>
    <r>
      <rPr>
        <sz val="7.5"/>
        <color theme="1"/>
        <rFont val="Times New Roman"/>
        <family val="1"/>
      </rPr>
      <t>, COR A ESCOLHER.  O PRODUTO DEVERÁ TER ETIQUETA COM DADOS DE IDENTIFICAÇÃO DO PRODUTO E MARCA DO FABRICANTE</t>
    </r>
  </si>
  <si>
    <r>
      <rPr>
        <b/>
        <sz val="7.5"/>
        <color theme="1"/>
        <rFont val="Times New Roman"/>
        <family val="1"/>
      </rPr>
      <t>BALDE EM PLÁSTICO POLIPROPILENO</t>
    </r>
    <r>
      <rPr>
        <sz val="7.5"/>
        <color theme="1"/>
        <rFont val="Times New Roman"/>
        <family val="1"/>
      </rPr>
      <t xml:space="preserve">, ALTA DENSIDADE, ALTA RESISTÊNCIA A IMPACTO, PAREDES E FUNDO REFORÇADOS, REFORÇO NO ENCAIXE DA ALÇA, ALÇA EM AÇO 1010/20 ZINCADO, </t>
    </r>
    <r>
      <rPr>
        <b/>
        <sz val="7.5"/>
        <color theme="1"/>
        <rFont val="Times New Roman"/>
        <family val="1"/>
      </rPr>
      <t>CAPACIDADE MÍNIMA DE 10 LITROS</t>
    </r>
    <r>
      <rPr>
        <sz val="7.5"/>
        <color theme="1"/>
        <rFont val="Times New Roman"/>
        <family val="1"/>
      </rPr>
      <t>, COR A ESCOLHER.  O PRODUTO DEVERÁ TER ETIQUETA COM DADOS DE IDENTIFICAÇÃO DO PRODUTO E MARCA DO FABRICANTE</t>
    </r>
  </si>
  <si>
    <r>
      <t>ESCOVA PARA ROUPA</t>
    </r>
    <r>
      <rPr>
        <sz val="7.5"/>
        <color theme="1"/>
        <rFont val="Times New Roman"/>
        <family val="1"/>
      </rPr>
      <t>, MODELO OVAL, BASE EM PLÁSTICO, CERDAS NYLON, SEM ALÇA, SEM CABO, A EMBALAGEM DO PRODUTO DEVERÁ CONTER DADOS DE IDENTIFICAÇÃO DO PRODUTO E MARCA DO FABRICANTE.</t>
    </r>
  </si>
  <si>
    <t>272611-4 Cód. TCE</t>
  </si>
  <si>
    <t>Radar (PM Terra nova do Norte) PP 40/2019</t>
  </si>
  <si>
    <r>
      <rPr>
        <b/>
        <sz val="7.5"/>
        <color theme="1"/>
        <rFont val="Times New Roman"/>
        <family val="1"/>
      </rPr>
      <t xml:space="preserve">DISCO </t>
    </r>
    <r>
      <rPr>
        <sz val="7.5"/>
        <color theme="1"/>
        <rFont val="Times New Roman"/>
        <family val="1"/>
      </rPr>
      <t>- PARA LAVAR,EM NYLON,MEDINDO</t>
    </r>
    <r>
      <rPr>
        <b/>
        <sz val="7.5"/>
        <color theme="1"/>
        <rFont val="Times New Roman"/>
        <family val="1"/>
      </rPr>
      <t xml:space="preserve"> 350MM </t>
    </r>
    <r>
      <rPr>
        <sz val="7.5"/>
        <color theme="1"/>
        <rFont val="Times New Roman"/>
        <family val="1"/>
      </rPr>
      <t xml:space="preserve">DE DIAMETRO, NA COR VERDE PARA ENCERADEIRA </t>
    </r>
  </si>
  <si>
    <t>Disco</t>
  </si>
  <si>
    <t>185871-8 Cód. TCE</t>
  </si>
  <si>
    <r>
      <rPr>
        <b/>
        <sz val="7.5"/>
        <color theme="1"/>
        <rFont val="Times New Roman"/>
        <family val="1"/>
      </rPr>
      <t>DISCO</t>
    </r>
    <r>
      <rPr>
        <sz val="7.5"/>
        <color theme="1"/>
        <rFont val="Times New Roman"/>
        <family val="1"/>
      </rPr>
      <t xml:space="preserve"> - REDONDO DE ENCERADEIRA PARA LIMPEZA PESADA, PRETO, EM FIBRAS SINTETICAS, MEDINDO </t>
    </r>
    <r>
      <rPr>
        <b/>
        <sz val="7.5"/>
        <color theme="1"/>
        <rFont val="Times New Roman"/>
        <family val="1"/>
      </rPr>
      <t>510MM</t>
    </r>
    <r>
      <rPr>
        <sz val="7.5"/>
        <color theme="1"/>
        <rFont val="Times New Roman"/>
        <family val="1"/>
      </rPr>
      <t xml:space="preserve"> DE DIAMETRO</t>
    </r>
  </si>
  <si>
    <t>135/2019</t>
  </si>
  <si>
    <r>
      <t>ESPÁTULA  AÇO 10"</t>
    </r>
    <r>
      <rPr>
        <sz val="7.5"/>
        <color rgb="FF000000"/>
        <rFont val="Times New Roman"/>
        <family val="1"/>
      </rPr>
      <t xml:space="preserve"> PRODUZIDA EM AÇO FORJADO COM CABO DE MADEIRA</t>
    </r>
  </si>
  <si>
    <r>
      <t>MANGUEIRA SILICONADA 3/4"</t>
    </r>
    <r>
      <rPr>
        <sz val="7.5"/>
        <color rgb="FF000000"/>
        <rFont val="Times New Roman"/>
        <family val="1"/>
      </rPr>
      <t xml:space="preserve"> X 2,5 MM, MANGUEIRA PARA USO GERAL (ROLO DE 50MTS)</t>
    </r>
  </si>
  <si>
    <t>Rolo 50 mts</t>
  </si>
  <si>
    <r>
      <rPr>
        <b/>
        <sz val="7.5"/>
        <color theme="1"/>
        <rFont val="Times New Roman"/>
        <family val="1"/>
      </rPr>
      <t>PÁ DE LIXO DE PLÁSTICO</t>
    </r>
    <r>
      <rPr>
        <sz val="7.5"/>
        <color theme="1"/>
        <rFont val="Times New Roman"/>
        <family val="1"/>
      </rPr>
      <t>, COM CABO DE MADEIRA MEDINDO NO MÍNIMO 80 CM, O PRODUTO DEVERÁ CONTER DADOS DE IDENTIFICAÇÃO DO PRODUTO E MARCA DO FABRICANTE</t>
    </r>
  </si>
  <si>
    <t>1357-9 Cód. TCE</t>
  </si>
  <si>
    <r>
      <rPr>
        <b/>
        <sz val="7.5"/>
        <color theme="1"/>
        <rFont val="Times New Roman"/>
        <family val="1"/>
      </rPr>
      <t>RASTELO</t>
    </r>
    <r>
      <rPr>
        <sz val="7.5"/>
        <color theme="1"/>
        <rFont val="Times New Roman"/>
        <family val="1"/>
      </rPr>
      <t>- EM FERRO, COM TAMANHO MEDIO, COM CABO DE MADEIRA</t>
    </r>
  </si>
  <si>
    <r>
      <rPr>
        <b/>
        <sz val="7.5"/>
        <color theme="1"/>
        <rFont val="Times New Roman"/>
        <family val="1"/>
      </rPr>
      <t>RODO PARA PISO</t>
    </r>
    <r>
      <rPr>
        <sz val="7.5"/>
        <color theme="1"/>
        <rFont val="Times New Roman"/>
        <family val="1"/>
      </rPr>
      <t>, COM 02 BORRACHAS REFORÇADAS, SUPORTE E CABO EM ALUMÍNIO,</t>
    </r>
    <r>
      <rPr>
        <b/>
        <sz val="7.5"/>
        <color theme="1"/>
        <rFont val="Times New Roman"/>
        <family val="1"/>
      </rPr>
      <t xml:space="preserve"> MEDINDO 60 CM</t>
    </r>
    <r>
      <rPr>
        <sz val="7.5"/>
        <color theme="1"/>
        <rFont val="Times New Roman"/>
        <family val="1"/>
      </rPr>
      <t>, O PRODUTO DEVERÁ CONTER DADOS DE IDENTIFICAÇÃO DO PRODUTO E MARCA DO FABRICANTE.</t>
    </r>
  </si>
  <si>
    <r>
      <t xml:space="preserve">RODO PARA PISO, </t>
    </r>
    <r>
      <rPr>
        <sz val="7.5"/>
        <color theme="1"/>
        <rFont val="Times New Roman"/>
        <family val="1"/>
      </rPr>
      <t>COM 02 BORRACHAS REFORÇADAS, SUPORTE EM PLÁSTICO RESISTENTE E CABO EM MADEIRA PLASTIFICADA</t>
    </r>
    <r>
      <rPr>
        <b/>
        <sz val="7.5"/>
        <color theme="1"/>
        <rFont val="Times New Roman"/>
        <family val="1"/>
      </rPr>
      <t xml:space="preserve">, MEDINDO 40 CM, </t>
    </r>
    <r>
      <rPr>
        <sz val="7.5"/>
        <color theme="1"/>
        <rFont val="Times New Roman"/>
        <family val="1"/>
      </rPr>
      <t>O PRODUTO DEVERÁ CONTER DADOS DE IDENTIFICAÇÃO DO PRODUTO E MARCA DO FABRICANTE</t>
    </r>
  </si>
  <si>
    <r>
      <rPr>
        <b/>
        <sz val="7.5"/>
        <color theme="1"/>
        <rFont val="Times New Roman"/>
        <family val="1"/>
      </rPr>
      <t>VASSOURA CERDAS EM NYLON</t>
    </r>
    <r>
      <rPr>
        <sz val="7.5"/>
        <color theme="1"/>
        <rFont val="Times New Roman"/>
        <family val="1"/>
      </rPr>
      <t xml:space="preserve">, BASE EM PLÁSTICO </t>
    </r>
    <r>
      <rPr>
        <b/>
        <sz val="7.5"/>
        <color theme="1"/>
        <rFont val="Times New Roman"/>
        <family val="1"/>
      </rPr>
      <t>MEDINDO 30 CM</t>
    </r>
    <r>
      <rPr>
        <sz val="7.5"/>
        <color theme="1"/>
        <rFont val="Times New Roman"/>
        <family val="1"/>
      </rPr>
      <t>, CABO EM MADEIRA PLASTIFICADO DE 120 CM, COM PONTEIRA PLÁSTICA ROSQUEÁVEL. O PRODUTO DEVERÁ CONTER DADOS DE IDENTIFICAÇÃO DO PRODUTO E MARCA DO FABRICANTE.</t>
    </r>
  </si>
  <si>
    <r>
      <rPr>
        <b/>
        <sz val="7.5"/>
        <color theme="1"/>
        <rFont val="Times New Roman"/>
        <family val="1"/>
      </rPr>
      <t>VASSOURA COM CERDAS, TIPO VASCULHADOR DE TETO,</t>
    </r>
    <r>
      <rPr>
        <sz val="7.5"/>
        <color theme="1"/>
        <rFont val="Times New Roman"/>
        <family val="1"/>
      </rPr>
      <t xml:space="preserve"> CABO EM MADEIRA COM COMPRIMENTO DE 3,0000 M. O PRODUTO DEVERÁ CONTER DADOS DE IDENTIFICAÇÃO DO PRODUTO E MARCA DO FABRICANTE.</t>
    </r>
  </si>
  <si>
    <r>
      <rPr>
        <b/>
        <sz val="7.5"/>
        <color theme="1"/>
        <rFont val="Times New Roman"/>
        <family val="1"/>
      </rPr>
      <t>VASSOURA EM PÊLO SINTÉTICO</t>
    </r>
    <r>
      <rPr>
        <sz val="7.5"/>
        <color theme="1"/>
        <rFont val="Times New Roman"/>
        <family val="1"/>
      </rPr>
      <t>, BASE RETANGULAR EM MADEIRA PINTADA MEDINDO DE 38 A 40 CM, CABO EM MADEIRA PLASTIFICADO DE 120 A 140 CM COM PONTEIRA PLÁSTICA ROSQUEÁVEL. O PRODUTO DEVERÁ CONTER DADOS DE IDENTIFICAÇÃO DO PRODUTO E MARCA DO FABRICANTE.</t>
    </r>
  </si>
  <si>
    <r>
      <rPr>
        <b/>
        <sz val="7.5"/>
        <color theme="1"/>
        <rFont val="Times New Roman"/>
        <family val="1"/>
      </rPr>
      <t>VASSOURA PARA LIMPEZA DE VASO SANITÁRIO</t>
    </r>
    <r>
      <rPr>
        <sz val="7.5"/>
        <color theme="1"/>
        <rFont val="Times New Roman"/>
        <family val="1"/>
      </rPr>
      <t>, COM CERDAS DE NYLON, EXTREMIDADE ONDE CONTÉM AS CERDAS COM FORMATO AREDONDO, COM CABO EM PLÁSTICO RESISTENTE MEDINDO ENTRE 25 CM E 30 CM, SUPORTE PARA ACONDICIONAMENTO DA VASSOURA EM PLÁSTICO RESISTENTE. O PRODUTO DEVERÁ CONTER DADOS DE IDENTIFICAÇÃO DO PRODUTO E MARCA DO FABRICANTE.</t>
    </r>
  </si>
  <si>
    <r>
      <rPr>
        <b/>
        <sz val="7.5"/>
        <color theme="1"/>
        <rFont val="Times New Roman"/>
        <family val="1"/>
      </rPr>
      <t>VASSOURA EM PIAÇAVA</t>
    </r>
    <r>
      <rPr>
        <sz val="7.5"/>
        <color theme="1"/>
        <rFont val="Times New Roman"/>
        <family val="1"/>
      </rPr>
      <t xml:space="preserve">, PARA LIMPEZA, BASE EM MADEIRA </t>
    </r>
    <r>
      <rPr>
        <b/>
        <sz val="7.5"/>
        <color theme="1"/>
        <rFont val="Times New Roman"/>
        <family val="1"/>
      </rPr>
      <t>MEDINDO 20 CM</t>
    </r>
    <r>
      <rPr>
        <sz val="7.5"/>
        <color theme="1"/>
        <rFont val="Times New Roman"/>
        <family val="1"/>
      </rPr>
      <t>, CABO EM MADEIRA PLASTIFICADO. O PRODUTO DEVERÁ CONTER DADOS DE IDENTIFICAÇÃO DO PRODUTO E MARCA DO FABRICANTE.</t>
    </r>
  </si>
  <si>
    <t>FUNCIONÁRIOS</t>
  </si>
  <si>
    <t>Qtd/ ano/func.</t>
  </si>
  <si>
    <t>Meses</t>
  </si>
  <si>
    <t>15/2020</t>
  </si>
  <si>
    <r>
      <rPr>
        <b/>
        <sz val="11"/>
        <color theme="1"/>
        <rFont val="Calibri"/>
        <family val="2"/>
        <scheme val="minor"/>
      </rPr>
      <t>Avental de PVC</t>
    </r>
    <r>
      <rPr>
        <sz val="11"/>
        <color theme="1"/>
        <rFont val="Calibri"/>
        <family val="2"/>
        <scheme val="minor"/>
      </rPr>
      <t>, branco. O produto deve conter o número (C.A) Certificado de Aprovação emitido pelo  Ministério do Trabalho</t>
    </r>
  </si>
  <si>
    <t>19/2020</t>
  </si>
  <si>
    <r>
      <rPr>
        <b/>
        <sz val="11"/>
        <color theme="1"/>
        <rFont val="Calibri"/>
        <family val="2"/>
        <scheme val="minor"/>
      </rPr>
      <t xml:space="preserve">Bota EPI </t>
    </r>
    <r>
      <rPr>
        <sz val="11"/>
        <color theme="1"/>
        <rFont val="Calibri"/>
        <family val="2"/>
        <scheme val="minor"/>
      </rPr>
      <t>- de borracha, forrada, na cor branca, tamanho diversos, cano longo. O produto deve conter o número (C.A) Certificado de Aprovação emitido pelo Ministério do Trabalho, normas técnicas (NBR ISSO 20346:2008</t>
    </r>
  </si>
  <si>
    <t>17/2020</t>
  </si>
  <si>
    <r>
      <rPr>
        <b/>
        <sz val="11"/>
        <color theme="1"/>
        <rFont val="Calibri"/>
        <family val="2"/>
        <scheme val="minor"/>
      </rPr>
      <t>Capa de chuva</t>
    </r>
    <r>
      <rPr>
        <sz val="11"/>
        <color theme="1"/>
        <rFont val="Calibri"/>
        <family val="2"/>
        <scheme val="minor"/>
      </rPr>
      <t xml:space="preserve"> - em PVC, com capuz, na cor amarela, tamanho m, fechamento em botão. O produto deve conter o número (C.A) Certificado de Aprovação emitido pelo Ministério do Trabalho normas técnicas (EN 343:2003 + A1: 2007)</t>
    </r>
  </si>
  <si>
    <r>
      <rPr>
        <b/>
        <sz val="11"/>
        <color theme="1"/>
        <rFont val="Calibri"/>
        <family val="2"/>
        <scheme val="minor"/>
      </rPr>
      <t xml:space="preserve">Máscara de proteção descartável </t>
    </r>
    <r>
      <rPr>
        <sz val="11"/>
        <color theme="1"/>
        <rFont val="Calibri"/>
        <family val="2"/>
        <scheme val="minor"/>
      </rPr>
      <t>- parte externa composta por um não tecido, concha interna de não tecido moldado, com meio filtrante composto por uma camada de microfibras tratadas eletrostaticamente e, outra carregada com uma camada de carvão ativado de origem vegetal tratado eletrostaticamente, com válvula indicado p/ proteção de vias respiratórias. Em ambiente hospitalar contra presença de aerodispersoide e bacilo da tuberculose, adaptado com duas bandas de elástico, uma tira de espuma e um grampo de ajuste nasal, necessário para manter o respirador firme e ajustado à face do usuário, aplicando contra poeira toxica como fibra de vidro, pó de carvão, chumbo, ferro, sílica, alumínio e poeira toxica: fibra têxtil, cimento, minério de ferro, minério de carvão, talco, poeira de grão, poeira de lixamento e esmerilhamento e outras poeiras até 10 vezes o seu limite de tolerância, deve ser utilizado c/ aprovação da área de segurança, higiene, medico trabalho, CCIH ou responsável pela empresa, uso individual indicado para quimioterapia, n95, pff2, apresentação conforme decreto lei 79094/77 embalagem apropriada, rotulagem respeitando o decreto lei 79094/77 rotulo com nr. Do lote e data de validade</t>
    </r>
  </si>
  <si>
    <r>
      <rPr>
        <b/>
        <sz val="11"/>
        <color theme="1"/>
        <rFont val="Calibri"/>
        <family val="2"/>
        <scheme val="minor"/>
      </rPr>
      <t>Luva de proteção</t>
    </r>
    <r>
      <rPr>
        <sz val="11"/>
        <color theme="1"/>
        <rFont val="Calibri"/>
        <family val="2"/>
        <scheme val="minor"/>
      </rPr>
      <t xml:space="preserve"> - confeccionada em borracha nitrílica, com palma da Mao antideslizante, tamanho m, cano longo, contra agentes mecânicos e químicos. O produto deve conter o número (C.A) Certificado de Aprovação emitido pelo  Ministério do Trabalho, Normas técnica (EN 420/2003 e EN 388/2003)</t>
    </r>
  </si>
  <si>
    <t>TOTAL POR COLABORADOR</t>
  </si>
  <si>
    <t xml:space="preserve">TOTAL </t>
  </si>
  <si>
    <t>TOTAL MÃO DE OBRA + EPI, INSUMOS, PRODUTOS E UTENSILIOS DE LIMP/ MÊS</t>
  </si>
  <si>
    <t>Radar (PM de CAMPINAPOLIS) PP 20/2019</t>
  </si>
  <si>
    <t>Radar (MEDIANA VALOR UNITARIO DO MATERIAL)</t>
  </si>
  <si>
    <t>111388</t>
  </si>
  <si>
    <t>89/2019</t>
  </si>
  <si>
    <t>Radar (PM Brasnorte) PP 17/2019</t>
  </si>
  <si>
    <t>Radar (PM Campo novo dos Parecis) PP 10/2019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</si>
</sst>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R$&quot;\ * #,##0.00_-;\-&quot;R$&quot;\ * #,##0.00_-;_-&quot;R$&quot;\ * &quot;-&quot;??_-;_-@_-"/>
    <numFmt numFmtId="43" formatCode="_-* #,##0.00_-;\-* #,##0.00_-;_-* &quot;-&quot;??_-;_-@_-"/>
    <numFmt numFmtId="164" formatCode="#,##0_ ;\-#,##0\ "/>
    <numFmt numFmtId="165" formatCode="#,##0.0000_ ;\-#,##0.0000\ "/>
    <numFmt numFmtId="166" formatCode="0.0000"/>
    <numFmt numFmtId="167" formatCode="_-* #,##0_-;\-* #,##0_-;_-* &quot;-&quot;??_-;_-@_-"/>
    <numFmt numFmtId="168" formatCode="&quot;R$&quot;\ #,##0.00"/>
  </numFmts>
  <fonts count="2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sz val="12"/>
      <name val="Arial"/>
      <family val="2"/>
    </font>
    <font>
      <sz val="12"/>
      <name val="Arial"/>
      <family val="2"/>
    </font>
    <font>
      <sz val="12"/>
      <color rgb="FFFF0000"/>
      <name val="Arial"/>
      <family val="2"/>
    </font>
    <font>
      <b/>
      <sz val="11"/>
      <color theme="1"/>
      <name val="Arial"/>
      <family val="2"/>
    </font>
    <font>
      <sz val="11"/>
      <color theme="1"/>
      <name val="Arial"/>
      <family val="2"/>
    </font>
    <font>
      <b/>
      <sz val="12"/>
      <color theme="1"/>
      <name val="Arial"/>
      <family val="2"/>
    </font>
    <font>
      <sz val="12"/>
      <color theme="1"/>
      <name val="Arial"/>
      <family val="2"/>
    </font>
    <font>
      <b/>
      <sz val="11"/>
      <name val="Arial"/>
      <family val="2"/>
    </font>
    <font>
      <sz val="11"/>
      <name val="Arial"/>
      <family val="2"/>
    </font>
    <font>
      <sz val="11"/>
      <color rgb="FFFF0000"/>
      <name val="Arial"/>
      <family val="2"/>
    </font>
    <font>
      <sz val="11"/>
      <name val="Calibri"/>
      <family val="2"/>
      <scheme val="minor"/>
    </font>
    <font>
      <b/>
      <sz val="12"/>
      <color theme="1"/>
      <name val="Calibri"/>
      <family val="2"/>
      <scheme val="minor"/>
    </font>
    <font>
      <sz val="9"/>
      <color indexed="81"/>
      <name val="Segoe UI"/>
      <family val="2"/>
    </font>
    <font>
      <b/>
      <sz val="9"/>
      <color indexed="81"/>
      <name val="Segoe UI"/>
      <family val="2"/>
    </font>
    <font>
      <sz val="7.5"/>
      <color theme="1"/>
      <name val="Times New Roman"/>
      <family val="1"/>
    </font>
    <font>
      <b/>
      <sz val="14"/>
      <color theme="1"/>
      <name val="Times New Roman"/>
      <family val="1"/>
    </font>
    <font>
      <b/>
      <sz val="7.5"/>
      <color theme="1"/>
      <name val="Times New Roman"/>
      <family val="1"/>
    </font>
    <font>
      <b/>
      <sz val="7.5"/>
      <name val="Times New Roman"/>
      <family val="1"/>
    </font>
    <font>
      <sz val="7.5"/>
      <name val="Times New Roman"/>
      <family val="1"/>
    </font>
    <font>
      <sz val="7.5"/>
      <color rgb="FF000000"/>
      <name val="Times New Roman"/>
      <family val="1"/>
    </font>
    <font>
      <b/>
      <sz val="7.5"/>
      <color rgb="FF000000"/>
      <name val="Times New Roman"/>
      <family val="1"/>
    </font>
    <font>
      <sz val="8"/>
      <color theme="1"/>
      <name val="Times New Roman"/>
      <family val="1"/>
    </font>
    <font>
      <b/>
      <sz val="1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4" tint="0.59999389629810485"/>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10">
    <xf numFmtId="0" fontId="0" fillId="0" borderId="0" xfId="0"/>
    <xf numFmtId="44" fontId="0" fillId="0" borderId="0" xfId="0" applyNumberFormat="1"/>
    <xf numFmtId="0" fontId="0" fillId="0" borderId="3" xfId="0" applyBorder="1" applyAlignment="1">
      <alignment horizontal="center" vertical="center" wrapText="1"/>
    </xf>
    <xf numFmtId="9" fontId="0" fillId="0" borderId="3" xfId="3"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wrapText="1"/>
    </xf>
    <xf numFmtId="44" fontId="0" fillId="0" borderId="5" xfId="2" applyNumberFormat="1" applyFont="1" applyBorder="1" applyAlignment="1">
      <alignment horizontal="center" vertical="center" wrapText="1"/>
    </xf>
    <xf numFmtId="0" fontId="0" fillId="0" borderId="0" xfId="0" applyAlignment="1">
      <alignment horizontal="center" vertical="center"/>
    </xf>
    <xf numFmtId="44" fontId="0" fillId="0" borderId="3" xfId="2" applyFont="1" applyBorder="1" applyAlignment="1">
      <alignment horizontal="center" vertical="center"/>
    </xf>
    <xf numFmtId="44" fontId="0" fillId="0" borderId="1" xfId="2" applyFont="1" applyBorder="1" applyAlignment="1">
      <alignment horizontal="center" vertical="center"/>
    </xf>
    <xf numFmtId="44" fontId="0" fillId="0" borderId="12" xfId="2" applyFont="1" applyBorder="1" applyAlignment="1">
      <alignment horizontal="center" vertical="center"/>
    </xf>
    <xf numFmtId="44" fontId="0" fillId="0" borderId="17" xfId="2" applyFont="1" applyBorder="1" applyAlignment="1">
      <alignment horizontal="center" vertical="center"/>
    </xf>
    <xf numFmtId="44" fontId="0" fillId="0" borderId="0" xfId="2" applyFont="1" applyBorder="1" applyAlignment="1">
      <alignment horizontal="center" vertical="center"/>
    </xf>
    <xf numFmtId="44" fontId="0" fillId="0" borderId="19" xfId="2" applyFont="1" applyBorder="1" applyAlignment="1">
      <alignment horizontal="center" vertical="center"/>
    </xf>
    <xf numFmtId="0" fontId="0" fillId="0" borderId="6" xfId="0" applyBorder="1" applyAlignment="1">
      <alignment horizontal="justify" vertical="justify" wrapText="1"/>
    </xf>
    <xf numFmtId="9" fontId="0" fillId="0" borderId="21" xfId="3" applyFont="1" applyBorder="1" applyAlignment="1">
      <alignment horizontal="center" vertical="center"/>
    </xf>
    <xf numFmtId="9" fontId="0" fillId="0" borderId="18" xfId="3" applyFont="1" applyBorder="1" applyAlignment="1">
      <alignment horizontal="center" vertical="center"/>
    </xf>
    <xf numFmtId="0" fontId="4" fillId="0" borderId="2" xfId="0" applyFont="1" applyBorder="1" applyAlignment="1">
      <alignment horizontal="center" vertical="center"/>
    </xf>
    <xf numFmtId="0" fontId="0" fillId="0" borderId="4" xfId="0" applyBorder="1" applyAlignment="1">
      <alignment horizontal="center" vertical="center" wrapText="1"/>
    </xf>
    <xf numFmtId="0" fontId="0" fillId="0" borderId="2" xfId="0" applyFill="1" applyBorder="1" applyAlignment="1">
      <alignment horizontal="center" vertical="center" wrapText="1"/>
    </xf>
    <xf numFmtId="44" fontId="0" fillId="0" borderId="19" xfId="2" applyFont="1" applyBorder="1" applyAlignment="1">
      <alignment horizontal="center" vertical="center" wrapText="1"/>
    </xf>
    <xf numFmtId="44" fontId="0" fillId="0" borderId="17" xfId="2" applyFont="1" applyBorder="1" applyAlignment="1">
      <alignment horizontal="center" vertical="center" wrapText="1"/>
    </xf>
    <xf numFmtId="44" fontId="0" fillId="0" borderId="1" xfId="2" applyFont="1"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44" fontId="0" fillId="0" borderId="12" xfId="2" applyFont="1" applyBorder="1" applyAlignment="1">
      <alignment horizontal="center" vertical="center" wrapText="1"/>
    </xf>
    <xf numFmtId="44" fontId="0" fillId="0" borderId="18" xfId="2" applyFont="1" applyBorder="1" applyAlignment="1">
      <alignment horizontal="center" vertical="center" wrapText="1"/>
    </xf>
    <xf numFmtId="0" fontId="0" fillId="0" borderId="13" xfId="0" applyBorder="1" applyAlignment="1">
      <alignment horizontal="center" vertical="center" wrapText="1"/>
    </xf>
    <xf numFmtId="44" fontId="0" fillId="0" borderId="25" xfId="2" applyFont="1" applyBorder="1" applyAlignment="1">
      <alignment horizontal="center" vertical="center" wrapText="1"/>
    </xf>
    <xf numFmtId="0" fontId="0" fillId="0" borderId="2" xfId="0" applyBorder="1" applyAlignment="1">
      <alignment horizontal="center" vertical="center" wrapText="1"/>
    </xf>
    <xf numFmtId="10" fontId="0" fillId="0" borderId="17" xfId="3" applyNumberFormat="1" applyFont="1" applyBorder="1" applyAlignment="1">
      <alignment horizontal="center" vertical="center" wrapText="1"/>
    </xf>
    <xf numFmtId="10" fontId="0" fillId="0" borderId="18" xfId="3" applyNumberFormat="1" applyFont="1" applyBorder="1" applyAlignment="1">
      <alignment horizontal="center" vertical="center" wrapText="1"/>
    </xf>
    <xf numFmtId="9" fontId="0" fillId="0" borderId="24" xfId="3" applyFont="1" applyBorder="1" applyAlignment="1">
      <alignment horizontal="center" vertical="center" wrapText="1"/>
    </xf>
    <xf numFmtId="44" fontId="0" fillId="0" borderId="26" xfId="2" applyNumberFormat="1" applyFont="1" applyBorder="1" applyAlignment="1">
      <alignment horizontal="center" vertical="center" wrapText="1"/>
    </xf>
    <xf numFmtId="9" fontId="0" fillId="0" borderId="2" xfId="3" applyFont="1" applyBorder="1" applyAlignment="1">
      <alignment horizontal="center" vertical="center" wrapText="1"/>
    </xf>
    <xf numFmtId="44" fontId="0" fillId="0" borderId="24" xfId="2" applyNumberFormat="1" applyFont="1" applyBorder="1" applyAlignment="1">
      <alignment horizontal="center" vertical="center" wrapText="1"/>
    </xf>
    <xf numFmtId="44" fontId="0" fillId="0" borderId="2" xfId="2" applyNumberFormat="1" applyFont="1" applyBorder="1" applyAlignment="1">
      <alignment horizontal="center" vertical="center" wrapText="1"/>
    </xf>
    <xf numFmtId="0" fontId="0" fillId="0" borderId="24"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justify" vertical="justify" wrapText="1"/>
    </xf>
    <xf numFmtId="0" fontId="0" fillId="0" borderId="22" xfId="0"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justify" vertical="justify" wrapText="1"/>
    </xf>
    <xf numFmtId="44" fontId="0" fillId="0" borderId="0" xfId="2" applyFont="1" applyBorder="1" applyAlignment="1">
      <alignment horizontal="center" vertical="center" wrapText="1"/>
    </xf>
    <xf numFmtId="10" fontId="0" fillId="0" borderId="0" xfId="3" applyNumberFormat="1" applyFont="1" applyBorder="1" applyAlignment="1">
      <alignment horizontal="center" vertical="center" wrapText="1"/>
    </xf>
    <xf numFmtId="0" fontId="0" fillId="0" borderId="10" xfId="0" applyBorder="1" applyAlignment="1">
      <alignment horizontal="justify" vertical="justify" wrapText="1"/>
    </xf>
    <xf numFmtId="0" fontId="0" fillId="0" borderId="8" xfId="0" applyBorder="1" applyAlignment="1">
      <alignment horizontal="justify" vertical="justify" wrapText="1"/>
    </xf>
    <xf numFmtId="0" fontId="0" fillId="0" borderId="4" xfId="0" applyBorder="1" applyAlignment="1">
      <alignment horizontal="justify" vertical="justify" wrapText="1"/>
    </xf>
    <xf numFmtId="10" fontId="0" fillId="0" borderId="9" xfId="3" applyNumberFormat="1" applyFont="1" applyBorder="1" applyAlignment="1">
      <alignment horizontal="center" vertical="center" wrapText="1"/>
    </xf>
    <xf numFmtId="10" fontId="0" fillId="0" borderId="28" xfId="3" applyNumberFormat="1" applyFont="1" applyBorder="1" applyAlignment="1">
      <alignment horizontal="center" vertical="center" wrapText="1"/>
    </xf>
    <xf numFmtId="10" fontId="0" fillId="0" borderId="6" xfId="2" applyNumberFormat="1" applyFont="1" applyBorder="1" applyAlignment="1">
      <alignment horizontal="center" vertical="center" wrapText="1"/>
    </xf>
    <xf numFmtId="0" fontId="2" fillId="0" borderId="30" xfId="0" applyFont="1" applyBorder="1" applyAlignment="1">
      <alignment horizontal="justify" vertical="justify" wrapText="1"/>
    </xf>
    <xf numFmtId="10" fontId="2" fillId="0" borderId="31" xfId="3" applyNumberFormat="1" applyFont="1" applyBorder="1" applyAlignment="1">
      <alignment horizontal="center" vertical="center" wrapText="1"/>
    </xf>
    <xf numFmtId="0" fontId="0" fillId="0" borderId="0" xfId="0" applyBorder="1" applyAlignment="1">
      <alignment vertical="center"/>
    </xf>
    <xf numFmtId="0" fontId="0" fillId="0" borderId="0" xfId="0" applyFill="1" applyBorder="1" applyAlignment="1">
      <alignment horizontal="center" vertical="center" wrapText="1"/>
    </xf>
    <xf numFmtId="44" fontId="0" fillId="0" borderId="36" xfId="2" applyFont="1" applyBorder="1" applyAlignment="1">
      <alignment horizontal="center" vertical="center" wrapText="1"/>
    </xf>
    <xf numFmtId="44" fontId="0" fillId="0" borderId="7" xfId="2" applyFont="1" applyBorder="1"/>
    <xf numFmtId="9" fontId="0" fillId="0" borderId="37" xfId="3" applyFont="1" applyBorder="1"/>
    <xf numFmtId="44" fontId="0" fillId="0" borderId="25" xfId="2" applyFont="1" applyBorder="1" applyAlignment="1">
      <alignment horizontal="center" vertical="center"/>
    </xf>
    <xf numFmtId="44" fontId="0" fillId="0" borderId="36" xfId="2" applyFont="1" applyBorder="1" applyAlignment="1">
      <alignment horizontal="center" vertical="center"/>
    </xf>
    <xf numFmtId="44" fontId="0" fillId="0" borderId="38" xfId="2" applyFont="1" applyBorder="1" applyAlignment="1">
      <alignment horizontal="center" vertical="center"/>
    </xf>
    <xf numFmtId="0" fontId="0" fillId="0" borderId="0" xfId="0" applyAlignment="1">
      <alignment wrapText="1"/>
    </xf>
    <xf numFmtId="44" fontId="0" fillId="0" borderId="28" xfId="0" applyNumberFormat="1" applyBorder="1" applyAlignment="1">
      <alignment horizontal="center" vertical="center"/>
    </xf>
    <xf numFmtId="0" fontId="0" fillId="0" borderId="3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2" xfId="0" applyBorder="1" applyAlignment="1">
      <alignment horizontal="justify" vertical="justify" wrapText="1"/>
    </xf>
    <xf numFmtId="0" fontId="0" fillId="0" borderId="17" xfId="0" applyBorder="1" applyAlignment="1">
      <alignment horizontal="justify" vertical="justify" wrapText="1"/>
    </xf>
    <xf numFmtId="0" fontId="0" fillId="0" borderId="40" xfId="0" applyBorder="1" applyAlignment="1">
      <alignment horizontal="justify" vertical="justify" wrapText="1"/>
    </xf>
    <xf numFmtId="0" fontId="0" fillId="0" borderId="41" xfId="0" applyBorder="1" applyAlignment="1">
      <alignment horizontal="justify" vertical="justify" wrapText="1"/>
    </xf>
    <xf numFmtId="0" fontId="0" fillId="2" borderId="10" xfId="0" applyFill="1" applyBorder="1" applyAlignment="1">
      <alignment horizontal="justify" vertical="justify" wrapText="1"/>
    </xf>
    <xf numFmtId="0" fontId="0" fillId="0" borderId="13" xfId="0" applyBorder="1" applyAlignment="1">
      <alignment horizontal="justify" vertical="justify" wrapText="1"/>
    </xf>
    <xf numFmtId="10" fontId="0" fillId="0" borderId="1" xfId="3" applyNumberFormat="1" applyFont="1" applyBorder="1" applyAlignment="1">
      <alignment horizontal="center" vertical="center" wrapText="1"/>
    </xf>
    <xf numFmtId="44" fontId="0" fillId="0" borderId="10" xfId="2" applyFont="1" applyBorder="1" applyAlignment="1">
      <alignment horizontal="center" vertical="center" wrapText="1"/>
    </xf>
    <xf numFmtId="44" fontId="0" fillId="0" borderId="11" xfId="2" applyFont="1" applyBorder="1" applyAlignment="1">
      <alignment horizontal="center" vertical="center" wrapText="1"/>
    </xf>
    <xf numFmtId="10" fontId="0" fillId="0" borderId="12" xfId="3" applyNumberFormat="1" applyFont="1" applyBorder="1" applyAlignment="1">
      <alignment horizontal="center" vertical="center" wrapText="1"/>
    </xf>
    <xf numFmtId="9" fontId="0" fillId="0" borderId="14" xfId="3" applyFont="1" applyBorder="1" applyAlignment="1">
      <alignment horizontal="center" vertical="center" wrapText="1"/>
    </xf>
    <xf numFmtId="1" fontId="0" fillId="0" borderId="15" xfId="1" applyNumberFormat="1" applyFont="1" applyBorder="1" applyAlignment="1">
      <alignment horizontal="center" vertical="center" wrapText="1"/>
    </xf>
    <xf numFmtId="1" fontId="0" fillId="0" borderId="16" xfId="1" applyNumberFormat="1" applyFont="1" applyBorder="1" applyAlignment="1">
      <alignment horizontal="center" vertical="center" wrapText="1"/>
    </xf>
    <xf numFmtId="9" fontId="0" fillId="0" borderId="42" xfId="3" applyFont="1" applyBorder="1" applyAlignment="1">
      <alignment horizontal="center" vertical="center" wrapText="1"/>
    </xf>
    <xf numFmtId="44" fontId="0" fillId="0" borderId="40" xfId="2" applyFont="1" applyBorder="1" applyAlignment="1">
      <alignment horizontal="center" vertical="center" wrapText="1"/>
    </xf>
    <xf numFmtId="44" fontId="0" fillId="0" borderId="41" xfId="2" applyFont="1" applyBorder="1" applyAlignment="1">
      <alignment horizontal="center" vertical="center" wrapText="1"/>
    </xf>
    <xf numFmtId="9" fontId="0" fillId="0" borderId="39" xfId="3" applyFont="1" applyBorder="1" applyAlignment="1">
      <alignment horizontal="center" vertical="center" wrapText="1"/>
    </xf>
    <xf numFmtId="0" fontId="0" fillId="0" borderId="42" xfId="0" applyBorder="1" applyAlignment="1">
      <alignment horizontal="center" vertical="center" wrapText="1"/>
    </xf>
    <xf numFmtId="44" fontId="0" fillId="0" borderId="34" xfId="2" applyFont="1" applyBorder="1" applyAlignment="1">
      <alignment horizontal="center" vertical="center"/>
    </xf>
    <xf numFmtId="0" fontId="0" fillId="0" borderId="14" xfId="0" applyBorder="1" applyAlignment="1">
      <alignment horizontal="center" vertical="center" wrapText="1"/>
    </xf>
    <xf numFmtId="9" fontId="0" fillId="0" borderId="25" xfId="3" applyFont="1" applyBorder="1" applyAlignment="1">
      <alignment horizontal="center" vertical="center" wrapText="1"/>
    </xf>
    <xf numFmtId="44" fontId="0" fillId="0" borderId="40" xfId="0" applyNumberFormat="1" applyBorder="1" applyAlignment="1">
      <alignment horizontal="center" vertical="center"/>
    </xf>
    <xf numFmtId="0" fontId="0" fillId="4" borderId="10" xfId="0" applyFill="1" applyBorder="1" applyAlignment="1">
      <alignment horizontal="justify" vertical="justify" wrapText="1"/>
    </xf>
    <xf numFmtId="10" fontId="0" fillId="4" borderId="28" xfId="3" applyNumberFormat="1" applyFont="1" applyFill="1" applyBorder="1" applyAlignment="1">
      <alignment horizontal="center" vertical="center" wrapText="1"/>
    </xf>
    <xf numFmtId="0" fontId="0" fillId="5" borderId="4" xfId="0" applyFill="1" applyBorder="1" applyAlignment="1">
      <alignment horizontal="center" vertical="center" wrapText="1"/>
    </xf>
    <xf numFmtId="44" fontId="0" fillId="5" borderId="6" xfId="2" applyFont="1" applyFill="1" applyBorder="1" applyAlignment="1">
      <alignment horizontal="center" vertical="center" wrapText="1"/>
    </xf>
    <xf numFmtId="9" fontId="0" fillId="0" borderId="1" xfId="3" applyFont="1" applyBorder="1" applyAlignment="1">
      <alignment horizontal="center" vertical="center" wrapText="1"/>
    </xf>
    <xf numFmtId="44" fontId="0" fillId="0" borderId="6" xfId="2" applyNumberFormat="1" applyFont="1" applyBorder="1" applyAlignment="1">
      <alignment horizontal="center" vertical="center" wrapText="1"/>
    </xf>
    <xf numFmtId="0" fontId="0" fillId="0" borderId="1" xfId="3" applyNumberFormat="1" applyFont="1" applyBorder="1" applyAlignment="1">
      <alignment horizontal="center" vertical="center" wrapText="1"/>
    </xf>
    <xf numFmtId="44" fontId="0" fillId="0" borderId="28" xfId="2" applyFont="1" applyBorder="1" applyAlignment="1">
      <alignment horizontal="center" vertical="center" wrapText="1"/>
    </xf>
    <xf numFmtId="0" fontId="0" fillId="0" borderId="12" xfId="3" applyNumberFormat="1" applyFont="1" applyBorder="1" applyAlignment="1">
      <alignment horizontal="center" vertical="center" wrapText="1"/>
    </xf>
    <xf numFmtId="9" fontId="0" fillId="0" borderId="12" xfId="3" applyFont="1" applyBorder="1" applyAlignment="1">
      <alignment horizontal="center" vertical="center" wrapText="1"/>
    </xf>
    <xf numFmtId="44" fontId="0" fillId="0" borderId="29" xfId="2" applyFont="1" applyBorder="1" applyAlignment="1">
      <alignment horizontal="center" vertical="center" wrapText="1"/>
    </xf>
    <xf numFmtId="44" fontId="0" fillId="0" borderId="8" xfId="2" applyFont="1" applyBorder="1" applyAlignment="1">
      <alignment horizontal="center" vertical="center" wrapText="1"/>
    </xf>
    <xf numFmtId="0" fontId="0" fillId="0" borderId="3" xfId="3" applyNumberFormat="1" applyFont="1" applyBorder="1" applyAlignment="1">
      <alignment horizontal="center" vertical="center" wrapText="1"/>
    </xf>
    <xf numFmtId="9" fontId="0" fillId="0" borderId="6" xfId="3" applyFont="1" applyBorder="1" applyAlignment="1">
      <alignment horizontal="center" vertical="center" wrapText="1"/>
    </xf>
    <xf numFmtId="10" fontId="0" fillId="0" borderId="3" xfId="3" applyNumberFormat="1" applyFont="1" applyBorder="1" applyAlignment="1">
      <alignment horizontal="center" vertical="center" wrapText="1"/>
    </xf>
    <xf numFmtId="44" fontId="0" fillId="0" borderId="9" xfId="2" applyFont="1" applyBorder="1" applyAlignment="1">
      <alignment horizontal="center" vertical="center" wrapText="1"/>
    </xf>
    <xf numFmtId="44" fontId="0" fillId="0" borderId="5" xfId="2" applyNumberFormat="1" applyFont="1" applyBorder="1" applyAlignment="1">
      <alignment vertical="center" wrapText="1"/>
    </xf>
    <xf numFmtId="0" fontId="0" fillId="0" borderId="6" xfId="2" applyNumberFormat="1" applyFont="1" applyBorder="1" applyAlignment="1">
      <alignment horizontal="center" vertical="center" wrapText="1"/>
    </xf>
    <xf numFmtId="0" fontId="0" fillId="0" borderId="26" xfId="2" applyNumberFormat="1" applyFont="1" applyBorder="1" applyAlignment="1">
      <alignment horizontal="center" vertical="center" wrapText="1"/>
    </xf>
    <xf numFmtId="44" fontId="0" fillId="0" borderId="19" xfId="3" applyNumberFormat="1" applyFont="1" applyBorder="1" applyAlignment="1">
      <alignment vertical="center" wrapText="1"/>
    </xf>
    <xf numFmtId="44" fontId="0" fillId="0" borderId="49" xfId="3" applyNumberFormat="1" applyFont="1" applyBorder="1" applyAlignment="1">
      <alignment vertical="center" wrapText="1"/>
    </xf>
    <xf numFmtId="44" fontId="0" fillId="0" borderId="50" xfId="3" applyNumberFormat="1" applyFont="1" applyBorder="1" applyAlignment="1">
      <alignment vertical="center" wrapText="1"/>
    </xf>
    <xf numFmtId="44" fontId="0" fillId="0" borderId="8" xfId="3" applyNumberFormat="1" applyFont="1" applyBorder="1" applyAlignment="1">
      <alignment horizontal="center" vertical="center" wrapText="1"/>
    </xf>
    <xf numFmtId="44" fontId="0" fillId="0" borderId="9" xfId="3" applyNumberFormat="1" applyFont="1" applyBorder="1" applyAlignment="1">
      <alignment vertical="center" wrapText="1"/>
    </xf>
    <xf numFmtId="44" fontId="0" fillId="0" borderId="10" xfId="3" applyNumberFormat="1" applyFont="1" applyBorder="1" applyAlignment="1">
      <alignment horizontal="center" vertical="center" wrapText="1"/>
    </xf>
    <xf numFmtId="44" fontId="0" fillId="0" borderId="28" xfId="3" applyNumberFormat="1" applyFont="1" applyBorder="1" applyAlignment="1">
      <alignment vertical="center" wrapText="1"/>
    </xf>
    <xf numFmtId="44" fontId="0" fillId="0" borderId="11" xfId="3" applyNumberFormat="1" applyFont="1" applyBorder="1" applyAlignment="1">
      <alignment horizontal="center" vertical="center" wrapText="1"/>
    </xf>
    <xf numFmtId="44" fontId="0" fillId="0" borderId="29" xfId="3" applyNumberFormat="1" applyFont="1" applyBorder="1" applyAlignment="1">
      <alignment vertical="center" wrapText="1"/>
    </xf>
    <xf numFmtId="0" fontId="3" fillId="0" borderId="0" xfId="0" applyFont="1" applyBorder="1" applyAlignment="1">
      <alignment vertical="center"/>
    </xf>
    <xf numFmtId="0" fontId="0" fillId="0" borderId="0" xfId="2" applyNumberFormat="1" applyFont="1" applyBorder="1" applyAlignment="1">
      <alignment horizontal="center" vertical="center" wrapText="1"/>
    </xf>
    <xf numFmtId="44" fontId="0" fillId="0" borderId="0" xfId="2" applyNumberFormat="1" applyFont="1" applyBorder="1" applyAlignment="1">
      <alignment vertical="center" wrapText="1"/>
    </xf>
    <xf numFmtId="44" fontId="0" fillId="0" borderId="0" xfId="3" applyNumberFormat="1" applyFont="1" applyBorder="1" applyAlignment="1">
      <alignment vertical="center" wrapText="1"/>
    </xf>
    <xf numFmtId="0" fontId="0" fillId="0" borderId="0" xfId="0" applyAlignment="1"/>
    <xf numFmtId="0" fontId="0" fillId="0" borderId="1" xfId="0" applyBorder="1"/>
    <xf numFmtId="165" fontId="0" fillId="0" borderId="1" xfId="1" applyNumberFormat="1" applyFont="1" applyBorder="1" applyAlignment="1">
      <alignment horizontal="center" vertical="center"/>
    </xf>
    <xf numFmtId="0" fontId="0" fillId="0" borderId="1" xfId="0" applyBorder="1" applyAlignment="1">
      <alignment horizontal="center" vertical="center"/>
    </xf>
    <xf numFmtId="165" fontId="0" fillId="0" borderId="3" xfId="1" applyNumberFormat="1" applyFont="1" applyBorder="1" applyAlignment="1">
      <alignment horizontal="center" vertical="center"/>
    </xf>
    <xf numFmtId="0" fontId="0" fillId="0" borderId="8" xfId="0" applyBorder="1"/>
    <xf numFmtId="166" fontId="0" fillId="0" borderId="9" xfId="0" applyNumberFormat="1" applyBorder="1" applyAlignment="1">
      <alignment horizontal="center" vertical="center"/>
    </xf>
    <xf numFmtId="0" fontId="0" fillId="0" borderId="10" xfId="0" applyBorder="1" applyAlignment="1"/>
    <xf numFmtId="166" fontId="0" fillId="0" borderId="28" xfId="0" applyNumberFormat="1" applyBorder="1" applyAlignment="1">
      <alignment horizontal="center" vertical="center"/>
    </xf>
    <xf numFmtId="0" fontId="0" fillId="0" borderId="10" xfId="0" applyBorder="1"/>
    <xf numFmtId="0" fontId="0" fillId="0" borderId="11" xfId="0" applyBorder="1"/>
    <xf numFmtId="165" fontId="0" fillId="0" borderId="12" xfId="1" applyNumberFormat="1"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10" fontId="0" fillId="0" borderId="19" xfId="3" applyNumberFormat="1" applyFont="1" applyBorder="1" applyAlignment="1">
      <alignment horizontal="center" vertical="center"/>
    </xf>
    <xf numFmtId="10" fontId="0" fillId="0" borderId="49" xfId="3" applyNumberFormat="1" applyFont="1" applyBorder="1" applyAlignment="1">
      <alignment horizontal="center" vertical="center"/>
    </xf>
    <xf numFmtId="9" fontId="0" fillId="0" borderId="8" xfId="3" applyFont="1" applyBorder="1" applyAlignment="1">
      <alignment horizontal="center" vertical="center"/>
    </xf>
    <xf numFmtId="9" fontId="0" fillId="0" borderId="10" xfId="3" applyFont="1" applyBorder="1" applyAlignment="1">
      <alignment horizontal="center" vertical="center"/>
    </xf>
    <xf numFmtId="9" fontId="0" fillId="0" borderId="30" xfId="3" applyFont="1" applyBorder="1" applyAlignment="1">
      <alignment horizontal="center" vertical="center"/>
    </xf>
    <xf numFmtId="166" fontId="0" fillId="0" borderId="57" xfId="0" applyNumberFormat="1" applyBorder="1" applyAlignment="1">
      <alignment horizontal="center" vertical="center"/>
    </xf>
    <xf numFmtId="10" fontId="0" fillId="0" borderId="58" xfId="3" applyNumberFormat="1" applyFont="1" applyBorder="1" applyAlignment="1">
      <alignment horizontal="center" vertical="center"/>
    </xf>
    <xf numFmtId="166" fontId="0" fillId="0" borderId="31" xfId="0" applyNumberFormat="1" applyBorder="1" applyAlignment="1">
      <alignment horizontal="center" vertical="center"/>
    </xf>
    <xf numFmtId="166" fontId="0" fillId="0" borderId="5" xfId="0" applyNumberFormat="1" applyBorder="1" applyAlignment="1">
      <alignment horizontal="center" vertical="center"/>
    </xf>
    <xf numFmtId="166" fontId="0" fillId="0" borderId="17" xfId="1" applyNumberFormat="1" applyFont="1" applyBorder="1" applyAlignment="1">
      <alignment horizontal="center" vertical="center" wrapText="1"/>
    </xf>
    <xf numFmtId="0" fontId="5" fillId="3" borderId="1" xfId="0" applyFont="1" applyFill="1" applyBorder="1" applyAlignment="1" applyProtection="1">
      <alignment horizontal="center" vertical="center" shrinkToFit="1"/>
    </xf>
    <xf numFmtId="0" fontId="5" fillId="3" borderId="1" xfId="0" applyFont="1" applyFill="1" applyBorder="1" applyAlignment="1" applyProtection="1">
      <alignment vertical="center" wrapText="1" shrinkToFit="1"/>
    </xf>
    <xf numFmtId="0" fontId="5" fillId="3" borderId="1" xfId="0" applyFont="1" applyFill="1" applyBorder="1" applyAlignment="1" applyProtection="1">
      <alignment horizontal="center" vertical="center" wrapText="1" shrinkToFit="1"/>
    </xf>
    <xf numFmtId="0" fontId="5" fillId="3" borderId="1" xfId="0" applyFont="1" applyFill="1" applyBorder="1" applyAlignment="1" applyProtection="1">
      <alignment vertical="center" shrinkToFit="1"/>
    </xf>
    <xf numFmtId="0" fontId="6" fillId="0" borderId="1" xfId="0" applyFont="1" applyFill="1" applyBorder="1" applyAlignment="1" applyProtection="1">
      <alignment vertical="center" wrapText="1" shrinkToFit="1"/>
    </xf>
    <xf numFmtId="44" fontId="6" fillId="0" borderId="1" xfId="2" applyFont="1" applyFill="1" applyBorder="1" applyAlignment="1" applyProtection="1">
      <alignment vertical="center" shrinkToFit="1"/>
    </xf>
    <xf numFmtId="44" fontId="6" fillId="0" borderId="1" xfId="2" applyFont="1" applyFill="1" applyBorder="1" applyAlignment="1" applyProtection="1">
      <alignment vertical="center" shrinkToFit="1"/>
      <protection locked="0"/>
    </xf>
    <xf numFmtId="2" fontId="6" fillId="3" borderId="1" xfId="0" applyNumberFormat="1" applyFont="1" applyFill="1" applyBorder="1" applyAlignment="1" applyProtection="1">
      <alignment vertical="center" shrinkToFit="1"/>
    </xf>
    <xf numFmtId="44" fontId="6" fillId="3" borderId="1" xfId="2" applyFont="1" applyFill="1" applyBorder="1" applyAlignment="1" applyProtection="1">
      <alignment vertical="center" shrinkToFit="1"/>
      <protection locked="0"/>
    </xf>
    <xf numFmtId="0" fontId="6" fillId="3" borderId="1" xfId="0" applyFont="1" applyFill="1" applyBorder="1" applyAlignment="1" applyProtection="1">
      <alignment vertical="center" shrinkToFit="1"/>
      <protection locked="0"/>
    </xf>
    <xf numFmtId="2" fontId="6" fillId="3" borderId="1" xfId="0" applyNumberFormat="1" applyFont="1" applyFill="1" applyBorder="1" applyAlignment="1" applyProtection="1">
      <alignment vertical="center" shrinkToFit="1"/>
      <protection locked="0"/>
    </xf>
    <xf numFmtId="44" fontId="5" fillId="3" borderId="59" xfId="0" applyNumberFormat="1" applyFont="1" applyFill="1" applyBorder="1" applyAlignment="1" applyProtection="1">
      <alignment vertical="center" shrinkToFit="1"/>
      <protection locked="0"/>
    </xf>
    <xf numFmtId="167" fontId="6" fillId="0" borderId="15" xfId="1" applyNumberFormat="1" applyFont="1" applyFill="1" applyBorder="1" applyAlignment="1" applyProtection="1">
      <alignment horizontal="center" vertical="center" shrinkToFit="1"/>
      <protection locked="0"/>
    </xf>
    <xf numFmtId="2" fontId="5" fillId="3" borderId="15" xfId="0" applyNumberFormat="1" applyFont="1" applyFill="1" applyBorder="1" applyAlignment="1" applyProtection="1">
      <alignment vertical="center" shrinkToFit="1"/>
    </xf>
    <xf numFmtId="0" fontId="5" fillId="3" borderId="15" xfId="0" applyFont="1" applyFill="1" applyBorder="1" applyAlignment="1" applyProtection="1">
      <alignment vertical="center" shrinkToFit="1"/>
      <protection locked="0"/>
    </xf>
    <xf numFmtId="0" fontId="8" fillId="3" borderId="1" xfId="0" applyFont="1" applyFill="1" applyBorder="1" applyAlignment="1">
      <alignment horizontal="center" vertical="center"/>
    </xf>
    <xf numFmtId="44" fontId="9" fillId="0" borderId="1" xfId="2" applyFont="1" applyBorder="1" applyAlignment="1">
      <alignment vertical="center"/>
    </xf>
    <xf numFmtId="0" fontId="9" fillId="0" borderId="1" xfId="0" applyFont="1" applyBorder="1" applyAlignment="1">
      <alignment vertical="center"/>
    </xf>
    <xf numFmtId="0" fontId="9" fillId="0" borderId="1" xfId="0" applyFont="1" applyBorder="1"/>
    <xf numFmtId="0" fontId="10" fillId="3" borderId="51" xfId="0" applyFont="1" applyFill="1" applyBorder="1" applyAlignment="1">
      <alignment vertical="center"/>
    </xf>
    <xf numFmtId="0" fontId="10" fillId="3" borderId="15" xfId="0" applyFont="1" applyFill="1" applyBorder="1" applyAlignment="1">
      <alignment horizontal="center"/>
    </xf>
    <xf numFmtId="0" fontId="10" fillId="3" borderId="1" xfId="0" applyFont="1" applyFill="1" applyBorder="1" applyAlignment="1">
      <alignment horizontal="center"/>
    </xf>
    <xf numFmtId="0" fontId="11" fillId="0" borderId="1" xfId="0" applyFont="1" applyBorder="1" applyAlignment="1">
      <alignment vertical="center"/>
    </xf>
    <xf numFmtId="44" fontId="11" fillId="0" borderId="1" xfId="2" applyFont="1" applyBorder="1" applyAlignment="1">
      <alignment vertical="center"/>
    </xf>
    <xf numFmtId="44" fontId="11" fillId="0" borderId="1" xfId="0" applyNumberFormat="1" applyFont="1" applyBorder="1" applyAlignment="1">
      <alignment vertical="center"/>
    </xf>
    <xf numFmtId="2" fontId="11" fillId="0" borderId="1" xfId="0" applyNumberFormat="1" applyFont="1" applyBorder="1" applyAlignment="1">
      <alignment vertical="center"/>
    </xf>
    <xf numFmtId="0" fontId="11" fillId="0" borderId="1" xfId="0" applyFont="1" applyBorder="1" applyAlignment="1">
      <alignment vertical="center" wrapText="1"/>
    </xf>
    <xf numFmtId="0" fontId="11" fillId="3" borderId="1" xfId="0" applyFont="1" applyFill="1" applyBorder="1"/>
    <xf numFmtId="44" fontId="11" fillId="3" borderId="1" xfId="0" applyNumberFormat="1" applyFont="1" applyFill="1" applyBorder="1"/>
    <xf numFmtId="0" fontId="12" fillId="3" borderId="15" xfId="0" applyFont="1" applyFill="1" applyBorder="1" applyAlignment="1" applyProtection="1">
      <alignment horizontal="center" vertical="center" wrapText="1" shrinkToFit="1"/>
    </xf>
    <xf numFmtId="0" fontId="12" fillId="3" borderId="15" xfId="0" applyFont="1" applyFill="1" applyBorder="1" applyAlignment="1" applyProtection="1">
      <alignment horizontal="center" vertical="center" shrinkToFit="1"/>
    </xf>
    <xf numFmtId="0" fontId="13" fillId="0" borderId="15" xfId="0" applyFont="1" applyFill="1" applyBorder="1" applyAlignment="1" applyProtection="1">
      <alignment vertical="center" wrapText="1" shrinkToFit="1"/>
    </xf>
    <xf numFmtId="0" fontId="13" fillId="0" borderId="15" xfId="0" applyFont="1" applyFill="1" applyBorder="1" applyAlignment="1" applyProtection="1">
      <alignment horizontal="center" vertical="center" shrinkToFit="1"/>
    </xf>
    <xf numFmtId="44" fontId="13" fillId="0" borderId="15" xfId="2" applyFont="1" applyFill="1" applyBorder="1" applyAlignment="1" applyProtection="1">
      <alignment vertical="center" shrinkToFit="1"/>
    </xf>
    <xf numFmtId="167" fontId="13" fillId="0" borderId="15" xfId="1" applyNumberFormat="1" applyFont="1" applyFill="1" applyBorder="1" applyAlignment="1" applyProtection="1">
      <alignment horizontal="center" vertical="center" shrinkToFit="1"/>
    </xf>
    <xf numFmtId="44" fontId="12" fillId="0" borderId="15" xfId="2" applyFont="1" applyFill="1" applyBorder="1" applyAlignment="1" applyProtection="1">
      <alignment vertical="center" shrinkToFit="1"/>
    </xf>
    <xf numFmtId="44" fontId="12" fillId="0" borderId="15" xfId="2" applyFont="1" applyFill="1" applyBorder="1" applyAlignment="1" applyProtection="1">
      <alignment vertical="center" shrinkToFit="1"/>
      <protection locked="0"/>
    </xf>
    <xf numFmtId="0" fontId="12" fillId="3" borderId="15" xfId="0" applyFont="1" applyFill="1" applyBorder="1" applyAlignment="1" applyProtection="1">
      <alignment vertical="center" shrinkToFit="1"/>
    </xf>
    <xf numFmtId="0" fontId="13" fillId="3" borderId="15" xfId="0" applyFont="1" applyFill="1" applyBorder="1" applyAlignment="1" applyProtection="1">
      <alignment vertical="center" shrinkToFit="1"/>
    </xf>
    <xf numFmtId="2" fontId="13" fillId="3" borderId="15" xfId="0" applyNumberFormat="1" applyFont="1" applyFill="1" applyBorder="1" applyAlignment="1" applyProtection="1">
      <alignment vertical="center" shrinkToFit="1"/>
    </xf>
    <xf numFmtId="0" fontId="14" fillId="3" borderId="15" xfId="0" applyFont="1" applyFill="1" applyBorder="1" applyAlignment="1" applyProtection="1">
      <alignment horizontal="center" vertical="center" shrinkToFit="1"/>
    </xf>
    <xf numFmtId="44" fontId="12" fillId="3" borderId="15" xfId="0" applyNumberFormat="1" applyFont="1" applyFill="1" applyBorder="1" applyAlignment="1" applyProtection="1">
      <alignment vertical="center" shrinkToFit="1"/>
    </xf>
    <xf numFmtId="0" fontId="12" fillId="3" borderId="1" xfId="0" applyFont="1" applyFill="1" applyBorder="1" applyAlignment="1" applyProtection="1">
      <alignment vertical="center" shrinkToFit="1"/>
    </xf>
    <xf numFmtId="0" fontId="9" fillId="0" borderId="1" xfId="0" applyFont="1" applyBorder="1" applyAlignment="1">
      <alignment horizontal="center"/>
    </xf>
    <xf numFmtId="44" fontId="9" fillId="0" borderId="1" xfId="2" applyFont="1" applyBorder="1"/>
    <xf numFmtId="167" fontId="9" fillId="0" borderId="1" xfId="1" applyNumberFormat="1" applyFont="1" applyBorder="1"/>
    <xf numFmtId="0" fontId="9" fillId="3" borderId="1" xfId="0" applyFont="1" applyFill="1" applyBorder="1"/>
    <xf numFmtId="0" fontId="15" fillId="0" borderId="15" xfId="0" applyFont="1" applyFill="1" applyBorder="1" applyAlignment="1" applyProtection="1">
      <alignment vertical="center" wrapText="1" shrinkToFit="1"/>
    </xf>
    <xf numFmtId="0" fontId="15" fillId="0" borderId="15" xfId="0" applyFont="1" applyFill="1" applyBorder="1" applyAlignment="1" applyProtection="1">
      <alignment horizontal="center" vertical="center" shrinkToFit="1"/>
    </xf>
    <xf numFmtId="44" fontId="15" fillId="0" borderId="15" xfId="2" applyFont="1" applyFill="1" applyBorder="1" applyAlignment="1" applyProtection="1">
      <alignment vertical="center" shrinkToFit="1"/>
    </xf>
    <xf numFmtId="167" fontId="15" fillId="0" borderId="15" xfId="1" applyNumberFormat="1" applyFont="1" applyFill="1" applyBorder="1" applyAlignment="1" applyProtection="1">
      <alignment horizontal="center" vertical="center" shrinkToFit="1"/>
      <protection locked="0"/>
    </xf>
    <xf numFmtId="44" fontId="0" fillId="0" borderId="1" xfId="0" applyNumberFormat="1" applyFont="1" applyBorder="1"/>
    <xf numFmtId="0" fontId="15" fillId="0" borderId="52" xfId="0" applyFont="1" applyFill="1" applyBorder="1" applyAlignment="1" applyProtection="1">
      <alignment vertical="center" wrapText="1" shrinkToFit="1"/>
    </xf>
    <xf numFmtId="0" fontId="15" fillId="0" borderId="52" xfId="0" applyFont="1" applyFill="1" applyBorder="1" applyAlignment="1" applyProtection="1">
      <alignment horizontal="center" vertical="center" wrapText="1" shrinkToFit="1"/>
    </xf>
    <xf numFmtId="44" fontId="15" fillId="0" borderId="52" xfId="2" applyFont="1" applyFill="1" applyBorder="1" applyAlignment="1" applyProtection="1">
      <alignment vertical="center" shrinkToFit="1"/>
    </xf>
    <xf numFmtId="167" fontId="15" fillId="0" borderId="52" xfId="1" applyNumberFormat="1" applyFont="1" applyFill="1" applyBorder="1" applyAlignment="1" applyProtection="1">
      <alignment horizontal="center" vertical="center" shrinkToFit="1"/>
    </xf>
    <xf numFmtId="44" fontId="0" fillId="0" borderId="15" xfId="2" applyFont="1" applyBorder="1"/>
    <xf numFmtId="0" fontId="0" fillId="3" borderId="1" xfId="0" applyFill="1" applyBorder="1"/>
    <xf numFmtId="44" fontId="3" fillId="3" borderId="1" xfId="0" applyNumberFormat="1" applyFont="1" applyFill="1" applyBorder="1"/>
    <xf numFmtId="44" fontId="0" fillId="0" borderId="0" xfId="2" applyFont="1"/>
    <xf numFmtId="44" fontId="0" fillId="0" borderId="1" xfId="2" applyFont="1" applyBorder="1"/>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5" xfId="0" applyFont="1" applyFill="1" applyBorder="1" applyAlignment="1">
      <alignment horizontal="center" vertical="center"/>
    </xf>
    <xf numFmtId="0" fontId="8" fillId="3" borderId="1" xfId="0" applyFont="1" applyFill="1" applyBorder="1" applyAlignment="1">
      <alignment horizontal="center" vertical="center" wrapText="1"/>
    </xf>
    <xf numFmtId="0" fontId="6" fillId="0" borderId="0" xfId="0" applyFont="1" applyFill="1" applyBorder="1" applyAlignment="1" applyProtection="1">
      <alignment horizontal="center" vertical="center" wrapText="1" shrinkToFit="1"/>
    </xf>
    <xf numFmtId="44" fontId="6" fillId="0" borderId="0" xfId="2" applyFont="1" applyFill="1" applyBorder="1" applyAlignment="1" applyProtection="1">
      <alignment vertical="center" shrinkToFit="1"/>
    </xf>
    <xf numFmtId="167" fontId="6" fillId="0" borderId="0" xfId="1" applyNumberFormat="1" applyFont="1" applyFill="1" applyBorder="1" applyAlignment="1" applyProtection="1">
      <alignment horizontal="center" vertical="center" shrinkToFit="1"/>
      <protection locked="0"/>
    </xf>
    <xf numFmtId="44" fontId="6" fillId="0" borderId="0" xfId="2" applyFont="1" applyFill="1" applyBorder="1" applyAlignment="1" applyProtection="1">
      <alignment horizontal="center" vertical="center" shrinkToFit="1"/>
      <protection locked="0"/>
    </xf>
    <xf numFmtId="0" fontId="5" fillId="4" borderId="0" xfId="0" applyFont="1" applyFill="1" applyBorder="1" applyAlignment="1" applyProtection="1">
      <alignment vertical="center" shrinkToFit="1"/>
    </xf>
    <xf numFmtId="0" fontId="5" fillId="4" borderId="0" xfId="0" applyFont="1" applyFill="1" applyBorder="1" applyAlignment="1" applyProtection="1">
      <alignment horizontal="center" vertical="center" shrinkToFit="1"/>
    </xf>
    <xf numFmtId="0" fontId="5" fillId="4" borderId="0" xfId="0" applyFont="1" applyFill="1" applyBorder="1" applyAlignment="1" applyProtection="1">
      <alignment horizontal="center" vertical="center" wrapText="1" shrinkToFit="1"/>
    </xf>
    <xf numFmtId="0" fontId="5" fillId="3" borderId="59" xfId="0" applyFont="1" applyFill="1" applyBorder="1" applyAlignment="1" applyProtection="1">
      <alignment vertical="center" shrinkToFit="1"/>
    </xf>
    <xf numFmtId="0" fontId="5" fillId="3" borderId="59" xfId="0" applyFont="1" applyFill="1" applyBorder="1" applyAlignment="1" applyProtection="1">
      <alignment horizontal="center" vertical="center" shrinkToFit="1"/>
    </xf>
    <xf numFmtId="0" fontId="5" fillId="4" borderId="0" xfId="0" applyFont="1" applyFill="1" applyBorder="1" applyAlignment="1" applyProtection="1">
      <alignment horizontal="center" vertical="center" shrinkToFit="1"/>
      <protection locked="0"/>
    </xf>
    <xf numFmtId="2" fontId="6" fillId="4" borderId="0" xfId="0" applyNumberFormat="1" applyFont="1" applyFill="1" applyBorder="1" applyAlignment="1" applyProtection="1">
      <alignment vertical="center" shrinkToFit="1"/>
      <protection locked="0"/>
    </xf>
    <xf numFmtId="0" fontId="7" fillId="4" borderId="0" xfId="0" applyFont="1" applyFill="1" applyBorder="1" applyAlignment="1" applyProtection="1">
      <alignment vertical="center" shrinkToFit="1"/>
      <protection locked="0"/>
    </xf>
    <xf numFmtId="44" fontId="5" fillId="4" borderId="0" xfId="0" applyNumberFormat="1" applyFont="1" applyFill="1" applyBorder="1" applyAlignment="1" applyProtection="1">
      <alignment vertical="center" shrinkToFit="1"/>
      <protection locked="0"/>
    </xf>
    <xf numFmtId="44" fontId="5" fillId="4" borderId="0" xfId="0" applyNumberFormat="1" applyFont="1" applyFill="1" applyBorder="1" applyAlignment="1" applyProtection="1">
      <alignment vertical="center" shrinkToFit="1"/>
    </xf>
    <xf numFmtId="0" fontId="5" fillId="3" borderId="10" xfId="0" applyFont="1" applyFill="1" applyBorder="1" applyAlignment="1" applyProtection="1">
      <alignment horizontal="center" vertical="center" shrinkToFit="1"/>
    </xf>
    <xf numFmtId="0" fontId="5" fillId="3" borderId="28" xfId="0" applyFont="1" applyFill="1" applyBorder="1" applyAlignment="1" applyProtection="1">
      <alignment horizontal="center" vertical="center" wrapText="1" shrinkToFit="1"/>
    </xf>
    <xf numFmtId="0" fontId="6" fillId="0" borderId="34" xfId="0" applyFont="1" applyFill="1" applyBorder="1" applyAlignment="1" applyProtection="1">
      <alignment horizontal="center" vertical="center" wrapText="1" shrinkToFit="1"/>
    </xf>
    <xf numFmtId="44" fontId="6" fillId="0" borderId="28" xfId="0" applyNumberFormat="1" applyFont="1" applyFill="1" applyBorder="1" applyAlignment="1" applyProtection="1">
      <alignment horizontal="center" vertical="center" shrinkToFit="1"/>
      <protection locked="0"/>
    </xf>
    <xf numFmtId="44" fontId="6" fillId="0" borderId="28" xfId="2" applyFont="1" applyFill="1" applyBorder="1" applyAlignment="1" applyProtection="1">
      <alignment horizontal="center" vertical="center" shrinkToFit="1"/>
      <protection locked="0"/>
    </xf>
    <xf numFmtId="0" fontId="5" fillId="3" borderId="34" xfId="0" applyFont="1" applyFill="1" applyBorder="1" applyAlignment="1" applyProtection="1">
      <alignment horizontal="center" vertical="center" shrinkToFit="1"/>
    </xf>
    <xf numFmtId="44" fontId="5" fillId="3" borderId="28" xfId="0" applyNumberFormat="1" applyFont="1" applyFill="1" applyBorder="1" applyAlignment="1" applyProtection="1">
      <alignment vertical="center" shrinkToFit="1"/>
      <protection locked="0"/>
    </xf>
    <xf numFmtId="0" fontId="5" fillId="3" borderId="11" xfId="0" applyFont="1" applyFill="1" applyBorder="1" applyAlignment="1" applyProtection="1">
      <alignment vertical="center" shrinkToFit="1"/>
    </xf>
    <xf numFmtId="0" fontId="5" fillId="3" borderId="16" xfId="0" applyFont="1" applyFill="1" applyBorder="1" applyAlignment="1" applyProtection="1">
      <alignment vertical="center" shrinkToFit="1"/>
    </xf>
    <xf numFmtId="0" fontId="5" fillId="3" borderId="60" xfId="0" applyFont="1" applyFill="1" applyBorder="1" applyAlignment="1" applyProtection="1">
      <alignment horizontal="left" vertical="center" shrinkToFit="1"/>
    </xf>
    <xf numFmtId="44" fontId="5" fillId="3" borderId="56" xfId="0" applyNumberFormat="1" applyFont="1" applyFill="1" applyBorder="1" applyAlignment="1" applyProtection="1">
      <alignment vertical="center" shrinkToFit="1"/>
    </xf>
    <xf numFmtId="2" fontId="6" fillId="0" borderId="1" xfId="1" applyNumberFormat="1" applyFont="1" applyFill="1" applyBorder="1" applyAlignment="1" applyProtection="1">
      <alignment horizontal="center" vertical="center" shrinkToFit="1"/>
      <protection locked="0"/>
    </xf>
    <xf numFmtId="2" fontId="6" fillId="0" borderId="1" xfId="1" applyNumberFormat="1" applyFont="1" applyFill="1" applyBorder="1" applyAlignment="1" applyProtection="1">
      <alignment horizontal="center" vertical="center" wrapText="1" shrinkToFit="1"/>
      <protection locked="0"/>
    </xf>
    <xf numFmtId="0" fontId="5" fillId="3" borderId="49" xfId="0" applyFont="1" applyFill="1" applyBorder="1" applyAlignment="1" applyProtection="1">
      <alignment vertical="center" shrinkToFit="1"/>
    </xf>
    <xf numFmtId="44" fontId="9" fillId="0" borderId="28" xfId="0" applyNumberFormat="1" applyFont="1" applyBorder="1" applyAlignment="1">
      <alignment vertical="center"/>
    </xf>
    <xf numFmtId="0" fontId="9" fillId="0" borderId="12" xfId="0" applyFont="1" applyBorder="1"/>
    <xf numFmtId="44" fontId="8" fillId="0" borderId="29" xfId="0" applyNumberFormat="1" applyFont="1" applyBorder="1"/>
    <xf numFmtId="44" fontId="8" fillId="3" borderId="1" xfId="0" applyNumberFormat="1" applyFont="1" applyFill="1" applyBorder="1"/>
    <xf numFmtId="44" fontId="0" fillId="0" borderId="42" xfId="3" applyNumberFormat="1" applyFont="1" applyBorder="1" applyAlignment="1">
      <alignment vertical="center" wrapText="1"/>
    </xf>
    <xf numFmtId="44" fontId="0" fillId="0" borderId="2" xfId="3" applyNumberFormat="1" applyFont="1" applyBorder="1" applyAlignment="1">
      <alignment vertical="center" wrapText="1"/>
    </xf>
    <xf numFmtId="44" fontId="0" fillId="0" borderId="39" xfId="3" applyNumberFormat="1" applyFont="1" applyBorder="1" applyAlignment="1">
      <alignment horizontal="center" vertical="center" wrapText="1"/>
    </xf>
    <xf numFmtId="10" fontId="0" fillId="0" borderId="0" xfId="3" applyNumberFormat="1" applyFont="1"/>
    <xf numFmtId="44" fontId="0" fillId="0" borderId="62" xfId="2" applyFont="1" applyBorder="1" applyAlignment="1">
      <alignment horizontal="center" vertical="center" wrapText="1"/>
    </xf>
    <xf numFmtId="44" fontId="0" fillId="0" borderId="37" xfId="2" applyFont="1" applyBorder="1" applyAlignment="1">
      <alignment horizontal="center" vertical="center" wrapText="1"/>
    </xf>
    <xf numFmtId="10" fontId="0" fillId="7" borderId="28" xfId="3" applyNumberFormat="1" applyFont="1" applyFill="1" applyBorder="1" applyAlignment="1">
      <alignment horizontal="center" vertical="center"/>
    </xf>
    <xf numFmtId="44" fontId="0" fillId="0" borderId="51" xfId="2" applyFont="1" applyBorder="1" applyAlignment="1">
      <alignment horizontal="center" vertical="center" wrapText="1"/>
    </xf>
    <xf numFmtId="44" fontId="0" fillId="0" borderId="51" xfId="2" applyFont="1" applyBorder="1" applyAlignment="1">
      <alignment horizontal="center" vertical="center"/>
    </xf>
    <xf numFmtId="0" fontId="0" fillId="0" borderId="37" xfId="0" applyBorder="1"/>
    <xf numFmtId="0" fontId="0" fillId="0" borderId="7" xfId="0" applyBorder="1"/>
    <xf numFmtId="44" fontId="0" fillId="0" borderId="51" xfId="0" applyNumberFormat="1" applyBorder="1" applyAlignment="1">
      <alignment horizontal="center" vertical="center"/>
    </xf>
    <xf numFmtId="0" fontId="0" fillId="0" borderId="61" xfId="0" applyBorder="1"/>
    <xf numFmtId="0" fontId="0" fillId="0" borderId="0" xfId="0" applyBorder="1"/>
    <xf numFmtId="44" fontId="0" fillId="0" borderId="36" xfId="0" applyNumberFormat="1" applyBorder="1"/>
    <xf numFmtId="0" fontId="0" fillId="0" borderId="36" xfId="0" applyBorder="1"/>
    <xf numFmtId="0" fontId="3" fillId="5" borderId="22" xfId="0" applyFont="1" applyFill="1" applyBorder="1" applyAlignment="1">
      <alignment horizontal="center" vertical="center"/>
    </xf>
    <xf numFmtId="0" fontId="0" fillId="5" borderId="6" xfId="0" applyFill="1" applyBorder="1" applyAlignment="1">
      <alignment horizontal="center" vertical="center" wrapText="1"/>
    </xf>
    <xf numFmtId="0" fontId="0" fillId="5" borderId="5" xfId="0" applyFill="1" applyBorder="1" applyAlignment="1">
      <alignment horizontal="center" vertical="center" wrapText="1"/>
    </xf>
    <xf numFmtId="9" fontId="0" fillId="5" borderId="6" xfId="3" applyFont="1" applyFill="1" applyBorder="1" applyAlignment="1">
      <alignment horizontal="center" vertical="center" wrapText="1"/>
    </xf>
    <xf numFmtId="44" fontId="0" fillId="5" borderId="6" xfId="2" applyNumberFormat="1" applyFont="1" applyFill="1" applyBorder="1" applyAlignment="1">
      <alignment horizontal="center" vertical="center" wrapText="1"/>
    </xf>
    <xf numFmtId="44" fontId="0" fillId="5" borderId="2" xfId="2" applyNumberFormat="1" applyFont="1" applyFill="1" applyBorder="1" applyAlignment="1">
      <alignment horizontal="center" vertical="center" wrapText="1"/>
    </xf>
    <xf numFmtId="0" fontId="0" fillId="5" borderId="24" xfId="0" applyFill="1" applyBorder="1" applyAlignment="1">
      <alignment horizontal="center" vertical="center" wrapText="1"/>
    </xf>
    <xf numFmtId="0" fontId="0" fillId="5" borderId="2" xfId="0" applyFill="1" applyBorder="1" applyAlignment="1">
      <alignment horizontal="center" vertical="center" wrapText="1"/>
    </xf>
    <xf numFmtId="9" fontId="0" fillId="5" borderId="24" xfId="3" applyFont="1" applyFill="1" applyBorder="1" applyAlignment="1">
      <alignment horizontal="center" vertical="center" wrapText="1"/>
    </xf>
    <xf numFmtId="9" fontId="0" fillId="5" borderId="2" xfId="3" applyFont="1" applyFill="1" applyBorder="1" applyAlignment="1">
      <alignment horizontal="center" vertical="center" wrapText="1"/>
    </xf>
    <xf numFmtId="44" fontId="0" fillId="5" borderId="24" xfId="2" applyNumberFormat="1" applyFont="1" applyFill="1" applyBorder="1" applyAlignment="1">
      <alignment horizontal="center" vertical="center" wrapText="1"/>
    </xf>
    <xf numFmtId="0" fontId="0" fillId="5" borderId="35" xfId="0" applyFill="1" applyBorder="1" applyAlignment="1">
      <alignment horizontal="center" vertical="center" wrapText="1"/>
    </xf>
    <xf numFmtId="0" fontId="0" fillId="3" borderId="55" xfId="0" applyFill="1" applyBorder="1" applyAlignment="1">
      <alignment vertical="center" wrapText="1"/>
    </xf>
    <xf numFmtId="0" fontId="0" fillId="3" borderId="56" xfId="0" applyFill="1" applyBorder="1" applyAlignment="1">
      <alignment vertical="center" wrapText="1"/>
    </xf>
    <xf numFmtId="0" fontId="0" fillId="3" borderId="27" xfId="0" applyFill="1" applyBorder="1" applyAlignment="1">
      <alignment vertical="center" wrapText="1"/>
    </xf>
    <xf numFmtId="9" fontId="0" fillId="5" borderId="23" xfId="3" applyFont="1" applyFill="1" applyBorder="1" applyAlignment="1">
      <alignment horizontal="center" vertical="center" wrapText="1"/>
    </xf>
    <xf numFmtId="10" fontId="0" fillId="9" borderId="9" xfId="3" applyNumberFormat="1" applyFont="1" applyFill="1" applyBorder="1" applyAlignment="1">
      <alignment horizontal="center" vertical="center"/>
    </xf>
    <xf numFmtId="10" fontId="0" fillId="9" borderId="29" xfId="3" applyNumberFormat="1" applyFont="1" applyFill="1" applyBorder="1" applyAlignment="1">
      <alignment horizontal="center" vertical="center"/>
    </xf>
    <xf numFmtId="10" fontId="0" fillId="6" borderId="2" xfId="3" applyNumberFormat="1" applyFont="1" applyFill="1" applyBorder="1" applyAlignment="1">
      <alignment horizontal="center" vertical="center"/>
    </xf>
    <xf numFmtId="0" fontId="0" fillId="3" borderId="8"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0" fillId="5" borderId="4" xfId="0" applyFill="1" applyBorder="1" applyAlignment="1">
      <alignment horizontal="center" vertical="center"/>
    </xf>
    <xf numFmtId="9" fontId="0" fillId="5" borderId="5" xfId="3" applyFont="1" applyFill="1" applyBorder="1" applyAlignment="1">
      <alignment horizontal="center" vertical="center" wrapText="1"/>
    </xf>
    <xf numFmtId="44" fontId="0" fillId="5" borderId="5" xfId="2" applyNumberFormat="1" applyFont="1" applyFill="1" applyBorder="1" applyAlignment="1">
      <alignment horizontal="center" vertical="center" wrapText="1"/>
    </xf>
    <xf numFmtId="0" fontId="0" fillId="5" borderId="2" xfId="0" applyFill="1" applyBorder="1" applyAlignment="1">
      <alignment horizontal="center" vertical="center"/>
    </xf>
    <xf numFmtId="0" fontId="0" fillId="5" borderId="24" xfId="0" applyFont="1" applyFill="1" applyBorder="1" applyAlignment="1">
      <alignment horizontal="center" vertical="center"/>
    </xf>
    <xf numFmtId="0" fontId="0" fillId="5" borderId="23" xfId="0" applyFont="1" applyFill="1" applyBorder="1" applyAlignment="1">
      <alignment vertical="center"/>
    </xf>
    <xf numFmtId="0" fontId="0" fillId="5" borderId="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 xfId="0" applyFont="1" applyFill="1" applyBorder="1" applyAlignment="1">
      <alignment horizontal="center" vertical="center" wrapText="1"/>
    </xf>
    <xf numFmtId="9" fontId="1" fillId="5" borderId="24" xfId="3" applyFont="1" applyFill="1" applyBorder="1" applyAlignment="1">
      <alignment horizontal="center" vertical="center" wrapText="1"/>
    </xf>
    <xf numFmtId="0" fontId="0" fillId="5" borderId="22" xfId="0" applyFont="1" applyFill="1" applyBorder="1" applyAlignment="1">
      <alignment horizontal="center" vertical="center" wrapText="1"/>
    </xf>
    <xf numFmtId="0" fontId="0" fillId="5" borderId="5" xfId="0" applyFont="1" applyFill="1" applyBorder="1" applyAlignment="1">
      <alignment horizontal="center" vertical="center"/>
    </xf>
    <xf numFmtId="0" fontId="0" fillId="5" borderId="5" xfId="0" applyFont="1" applyFill="1" applyBorder="1" applyAlignment="1">
      <alignment horizontal="center" vertical="center" wrapText="1"/>
    </xf>
    <xf numFmtId="0" fontId="0" fillId="5" borderId="23" xfId="0" applyFont="1" applyFill="1" applyBorder="1" applyAlignment="1">
      <alignment horizontal="center" vertical="center"/>
    </xf>
    <xf numFmtId="0" fontId="0" fillId="5" borderId="37"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0" fillId="5" borderId="34" xfId="0" applyFill="1" applyBorder="1" applyAlignment="1">
      <alignment horizontal="center" vertical="center" wrapText="1"/>
    </xf>
    <xf numFmtId="0" fontId="0" fillId="5" borderId="53" xfId="0" applyFill="1" applyBorder="1" applyAlignment="1">
      <alignment horizontal="center" vertical="center" wrapText="1"/>
    </xf>
    <xf numFmtId="0" fontId="3" fillId="5" borderId="65" xfId="0" applyFont="1" applyFill="1" applyBorder="1" applyAlignment="1">
      <alignment horizontal="center" vertical="center"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0" xfId="0" applyFill="1" applyBorder="1" applyAlignment="1">
      <alignment horizontal="left" vertical="top" wrapText="1"/>
    </xf>
    <xf numFmtId="0" fontId="0" fillId="0" borderId="30" xfId="0" applyFill="1" applyBorder="1" applyAlignment="1">
      <alignment horizontal="left" vertical="top" wrapText="1"/>
    </xf>
    <xf numFmtId="44" fontId="0" fillId="0" borderId="31" xfId="2" applyFont="1" applyBorder="1" applyAlignment="1">
      <alignment horizontal="center" vertical="center" wrapText="1"/>
    </xf>
    <xf numFmtId="0" fontId="3" fillId="0" borderId="10" xfId="0" applyFont="1" applyFill="1" applyBorder="1" applyAlignment="1">
      <alignment horizontal="center" vertical="center" wrapText="1"/>
    </xf>
    <xf numFmtId="0" fontId="0" fillId="0" borderId="28" xfId="0" applyBorder="1" applyAlignment="1">
      <alignment horizontal="center" vertical="center"/>
    </xf>
    <xf numFmtId="0" fontId="3" fillId="0" borderId="30" xfId="0" applyFont="1" applyBorder="1" applyAlignment="1">
      <alignment horizontal="center" vertical="center" wrapText="1"/>
    </xf>
    <xf numFmtId="44" fontId="0" fillId="0" borderId="31" xfId="0" applyNumberFormat="1" applyBorder="1" applyAlignment="1">
      <alignment horizontal="center" vertical="center"/>
    </xf>
    <xf numFmtId="44" fontId="0" fillId="0" borderId="27" xfId="2" applyFont="1" applyBorder="1" applyAlignment="1">
      <alignment horizontal="center" vertical="center" wrapText="1"/>
    </xf>
    <xf numFmtId="9" fontId="0" fillId="0" borderId="36" xfId="3" applyFont="1" applyBorder="1" applyAlignment="1">
      <alignment horizontal="center" vertical="center" wrapText="1"/>
    </xf>
    <xf numFmtId="44" fontId="0" fillId="0" borderId="35" xfId="2" applyFont="1" applyBorder="1" applyAlignment="1">
      <alignment horizontal="center" vertical="center"/>
    </xf>
    <xf numFmtId="1" fontId="0" fillId="0" borderId="17" xfId="1" applyNumberFormat="1" applyFont="1" applyBorder="1" applyAlignment="1">
      <alignment horizontal="center" vertical="center" wrapText="1"/>
    </xf>
    <xf numFmtId="0" fontId="0" fillId="5" borderId="23"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0" fillId="5" borderId="22" xfId="0" applyFill="1" applyBorder="1" applyAlignment="1">
      <alignment horizontal="center" vertical="center"/>
    </xf>
    <xf numFmtId="0" fontId="0" fillId="5" borderId="24" xfId="0" applyFill="1" applyBorder="1" applyAlignment="1">
      <alignment horizontal="center" vertical="center"/>
    </xf>
    <xf numFmtId="0" fontId="0" fillId="5" borderId="22" xfId="0" applyFill="1" applyBorder="1" applyAlignment="1">
      <alignment horizontal="center" wrapText="1"/>
    </xf>
    <xf numFmtId="0" fontId="0" fillId="5" borderId="20" xfId="0" applyFill="1" applyBorder="1" applyAlignment="1">
      <alignment horizontal="center" vertical="center"/>
    </xf>
    <xf numFmtId="0" fontId="0" fillId="10" borderId="10" xfId="0" applyFill="1" applyBorder="1" applyAlignment="1">
      <alignment horizontal="center" vertical="center" wrapText="1"/>
    </xf>
    <xf numFmtId="10" fontId="0" fillId="10" borderId="28" xfId="3" applyNumberFormat="1" applyFont="1" applyFill="1" applyBorder="1" applyAlignment="1">
      <alignment horizontal="center" vertical="center"/>
    </xf>
    <xf numFmtId="0" fontId="3" fillId="5" borderId="67" xfId="0" applyFont="1" applyFill="1" applyBorder="1" applyAlignment="1">
      <alignment horizontal="center" vertical="center" wrapText="1"/>
    </xf>
    <xf numFmtId="0" fontId="0" fillId="5" borderId="2" xfId="0" applyFill="1" applyBorder="1"/>
    <xf numFmtId="0" fontId="0" fillId="0" borderId="6" xfId="0" applyBorder="1" applyAlignment="1">
      <alignment horizontal="justify" vertical="justify"/>
    </xf>
    <xf numFmtId="0" fontId="0" fillId="5" borderId="4" xfId="0" applyFill="1" applyBorder="1" applyAlignment="1">
      <alignment horizontal="justify" vertical="justify" wrapText="1"/>
    </xf>
    <xf numFmtId="44" fontId="0" fillId="5" borderId="2" xfId="0" applyNumberFormat="1" applyFill="1" applyBorder="1"/>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0" borderId="22" xfId="0" applyBorder="1"/>
    <xf numFmtId="10" fontId="0" fillId="0" borderId="23" xfId="3" applyNumberFormat="1" applyFont="1" applyBorder="1"/>
    <xf numFmtId="44" fontId="0" fillId="9" borderId="23" xfId="2" applyFont="1" applyFill="1" applyBorder="1" applyAlignment="1">
      <alignment horizontal="center" vertical="center"/>
    </xf>
    <xf numFmtId="9" fontId="0" fillId="9" borderId="23" xfId="3" applyFont="1" applyFill="1" applyBorder="1" applyAlignment="1">
      <alignment horizontal="center" vertical="center"/>
    </xf>
    <xf numFmtId="0" fontId="0" fillId="0" borderId="47" xfId="0" applyBorder="1" applyAlignment="1">
      <alignment horizontal="left" vertical="top" wrapText="1"/>
    </xf>
    <xf numFmtId="44" fontId="16" fillId="6" borderId="2" xfId="0" applyNumberFormat="1" applyFont="1" applyFill="1" applyBorder="1" applyAlignment="1">
      <alignment horizontal="center" vertical="center"/>
    </xf>
    <xf numFmtId="0" fontId="0" fillId="0" borderId="1" xfId="0" applyFont="1" applyBorder="1" applyAlignment="1">
      <alignment horizontal="center" vertical="center"/>
    </xf>
    <xf numFmtId="44" fontId="2" fillId="0" borderId="8" xfId="2" applyFont="1" applyBorder="1" applyAlignment="1">
      <alignment horizontal="center" vertical="center" wrapText="1"/>
    </xf>
    <xf numFmtId="44" fontId="2" fillId="0" borderId="3" xfId="3" applyNumberFormat="1" applyFont="1" applyBorder="1" applyAlignment="1">
      <alignment horizontal="center" vertical="center" wrapText="1"/>
    </xf>
    <xf numFmtId="44" fontId="2" fillId="0" borderId="9" xfId="2" applyFont="1" applyBorder="1" applyAlignment="1">
      <alignment horizontal="center" vertical="center" wrapText="1"/>
    </xf>
    <xf numFmtId="44" fontId="2" fillId="0" borderId="8" xfId="3" applyNumberFormat="1" applyFont="1" applyBorder="1" applyAlignment="1">
      <alignment horizontal="center" vertical="center" wrapText="1"/>
    </xf>
    <xf numFmtId="44" fontId="2" fillId="0" borderId="10" xfId="2" applyFont="1" applyBorder="1" applyAlignment="1">
      <alignment horizontal="center" vertical="center" wrapText="1"/>
    </xf>
    <xf numFmtId="44" fontId="2" fillId="0" borderId="1" xfId="3" applyNumberFormat="1" applyFont="1" applyBorder="1" applyAlignment="1">
      <alignment horizontal="center" vertical="center" wrapText="1"/>
    </xf>
    <xf numFmtId="44" fontId="2" fillId="0" borderId="28" xfId="2" applyFont="1" applyBorder="1" applyAlignment="1">
      <alignment horizontal="center" vertical="center" wrapText="1"/>
    </xf>
    <xf numFmtId="44" fontId="2" fillId="0" borderId="10" xfId="3" applyNumberFormat="1" applyFont="1" applyBorder="1" applyAlignment="1">
      <alignment horizontal="center" vertical="center" wrapText="1"/>
    </xf>
    <xf numFmtId="44" fontId="2" fillId="0" borderId="11" xfId="2" applyFont="1" applyBorder="1" applyAlignment="1">
      <alignment horizontal="center" vertical="center" wrapText="1"/>
    </xf>
    <xf numFmtId="44" fontId="2" fillId="0" borderId="12" xfId="3" applyNumberFormat="1" applyFont="1" applyBorder="1" applyAlignment="1">
      <alignment horizontal="center" vertical="center" wrapText="1"/>
    </xf>
    <xf numFmtId="44" fontId="2" fillId="0" borderId="29" xfId="2" applyFont="1" applyBorder="1" applyAlignment="1">
      <alignment horizontal="center" vertical="center" wrapText="1"/>
    </xf>
    <xf numFmtId="44" fontId="2" fillId="0" borderId="11" xfId="3" applyNumberFormat="1" applyFont="1" applyBorder="1" applyAlignment="1">
      <alignment horizontal="center" vertical="center" wrapText="1"/>
    </xf>
    <xf numFmtId="44" fontId="2" fillId="0" borderId="17" xfId="3" applyNumberFormat="1" applyFont="1" applyBorder="1" applyAlignment="1">
      <alignment vertical="center" wrapText="1"/>
    </xf>
    <xf numFmtId="44" fontId="2" fillId="0" borderId="40" xfId="3" applyNumberFormat="1" applyFont="1" applyBorder="1" applyAlignment="1">
      <alignment vertical="center" wrapText="1"/>
    </xf>
    <xf numFmtId="44" fontId="2" fillId="0" borderId="41" xfId="3" applyNumberFormat="1" applyFont="1" applyBorder="1" applyAlignment="1">
      <alignment vertical="center" wrapText="1"/>
    </xf>
    <xf numFmtId="0" fontId="0" fillId="0" borderId="23" xfId="0" applyBorder="1" applyAlignment="1">
      <alignment horizontal="center" vertical="center"/>
    </xf>
    <xf numFmtId="0" fontId="0" fillId="0" borderId="0" xfId="0" applyBorder="1" applyAlignment="1">
      <alignment horizontal="center" vertical="center"/>
    </xf>
    <xf numFmtId="10" fontId="0" fillId="9" borderId="28" xfId="3" applyNumberFormat="1" applyFont="1" applyFill="1" applyBorder="1" applyAlignment="1">
      <alignment horizontal="center" vertical="center" wrapText="1"/>
    </xf>
    <xf numFmtId="164" fontId="2" fillId="9" borderId="1" xfId="1" applyNumberFormat="1" applyFont="1" applyFill="1" applyBorder="1" applyAlignment="1">
      <alignment horizontal="center" vertical="center" wrapText="1"/>
    </xf>
    <xf numFmtId="0" fontId="3" fillId="3" borderId="43" xfId="0" applyFont="1" applyFill="1" applyBorder="1" applyAlignment="1">
      <alignment horizontal="left" vertical="top" wrapText="1"/>
    </xf>
    <xf numFmtId="44" fontId="3" fillId="3" borderId="38" xfId="2" applyFont="1" applyFill="1" applyBorder="1" applyAlignment="1">
      <alignment horizontal="center" vertical="center"/>
    </xf>
    <xf numFmtId="44" fontId="3" fillId="3" borderId="66" xfId="2" applyFont="1" applyFill="1" applyBorder="1" applyAlignment="1">
      <alignment horizontal="center" vertical="center"/>
    </xf>
    <xf numFmtId="0" fontId="3" fillId="3" borderId="4" xfId="0" applyFont="1" applyFill="1" applyBorder="1" applyAlignment="1">
      <alignment horizontal="left" vertical="center" wrapText="1"/>
    </xf>
    <xf numFmtId="44" fontId="3" fillId="3" borderId="5" xfId="2" applyFont="1" applyFill="1" applyBorder="1" applyAlignment="1">
      <alignment horizontal="center" vertical="center" wrapText="1"/>
    </xf>
    <xf numFmtId="44" fontId="3" fillId="3" borderId="6" xfId="2" applyFont="1" applyFill="1" applyBorder="1" applyAlignment="1">
      <alignment horizontal="center" vertical="center" wrapText="1"/>
    </xf>
    <xf numFmtId="0" fontId="0" fillId="5" borderId="18" xfId="0" applyFill="1" applyBorder="1" applyAlignment="1">
      <alignment horizontal="center" vertical="center" wrapText="1"/>
    </xf>
    <xf numFmtId="0" fontId="0" fillId="5" borderId="21" xfId="0" applyFill="1" applyBorder="1" applyAlignment="1">
      <alignment horizontal="justify" vertical="top"/>
    </xf>
    <xf numFmtId="0" fontId="0" fillId="5" borderId="57" xfId="0" applyFill="1" applyBorder="1" applyAlignment="1">
      <alignment horizontal="justify" vertical="top"/>
    </xf>
    <xf numFmtId="0" fontId="0" fillId="5" borderId="57" xfId="0" applyFill="1" applyBorder="1" applyAlignment="1">
      <alignment horizontal="justify" vertical="top" wrapText="1"/>
    </xf>
    <xf numFmtId="0" fontId="3" fillId="3" borderId="4" xfId="0" applyFont="1" applyFill="1" applyBorder="1" applyAlignment="1">
      <alignment horizontal="left" vertical="top" wrapText="1"/>
    </xf>
    <xf numFmtId="44" fontId="3" fillId="3" borderId="5" xfId="2" applyFont="1" applyFill="1" applyBorder="1" applyAlignment="1">
      <alignment horizontal="center" vertical="center"/>
    </xf>
    <xf numFmtId="0" fontId="3" fillId="3" borderId="68" xfId="0" applyFont="1" applyFill="1" applyBorder="1" applyAlignment="1">
      <alignment horizontal="left" vertical="top" wrapText="1"/>
    </xf>
    <xf numFmtId="44" fontId="3" fillId="3" borderId="69" xfId="2" applyFont="1" applyFill="1" applyBorder="1" applyAlignment="1">
      <alignment horizontal="center" vertical="center"/>
    </xf>
    <xf numFmtId="44" fontId="3" fillId="3" borderId="69" xfId="2" applyFont="1" applyFill="1" applyBorder="1" applyAlignment="1">
      <alignment horizontal="center" vertical="center" wrapText="1"/>
    </xf>
    <xf numFmtId="44" fontId="3" fillId="3" borderId="70" xfId="2" applyFont="1" applyFill="1" applyBorder="1" applyAlignment="1">
      <alignment horizontal="center" vertical="center" wrapText="1"/>
    </xf>
    <xf numFmtId="0" fontId="3" fillId="8" borderId="63" xfId="0" applyFont="1" applyFill="1" applyBorder="1" applyAlignment="1">
      <alignment horizontal="left" vertical="top" wrapText="1"/>
    </xf>
    <xf numFmtId="44" fontId="3" fillId="8" borderId="64" xfId="0" applyNumberFormat="1" applyFont="1" applyFill="1" applyBorder="1" applyAlignment="1">
      <alignment horizontal="center" vertical="center"/>
    </xf>
    <xf numFmtId="44" fontId="3" fillId="8" borderId="57" xfId="0" applyNumberFormat="1" applyFont="1" applyFill="1" applyBorder="1" applyAlignment="1">
      <alignment horizontal="center" vertical="center"/>
    </xf>
    <xf numFmtId="164" fontId="1" fillId="4" borderId="1" xfId="1" applyNumberFormat="1" applyFont="1" applyFill="1" applyBorder="1" applyAlignment="1">
      <alignment horizontal="center" vertical="center" wrapText="1"/>
    </xf>
    <xf numFmtId="0" fontId="3" fillId="5" borderId="4" xfId="0" applyFont="1" applyFill="1" applyBorder="1" applyAlignment="1">
      <alignment horizontal="center" vertical="center"/>
    </xf>
    <xf numFmtId="0" fontId="19" fillId="0" borderId="0" xfId="0" applyFont="1"/>
    <xf numFmtId="43" fontId="19" fillId="0" borderId="0" xfId="1" applyFont="1" applyAlignment="1">
      <alignment horizontal="center"/>
    </xf>
    <xf numFmtId="43" fontId="19" fillId="0" borderId="0" xfId="1" applyFont="1"/>
    <xf numFmtId="0" fontId="21" fillId="3" borderId="43" xfId="0" applyFont="1" applyFill="1" applyBorder="1"/>
    <xf numFmtId="44" fontId="19" fillId="0" borderId="66" xfId="0" applyNumberFormat="1" applyFont="1" applyBorder="1" applyAlignment="1">
      <alignment horizontal="center" vertical="center"/>
    </xf>
    <xf numFmtId="0" fontId="21" fillId="3" borderId="10" xfId="0" applyFont="1" applyFill="1" applyBorder="1"/>
    <xf numFmtId="44" fontId="19" fillId="0" borderId="28" xfId="0" applyNumberFormat="1" applyFont="1" applyBorder="1" applyAlignment="1">
      <alignment horizontal="center" vertical="center"/>
    </xf>
    <xf numFmtId="43" fontId="19" fillId="0" borderId="71" xfId="1" applyFont="1" applyBorder="1" applyAlignment="1">
      <alignment horizontal="center" vertical="center"/>
    </xf>
    <xf numFmtId="1" fontId="19" fillId="0" borderId="38" xfId="1" applyNumberFormat="1" applyFont="1" applyBorder="1" applyAlignment="1">
      <alignment horizontal="center" vertical="center"/>
    </xf>
    <xf numFmtId="9" fontId="19" fillId="0" borderId="42" xfId="3" applyFont="1" applyBorder="1" applyAlignment="1">
      <alignment horizontal="center" vertical="center"/>
    </xf>
    <xf numFmtId="0" fontId="19" fillId="0" borderId="0" xfId="0" applyFont="1" applyBorder="1"/>
    <xf numFmtId="0" fontId="21" fillId="3" borderId="10" xfId="0" applyFont="1" applyFill="1" applyBorder="1" applyAlignment="1"/>
    <xf numFmtId="43" fontId="19" fillId="0" borderId="49" xfId="1" applyFont="1" applyBorder="1" applyAlignment="1">
      <alignment horizontal="center" vertical="center"/>
    </xf>
    <xf numFmtId="1" fontId="19" fillId="0" borderId="1" xfId="1" applyNumberFormat="1" applyFont="1" applyBorder="1" applyAlignment="1">
      <alignment horizontal="center" vertical="center"/>
    </xf>
    <xf numFmtId="0" fontId="21" fillId="3" borderId="30" xfId="0" applyFont="1" applyFill="1" applyBorder="1"/>
    <xf numFmtId="44" fontId="19" fillId="0" borderId="31" xfId="0" applyNumberFormat="1" applyFont="1" applyBorder="1" applyAlignment="1">
      <alignment horizontal="center" vertical="center"/>
    </xf>
    <xf numFmtId="0" fontId="21" fillId="2" borderId="4" xfId="0" applyFont="1" applyFill="1" applyBorder="1"/>
    <xf numFmtId="44" fontId="21" fillId="2" borderId="6" xfId="0" applyNumberFormat="1" applyFont="1" applyFill="1" applyBorder="1" applyAlignment="1">
      <alignment horizontal="center" vertical="center"/>
    </xf>
    <xf numFmtId="43" fontId="19" fillId="11" borderId="50" xfId="1" applyFont="1" applyFill="1" applyBorder="1" applyAlignment="1">
      <alignment horizontal="center" vertical="center"/>
    </xf>
    <xf numFmtId="1" fontId="19" fillId="11" borderId="12" xfId="1" applyNumberFormat="1" applyFont="1" applyFill="1" applyBorder="1" applyAlignment="1">
      <alignment horizontal="center" vertical="center"/>
    </xf>
    <xf numFmtId="9" fontId="19" fillId="11" borderId="2" xfId="3" applyFont="1" applyFill="1" applyBorder="1" applyAlignment="1">
      <alignment horizontal="center" vertical="center"/>
    </xf>
    <xf numFmtId="167" fontId="19" fillId="0" borderId="0" xfId="1" applyNumberFormat="1" applyFont="1" applyAlignment="1">
      <alignment horizontal="center" vertical="center"/>
    </xf>
    <xf numFmtId="0" fontId="21" fillId="5" borderId="73" xfId="0" applyFont="1" applyFill="1" applyBorder="1" applyAlignment="1">
      <alignment horizontal="center" vertical="center"/>
    </xf>
    <xf numFmtId="0" fontId="21" fillId="5" borderId="74" xfId="0" applyFont="1" applyFill="1" applyBorder="1" applyAlignment="1">
      <alignment horizontal="center" vertical="center"/>
    </xf>
    <xf numFmtId="0" fontId="22" fillId="5" borderId="75" xfId="0" applyFont="1" applyFill="1" applyBorder="1" applyAlignment="1" applyProtection="1">
      <alignment horizontal="center" vertical="center" shrinkToFit="1"/>
    </xf>
    <xf numFmtId="0" fontId="22" fillId="5" borderId="75" xfId="0" applyFont="1" applyFill="1" applyBorder="1" applyAlignment="1" applyProtection="1">
      <alignment horizontal="center" vertical="center" wrapText="1" shrinkToFit="1"/>
    </xf>
    <xf numFmtId="43" fontId="22" fillId="5" borderId="75" xfId="1" applyFont="1" applyFill="1" applyBorder="1" applyAlignment="1" applyProtection="1">
      <alignment horizontal="center" vertical="center" wrapText="1" shrinkToFit="1"/>
    </xf>
    <xf numFmtId="0" fontId="22" fillId="5" borderId="76" xfId="0" applyFont="1" applyFill="1" applyBorder="1" applyAlignment="1" applyProtection="1">
      <alignment horizontal="center" vertical="center" wrapText="1" shrinkToFit="1"/>
    </xf>
    <xf numFmtId="0" fontId="19" fillId="4" borderId="43" xfId="0" applyFont="1" applyFill="1" applyBorder="1" applyAlignment="1">
      <alignment horizontal="center" vertical="center" wrapText="1"/>
    </xf>
    <xf numFmtId="0" fontId="19" fillId="4" borderId="38" xfId="0" applyFont="1" applyFill="1" applyBorder="1" applyAlignment="1">
      <alignment horizontal="center" vertical="center" wrapText="1"/>
    </xf>
    <xf numFmtId="0" fontId="19" fillId="4" borderId="38" xfId="0" applyFont="1" applyFill="1" applyBorder="1" applyAlignment="1">
      <alignment horizontal="justify" vertical="top" readingOrder="1"/>
    </xf>
    <xf numFmtId="0" fontId="19" fillId="4" borderId="38" xfId="0" applyFont="1" applyFill="1" applyBorder="1" applyAlignment="1">
      <alignment horizontal="center" vertical="center"/>
    </xf>
    <xf numFmtId="168" fontId="19" fillId="4" borderId="38" xfId="2" applyNumberFormat="1" applyFont="1" applyFill="1" applyBorder="1" applyAlignment="1">
      <alignment horizontal="center" vertical="center"/>
    </xf>
    <xf numFmtId="0" fontId="19" fillId="4" borderId="38" xfId="1" applyNumberFormat="1" applyFont="1" applyFill="1" applyBorder="1" applyAlignment="1">
      <alignment horizontal="center" vertical="center"/>
    </xf>
    <xf numFmtId="1" fontId="19" fillId="4" borderId="38" xfId="1" applyNumberFormat="1" applyFont="1" applyFill="1" applyBorder="1" applyAlignment="1">
      <alignment horizontal="center" vertical="center"/>
    </xf>
    <xf numFmtId="43" fontId="19" fillId="4" borderId="38" xfId="1" applyNumberFormat="1" applyFont="1" applyFill="1" applyBorder="1" applyAlignment="1">
      <alignment horizontal="center" vertical="center"/>
    </xf>
    <xf numFmtId="168" fontId="19" fillId="4" borderId="66" xfId="2" applyNumberFormat="1" applyFont="1" applyFill="1" applyBorder="1" applyAlignment="1">
      <alignment horizontal="center" vertical="center"/>
    </xf>
    <xf numFmtId="0" fontId="19" fillId="4" borderId="10"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1" xfId="0" applyFont="1" applyFill="1" applyBorder="1" applyAlignment="1">
      <alignment horizontal="justify" vertical="top" readingOrder="1"/>
    </xf>
    <xf numFmtId="0" fontId="19" fillId="4" borderId="1" xfId="0" applyFont="1" applyFill="1" applyBorder="1" applyAlignment="1">
      <alignment horizontal="center" vertical="center"/>
    </xf>
    <xf numFmtId="168" fontId="19" fillId="4" borderId="1" xfId="2" applyNumberFormat="1" applyFont="1" applyFill="1" applyBorder="1" applyAlignment="1">
      <alignment horizontal="center" vertical="center"/>
    </xf>
    <xf numFmtId="0" fontId="19" fillId="4" borderId="1" xfId="1" applyNumberFormat="1" applyFont="1" applyFill="1" applyBorder="1" applyAlignment="1">
      <alignment horizontal="center" vertical="center"/>
    </xf>
    <xf numFmtId="1" fontId="19" fillId="4" borderId="1" xfId="1" applyNumberFormat="1" applyFont="1" applyFill="1" applyBorder="1" applyAlignment="1">
      <alignment horizontal="center" vertical="center"/>
    </xf>
    <xf numFmtId="43" fontId="19" fillId="4" borderId="1" xfId="1" applyNumberFormat="1" applyFont="1" applyFill="1" applyBorder="1" applyAlignment="1">
      <alignment horizontal="center" vertical="center"/>
    </xf>
    <xf numFmtId="168" fontId="19" fillId="4" borderId="28" xfId="2" applyNumberFormat="1" applyFont="1" applyFill="1" applyBorder="1" applyAlignment="1">
      <alignment horizontal="center" vertical="center"/>
    </xf>
    <xf numFmtId="0" fontId="23" fillId="4" borderId="10" xfId="0" applyFont="1" applyFill="1" applyBorder="1" applyAlignment="1">
      <alignment horizontal="center" vertical="center" wrapText="1"/>
    </xf>
    <xf numFmtId="0" fontId="23" fillId="4" borderId="1" xfId="0" applyFont="1" applyFill="1" applyBorder="1" applyAlignment="1">
      <alignment horizontal="center" vertical="center"/>
    </xf>
    <xf numFmtId="0" fontId="21" fillId="0" borderId="1" xfId="0" applyFont="1" applyBorder="1" applyAlignment="1">
      <alignment horizontal="justify" vertical="top" readingOrder="1"/>
    </xf>
    <xf numFmtId="168" fontId="23" fillId="4" borderId="1" xfId="2" applyNumberFormat="1" applyFont="1" applyFill="1" applyBorder="1" applyAlignment="1">
      <alignment horizontal="center" vertical="center"/>
    </xf>
    <xf numFmtId="0" fontId="23" fillId="4" borderId="1" xfId="1" applyNumberFormat="1" applyFont="1" applyFill="1" applyBorder="1" applyAlignment="1">
      <alignment horizontal="center" vertical="center"/>
    </xf>
    <xf numFmtId="168" fontId="23" fillId="4" borderId="28" xfId="2" applyNumberFormat="1" applyFont="1" applyFill="1" applyBorder="1" applyAlignment="1">
      <alignment horizontal="center" vertical="center"/>
    </xf>
    <xf numFmtId="0" fontId="23" fillId="4" borderId="1" xfId="0" applyFont="1" applyFill="1" applyBorder="1" applyAlignment="1">
      <alignment horizontal="justify" vertical="top" readingOrder="1"/>
    </xf>
    <xf numFmtId="0" fontId="19" fillId="0" borderId="10" xfId="0" applyFont="1" applyBorder="1" applyAlignment="1">
      <alignment horizontal="center" vertical="center"/>
    </xf>
    <xf numFmtId="0" fontId="19" fillId="0" borderId="1" xfId="0" applyFont="1" applyBorder="1" applyAlignment="1">
      <alignment horizontal="justify" vertical="top" readingOrder="1"/>
    </xf>
    <xf numFmtId="2" fontId="19" fillId="4" borderId="1" xfId="0" applyNumberFormat="1" applyFont="1" applyFill="1" applyBorder="1" applyAlignment="1">
      <alignment horizontal="center" vertical="center"/>
    </xf>
    <xf numFmtId="0" fontId="19" fillId="0" borderId="1" xfId="0" applyFont="1" applyFill="1" applyBorder="1" applyAlignment="1">
      <alignment horizontal="center" vertical="center"/>
    </xf>
    <xf numFmtId="0" fontId="19" fillId="4" borderId="10" xfId="0" applyFont="1" applyFill="1" applyBorder="1" applyAlignment="1">
      <alignment horizontal="center" vertical="center"/>
    </xf>
    <xf numFmtId="0" fontId="19" fillId="0" borderId="10" xfId="0" applyFont="1" applyFill="1" applyBorder="1" applyAlignment="1">
      <alignment horizontal="center" vertical="center"/>
    </xf>
    <xf numFmtId="0" fontId="19" fillId="10" borderId="1" xfId="0" applyFont="1" applyFill="1" applyBorder="1" applyAlignment="1">
      <alignment horizontal="center" vertical="center" wrapText="1"/>
    </xf>
    <xf numFmtId="0" fontId="23" fillId="4" borderId="1" xfId="0" applyFont="1" applyFill="1" applyBorder="1" applyAlignment="1" applyProtection="1">
      <alignment horizontal="justify" vertical="top" shrinkToFit="1" readingOrder="1"/>
    </xf>
    <xf numFmtId="43" fontId="19" fillId="4" borderId="1" xfId="1" applyFont="1" applyFill="1" applyBorder="1" applyAlignment="1">
      <alignment horizontal="center" vertical="center"/>
    </xf>
    <xf numFmtId="167" fontId="19" fillId="4" borderId="1" xfId="1" applyNumberFormat="1" applyFont="1" applyFill="1" applyBorder="1" applyAlignment="1">
      <alignment horizontal="center" vertical="center"/>
    </xf>
    <xf numFmtId="0" fontId="21" fillId="4" borderId="1" xfId="0" applyFont="1" applyFill="1" applyBorder="1" applyAlignment="1">
      <alignment horizontal="justify" vertical="top" readingOrder="1"/>
    </xf>
    <xf numFmtId="0" fontId="24" fillId="4" borderId="1" xfId="0" applyFont="1" applyFill="1" applyBorder="1" applyAlignment="1">
      <alignment vertical="center" wrapText="1"/>
    </xf>
    <xf numFmtId="0" fontId="23" fillId="0" borderId="10" xfId="0" applyFont="1" applyFill="1" applyBorder="1" applyAlignment="1">
      <alignment horizontal="center" vertical="center"/>
    </xf>
    <xf numFmtId="0" fontId="23" fillId="0" borderId="1" xfId="0" applyFont="1" applyFill="1" applyBorder="1" applyAlignment="1">
      <alignment horizontal="center" vertical="center"/>
    </xf>
    <xf numFmtId="0" fontId="23" fillId="10" borderId="1" xfId="0" applyFont="1" applyFill="1" applyBorder="1" applyAlignment="1">
      <alignment horizontal="center" vertical="center" wrapText="1"/>
    </xf>
    <xf numFmtId="0" fontId="23" fillId="0" borderId="1" xfId="0" applyFont="1" applyBorder="1" applyAlignment="1">
      <alignment horizontal="justify" vertical="top" readingOrder="1"/>
    </xf>
    <xf numFmtId="43" fontId="23" fillId="4" borderId="1" xfId="1" applyFont="1" applyFill="1" applyBorder="1" applyAlignment="1">
      <alignment horizontal="center" vertical="center"/>
    </xf>
    <xf numFmtId="43" fontId="23" fillId="4" borderId="1" xfId="1" applyNumberFormat="1" applyFont="1" applyFill="1" applyBorder="1" applyAlignment="1">
      <alignment horizontal="center" vertical="center"/>
    </xf>
    <xf numFmtId="168" fontId="19" fillId="4" borderId="28" xfId="2" applyNumberFormat="1" applyFont="1" applyFill="1" applyBorder="1" applyAlignment="1">
      <alignment vertical="center"/>
    </xf>
    <xf numFmtId="43" fontId="19" fillId="4" borderId="1" xfId="1" applyFont="1" applyFill="1" applyBorder="1" applyAlignment="1">
      <alignment vertical="center"/>
    </xf>
    <xf numFmtId="0" fontId="19" fillId="4" borderId="1" xfId="0" applyFont="1" applyFill="1" applyBorder="1" applyAlignment="1">
      <alignment vertical="center"/>
    </xf>
    <xf numFmtId="49" fontId="19" fillId="4" borderId="10"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23" fillId="0" borderId="1" xfId="0" applyFont="1" applyFill="1" applyBorder="1" applyAlignment="1" applyProtection="1">
      <alignment horizontal="center" vertical="center" shrinkToFit="1"/>
    </xf>
    <xf numFmtId="168" fontId="19" fillId="0" borderId="1" xfId="2" applyNumberFormat="1" applyFont="1" applyBorder="1" applyAlignment="1">
      <alignment horizontal="center" vertical="center"/>
    </xf>
    <xf numFmtId="167" fontId="23" fillId="0" borderId="1" xfId="1" applyNumberFormat="1" applyFont="1" applyFill="1" applyBorder="1" applyAlignment="1" applyProtection="1">
      <alignment horizontal="center" vertical="center" wrapText="1" shrinkToFit="1"/>
    </xf>
    <xf numFmtId="0" fontId="23" fillId="0" borderId="1" xfId="0" applyFont="1" applyFill="1" applyBorder="1" applyAlignment="1" applyProtection="1">
      <alignment horizontal="center" vertical="center" wrapText="1" shrinkToFit="1"/>
    </xf>
    <xf numFmtId="167" fontId="23" fillId="4" borderId="1" xfId="1" applyNumberFormat="1" applyFont="1" applyFill="1" applyBorder="1" applyAlignment="1" applyProtection="1">
      <alignment horizontal="center" vertical="center" wrapText="1" shrinkToFit="1"/>
    </xf>
    <xf numFmtId="0" fontId="23" fillId="4" borderId="1" xfId="0" applyFont="1" applyFill="1" applyBorder="1" applyAlignment="1" applyProtection="1">
      <alignment horizontal="center" vertical="center" wrapText="1" shrinkToFit="1"/>
    </xf>
    <xf numFmtId="0" fontId="25" fillId="0" borderId="1" xfId="0" applyFont="1" applyBorder="1" applyAlignment="1">
      <alignment horizontal="justify" vertical="top" readingOrder="1"/>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2" xfId="0" applyFont="1" applyBorder="1" applyAlignment="1">
      <alignment horizontal="center" vertical="center" wrapText="1"/>
    </xf>
    <xf numFmtId="0" fontId="19" fillId="0" borderId="12" xfId="0" applyFont="1" applyBorder="1" applyAlignment="1">
      <alignment horizontal="justify" vertical="top" readingOrder="1"/>
    </xf>
    <xf numFmtId="168" fontId="19" fillId="0" borderId="12" xfId="2" applyNumberFormat="1" applyFont="1" applyBorder="1" applyAlignment="1">
      <alignment horizontal="center" vertical="center"/>
    </xf>
    <xf numFmtId="167" fontId="23" fillId="0" borderId="12" xfId="1" applyNumberFormat="1" applyFont="1" applyFill="1" applyBorder="1" applyAlignment="1" applyProtection="1">
      <alignment horizontal="center" vertical="center" wrapText="1" shrinkToFit="1"/>
    </xf>
    <xf numFmtId="43" fontId="19" fillId="4" borderId="12" xfId="1" applyNumberFormat="1" applyFont="1" applyFill="1" applyBorder="1" applyAlignment="1">
      <alignment horizontal="center" vertical="center"/>
    </xf>
    <xf numFmtId="168" fontId="19" fillId="4" borderId="29" xfId="2" applyNumberFormat="1" applyFont="1" applyFill="1" applyBorder="1" applyAlignment="1">
      <alignment horizontal="center" vertical="center"/>
    </xf>
    <xf numFmtId="168" fontId="19" fillId="0" borderId="0" xfId="0" applyNumberFormat="1" applyFont="1"/>
    <xf numFmtId="0" fontId="26" fillId="0" borderId="43" xfId="0" applyFont="1" applyBorder="1" applyAlignment="1">
      <alignment horizontal="center" vertical="center"/>
    </xf>
    <xf numFmtId="0" fontId="3" fillId="5" borderId="26" xfId="0" applyFont="1" applyFill="1" applyBorder="1" applyAlignment="1">
      <alignment horizontal="center" vertical="center"/>
    </xf>
    <xf numFmtId="0" fontId="27" fillId="5" borderId="5" xfId="0" applyFont="1" applyFill="1" applyBorder="1" applyAlignment="1" applyProtection="1">
      <alignment horizontal="center" vertical="center" shrinkToFit="1"/>
    </xf>
    <xf numFmtId="0" fontId="27" fillId="5" borderId="5" xfId="0" applyFont="1" applyFill="1" applyBorder="1" applyAlignment="1" applyProtection="1">
      <alignment horizontal="center" vertical="center" wrapText="1" shrinkToFit="1"/>
    </xf>
    <xf numFmtId="0" fontId="27" fillId="5" borderId="6" xfId="0" applyFont="1" applyFill="1" applyBorder="1" applyAlignment="1" applyProtection="1">
      <alignment horizontal="center" vertical="center" wrapText="1" shrinkToFit="1"/>
    </xf>
    <xf numFmtId="0" fontId="0" fillId="0" borderId="8" xfId="0" applyFont="1" applyBorder="1" applyAlignment="1">
      <alignment horizontal="center" vertical="center"/>
    </xf>
    <xf numFmtId="0" fontId="0" fillId="0" borderId="3" xfId="0" applyFont="1" applyBorder="1" applyAlignment="1">
      <alignment horizontal="center" vertical="center"/>
    </xf>
    <xf numFmtId="0" fontId="0" fillId="0" borderId="3" xfId="0" applyFont="1" applyBorder="1" applyAlignment="1">
      <alignment vertical="justify"/>
    </xf>
    <xf numFmtId="44" fontId="15" fillId="0" borderId="3" xfId="2" applyFont="1" applyFill="1" applyBorder="1" applyAlignment="1" applyProtection="1">
      <alignment horizontal="center" vertical="center" wrapText="1" shrinkToFit="1"/>
    </xf>
    <xf numFmtId="167" fontId="15" fillId="0" borderId="3" xfId="1" applyNumberFormat="1" applyFont="1" applyFill="1" applyBorder="1" applyAlignment="1" applyProtection="1">
      <alignment horizontal="center" vertical="center" wrapText="1" shrinkToFit="1"/>
    </xf>
    <xf numFmtId="43" fontId="15" fillId="0" borderId="3" xfId="1" applyFont="1" applyFill="1" applyBorder="1" applyAlignment="1" applyProtection="1">
      <alignment horizontal="center" vertical="center" wrapText="1" shrinkToFit="1"/>
      <protection locked="0"/>
    </xf>
    <xf numFmtId="43" fontId="15" fillId="0" borderId="3" xfId="1" applyNumberFormat="1" applyFont="1" applyFill="1" applyBorder="1" applyAlignment="1" applyProtection="1">
      <alignment horizontal="center" vertical="center" wrapText="1" shrinkToFit="1"/>
      <protection locked="0"/>
    </xf>
    <xf numFmtId="44" fontId="15" fillId="0" borderId="9" xfId="0" applyNumberFormat="1" applyFont="1" applyFill="1" applyBorder="1" applyAlignment="1" applyProtection="1">
      <alignment horizontal="center" vertical="center" wrapText="1" shrinkToFit="1"/>
      <protection locked="0"/>
    </xf>
    <xf numFmtId="0" fontId="0" fillId="0" borderId="10" xfId="0" applyFont="1" applyBorder="1" applyAlignment="1">
      <alignment horizontal="center" vertical="center"/>
    </xf>
    <xf numFmtId="0" fontId="0" fillId="0" borderId="1" xfId="0" applyFont="1" applyBorder="1" applyAlignment="1">
      <alignment vertical="justify"/>
    </xf>
    <xf numFmtId="44" fontId="15" fillId="0" borderId="1" xfId="2" applyFont="1" applyFill="1" applyBorder="1" applyAlignment="1" applyProtection="1">
      <alignment horizontal="center" vertical="center" wrapText="1" shrinkToFit="1"/>
    </xf>
    <xf numFmtId="43" fontId="15" fillId="0" borderId="1" xfId="1" applyFont="1" applyFill="1" applyBorder="1" applyAlignment="1" applyProtection="1">
      <alignment horizontal="center" vertical="center" wrapText="1" shrinkToFit="1"/>
      <protection locked="0"/>
    </xf>
    <xf numFmtId="43" fontId="15" fillId="0" borderId="1" xfId="1" applyNumberFormat="1" applyFont="1" applyFill="1" applyBorder="1" applyAlignment="1" applyProtection="1">
      <alignment horizontal="center" vertical="center" wrapText="1" shrinkToFit="1"/>
      <protection locked="0"/>
    </xf>
    <xf numFmtId="44" fontId="15" fillId="0" borderId="28" xfId="0" applyNumberFormat="1" applyFont="1" applyFill="1" applyBorder="1" applyAlignment="1" applyProtection="1">
      <alignment horizontal="center" vertical="center" wrapText="1" shrinkToFit="1"/>
      <protection locked="0"/>
    </xf>
    <xf numFmtId="9" fontId="0" fillId="0" borderId="0" xfId="3" applyFont="1"/>
    <xf numFmtId="0" fontId="0" fillId="0" borderId="30" xfId="0" applyFont="1" applyBorder="1" applyAlignment="1">
      <alignment horizontal="center" vertical="center"/>
    </xf>
    <xf numFmtId="0" fontId="0" fillId="0" borderId="51" xfId="0" applyFont="1" applyBorder="1" applyAlignment="1">
      <alignment horizontal="center" vertical="center"/>
    </xf>
    <xf numFmtId="0" fontId="0" fillId="0" borderId="1" xfId="0" applyFont="1" applyBorder="1" applyAlignment="1">
      <alignment vertical="top" wrapText="1"/>
    </xf>
    <xf numFmtId="44" fontId="15" fillId="0" borderId="51" xfId="2" applyFont="1" applyFill="1" applyBorder="1" applyAlignment="1" applyProtection="1">
      <alignment horizontal="center" vertical="center" wrapText="1" shrinkToFit="1"/>
    </xf>
    <xf numFmtId="43" fontId="15" fillId="0" borderId="51" xfId="1" applyFont="1" applyFill="1" applyBorder="1" applyAlignment="1" applyProtection="1">
      <alignment horizontal="center" vertical="center" wrapText="1" shrinkToFit="1"/>
      <protection locked="0"/>
    </xf>
    <xf numFmtId="44" fontId="0" fillId="5" borderId="2" xfId="0" applyNumberFormat="1" applyFont="1" applyFill="1" applyBorder="1"/>
    <xf numFmtId="44" fontId="16" fillId="6" borderId="2" xfId="0" applyNumberFormat="1" applyFont="1" applyFill="1" applyBorder="1"/>
    <xf numFmtId="44" fontId="16" fillId="6" borderId="0" xfId="0" applyNumberFormat="1" applyFont="1" applyFill="1"/>
    <xf numFmtId="0" fontId="19" fillId="0" borderId="1" xfId="0" applyFont="1" applyBorder="1" applyAlignment="1">
      <alignment horizontal="center" vertical="center"/>
    </xf>
    <xf numFmtId="0" fontId="16" fillId="5" borderId="7" xfId="0" applyFont="1" applyFill="1" applyBorder="1" applyAlignment="1">
      <alignment wrapText="1"/>
    </xf>
    <xf numFmtId="0" fontId="16" fillId="5" borderId="22" xfId="0" applyFont="1" applyFill="1" applyBorder="1" applyAlignment="1">
      <alignment horizontal="center" vertical="center"/>
    </xf>
    <xf numFmtId="0" fontId="16" fillId="5" borderId="24" xfId="0" applyFont="1" applyFill="1" applyBorder="1" applyAlignment="1">
      <alignment horizontal="center" vertical="center"/>
    </xf>
    <xf numFmtId="0" fontId="16" fillId="5" borderId="23" xfId="0" applyFont="1" applyFill="1" applyBorder="1" applyAlignment="1">
      <alignment horizontal="center" vertical="center"/>
    </xf>
    <xf numFmtId="0" fontId="0" fillId="8" borderId="4" xfId="0" applyFill="1" applyBorder="1" applyAlignment="1">
      <alignment horizontal="center" vertical="center" wrapText="1"/>
    </xf>
    <xf numFmtId="0" fontId="0" fillId="8" borderId="5" xfId="0" applyFill="1" applyBorder="1" applyAlignment="1">
      <alignment horizontal="center" vertical="center"/>
    </xf>
    <xf numFmtId="0" fontId="0" fillId="8" borderId="6" xfId="0" applyFill="1" applyBorder="1" applyAlignment="1">
      <alignment horizontal="center" vertical="center"/>
    </xf>
    <xf numFmtId="0" fontId="0" fillId="5" borderId="48" xfId="0" applyFill="1" applyBorder="1" applyAlignment="1">
      <alignment horizontal="left" vertical="top" wrapText="1"/>
    </xf>
    <xf numFmtId="0" fontId="0" fillId="5" borderId="45" xfId="0" applyFill="1" applyBorder="1" applyAlignment="1">
      <alignment horizontal="left" vertical="top" wrapText="1"/>
    </xf>
    <xf numFmtId="0" fontId="0" fillId="5" borderId="46" xfId="0" applyFill="1" applyBorder="1" applyAlignment="1">
      <alignment horizontal="left" vertical="top" wrapText="1"/>
    </xf>
    <xf numFmtId="0" fontId="16" fillId="5" borderId="22" xfId="0" applyFont="1" applyFill="1" applyBorder="1" applyAlignment="1">
      <alignment horizontal="center" wrapText="1"/>
    </xf>
    <xf numFmtId="0" fontId="16" fillId="5" borderId="24" xfId="0" applyFont="1" applyFill="1" applyBorder="1" applyAlignment="1">
      <alignment horizontal="center" wrapText="1"/>
    </xf>
    <xf numFmtId="0" fontId="16" fillId="5" borderId="23" xfId="0" applyFont="1" applyFill="1" applyBorder="1" applyAlignment="1">
      <alignment horizontal="center" wrapText="1"/>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6" xfId="0" applyFont="1" applyFill="1" applyBorder="1" applyAlignment="1">
      <alignment horizontal="center" vertical="center"/>
    </xf>
    <xf numFmtId="0" fontId="0" fillId="5" borderId="22" xfId="0" applyFill="1" applyBorder="1" applyAlignment="1">
      <alignment horizontal="center"/>
    </xf>
    <xf numFmtId="0" fontId="0" fillId="5" borderId="24" xfId="0" applyFill="1" applyBorder="1" applyAlignment="1">
      <alignment horizontal="center"/>
    </xf>
    <xf numFmtId="0" fontId="0" fillId="5" borderId="23" xfId="0" applyFill="1" applyBorder="1" applyAlignment="1">
      <alignment horizontal="center"/>
    </xf>
    <xf numFmtId="0" fontId="3" fillId="5" borderId="22" xfId="0" applyFont="1" applyFill="1" applyBorder="1" applyAlignment="1">
      <alignment horizontal="center" vertical="center"/>
    </xf>
    <xf numFmtId="0" fontId="3" fillId="5" borderId="24"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4" xfId="0" applyFont="1" applyFill="1" applyBorder="1" applyAlignment="1">
      <alignment horizontal="center" vertical="justify" wrapText="1"/>
    </xf>
    <xf numFmtId="0" fontId="3" fillId="5" borderId="6" xfId="0" applyFont="1" applyFill="1" applyBorder="1" applyAlignment="1">
      <alignment horizontal="center" vertical="justify" wrapText="1"/>
    </xf>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5" borderId="22" xfId="0" applyFill="1" applyBorder="1" applyAlignment="1">
      <alignment horizontal="center" vertical="center"/>
    </xf>
    <xf numFmtId="0" fontId="0" fillId="5" borderId="24" xfId="0" applyFill="1" applyBorder="1" applyAlignment="1">
      <alignment horizontal="center" vertical="center"/>
    </xf>
    <xf numFmtId="0" fontId="0" fillId="5" borderId="4" xfId="0" applyFont="1" applyFill="1" applyBorder="1" applyAlignment="1">
      <alignment horizontal="center" vertical="center"/>
    </xf>
    <xf numFmtId="0" fontId="0" fillId="5" borderId="5" xfId="0" applyFont="1" applyFill="1" applyBorder="1" applyAlignment="1">
      <alignment horizontal="center" vertical="center"/>
    </xf>
    <xf numFmtId="0" fontId="0" fillId="5" borderId="6" xfId="0" applyFont="1" applyFill="1" applyBorder="1" applyAlignment="1">
      <alignment horizontal="center" vertical="center"/>
    </xf>
    <xf numFmtId="0" fontId="0" fillId="5" borderId="26"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4" xfId="0" applyFont="1" applyFill="1" applyBorder="1" applyAlignment="1">
      <alignment horizontal="center" vertical="center" wrapText="1"/>
    </xf>
    <xf numFmtId="0" fontId="3" fillId="5" borderId="4" xfId="0" applyFont="1" applyFill="1" applyBorder="1" applyAlignment="1">
      <alignment horizontal="center" vertical="justify"/>
    </xf>
    <xf numFmtId="0" fontId="3" fillId="5" borderId="6" xfId="0" applyFont="1" applyFill="1" applyBorder="1" applyAlignment="1">
      <alignment horizontal="center" vertical="justify"/>
    </xf>
    <xf numFmtId="0" fontId="3" fillId="5" borderId="45" xfId="0" applyFont="1" applyFill="1" applyBorder="1" applyAlignment="1">
      <alignment horizontal="center" vertical="center"/>
    </xf>
    <xf numFmtId="0" fontId="3" fillId="5" borderId="46" xfId="0" applyFont="1" applyFill="1" applyBorder="1" applyAlignment="1">
      <alignment horizontal="center" vertical="center"/>
    </xf>
    <xf numFmtId="0" fontId="0" fillId="3" borderId="26" xfId="0" applyFill="1" applyBorder="1" applyAlignment="1">
      <alignment horizontal="center" vertical="center" wrapText="1"/>
    </xf>
    <xf numFmtId="0" fontId="0" fillId="3" borderId="6" xfId="0" applyFill="1" applyBorder="1" applyAlignment="1">
      <alignment horizontal="center" vertical="center" wrapText="1"/>
    </xf>
    <xf numFmtId="0" fontId="3" fillId="5" borderId="48" xfId="0" applyFont="1" applyFill="1" applyBorder="1" applyAlignment="1">
      <alignment horizontal="center" wrapText="1"/>
    </xf>
    <xf numFmtId="0" fontId="3" fillId="5" borderId="45" xfId="0" applyFont="1" applyFill="1" applyBorder="1" applyAlignment="1">
      <alignment horizontal="center" wrapText="1"/>
    </xf>
    <xf numFmtId="0" fontId="3" fillId="5" borderId="46" xfId="0" applyFont="1" applyFill="1" applyBorder="1" applyAlignment="1">
      <alignment horizontal="center" wrapText="1"/>
    </xf>
    <xf numFmtId="0" fontId="0" fillId="5" borderId="42" xfId="0" applyFill="1" applyBorder="1" applyAlignment="1">
      <alignment horizontal="center" vertical="center" wrapText="1"/>
    </xf>
    <xf numFmtId="0" fontId="0" fillId="5" borderId="41" xfId="0" applyFill="1" applyBorder="1" applyAlignment="1">
      <alignment horizontal="center" vertical="center" wrapText="1"/>
    </xf>
    <xf numFmtId="0" fontId="0" fillId="5" borderId="32" xfId="0" applyFill="1" applyBorder="1" applyAlignment="1">
      <alignment horizontal="center" vertical="center" wrapText="1"/>
    </xf>
    <xf numFmtId="0" fontId="0" fillId="5" borderId="35"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23" xfId="0" applyFill="1" applyBorder="1" applyAlignment="1">
      <alignment horizontal="center" vertical="center" wrapText="1"/>
    </xf>
    <xf numFmtId="0" fontId="0" fillId="5" borderId="22"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2" xfId="0" applyFont="1" applyFill="1" applyBorder="1" applyAlignment="1">
      <alignment horizontal="center" vertical="center"/>
    </xf>
    <xf numFmtId="0" fontId="0" fillId="5" borderId="24" xfId="0" applyFont="1" applyFill="1" applyBorder="1" applyAlignment="1">
      <alignment horizontal="center" vertical="center"/>
    </xf>
    <xf numFmtId="0" fontId="0" fillId="5" borderId="23" xfId="0" applyFont="1" applyFill="1" applyBorder="1" applyAlignment="1">
      <alignment horizontal="center" vertical="center"/>
    </xf>
    <xf numFmtId="0" fontId="9" fillId="0" borderId="10" xfId="0" applyFont="1" applyBorder="1" applyAlignment="1">
      <alignment horizontal="left" vertical="center" wrapText="1"/>
    </xf>
    <xf numFmtId="0" fontId="9" fillId="0" borderId="1" xfId="0" applyFont="1" applyBorder="1" applyAlignment="1">
      <alignment horizontal="left" vertical="center" wrapText="1"/>
    </xf>
    <xf numFmtId="0" fontId="5" fillId="3" borderId="1" xfId="0" applyFont="1" applyFill="1" applyBorder="1" applyAlignment="1" applyProtection="1">
      <alignment horizontal="center" vertical="center" shrinkToFit="1"/>
    </xf>
    <xf numFmtId="0" fontId="5" fillId="3" borderId="3" xfId="0"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shrinkToFit="1"/>
    </xf>
    <xf numFmtId="0" fontId="5" fillId="3" borderId="49" xfId="0" applyFont="1" applyFill="1" applyBorder="1" applyAlignment="1" applyProtection="1">
      <alignment horizontal="center" vertical="center" shrinkToFit="1"/>
    </xf>
    <xf numFmtId="0" fontId="5" fillId="3" borderId="59" xfId="0" applyFont="1" applyFill="1" applyBorder="1" applyAlignment="1" applyProtection="1">
      <alignment horizontal="center" vertical="center" shrinkToFit="1"/>
    </xf>
    <xf numFmtId="0" fontId="5" fillId="3" borderId="32" xfId="0" applyFont="1" applyFill="1" applyBorder="1" applyAlignment="1" applyProtection="1">
      <alignment horizontal="center" vertical="center" shrinkToFit="1"/>
    </xf>
    <xf numFmtId="0" fontId="5" fillId="3" borderId="44" xfId="0" applyFont="1" applyFill="1" applyBorder="1" applyAlignment="1" applyProtection="1">
      <alignment horizontal="center" vertical="center" shrinkToFit="1"/>
    </xf>
    <xf numFmtId="0" fontId="5" fillId="3" borderId="33" xfId="0" applyFont="1" applyFill="1" applyBorder="1" applyAlignment="1" applyProtection="1">
      <alignment horizontal="center" vertical="center" shrinkToFit="1"/>
    </xf>
    <xf numFmtId="0" fontId="8" fillId="3" borderId="32" xfId="0" applyFont="1" applyFill="1" applyBorder="1" applyAlignment="1">
      <alignment horizontal="center" vertical="center"/>
    </xf>
    <xf numFmtId="0" fontId="8" fillId="3" borderId="44"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53" xfId="0" applyFont="1" applyFill="1" applyBorder="1" applyAlignment="1">
      <alignment horizontal="center" vertical="center"/>
    </xf>
    <xf numFmtId="0" fontId="8" fillId="3" borderId="54"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31" xfId="0" applyFont="1" applyFill="1" applyBorder="1" applyAlignment="1">
      <alignment horizontal="center" vertical="center" wrapText="1"/>
    </xf>
    <xf numFmtId="0" fontId="8" fillId="3" borderId="9" xfId="0" applyFont="1" applyFill="1" applyBorder="1" applyAlignment="1">
      <alignment horizontal="center" vertical="center" wrapText="1"/>
    </xf>
    <xf numFmtId="44" fontId="12" fillId="3" borderId="15" xfId="0" applyNumberFormat="1" applyFont="1" applyFill="1" applyBorder="1" applyAlignment="1" applyProtection="1">
      <alignment horizontal="center" vertical="center" shrinkToFit="1"/>
    </xf>
    <xf numFmtId="44" fontId="12" fillId="3" borderId="59" xfId="0" applyNumberFormat="1" applyFont="1" applyFill="1" applyBorder="1" applyAlignment="1" applyProtection="1">
      <alignment horizontal="center" vertical="center" shrinkToFit="1"/>
    </xf>
    <xf numFmtId="44" fontId="12" fillId="3" borderId="49" xfId="0" applyNumberFormat="1" applyFont="1" applyFill="1" applyBorder="1" applyAlignment="1" applyProtection="1">
      <alignment horizontal="center" vertical="center" shrinkToFit="1"/>
    </xf>
    <xf numFmtId="0" fontId="10" fillId="3" borderId="11" xfId="0" applyFont="1" applyFill="1" applyBorder="1" applyAlignment="1">
      <alignment horizontal="center"/>
    </xf>
    <xf numFmtId="0" fontId="10" fillId="3" borderId="12" xfId="0" applyFont="1" applyFill="1" applyBorder="1" applyAlignment="1">
      <alignment horizontal="center"/>
    </xf>
    <xf numFmtId="0" fontId="10" fillId="3" borderId="15" xfId="0" applyFont="1" applyFill="1" applyBorder="1" applyAlignment="1">
      <alignment horizontal="center"/>
    </xf>
    <xf numFmtId="0" fontId="10" fillId="3" borderId="59" xfId="0" applyFont="1" applyFill="1" applyBorder="1" applyAlignment="1">
      <alignment horizontal="center"/>
    </xf>
    <xf numFmtId="0" fontId="10" fillId="3" borderId="1" xfId="0" applyFont="1" applyFill="1" applyBorder="1" applyAlignment="1">
      <alignment horizontal="center" vertical="center"/>
    </xf>
    <xf numFmtId="0" fontId="12" fillId="3" borderId="1" xfId="0" applyFont="1" applyFill="1" applyBorder="1" applyAlignment="1" applyProtection="1">
      <alignment horizontal="center" vertical="center" shrinkToFit="1"/>
    </xf>
    <xf numFmtId="0" fontId="8" fillId="3" borderId="1" xfId="0" applyFont="1" applyFill="1" applyBorder="1" applyAlignment="1">
      <alignment horizontal="center"/>
    </xf>
    <xf numFmtId="0" fontId="3" fillId="3" borderId="1" xfId="0" applyFont="1" applyFill="1" applyBorder="1" applyAlignment="1">
      <alignment horizontal="center"/>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55" xfId="0" applyFont="1" applyFill="1" applyBorder="1" applyAlignment="1">
      <alignment horizontal="center"/>
    </xf>
    <xf numFmtId="0" fontId="3" fillId="5" borderId="56" xfId="0" applyFont="1" applyFill="1" applyBorder="1" applyAlignment="1">
      <alignment horizontal="center"/>
    </xf>
    <xf numFmtId="0" fontId="0" fillId="5" borderId="22" xfId="0" applyFill="1" applyBorder="1" applyAlignment="1">
      <alignment horizontal="left" vertical="top" wrapText="1"/>
    </xf>
    <xf numFmtId="0" fontId="0" fillId="5" borderId="24" xfId="0" applyFill="1" applyBorder="1" applyAlignment="1">
      <alignment horizontal="left" vertical="top" wrapText="1"/>
    </xf>
    <xf numFmtId="0" fontId="0" fillId="5" borderId="23" xfId="0" applyFill="1" applyBorder="1" applyAlignment="1">
      <alignment horizontal="left" vertical="top"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18" xfId="0" applyFont="1" applyBorder="1" applyAlignment="1">
      <alignment horizontal="center" vertical="center" wrapText="1"/>
    </xf>
    <xf numFmtId="0" fontId="19" fillId="0" borderId="38" xfId="0" applyFont="1" applyBorder="1" applyAlignment="1">
      <alignment horizontal="center" vertical="center"/>
    </xf>
    <xf numFmtId="0" fontId="19" fillId="0" borderId="72" xfId="0" applyFont="1" applyBorder="1" applyAlignment="1">
      <alignment horizontal="center" vertical="center"/>
    </xf>
    <xf numFmtId="0" fontId="19" fillId="0" borderId="1" xfId="0" applyFont="1" applyBorder="1" applyAlignment="1">
      <alignment horizontal="center" vertical="center"/>
    </xf>
    <xf numFmtId="0" fontId="19" fillId="0" borderId="15" xfId="0" applyFont="1" applyBorder="1" applyAlignment="1">
      <alignment horizontal="center" vertical="center"/>
    </xf>
    <xf numFmtId="0" fontId="19" fillId="11" borderId="12" xfId="0" applyFont="1" applyFill="1" applyBorder="1" applyAlignment="1">
      <alignment horizontal="center" vertical="center"/>
    </xf>
    <xf numFmtId="0" fontId="19" fillId="11" borderId="16" xfId="0" applyFont="1" applyFill="1" applyBorder="1" applyAlignment="1">
      <alignment horizontal="center" vertical="center"/>
    </xf>
    <xf numFmtId="0" fontId="20" fillId="5" borderId="22" xfId="0" applyFont="1" applyFill="1" applyBorder="1" applyAlignment="1">
      <alignment horizontal="center" vertical="center" wrapText="1"/>
    </xf>
    <xf numFmtId="0" fontId="20" fillId="5" borderId="24"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0" fillId="5" borderId="22" xfId="0" applyFont="1" applyFill="1" applyBorder="1" applyAlignment="1">
      <alignment horizontal="center"/>
    </xf>
    <xf numFmtId="0" fontId="0" fillId="5" borderId="36" xfId="0" applyFont="1" applyFill="1" applyBorder="1" applyAlignment="1">
      <alignment horizontal="center"/>
    </xf>
    <xf numFmtId="0" fontId="0" fillId="5" borderId="24" xfId="0" applyFont="1" applyFill="1" applyBorder="1" applyAlignment="1">
      <alignment horizontal="center"/>
    </xf>
    <xf numFmtId="0" fontId="0" fillId="5" borderId="23" xfId="0" applyFont="1" applyFill="1" applyBorder="1" applyAlignment="1">
      <alignment horizontal="center"/>
    </xf>
  </cellXfs>
  <cellStyles count="4">
    <cellStyle name="Moeda" xfId="2" builtinId="4"/>
    <cellStyle name="Normal" xfId="0" builtinId="0"/>
    <cellStyle name="Porcentagem" xfId="3" builtinId="5"/>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TA&#199;&#195;O%20DE%20INSUMOS%20DOS%20SERVI&#199;OS%20TERCERIZADOS%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TE 01"/>
      <sheetName val="EPI´s LT 01"/>
      <sheetName val="LOTE 02"/>
      <sheetName val="EPI´s LT 02"/>
      <sheetName val="LOTE 03"/>
      <sheetName val="EPI´s LT 03"/>
      <sheetName val="LOTE 04"/>
      <sheetName val="EPI´s LT 04"/>
    </sheetNames>
    <sheetDataSet>
      <sheetData sheetId="0"/>
      <sheetData sheetId="1">
        <row r="2">
          <cell r="A2" t="str">
            <v>EPI's</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
  <sheetViews>
    <sheetView tabSelected="1" view="pageBreakPreview" zoomScale="90" zoomScaleNormal="90" zoomScaleSheetLayoutView="90" workbookViewId="0">
      <selection activeCell="O3" sqref="O3"/>
    </sheetView>
  </sheetViews>
  <sheetFormatPr defaultRowHeight="15" x14ac:dyDescent="0.25"/>
  <cols>
    <col min="1" max="1" width="1.5703125" customWidth="1"/>
    <col min="2" max="2" width="11.7109375" customWidth="1"/>
    <col min="3" max="3" width="14.85546875" customWidth="1"/>
    <col min="4" max="4" width="15.7109375" hidden="1" customWidth="1"/>
    <col min="5" max="5" width="15.7109375" customWidth="1"/>
    <col min="6" max="6" width="15.7109375" hidden="1" customWidth="1"/>
    <col min="7" max="7" width="15.7109375" customWidth="1"/>
    <col min="8" max="8" width="15.85546875" hidden="1" customWidth="1"/>
    <col min="9" max="9" width="15.7109375" customWidth="1"/>
    <col min="10" max="10" width="15.5703125" hidden="1" customWidth="1"/>
    <col min="11" max="11" width="15.7109375" customWidth="1"/>
  </cols>
  <sheetData>
    <row r="1" spans="2:11" ht="6.75" customHeight="1" thickBot="1" x14ac:dyDescent="0.3"/>
    <row r="2" spans="2:11" ht="54" customHeight="1" thickBot="1" x14ac:dyDescent="0.3">
      <c r="C2" s="502" t="s">
        <v>317</v>
      </c>
      <c r="D2" s="503"/>
      <c r="E2" s="503"/>
      <c r="F2" s="503"/>
      <c r="G2" s="503"/>
      <c r="H2" s="503"/>
      <c r="I2" s="503"/>
      <c r="J2" s="503"/>
      <c r="K2" s="504"/>
    </row>
    <row r="3" spans="2:11" ht="181.5" customHeight="1" thickBot="1" x14ac:dyDescent="0.3">
      <c r="C3" s="505" t="s">
        <v>325</v>
      </c>
      <c r="D3" s="506"/>
      <c r="E3" s="506"/>
      <c r="F3" s="506"/>
      <c r="G3" s="506"/>
      <c r="H3" s="506"/>
      <c r="I3" s="506"/>
      <c r="J3" s="506"/>
      <c r="K3" s="507"/>
    </row>
    <row r="4" spans="2:11" ht="15.75" thickBot="1" x14ac:dyDescent="0.3">
      <c r="C4" s="327" t="s">
        <v>5</v>
      </c>
      <c r="D4" s="328" t="s">
        <v>3</v>
      </c>
      <c r="E4" s="328" t="s">
        <v>4</v>
      </c>
      <c r="F4" s="328" t="s">
        <v>12</v>
      </c>
      <c r="G4" s="328" t="s">
        <v>13</v>
      </c>
      <c r="H4" s="328" t="s">
        <v>14</v>
      </c>
      <c r="I4" s="328" t="s">
        <v>15</v>
      </c>
      <c r="J4" s="328" t="s">
        <v>16</v>
      </c>
      <c r="K4" s="329" t="s">
        <v>17</v>
      </c>
    </row>
    <row r="5" spans="2:11" ht="107.25" customHeight="1" thickBot="1" x14ac:dyDescent="0.3">
      <c r="C5" s="362" t="s">
        <v>11</v>
      </c>
      <c r="D5" s="363" t="s">
        <v>20</v>
      </c>
      <c r="E5" s="365" t="s">
        <v>319</v>
      </c>
      <c r="F5" s="364" t="s">
        <v>21</v>
      </c>
      <c r="G5" s="365" t="s">
        <v>318</v>
      </c>
      <c r="H5" s="365" t="s">
        <v>18</v>
      </c>
      <c r="I5" s="365" t="s">
        <v>320</v>
      </c>
      <c r="J5" s="364" t="s">
        <v>19</v>
      </c>
      <c r="K5" s="365" t="s">
        <v>321</v>
      </c>
    </row>
    <row r="6" spans="2:11" ht="27" customHeight="1" thickBot="1" x14ac:dyDescent="0.3">
      <c r="B6" s="296" t="s">
        <v>278</v>
      </c>
      <c r="C6" s="359" t="s">
        <v>292</v>
      </c>
      <c r="D6" s="360">
        <f>'Modulo 1'!L7</f>
        <v>2326.4629999999997</v>
      </c>
      <c r="E6" s="360">
        <f>'Modulo 1'!L8</f>
        <v>1318.92</v>
      </c>
      <c r="F6" s="360">
        <f>'Modulo 1'!L9</f>
        <v>1828.816</v>
      </c>
      <c r="G6" s="360">
        <f>'Modulo 1'!L10</f>
        <v>1828.816</v>
      </c>
      <c r="H6" s="360">
        <f>'Modulo 1'!L11</f>
        <v>2049.6687999999999</v>
      </c>
      <c r="I6" s="360">
        <f>'Modulo 1'!L12</f>
        <v>1527.92</v>
      </c>
      <c r="J6" s="360">
        <f>'Modulo 1'!L13</f>
        <v>1708.6533333333334</v>
      </c>
      <c r="K6" s="361">
        <f>'Modulo 1'!L14</f>
        <v>1318.92</v>
      </c>
    </row>
    <row r="7" spans="2:11" ht="29.25" customHeight="1" x14ac:dyDescent="0.25">
      <c r="B7" s="297" t="s">
        <v>279</v>
      </c>
      <c r="C7" s="356" t="s">
        <v>293</v>
      </c>
      <c r="D7" s="357">
        <f>SUM(D8:D10)</f>
        <v>2079.9513014406002</v>
      </c>
      <c r="E7" s="357">
        <f t="shared" ref="E7:K7" si="0">SUM(E8:E10)</f>
        <v>1373.3002681040002</v>
      </c>
      <c r="F7" s="357">
        <f t="shared" si="0"/>
        <v>1696.5723944992001</v>
      </c>
      <c r="G7" s="357">
        <f t="shared" si="0"/>
        <v>1696.5723944992001</v>
      </c>
      <c r="H7" s="357">
        <f t="shared" si="0"/>
        <v>1836.5922304585602</v>
      </c>
      <c r="I7" s="357">
        <f t="shared" si="0"/>
        <v>1505.8054739040003</v>
      </c>
      <c r="J7" s="357">
        <f t="shared" si="0"/>
        <v>1620.389720450667</v>
      </c>
      <c r="K7" s="358">
        <f t="shared" si="0"/>
        <v>1373.3002681040002</v>
      </c>
    </row>
    <row r="8" spans="2:11" ht="45" x14ac:dyDescent="0.25">
      <c r="B8" s="298" t="s">
        <v>287</v>
      </c>
      <c r="C8" s="301" t="s">
        <v>294</v>
      </c>
      <c r="D8" s="9">
        <f>'Modulo 2.1'!K4</f>
        <v>452.36134315833328</v>
      </c>
      <c r="E8" s="22">
        <f>'Modulo 2.1'!K5</f>
        <v>256.45300299999997</v>
      </c>
      <c r="F8" s="22">
        <f>'Modulo 2.1'!K6</f>
        <v>355.59803106666664</v>
      </c>
      <c r="G8" s="22">
        <f>'Modulo 2.1'!K7</f>
        <v>355.59803106666664</v>
      </c>
      <c r="H8" s="22">
        <f>'Modulo 2.1'!K8</f>
        <v>398.54101758666661</v>
      </c>
      <c r="I8" s="22">
        <f>'Modulo 2.1'!K9</f>
        <v>297.09131133333335</v>
      </c>
      <c r="J8" s="22">
        <f>'Modulo 2.1'!K10</f>
        <v>332.23340188888892</v>
      </c>
      <c r="K8" s="96">
        <f>'Modulo 2.1'!K11</f>
        <v>256.45300299999997</v>
      </c>
    </row>
    <row r="9" spans="2:11" ht="45" x14ac:dyDescent="0.25">
      <c r="B9" s="298" t="s">
        <v>286</v>
      </c>
      <c r="C9" s="301" t="s">
        <v>295</v>
      </c>
      <c r="D9" s="9">
        <f>'Modulo 2.2'!I15</f>
        <v>1022.6073582822667</v>
      </c>
      <c r="E9" s="22">
        <f>'Modulo 2.2'!I16</f>
        <v>579.73726510400013</v>
      </c>
      <c r="F9" s="22">
        <f>'Modulo 2.2'!I17</f>
        <v>803.86436343253331</v>
      </c>
      <c r="G9" s="22">
        <f>'Modulo 2.2'!I18</f>
        <v>803.86436343253331</v>
      </c>
      <c r="H9" s="22">
        <f>'Modulo 2.2'!I19</f>
        <v>900.94121287189341</v>
      </c>
      <c r="I9" s="22">
        <f>'Modulo 2.2'!I20</f>
        <v>671.60416257066686</v>
      </c>
      <c r="J9" s="22">
        <f>'Modulo 2.2'!I21</f>
        <v>751.04631856177798</v>
      </c>
      <c r="K9" s="96">
        <f>'Modulo 2.2'!I22</f>
        <v>579.73726510400013</v>
      </c>
    </row>
    <row r="10" spans="2:11" ht="45.75" thickBot="1" x14ac:dyDescent="0.3">
      <c r="B10" s="270" t="s">
        <v>288</v>
      </c>
      <c r="C10" s="302" t="s">
        <v>296</v>
      </c>
      <c r="D10" s="10">
        <f>'Modulo 2.3'!P6</f>
        <v>604.98260000000005</v>
      </c>
      <c r="E10" s="26">
        <f>'Modulo 2.3'!P7</f>
        <v>537.11</v>
      </c>
      <c r="F10" s="26">
        <f>'Modulo 2.3'!P8</f>
        <v>537.11</v>
      </c>
      <c r="G10" s="26">
        <f>'Modulo 2.3'!P9</f>
        <v>537.11</v>
      </c>
      <c r="H10" s="26">
        <f>'Modulo 2.3'!P10</f>
        <v>537.11</v>
      </c>
      <c r="I10" s="26">
        <f>'Modulo 2.3'!P11</f>
        <v>537.11</v>
      </c>
      <c r="J10" s="26">
        <f>'Modulo 2.3'!P12</f>
        <v>537.11</v>
      </c>
      <c r="K10" s="99">
        <f>'Modulo 2.3'!P13</f>
        <v>537.11</v>
      </c>
    </row>
    <row r="11" spans="2:11" ht="30" x14ac:dyDescent="0.25">
      <c r="B11" s="297" t="s">
        <v>280</v>
      </c>
      <c r="C11" s="356" t="s">
        <v>297</v>
      </c>
      <c r="D11" s="357">
        <f>SUM(D12:D14)</f>
        <v>295.20784137445816</v>
      </c>
      <c r="E11" s="357">
        <f t="shared" ref="E11:K11" si="1">SUM(E12:E14)</f>
        <v>178.21469378267935</v>
      </c>
      <c r="F11" s="357">
        <f t="shared" si="1"/>
        <v>235.50175330842751</v>
      </c>
      <c r="G11" s="357">
        <f t="shared" si="1"/>
        <v>235.50175330842751</v>
      </c>
      <c r="H11" s="357">
        <f t="shared" si="1"/>
        <v>260.31467104072613</v>
      </c>
      <c r="I11" s="357">
        <f t="shared" si="1"/>
        <v>201.695943764796</v>
      </c>
      <c r="J11" s="357">
        <f t="shared" si="1"/>
        <v>222.00142022461051</v>
      </c>
      <c r="K11" s="358">
        <f t="shared" si="1"/>
        <v>178.21469378267935</v>
      </c>
    </row>
    <row r="12" spans="2:11" ht="30" x14ac:dyDescent="0.25">
      <c r="B12" s="298" t="s">
        <v>289</v>
      </c>
      <c r="C12" s="301" t="s">
        <v>298</v>
      </c>
      <c r="D12" s="9">
        <f>'Modulo 3'!L13</f>
        <v>138.11272891851738</v>
      </c>
      <c r="E12" s="22">
        <f>'Modulo 3'!L14</f>
        <v>83.72659394251167</v>
      </c>
      <c r="F12" s="22">
        <f>'Modulo 3'!L15</f>
        <v>110.28991838163934</v>
      </c>
      <c r="G12" s="22">
        <f>'Modulo 3'!L16</f>
        <v>110.28991838163934</v>
      </c>
      <c r="H12" s="22">
        <f>'Modulo 3'!L17</f>
        <v>121.79537161070914</v>
      </c>
      <c r="I12" s="22">
        <f>'Modulo 3'!L18</f>
        <v>94.614568760469993</v>
      </c>
      <c r="J12" s="22">
        <f>'Modulo 3'!L19</f>
        <v>104.02997537338391</v>
      </c>
      <c r="K12" s="96">
        <f>'Modulo 3'!L20</f>
        <v>83.72659394251167</v>
      </c>
    </row>
    <row r="13" spans="2:11" ht="30" x14ac:dyDescent="0.25">
      <c r="B13" s="298" t="s">
        <v>290</v>
      </c>
      <c r="C13" s="301" t="s">
        <v>299</v>
      </c>
      <c r="D13" s="9">
        <f>'Modulo 3'!L25</f>
        <v>160.48782252962829</v>
      </c>
      <c r="E13" s="22">
        <f>'Modulo 3'!L26</f>
        <v>96.411497362667689</v>
      </c>
      <c r="F13" s="22">
        <f>'Modulo 3'!L27</f>
        <v>127.87882015978815</v>
      </c>
      <c r="G13" s="22">
        <f>'Modulo 3'!L28</f>
        <v>127.87882015978815</v>
      </c>
      <c r="H13" s="22">
        <f>'Modulo 3'!L29</f>
        <v>141.508357061917</v>
      </c>
      <c r="I13" s="22">
        <f>'Modulo 3'!L30</f>
        <v>109.30955983932603</v>
      </c>
      <c r="J13" s="22">
        <f>'Modulo 3'!L31</f>
        <v>120.46319536539326</v>
      </c>
      <c r="K13" s="96">
        <f>'Modulo 3'!L32</f>
        <v>96.411497362667689</v>
      </c>
    </row>
    <row r="14" spans="2:11" ht="30.75" thickBot="1" x14ac:dyDescent="0.3">
      <c r="B14" s="270" t="s">
        <v>291</v>
      </c>
      <c r="C14" s="302" t="s">
        <v>300</v>
      </c>
      <c r="D14" s="10">
        <f>'Modulo 3'!I36</f>
        <v>-3.3927100736874993</v>
      </c>
      <c r="E14" s="26">
        <f>'Modulo 3'!I37</f>
        <v>-1.9233975224999997</v>
      </c>
      <c r="F14" s="26">
        <f>'Modulo 3'!I38</f>
        <v>-2.6669852329999997</v>
      </c>
      <c r="G14" s="26">
        <f>'Modulo 3'!I39</f>
        <v>-2.6669852329999997</v>
      </c>
      <c r="H14" s="26">
        <f>'Modulo 3'!I40</f>
        <v>-2.9890576318999993</v>
      </c>
      <c r="I14" s="26">
        <f>'Modulo 3'!I41</f>
        <v>-2.228184835</v>
      </c>
      <c r="J14" s="26">
        <f>'Modulo 3'!I42</f>
        <v>-2.4917505141666667</v>
      </c>
      <c r="K14" s="99">
        <f>'Modulo 3'!I43</f>
        <v>-1.9233975224999997</v>
      </c>
    </row>
    <row r="15" spans="2:11" ht="60.75" thickBot="1" x14ac:dyDescent="0.3">
      <c r="B15" s="296" t="s">
        <v>281</v>
      </c>
      <c r="C15" s="366" t="s">
        <v>301</v>
      </c>
      <c r="D15" s="367">
        <f>'Modulo 4'!I21</f>
        <v>384.94026653521615</v>
      </c>
      <c r="E15" s="360">
        <f>'Modulo 4'!I22</f>
        <v>235.01378157094609</v>
      </c>
      <c r="F15" s="360">
        <f>'Modulo 4'!I23</f>
        <v>307.91884416299075</v>
      </c>
      <c r="G15" s="360">
        <f>'Modulo 4'!I24</f>
        <v>224.35590176746402</v>
      </c>
      <c r="H15" s="360">
        <f>'Modulo 4'!I25</f>
        <v>247.36397347293988</v>
      </c>
      <c r="I15" s="360">
        <f>'Modulo 4'!I26</f>
        <v>193.00906467103206</v>
      </c>
      <c r="J15" s="360">
        <f>'Modulo 4'!I27</f>
        <v>211.83755809698371</v>
      </c>
      <c r="K15" s="361">
        <f>'Modulo 4'!I28</f>
        <v>171.23579765134988</v>
      </c>
    </row>
    <row r="16" spans="2:11" ht="30" x14ac:dyDescent="0.25">
      <c r="B16" s="297" t="s">
        <v>282</v>
      </c>
      <c r="C16" s="356" t="s">
        <v>304</v>
      </c>
      <c r="D16" s="357">
        <f>SUM(D17:D18)</f>
        <v>62.564717635008371</v>
      </c>
      <c r="E16" s="357">
        <f t="shared" ref="E16:K16" si="2">SUM(E17:E18)</f>
        <v>665.24922187322068</v>
      </c>
      <c r="F16" s="357">
        <f t="shared" si="2"/>
        <v>671.89408929111198</v>
      </c>
      <c r="G16" s="357">
        <f t="shared" si="2"/>
        <v>678.00628281192394</v>
      </c>
      <c r="H16" s="357">
        <f t="shared" si="2"/>
        <v>683.93234038018238</v>
      </c>
      <c r="I16" s="357">
        <f t="shared" si="2"/>
        <v>669.93245708701261</v>
      </c>
      <c r="J16" s="357">
        <f t="shared" si="2"/>
        <v>674.78200455861622</v>
      </c>
      <c r="K16" s="358">
        <f t="shared" si="2"/>
        <v>664.32444110638653</v>
      </c>
    </row>
    <row r="17" spans="2:11" ht="30" x14ac:dyDescent="0.25">
      <c r="B17" s="298" t="s">
        <v>284</v>
      </c>
      <c r="C17" s="303" t="s">
        <v>302</v>
      </c>
      <c r="D17" s="9">
        <f>'Modulo 5'!F5</f>
        <v>62.564717635008371</v>
      </c>
      <c r="E17" s="22">
        <f>'Modulo 5'!F6</f>
        <v>45.029006780135575</v>
      </c>
      <c r="F17" s="22">
        <f>'Modulo 5'!F7</f>
        <v>51.673874198026844</v>
      </c>
      <c r="G17" s="22">
        <f>'Modulo 5'!F8</f>
        <v>57.786067718838822</v>
      </c>
      <c r="H17" s="22">
        <f>'Modulo 5'!F9</f>
        <v>63.712125287097273</v>
      </c>
      <c r="I17" s="22">
        <f>'Modulo 5'!F10</f>
        <v>49.712241993927513</v>
      </c>
      <c r="J17" s="22">
        <f>'Modulo 5'!F11</f>
        <v>54.561789465531128</v>
      </c>
      <c r="K17" s="96">
        <f>'Modulo 5'!F12</f>
        <v>44.104226013301428</v>
      </c>
    </row>
    <row r="18" spans="2:11" ht="30.75" thickBot="1" x14ac:dyDescent="0.3">
      <c r="B18" s="299" t="s">
        <v>285</v>
      </c>
      <c r="C18" s="304" t="s">
        <v>303</v>
      </c>
      <c r="D18" s="251">
        <f>'Modulo 5'!K5</f>
        <v>0</v>
      </c>
      <c r="E18" s="250">
        <f>'Modulo 5'!K6</f>
        <v>620.22021509308513</v>
      </c>
      <c r="F18" s="250">
        <f>'Modulo 5'!K7</f>
        <v>620.22021509308513</v>
      </c>
      <c r="G18" s="250">
        <f>'Modulo 5'!K8</f>
        <v>620.22021509308513</v>
      </c>
      <c r="H18" s="250">
        <f>'Modulo 5'!K9</f>
        <v>620.22021509308513</v>
      </c>
      <c r="I18" s="250">
        <f>'Modulo 5'!K10</f>
        <v>620.22021509308513</v>
      </c>
      <c r="J18" s="250">
        <f>'Modulo 5'!K11</f>
        <v>620.22021509308513</v>
      </c>
      <c r="K18" s="305">
        <f>'Modulo 5'!K12</f>
        <v>620.22021509308513</v>
      </c>
    </row>
    <row r="19" spans="2:11" ht="60.75" thickBot="1" x14ac:dyDescent="0.3">
      <c r="B19" s="322" t="s">
        <v>283</v>
      </c>
      <c r="C19" s="368" t="s">
        <v>305</v>
      </c>
      <c r="D19" s="369">
        <f>'Modulo 6'!F12</f>
        <v>1122.8702012962231</v>
      </c>
      <c r="E19" s="370">
        <f>'Modulo 6'!F13</f>
        <v>822.27614097328296</v>
      </c>
      <c r="F19" s="370">
        <f>'Modulo 6'!F14</f>
        <v>887.28521537296831</v>
      </c>
      <c r="G19" s="370">
        <f>'Modulo 6'!F15</f>
        <v>1016.9154802414448</v>
      </c>
      <c r="H19" s="370">
        <f>'Modulo 6'!F16</f>
        <v>958.18646649110508</v>
      </c>
      <c r="I19" s="370">
        <f>'Modulo 6'!F17</f>
        <v>893.73004497434908</v>
      </c>
      <c r="J19" s="370">
        <f>'Modulo 6'!F18</f>
        <v>967.72143845894118</v>
      </c>
      <c r="K19" s="371">
        <f>'Modulo 6'!F19</f>
        <v>808.16640846597727</v>
      </c>
    </row>
    <row r="20" spans="2:11" ht="46.5" customHeight="1" thickTop="1" thickBot="1" x14ac:dyDescent="0.3">
      <c r="B20" s="300" t="s">
        <v>307</v>
      </c>
      <c r="C20" s="372" t="s">
        <v>306</v>
      </c>
      <c r="D20" s="373">
        <f>SUM(D6,D7,D11,D15,D16,D19)</f>
        <v>6271.9973282815063</v>
      </c>
      <c r="E20" s="373">
        <f t="shared" ref="E20:K20" si="3">SUM(E6,E7,E11,E15,E16,E19)</f>
        <v>4592.9741063041292</v>
      </c>
      <c r="F20" s="373">
        <f t="shared" si="3"/>
        <v>5627.9882966346986</v>
      </c>
      <c r="G20" s="373">
        <f t="shared" si="3"/>
        <v>5680.1678126284605</v>
      </c>
      <c r="H20" s="373">
        <f t="shared" si="3"/>
        <v>6036.0584818435136</v>
      </c>
      <c r="I20" s="373">
        <f t="shared" si="3"/>
        <v>4992.0929844011898</v>
      </c>
      <c r="J20" s="373">
        <f t="shared" si="3"/>
        <v>5405.385475123152</v>
      </c>
      <c r="K20" s="374">
        <f t="shared" si="3"/>
        <v>4514.1616091103933</v>
      </c>
    </row>
    <row r="21" spans="2:11" ht="31.5" customHeight="1" thickTop="1" x14ac:dyDescent="0.25">
      <c r="C21" s="306" t="s">
        <v>308</v>
      </c>
      <c r="D21" s="124">
        <v>0</v>
      </c>
      <c r="E21" s="124">
        <v>1</v>
      </c>
      <c r="F21" s="124">
        <v>0</v>
      </c>
      <c r="G21" s="124">
        <v>1</v>
      </c>
      <c r="H21" s="124">
        <v>0</v>
      </c>
      <c r="I21" s="124">
        <v>4</v>
      </c>
      <c r="J21" s="124">
        <v>0</v>
      </c>
      <c r="K21" s="307">
        <v>1</v>
      </c>
    </row>
    <row r="22" spans="2:11" ht="45.75" thickBot="1" x14ac:dyDescent="0.3">
      <c r="C22" s="308" t="s">
        <v>309</v>
      </c>
      <c r="D22" s="254">
        <f t="shared" ref="D22:K22" si="4">D21*D20</f>
        <v>0</v>
      </c>
      <c r="E22" s="254">
        <f t="shared" si="4"/>
        <v>4592.9741063041292</v>
      </c>
      <c r="F22" s="254">
        <f t="shared" si="4"/>
        <v>0</v>
      </c>
      <c r="G22" s="254">
        <f t="shared" si="4"/>
        <v>5680.1678126284605</v>
      </c>
      <c r="H22" s="254">
        <f t="shared" si="4"/>
        <v>0</v>
      </c>
      <c r="I22" s="254">
        <f t="shared" si="4"/>
        <v>19968.371937604759</v>
      </c>
      <c r="J22" s="254">
        <f t="shared" si="4"/>
        <v>0</v>
      </c>
      <c r="K22" s="309">
        <f t="shared" si="4"/>
        <v>4514.1616091103933</v>
      </c>
    </row>
    <row r="23" spans="2:11" ht="29.25" customHeight="1" thickBot="1" x14ac:dyDescent="0.3">
      <c r="C23" s="508" t="s">
        <v>492</v>
      </c>
      <c r="D23" s="509"/>
      <c r="E23" s="509"/>
      <c r="F23" s="509"/>
      <c r="G23" s="509"/>
      <c r="H23" s="509"/>
      <c r="I23" s="510"/>
      <c r="J23" s="498"/>
      <c r="K23" s="335">
        <f>SUM(D22:K22)</f>
        <v>34755.675465647742</v>
      </c>
    </row>
    <row r="24" spans="2:11" ht="16.5" thickBot="1" x14ac:dyDescent="0.3">
      <c r="C24" s="499" t="s">
        <v>326</v>
      </c>
      <c r="D24" s="500"/>
      <c r="E24" s="500"/>
      <c r="F24" s="500"/>
      <c r="G24" s="500"/>
      <c r="H24" s="500"/>
      <c r="I24" s="501"/>
      <c r="J24" s="1"/>
      <c r="K24" s="496">
        <f>SUM(K23:K23)</f>
        <v>34755.675465647742</v>
      </c>
    </row>
    <row r="25" spans="2:11" ht="16.5" thickBot="1" x14ac:dyDescent="0.3">
      <c r="C25" s="499" t="s">
        <v>327</v>
      </c>
      <c r="D25" s="500"/>
      <c r="E25" s="500"/>
      <c r="F25" s="500"/>
      <c r="G25" s="500"/>
      <c r="H25" s="500"/>
      <c r="I25" s="501"/>
      <c r="K25" s="495">
        <f>K24*12</f>
        <v>417068.10558777291</v>
      </c>
    </row>
  </sheetData>
  <mergeCells count="5">
    <mergeCell ref="C24:I24"/>
    <mergeCell ref="C25:I25"/>
    <mergeCell ref="C2:K2"/>
    <mergeCell ref="C3:K3"/>
    <mergeCell ref="C23:I23"/>
  </mergeCells>
  <pageMargins left="0.25" right="0.25" top="0.75" bottom="0.75" header="0.3" footer="0.3"/>
  <pageSetup paperSize="9" scale="56"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H19"/>
  <sheetViews>
    <sheetView view="pageBreakPreview" zoomScaleNormal="100" zoomScaleSheetLayoutView="100" workbookViewId="0">
      <selection activeCell="I10" sqref="I10"/>
    </sheetView>
  </sheetViews>
  <sheetFormatPr defaultRowHeight="15" x14ac:dyDescent="0.25"/>
  <cols>
    <col min="1" max="1" width="3.42578125" customWidth="1"/>
    <col min="2" max="2" width="4.85546875" customWidth="1"/>
    <col min="3" max="3" width="27.140625" customWidth="1"/>
    <col min="4" max="4" width="12.5703125" customWidth="1"/>
    <col min="5" max="5" width="7.7109375" customWidth="1"/>
    <col min="6" max="6" width="11.42578125" customWidth="1"/>
  </cols>
  <sheetData>
    <row r="1" spans="2:8" ht="50.25" customHeight="1" thickBot="1" x14ac:dyDescent="0.3">
      <c r="B1" s="591" t="s">
        <v>310</v>
      </c>
      <c r="C1" s="592"/>
      <c r="D1" s="592"/>
      <c r="E1" s="592"/>
      <c r="F1" s="592"/>
      <c r="G1" s="592"/>
      <c r="H1" s="593"/>
    </row>
    <row r="2" spans="2:8" ht="15.75" thickBot="1" x14ac:dyDescent="0.3">
      <c r="C2" s="589" t="s">
        <v>273</v>
      </c>
      <c r="D2" s="590"/>
    </row>
    <row r="3" spans="2:8" ht="37.5" customHeight="1" thickBot="1" x14ac:dyDescent="0.3">
      <c r="C3" s="278" t="s">
        <v>270</v>
      </c>
      <c r="D3" s="275">
        <v>0.03</v>
      </c>
    </row>
    <row r="4" spans="2:8" ht="30.75" thickBot="1" x14ac:dyDescent="0.3">
      <c r="C4" s="279" t="s">
        <v>271</v>
      </c>
      <c r="D4" s="249">
        <f>SUM(D5:D7)</f>
        <v>8.6499999999999994E-2</v>
      </c>
      <c r="F4" s="315" t="s">
        <v>277</v>
      </c>
    </row>
    <row r="5" spans="2:8" ht="15.75" thickBot="1" x14ac:dyDescent="0.3">
      <c r="C5" s="320" t="s">
        <v>274</v>
      </c>
      <c r="D5" s="321">
        <v>6.4999999999999997E-3</v>
      </c>
      <c r="F5" s="277">
        <f>((1+D3)/(1-D4-D8))-1</f>
        <v>0.21807000946073796</v>
      </c>
    </row>
    <row r="6" spans="2:8" x14ac:dyDescent="0.25">
      <c r="C6" s="320" t="s">
        <v>275</v>
      </c>
      <c r="D6" s="321">
        <v>0.03</v>
      </c>
    </row>
    <row r="7" spans="2:8" x14ac:dyDescent="0.25">
      <c r="C7" s="320" t="s">
        <v>276</v>
      </c>
      <c r="D7" s="321">
        <v>0.05</v>
      </c>
    </row>
    <row r="8" spans="2:8" ht="28.5" customHeight="1" thickBot="1" x14ac:dyDescent="0.3">
      <c r="C8" s="280" t="s">
        <v>272</v>
      </c>
      <c r="D8" s="276">
        <v>6.7900000000000002E-2</v>
      </c>
    </row>
    <row r="9" spans="2:8" ht="15.75" thickBot="1" x14ac:dyDescent="0.3">
      <c r="C9" s="62"/>
      <c r="D9" s="246"/>
    </row>
    <row r="10" spans="2:8" ht="15.75" thickBot="1" x14ac:dyDescent="0.3">
      <c r="B10" s="586" t="s">
        <v>269</v>
      </c>
      <c r="C10" s="587"/>
      <c r="D10" s="587"/>
      <c r="E10" s="587"/>
      <c r="F10" s="588"/>
    </row>
    <row r="11" spans="2:8" ht="30.75" thickBot="1" x14ac:dyDescent="0.3">
      <c r="B11" s="91" t="s">
        <v>5</v>
      </c>
      <c r="C11" s="260" t="s">
        <v>11</v>
      </c>
      <c r="D11" s="265" t="s">
        <v>27</v>
      </c>
      <c r="E11" s="266" t="s">
        <v>31</v>
      </c>
      <c r="F11" s="274" t="s">
        <v>44</v>
      </c>
    </row>
    <row r="12" spans="2:8" ht="75.75" hidden="1" thickBot="1" x14ac:dyDescent="0.3">
      <c r="B12" s="18" t="s">
        <v>3</v>
      </c>
      <c r="C12" s="14" t="s">
        <v>20</v>
      </c>
      <c r="D12" s="29">
        <f>'Modulo 1'!L7+'Modulo 2.1'!K4+'Modulo 2.2'!I15+'Modulo 2.3'!P6+'Modulo 3'!L13+'Modulo 3'!L25+'Modulo 3'!I36+'Modulo 4'!I21+'Modulo 5'!L5</f>
        <v>5149.1271269852823</v>
      </c>
      <c r="E12" s="31">
        <f>$F$5</f>
        <v>0.21807000946073796</v>
      </c>
      <c r="F12" s="247">
        <f>E12*D12</f>
        <v>1122.8702012962231</v>
      </c>
    </row>
    <row r="13" spans="2:8" ht="60.75" thickBot="1" x14ac:dyDescent="0.3">
      <c r="B13" s="18" t="s">
        <v>4</v>
      </c>
      <c r="C13" s="67" t="s">
        <v>319</v>
      </c>
      <c r="D13" s="29">
        <f>'Modulo 1'!L8+'Modulo 2.1'!K5+'Modulo 2.2'!I16+'Modulo 2.3'!P7+'Modulo 3'!L14+'Modulo 3'!L26+'Modulo 3'!I37+'Modulo 4'!I22+'Modulo 5'!L6</f>
        <v>3770.6979653308463</v>
      </c>
      <c r="E13" s="31">
        <f t="shared" ref="E13:E19" si="0">$F$5</f>
        <v>0.21807000946073796</v>
      </c>
      <c r="F13" s="247">
        <f t="shared" ref="F13:F19" si="1">E13*D13</f>
        <v>822.27614097328296</v>
      </c>
    </row>
    <row r="14" spans="2:8" ht="75" hidden="1" x14ac:dyDescent="0.25">
      <c r="B14" s="23" t="s">
        <v>12</v>
      </c>
      <c r="C14" s="68" t="s">
        <v>21</v>
      </c>
      <c r="D14" s="29">
        <f>'Modulo 1'!L9+'Modulo 2.1'!K6+'Modulo 2.2'!I17+'Modulo 2.3'!P8+'Modulo 3'!L15+'Modulo 3'!L27+'Modulo 3'!I38+'Modulo 4'!I23+'Modulo 5'!L7</f>
        <v>4068.8089919706181</v>
      </c>
      <c r="E14" s="31">
        <f t="shared" si="0"/>
        <v>0.21807000946073796</v>
      </c>
      <c r="F14" s="247">
        <f t="shared" si="1"/>
        <v>887.28521537296831</v>
      </c>
    </row>
    <row r="15" spans="2:8" ht="60" x14ac:dyDescent="0.25">
      <c r="B15" s="24" t="s">
        <v>13</v>
      </c>
      <c r="C15" s="69" t="s">
        <v>324</v>
      </c>
      <c r="D15" s="29">
        <f>'Modulo 1'!L10+'Modulo 2.1'!K7+'Modulo 2.2'!I18+'Modulo 2.3'!P9+'Modulo 3'!L16+'Modulo 3'!L28+'Modulo 3'!I39+'Modulo 4'!I24+'Modulo 5'!L8</f>
        <v>4663.2523323870155</v>
      </c>
      <c r="E15" s="31">
        <f t="shared" si="0"/>
        <v>0.21807000946073796</v>
      </c>
      <c r="F15" s="247">
        <f t="shared" si="1"/>
        <v>1016.9154802414448</v>
      </c>
    </row>
    <row r="16" spans="2:8" ht="60" hidden="1" x14ac:dyDescent="0.25">
      <c r="B16" s="24" t="s">
        <v>14</v>
      </c>
      <c r="C16" s="69" t="s">
        <v>18</v>
      </c>
      <c r="D16" s="29">
        <f>'Modulo 1'!L11+'Modulo 2.1'!K8+'Modulo 2.2'!I19+'Modulo 2.3'!P10+'Modulo 3'!L17+'Modulo 3'!L29+'Modulo 3'!I40+'Modulo 4'!I25+'Modulo 5'!L9</f>
        <v>4393.9396749722255</v>
      </c>
      <c r="E16" s="31">
        <f t="shared" si="0"/>
        <v>0.21807000946073796</v>
      </c>
      <c r="F16" s="247">
        <f t="shared" si="1"/>
        <v>958.18646649110508</v>
      </c>
    </row>
    <row r="17" spans="2:6" ht="60" x14ac:dyDescent="0.25">
      <c r="B17" s="24" t="s">
        <v>15</v>
      </c>
      <c r="C17" s="69" t="s">
        <v>323</v>
      </c>
      <c r="D17" s="29">
        <f>'Modulo 1'!L12+'Modulo 2.1'!K9+'Modulo 2.2'!I20+'Modulo 2.3'!P11+'Modulo 3'!L18+'Modulo 3'!L30+'Modulo 3'!I41+'Modulo 4'!I26+'Modulo 5'!L10</f>
        <v>4098.362939426841</v>
      </c>
      <c r="E17" s="31">
        <f t="shared" si="0"/>
        <v>0.21807000946073796</v>
      </c>
      <c r="F17" s="247">
        <f t="shared" si="1"/>
        <v>893.73004497434908</v>
      </c>
    </row>
    <row r="18" spans="2:6" ht="60" hidden="1" x14ac:dyDescent="0.25">
      <c r="B18" s="24" t="s">
        <v>16</v>
      </c>
      <c r="C18" s="69" t="s">
        <v>19</v>
      </c>
      <c r="D18" s="29">
        <f>'Modulo 1'!L13+'Modulo 2.1'!K10+'Modulo 2.2'!I21+'Modulo 2.3'!P12+'Modulo 3'!L19+'Modulo 3'!L31+'Modulo 3'!I42+'Modulo 4'!I27+'Modulo 5'!L11</f>
        <v>4437.6640366642114</v>
      </c>
      <c r="E18" s="31">
        <f t="shared" si="0"/>
        <v>0.21807000946073796</v>
      </c>
      <c r="F18" s="247">
        <f t="shared" si="1"/>
        <v>967.72143845894118</v>
      </c>
    </row>
    <row r="19" spans="2:6" ht="60.75" thickBot="1" x14ac:dyDescent="0.3">
      <c r="B19" s="25" t="s">
        <v>17</v>
      </c>
      <c r="C19" s="70" t="s">
        <v>322</v>
      </c>
      <c r="D19" s="56">
        <f>'Modulo 1'!L14+'Modulo 2.1'!K11+'Modulo 2.2'!I22+'Modulo 2.3'!P13+'Modulo 3'!L20+'Modulo 3'!L32+'Modulo 3'!I43+'Modulo 4'!I28+'Modulo 5'!L12</f>
        <v>3705.9952006444159</v>
      </c>
      <c r="E19" s="32">
        <f t="shared" si="0"/>
        <v>0.21807000946073796</v>
      </c>
      <c r="F19" s="248">
        <f t="shared" si="1"/>
        <v>808.16640846597727</v>
      </c>
    </row>
  </sheetData>
  <mergeCells count="3">
    <mergeCell ref="B10:F10"/>
    <mergeCell ref="C2:D2"/>
    <mergeCell ref="B1:H1"/>
  </mergeCells>
  <pageMargins left="0.511811024" right="0.511811024" top="0.78740157499999996" bottom="0.78740157499999996" header="0.31496062000000002" footer="0.31496062000000002"/>
  <pageSetup paperSize="9" scale="95" orientation="portrait" r:id="rId1"/>
  <ignoredErrors>
    <ignoredError sqref="D4" formulaRange="1"/>
  </ignoredError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09"/>
  <sheetViews>
    <sheetView view="pageBreakPreview" zoomScale="110" zoomScaleNormal="110" zoomScaleSheetLayoutView="110" workbookViewId="0">
      <selection activeCell="L11" sqref="L11"/>
    </sheetView>
  </sheetViews>
  <sheetFormatPr defaultColWidth="9.140625" defaultRowHeight="9.75" x14ac:dyDescent="0.15"/>
  <cols>
    <col min="1" max="1" width="7.42578125" style="377" customWidth="1"/>
    <col min="2" max="2" width="8.7109375" style="377" customWidth="1"/>
    <col min="3" max="3" width="14.42578125" style="377" customWidth="1"/>
    <col min="4" max="4" width="36.28515625" style="377" customWidth="1"/>
    <col min="5" max="5" width="11.5703125" style="377" customWidth="1"/>
    <col min="6" max="6" width="12.7109375" style="378" customWidth="1"/>
    <col min="7" max="7" width="10.140625" style="379" customWidth="1"/>
    <col min="8" max="8" width="12.7109375" style="379" customWidth="1"/>
    <col min="9" max="9" width="7.7109375" style="377" customWidth="1"/>
    <col min="10" max="10" width="13.7109375" style="377" customWidth="1"/>
    <col min="11" max="16384" width="9.140625" style="377"/>
  </cols>
  <sheetData>
    <row r="1" spans="1:11" ht="10.5" thickBot="1" x14ac:dyDescent="0.2"/>
    <row r="2" spans="1:11" ht="12" customHeight="1" x14ac:dyDescent="0.15">
      <c r="C2" s="594" t="s">
        <v>328</v>
      </c>
      <c r="D2" s="380" t="str">
        <f>'[1]EPI´s LT 01'!A2</f>
        <v>EPI's</v>
      </c>
      <c r="E2" s="381">
        <f>EPI´s!H10</f>
        <v>480.29916666666662</v>
      </c>
    </row>
    <row r="3" spans="1:11" ht="11.25" customHeight="1" thickBot="1" x14ac:dyDescent="0.2">
      <c r="C3" s="595"/>
      <c r="D3" s="382" t="str">
        <f>C10</f>
        <v>EQUIPAMENTO</v>
      </c>
      <c r="E3" s="383">
        <f>SUMIF($C$10:$C$83,D3,$J$10:$J$83)</f>
        <v>463.14916666666659</v>
      </c>
    </row>
    <row r="4" spans="1:11" ht="10.5" thickBot="1" x14ac:dyDescent="0.2">
      <c r="C4" s="595"/>
      <c r="D4" s="382" t="str">
        <f>C34</f>
        <v>PRODUTO DE LIMPEZA</v>
      </c>
      <c r="E4" s="383">
        <f>SUMIF($C$10:$C$83,D4,$J$10:$J$83)</f>
        <v>2676.1650975177304</v>
      </c>
      <c r="F4" s="384" t="s">
        <v>329</v>
      </c>
      <c r="G4" s="385">
        <v>54</v>
      </c>
      <c r="H4" s="597" t="s">
        <v>330</v>
      </c>
      <c r="I4" s="598"/>
      <c r="J4" s="386">
        <f>G4/SUM($G$4:$G$7)</f>
        <v>0.57446808510638303</v>
      </c>
      <c r="K4" s="387">
        <v>12</v>
      </c>
    </row>
    <row r="5" spans="1:11" ht="10.5" thickBot="1" x14ac:dyDescent="0.2">
      <c r="C5" s="595"/>
      <c r="D5" s="388" t="str">
        <f>C67</f>
        <v>HIGIENE/ DESODORIZAÇÃO DE AMBIENTES</v>
      </c>
      <c r="E5" s="383">
        <f>SUMIF($C$10:$C$83,D5,$J$10:$J$83)</f>
        <v>976.1214539007093</v>
      </c>
      <c r="F5" s="389" t="s">
        <v>331</v>
      </c>
      <c r="G5" s="390">
        <v>18</v>
      </c>
      <c r="H5" s="599" t="s">
        <v>332</v>
      </c>
      <c r="I5" s="600"/>
      <c r="J5" s="386">
        <f t="shared" ref="J5:J7" si="0">G5/SUM($G$4:$G$7)</f>
        <v>0.19148936170212766</v>
      </c>
      <c r="K5" s="387"/>
    </row>
    <row r="6" spans="1:11" ht="10.5" thickBot="1" x14ac:dyDescent="0.2">
      <c r="C6" s="595"/>
      <c r="D6" s="391" t="str">
        <f>C77</f>
        <v>UTENSÍLIOS DE LIMPEZA</v>
      </c>
      <c r="E6" s="392">
        <f>SUMIF($C$10:$C$83,D6,$J$10:$J$83)</f>
        <v>188.33289007092199</v>
      </c>
      <c r="F6" s="389" t="s">
        <v>333</v>
      </c>
      <c r="G6" s="390">
        <v>15</v>
      </c>
      <c r="H6" s="599" t="s">
        <v>334</v>
      </c>
      <c r="I6" s="600"/>
      <c r="J6" s="386">
        <f t="shared" si="0"/>
        <v>0.15957446808510639</v>
      </c>
      <c r="K6" s="387"/>
    </row>
    <row r="7" spans="1:11" ht="10.5" thickBot="1" x14ac:dyDescent="0.2">
      <c r="C7" s="596"/>
      <c r="D7" s="393" t="s">
        <v>44</v>
      </c>
      <c r="E7" s="394">
        <f>SUM(E2:E6)</f>
        <v>4784.0677748226954</v>
      </c>
      <c r="F7" s="395" t="s">
        <v>328</v>
      </c>
      <c r="G7" s="396">
        <v>7</v>
      </c>
      <c r="H7" s="601" t="s">
        <v>335</v>
      </c>
      <c r="I7" s="602"/>
      <c r="J7" s="397">
        <f t="shared" si="0"/>
        <v>7.4468085106382975E-2</v>
      </c>
      <c r="K7" s="387"/>
    </row>
    <row r="8" spans="1:11" ht="4.5" customHeight="1" thickBot="1" x14ac:dyDescent="0.2">
      <c r="G8" s="398"/>
    </row>
    <row r="9" spans="1:11" ht="48.75" customHeight="1" thickBot="1" x14ac:dyDescent="0.2">
      <c r="A9" s="399" t="s">
        <v>5</v>
      </c>
      <c r="B9" s="400" t="s">
        <v>336</v>
      </c>
      <c r="C9" s="400" t="s">
        <v>337</v>
      </c>
      <c r="D9" s="401" t="s">
        <v>338</v>
      </c>
      <c r="E9" s="402" t="s">
        <v>339</v>
      </c>
      <c r="F9" s="403" t="s">
        <v>340</v>
      </c>
      <c r="G9" s="403" t="s">
        <v>341</v>
      </c>
      <c r="H9" s="403" t="s">
        <v>342</v>
      </c>
      <c r="I9" s="402" t="s">
        <v>343</v>
      </c>
      <c r="J9" s="404" t="s">
        <v>120</v>
      </c>
    </row>
    <row r="10" spans="1:11" ht="58.5" x14ac:dyDescent="0.15">
      <c r="A10" s="405" t="s">
        <v>344</v>
      </c>
      <c r="B10" s="406" t="s">
        <v>493</v>
      </c>
      <c r="C10" s="406" t="s">
        <v>345</v>
      </c>
      <c r="D10" s="407" t="s">
        <v>346</v>
      </c>
      <c r="E10" s="408" t="s">
        <v>194</v>
      </c>
      <c r="F10" s="409">
        <v>360</v>
      </c>
      <c r="G10" s="410"/>
      <c r="H10" s="411">
        <v>2</v>
      </c>
      <c r="I10" s="412">
        <f>H10/$K$4</f>
        <v>0.16666666666666666</v>
      </c>
      <c r="J10" s="413">
        <f t="shared" ref="J10:J57" si="1">F10*I10</f>
        <v>60</v>
      </c>
    </row>
    <row r="11" spans="1:11" ht="118.5" customHeight="1" x14ac:dyDescent="0.15">
      <c r="A11" s="414" t="s">
        <v>347</v>
      </c>
      <c r="B11" s="415" t="s">
        <v>494</v>
      </c>
      <c r="C11" s="415" t="s">
        <v>345</v>
      </c>
      <c r="D11" s="416" t="s">
        <v>348</v>
      </c>
      <c r="E11" s="417" t="s">
        <v>194</v>
      </c>
      <c r="F11" s="418">
        <v>810</v>
      </c>
      <c r="G11" s="419"/>
      <c r="H11" s="420">
        <v>1</v>
      </c>
      <c r="I11" s="421">
        <f t="shared" ref="I11:I74" si="2">H11/$K$4</f>
        <v>8.3333333333333329E-2</v>
      </c>
      <c r="J11" s="422">
        <f t="shared" si="1"/>
        <v>67.5</v>
      </c>
    </row>
    <row r="12" spans="1:11" ht="58.5" x14ac:dyDescent="0.15">
      <c r="A12" s="414" t="s">
        <v>349</v>
      </c>
      <c r="B12" s="415" t="s">
        <v>350</v>
      </c>
      <c r="C12" s="415" t="s">
        <v>345</v>
      </c>
      <c r="D12" s="416" t="s">
        <v>351</v>
      </c>
      <c r="E12" s="417" t="s">
        <v>194</v>
      </c>
      <c r="F12" s="418">
        <v>1597.79</v>
      </c>
      <c r="G12" s="419"/>
      <c r="H12" s="420">
        <v>1</v>
      </c>
      <c r="I12" s="421">
        <f t="shared" si="2"/>
        <v>8.3333333333333329E-2</v>
      </c>
      <c r="J12" s="422">
        <f t="shared" si="1"/>
        <v>133.14916666666664</v>
      </c>
    </row>
    <row r="13" spans="1:11" ht="162.75" customHeight="1" x14ac:dyDescent="0.15">
      <c r="A13" s="423">
        <v>113681</v>
      </c>
      <c r="B13" s="424" t="s">
        <v>352</v>
      </c>
      <c r="C13" s="415" t="s">
        <v>345</v>
      </c>
      <c r="D13" s="425" t="s">
        <v>353</v>
      </c>
      <c r="E13" s="424" t="s">
        <v>194</v>
      </c>
      <c r="F13" s="426">
        <v>1700</v>
      </c>
      <c r="G13" s="427"/>
      <c r="H13" s="420">
        <v>0</v>
      </c>
      <c r="I13" s="421">
        <f t="shared" si="2"/>
        <v>0</v>
      </c>
      <c r="J13" s="428">
        <f t="shared" si="1"/>
        <v>0</v>
      </c>
    </row>
    <row r="14" spans="1:11" ht="52.5" customHeight="1" x14ac:dyDescent="0.15">
      <c r="A14" s="414" t="s">
        <v>354</v>
      </c>
      <c r="B14" s="415" t="s">
        <v>355</v>
      </c>
      <c r="C14" s="415" t="s">
        <v>345</v>
      </c>
      <c r="D14" s="429" t="s">
        <v>356</v>
      </c>
      <c r="E14" s="417" t="s">
        <v>194</v>
      </c>
      <c r="F14" s="418">
        <v>65</v>
      </c>
      <c r="G14" s="419"/>
      <c r="H14" s="420">
        <v>5</v>
      </c>
      <c r="I14" s="421">
        <f t="shared" si="2"/>
        <v>0.41666666666666669</v>
      </c>
      <c r="J14" s="422">
        <f t="shared" si="1"/>
        <v>27.083333333333336</v>
      </c>
    </row>
    <row r="15" spans="1:11" ht="29.25" x14ac:dyDescent="0.15">
      <c r="A15" s="414" t="s">
        <v>357</v>
      </c>
      <c r="B15" s="415" t="s">
        <v>358</v>
      </c>
      <c r="C15" s="415" t="s">
        <v>345</v>
      </c>
      <c r="D15" s="416" t="s">
        <v>359</v>
      </c>
      <c r="E15" s="417" t="s">
        <v>194</v>
      </c>
      <c r="F15" s="418">
        <v>20.8</v>
      </c>
      <c r="G15" s="419"/>
      <c r="H15" s="420">
        <v>8</v>
      </c>
      <c r="I15" s="421">
        <f t="shared" si="2"/>
        <v>0.66666666666666663</v>
      </c>
      <c r="J15" s="422">
        <f t="shared" si="1"/>
        <v>13.866666666666667</v>
      </c>
    </row>
    <row r="16" spans="1:11" ht="34.5" customHeight="1" x14ac:dyDescent="0.15">
      <c r="A16" s="414">
        <v>113684</v>
      </c>
      <c r="B16" s="417" t="s">
        <v>352</v>
      </c>
      <c r="C16" s="415" t="s">
        <v>345</v>
      </c>
      <c r="D16" s="425" t="s">
        <v>360</v>
      </c>
      <c r="E16" s="417" t="s">
        <v>194</v>
      </c>
      <c r="F16" s="418">
        <v>399</v>
      </c>
      <c r="G16" s="419"/>
      <c r="H16" s="420">
        <v>1</v>
      </c>
      <c r="I16" s="421">
        <f t="shared" si="2"/>
        <v>8.3333333333333329E-2</v>
      </c>
      <c r="J16" s="422">
        <f t="shared" si="1"/>
        <v>33.25</v>
      </c>
    </row>
    <row r="17" spans="1:10" ht="69.75" customHeight="1" x14ac:dyDescent="0.15">
      <c r="A17" s="430">
        <v>115113</v>
      </c>
      <c r="B17" s="497" t="s">
        <v>361</v>
      </c>
      <c r="C17" s="415" t="s">
        <v>345</v>
      </c>
      <c r="D17" s="431" t="s">
        <v>362</v>
      </c>
      <c r="E17" s="432" t="s">
        <v>194</v>
      </c>
      <c r="F17" s="418">
        <v>24.8</v>
      </c>
      <c r="G17" s="419"/>
      <c r="H17" s="420">
        <v>15</v>
      </c>
      <c r="I17" s="421">
        <f t="shared" si="2"/>
        <v>1.25</v>
      </c>
      <c r="J17" s="422">
        <f t="shared" si="1"/>
        <v>31</v>
      </c>
    </row>
    <row r="18" spans="1:10" ht="30" customHeight="1" x14ac:dyDescent="0.15">
      <c r="A18" s="430">
        <v>115078</v>
      </c>
      <c r="B18" s="433" t="s">
        <v>361</v>
      </c>
      <c r="C18" s="415" t="s">
        <v>345</v>
      </c>
      <c r="D18" s="431" t="s">
        <v>363</v>
      </c>
      <c r="E18" s="432" t="s">
        <v>194</v>
      </c>
      <c r="F18" s="418">
        <v>13.4</v>
      </c>
      <c r="G18" s="419"/>
      <c r="H18" s="420">
        <v>20</v>
      </c>
      <c r="I18" s="421">
        <f t="shared" si="2"/>
        <v>1.6666666666666667</v>
      </c>
      <c r="J18" s="422">
        <f t="shared" si="1"/>
        <v>22.333333333333336</v>
      </c>
    </row>
    <row r="19" spans="1:10" ht="57" customHeight="1" x14ac:dyDescent="0.15">
      <c r="A19" s="434" t="s">
        <v>364</v>
      </c>
      <c r="B19" s="415" t="s">
        <v>365</v>
      </c>
      <c r="C19" s="415" t="s">
        <v>345</v>
      </c>
      <c r="D19" s="416" t="s">
        <v>366</v>
      </c>
      <c r="E19" s="432" t="s">
        <v>194</v>
      </c>
      <c r="F19" s="418">
        <v>27</v>
      </c>
      <c r="G19" s="419"/>
      <c r="H19" s="420">
        <v>5</v>
      </c>
      <c r="I19" s="421">
        <f t="shared" si="2"/>
        <v>0.41666666666666669</v>
      </c>
      <c r="J19" s="422">
        <f t="shared" si="1"/>
        <v>11.25</v>
      </c>
    </row>
    <row r="20" spans="1:10" ht="99" customHeight="1" x14ac:dyDescent="0.15">
      <c r="A20" s="435">
        <v>115075</v>
      </c>
      <c r="B20" s="433" t="s">
        <v>361</v>
      </c>
      <c r="C20" s="415" t="s">
        <v>345</v>
      </c>
      <c r="D20" s="431" t="s">
        <v>367</v>
      </c>
      <c r="E20" s="432" t="s">
        <v>194</v>
      </c>
      <c r="F20" s="418">
        <v>13.85</v>
      </c>
      <c r="G20" s="419"/>
      <c r="H20" s="420">
        <v>20</v>
      </c>
      <c r="I20" s="421">
        <f t="shared" si="2"/>
        <v>1.6666666666666667</v>
      </c>
      <c r="J20" s="422">
        <f t="shared" si="1"/>
        <v>23.083333333333332</v>
      </c>
    </row>
    <row r="21" spans="1:10" ht="97.5" customHeight="1" x14ac:dyDescent="0.15">
      <c r="A21" s="435">
        <v>115076</v>
      </c>
      <c r="B21" s="433" t="s">
        <v>361</v>
      </c>
      <c r="C21" s="415" t="s">
        <v>345</v>
      </c>
      <c r="D21" s="425" t="s">
        <v>368</v>
      </c>
      <c r="E21" s="432" t="s">
        <v>194</v>
      </c>
      <c r="F21" s="418">
        <v>13.89</v>
      </c>
      <c r="G21" s="419"/>
      <c r="H21" s="420">
        <v>20</v>
      </c>
      <c r="I21" s="421">
        <f t="shared" si="2"/>
        <v>1.6666666666666667</v>
      </c>
      <c r="J21" s="422">
        <f t="shared" si="1"/>
        <v>23.150000000000002</v>
      </c>
    </row>
    <row r="22" spans="1:10" ht="87.75" customHeight="1" x14ac:dyDescent="0.15">
      <c r="A22" s="435">
        <v>115077</v>
      </c>
      <c r="B22" s="433" t="s">
        <v>361</v>
      </c>
      <c r="C22" s="415" t="s">
        <v>345</v>
      </c>
      <c r="D22" s="431" t="s">
        <v>369</v>
      </c>
      <c r="E22" s="432" t="s">
        <v>194</v>
      </c>
      <c r="F22" s="418">
        <v>10.49</v>
      </c>
      <c r="G22" s="419"/>
      <c r="H22" s="420">
        <v>20</v>
      </c>
      <c r="I22" s="421">
        <f t="shared" si="2"/>
        <v>1.6666666666666667</v>
      </c>
      <c r="J22" s="422">
        <f t="shared" si="1"/>
        <v>17.483333333333334</v>
      </c>
    </row>
    <row r="23" spans="1:10" ht="111.75" customHeight="1" x14ac:dyDescent="0.15">
      <c r="A23" s="414" t="s">
        <v>370</v>
      </c>
      <c r="B23" s="415" t="s">
        <v>371</v>
      </c>
      <c r="C23" s="436" t="s">
        <v>372</v>
      </c>
      <c r="D23" s="437" t="s">
        <v>373</v>
      </c>
      <c r="E23" s="415" t="s">
        <v>374</v>
      </c>
      <c r="F23" s="418">
        <v>80</v>
      </c>
      <c r="G23" s="438">
        <v>290</v>
      </c>
      <c r="H23" s="439">
        <f>G23*$J$7</f>
        <v>21.595744680851062</v>
      </c>
      <c r="I23" s="421">
        <f t="shared" si="2"/>
        <v>1.7996453900709219</v>
      </c>
      <c r="J23" s="422">
        <f t="shared" si="1"/>
        <v>143.97163120567376</v>
      </c>
    </row>
    <row r="24" spans="1:10" ht="40.5" customHeight="1" x14ac:dyDescent="0.15">
      <c r="A24" s="414" t="s">
        <v>375</v>
      </c>
      <c r="B24" s="415" t="s">
        <v>376</v>
      </c>
      <c r="C24" s="436" t="s">
        <v>372</v>
      </c>
      <c r="D24" s="440" t="s">
        <v>377</v>
      </c>
      <c r="E24" s="415" t="s">
        <v>378</v>
      </c>
      <c r="F24" s="418">
        <v>9.0500000000000007</v>
      </c>
      <c r="G24" s="438">
        <v>603</v>
      </c>
      <c r="H24" s="439">
        <f t="shared" ref="H24:H83" si="3">G24*$J$7</f>
        <v>44.904255319148938</v>
      </c>
      <c r="I24" s="421">
        <f t="shared" si="2"/>
        <v>3.7420212765957448</v>
      </c>
      <c r="J24" s="422">
        <f t="shared" si="1"/>
        <v>33.865292553191495</v>
      </c>
    </row>
    <row r="25" spans="1:10" ht="68.25" x14ac:dyDescent="0.15">
      <c r="A25" s="414" t="s">
        <v>379</v>
      </c>
      <c r="B25" s="415" t="s">
        <v>380</v>
      </c>
      <c r="C25" s="436" t="s">
        <v>372</v>
      </c>
      <c r="D25" s="440" t="s">
        <v>381</v>
      </c>
      <c r="E25" s="415" t="s">
        <v>382</v>
      </c>
      <c r="F25" s="418">
        <v>470</v>
      </c>
      <c r="G25" s="438">
        <v>40</v>
      </c>
      <c r="H25" s="439">
        <f t="shared" si="3"/>
        <v>2.978723404255319</v>
      </c>
      <c r="I25" s="421">
        <f t="shared" si="2"/>
        <v>0.24822695035460993</v>
      </c>
      <c r="J25" s="422">
        <f t="shared" si="1"/>
        <v>116.66666666666667</v>
      </c>
    </row>
    <row r="26" spans="1:10" ht="78" x14ac:dyDescent="0.15">
      <c r="A26" s="430">
        <v>115048</v>
      </c>
      <c r="B26" s="497" t="s">
        <v>383</v>
      </c>
      <c r="C26" s="436" t="s">
        <v>372</v>
      </c>
      <c r="D26" s="425" t="s">
        <v>384</v>
      </c>
      <c r="E26" s="417" t="s">
        <v>211</v>
      </c>
      <c r="F26" s="418">
        <v>0.92</v>
      </c>
      <c r="G26" s="438">
        <v>20000</v>
      </c>
      <c r="H26" s="439">
        <f t="shared" si="3"/>
        <v>1489.3617021276596</v>
      </c>
      <c r="I26" s="421">
        <f t="shared" si="2"/>
        <v>124.11347517730496</v>
      </c>
      <c r="J26" s="422">
        <f t="shared" si="1"/>
        <v>114.18439716312056</v>
      </c>
    </row>
    <row r="27" spans="1:10" ht="97.5" x14ac:dyDescent="0.15">
      <c r="A27" s="430">
        <v>115051</v>
      </c>
      <c r="B27" s="497" t="s">
        <v>361</v>
      </c>
      <c r="C27" s="436" t="s">
        <v>372</v>
      </c>
      <c r="D27" s="425" t="s">
        <v>385</v>
      </c>
      <c r="E27" s="417" t="s">
        <v>211</v>
      </c>
      <c r="F27" s="418">
        <v>3.37</v>
      </c>
      <c r="G27" s="438">
        <v>5000</v>
      </c>
      <c r="H27" s="439">
        <f t="shared" si="3"/>
        <v>372.34042553191489</v>
      </c>
      <c r="I27" s="421">
        <f t="shared" si="2"/>
        <v>31.028368794326241</v>
      </c>
      <c r="J27" s="422">
        <f t="shared" si="1"/>
        <v>104.56560283687944</v>
      </c>
    </row>
    <row r="28" spans="1:10" ht="48.75" x14ac:dyDescent="0.15">
      <c r="A28" s="430">
        <v>112719</v>
      </c>
      <c r="B28" s="497" t="s">
        <v>386</v>
      </c>
      <c r="C28" s="436" t="s">
        <v>372</v>
      </c>
      <c r="D28" s="431" t="s">
        <v>387</v>
      </c>
      <c r="E28" s="417" t="s">
        <v>217</v>
      </c>
      <c r="F28" s="418">
        <v>3.55</v>
      </c>
      <c r="G28" s="438">
        <v>7000</v>
      </c>
      <c r="H28" s="439">
        <f t="shared" si="3"/>
        <v>521.27659574468078</v>
      </c>
      <c r="I28" s="421">
        <f t="shared" si="2"/>
        <v>43.439716312056731</v>
      </c>
      <c r="J28" s="422">
        <f t="shared" si="1"/>
        <v>154.2109929078014</v>
      </c>
    </row>
    <row r="29" spans="1:10" ht="87.75" x14ac:dyDescent="0.15">
      <c r="A29" s="430">
        <v>115055</v>
      </c>
      <c r="B29" s="497" t="s">
        <v>383</v>
      </c>
      <c r="C29" s="436" t="s">
        <v>372</v>
      </c>
      <c r="D29" s="425" t="s">
        <v>388</v>
      </c>
      <c r="E29" s="415" t="s">
        <v>389</v>
      </c>
      <c r="F29" s="418">
        <v>1.56</v>
      </c>
      <c r="G29" s="438">
        <v>1000</v>
      </c>
      <c r="H29" s="439">
        <f t="shared" si="3"/>
        <v>74.468085106382972</v>
      </c>
      <c r="I29" s="421">
        <f t="shared" si="2"/>
        <v>6.205673758865248</v>
      </c>
      <c r="J29" s="422">
        <f t="shared" si="1"/>
        <v>9.6808510638297864</v>
      </c>
    </row>
    <row r="30" spans="1:10" ht="83.25" customHeight="1" x14ac:dyDescent="0.15">
      <c r="A30" s="414" t="s">
        <v>390</v>
      </c>
      <c r="B30" s="415" t="s">
        <v>391</v>
      </c>
      <c r="C30" s="415" t="s">
        <v>372</v>
      </c>
      <c r="D30" s="416" t="s">
        <v>392</v>
      </c>
      <c r="E30" s="441" t="s">
        <v>393</v>
      </c>
      <c r="F30" s="418">
        <v>950</v>
      </c>
      <c r="G30" s="441">
        <v>30</v>
      </c>
      <c r="H30" s="439">
        <f t="shared" si="3"/>
        <v>2.2340425531914891</v>
      </c>
      <c r="I30" s="421">
        <f t="shared" si="2"/>
        <v>0.18617021276595744</v>
      </c>
      <c r="J30" s="422">
        <f t="shared" si="1"/>
        <v>176.86170212765956</v>
      </c>
    </row>
    <row r="31" spans="1:10" ht="117" x14ac:dyDescent="0.15">
      <c r="A31" s="435">
        <v>115074</v>
      </c>
      <c r="B31" s="433" t="s">
        <v>383</v>
      </c>
      <c r="C31" s="436" t="s">
        <v>372</v>
      </c>
      <c r="D31" s="431" t="s">
        <v>394</v>
      </c>
      <c r="E31" s="417" t="s">
        <v>228</v>
      </c>
      <c r="F31" s="418">
        <v>9</v>
      </c>
      <c r="G31" s="438">
        <v>240</v>
      </c>
      <c r="H31" s="439">
        <f t="shared" si="3"/>
        <v>17.872340425531913</v>
      </c>
      <c r="I31" s="421">
        <f t="shared" si="2"/>
        <v>1.4893617021276595</v>
      </c>
      <c r="J31" s="422">
        <f t="shared" si="1"/>
        <v>13.404255319148936</v>
      </c>
    </row>
    <row r="32" spans="1:10" ht="48.75" x14ac:dyDescent="0.15">
      <c r="A32" s="435">
        <v>115088</v>
      </c>
      <c r="B32" s="433" t="s">
        <v>361</v>
      </c>
      <c r="C32" s="436" t="s">
        <v>372</v>
      </c>
      <c r="D32" s="431" t="s">
        <v>395</v>
      </c>
      <c r="E32" s="417" t="s">
        <v>220</v>
      </c>
      <c r="F32" s="418">
        <v>0.73</v>
      </c>
      <c r="G32" s="438">
        <v>5000</v>
      </c>
      <c r="H32" s="439">
        <f t="shared" si="3"/>
        <v>372.34042553191489</v>
      </c>
      <c r="I32" s="421">
        <f t="shared" si="2"/>
        <v>31.028368794326241</v>
      </c>
      <c r="J32" s="422">
        <f t="shared" si="1"/>
        <v>22.650709219858154</v>
      </c>
    </row>
    <row r="33" spans="1:10" ht="341.25" x14ac:dyDescent="0.15">
      <c r="A33" s="442">
        <v>115067</v>
      </c>
      <c r="B33" s="443" t="s">
        <v>396</v>
      </c>
      <c r="C33" s="444" t="s">
        <v>372</v>
      </c>
      <c r="D33" s="445" t="s">
        <v>397</v>
      </c>
      <c r="E33" s="424" t="s">
        <v>228</v>
      </c>
      <c r="F33" s="426">
        <v>488</v>
      </c>
      <c r="G33" s="446">
        <v>30</v>
      </c>
      <c r="H33" s="439">
        <f t="shared" si="3"/>
        <v>2.2340425531914891</v>
      </c>
      <c r="I33" s="447">
        <f t="shared" si="2"/>
        <v>0.18617021276595744</v>
      </c>
      <c r="J33" s="428">
        <f t="shared" si="1"/>
        <v>90.851063829787236</v>
      </c>
    </row>
    <row r="34" spans="1:10" ht="273" x14ac:dyDescent="0.15">
      <c r="A34" s="435">
        <v>115069</v>
      </c>
      <c r="B34" s="433" t="s">
        <v>396</v>
      </c>
      <c r="C34" s="436" t="s">
        <v>372</v>
      </c>
      <c r="D34" s="431" t="s">
        <v>398</v>
      </c>
      <c r="E34" s="417" t="s">
        <v>228</v>
      </c>
      <c r="F34" s="418">
        <v>470</v>
      </c>
      <c r="G34" s="438">
        <v>12</v>
      </c>
      <c r="H34" s="439">
        <f t="shared" si="3"/>
        <v>0.8936170212765957</v>
      </c>
      <c r="I34" s="421">
        <f t="shared" si="2"/>
        <v>7.4468085106382975E-2</v>
      </c>
      <c r="J34" s="448">
        <f t="shared" si="1"/>
        <v>35</v>
      </c>
    </row>
    <row r="35" spans="1:10" ht="97.5" x14ac:dyDescent="0.15">
      <c r="A35" s="435">
        <v>115071</v>
      </c>
      <c r="B35" s="433" t="s">
        <v>396</v>
      </c>
      <c r="C35" s="436" t="s">
        <v>372</v>
      </c>
      <c r="D35" s="425" t="s">
        <v>399</v>
      </c>
      <c r="E35" s="417" t="s">
        <v>228</v>
      </c>
      <c r="F35" s="418">
        <v>5.88</v>
      </c>
      <c r="G35" s="438">
        <v>2500</v>
      </c>
      <c r="H35" s="439">
        <f t="shared" si="3"/>
        <v>186.17021276595744</v>
      </c>
      <c r="I35" s="421">
        <f t="shared" si="2"/>
        <v>15.51418439716312</v>
      </c>
      <c r="J35" s="448">
        <f t="shared" si="1"/>
        <v>91.223404255319153</v>
      </c>
    </row>
    <row r="36" spans="1:10" ht="81.75" customHeight="1" x14ac:dyDescent="0.15">
      <c r="A36" s="435">
        <v>115070</v>
      </c>
      <c r="B36" s="433" t="s">
        <v>396</v>
      </c>
      <c r="C36" s="436" t="s">
        <v>372</v>
      </c>
      <c r="D36" s="425" t="s">
        <v>400</v>
      </c>
      <c r="E36" s="417" t="s">
        <v>401</v>
      </c>
      <c r="F36" s="418">
        <v>1.42</v>
      </c>
      <c r="G36" s="438">
        <v>8000</v>
      </c>
      <c r="H36" s="439">
        <f t="shared" si="3"/>
        <v>595.74468085106378</v>
      </c>
      <c r="I36" s="421">
        <f t="shared" si="2"/>
        <v>49.645390070921984</v>
      </c>
      <c r="J36" s="448">
        <f t="shared" si="1"/>
        <v>70.496453900709213</v>
      </c>
    </row>
    <row r="37" spans="1:10" ht="58.5" x14ac:dyDescent="0.15">
      <c r="A37" s="435">
        <v>115066</v>
      </c>
      <c r="B37" s="433" t="s">
        <v>396</v>
      </c>
      <c r="C37" s="436" t="s">
        <v>372</v>
      </c>
      <c r="D37" s="431" t="s">
        <v>402</v>
      </c>
      <c r="E37" s="417" t="s">
        <v>403</v>
      </c>
      <c r="F37" s="418">
        <v>2.94</v>
      </c>
      <c r="G37" s="449">
        <v>5000</v>
      </c>
      <c r="H37" s="439">
        <f t="shared" si="3"/>
        <v>372.34042553191489</v>
      </c>
      <c r="I37" s="421">
        <f t="shared" si="2"/>
        <v>31.028368794326241</v>
      </c>
      <c r="J37" s="448">
        <f t="shared" si="1"/>
        <v>91.223404255319153</v>
      </c>
    </row>
    <row r="38" spans="1:10" ht="48.75" x14ac:dyDescent="0.15">
      <c r="A38" s="435">
        <v>115081</v>
      </c>
      <c r="B38" s="433" t="s">
        <v>361</v>
      </c>
      <c r="C38" s="436" t="s">
        <v>372</v>
      </c>
      <c r="D38" s="431" t="s">
        <v>404</v>
      </c>
      <c r="E38" s="417" t="s">
        <v>192</v>
      </c>
      <c r="F38" s="418">
        <v>2.58</v>
      </c>
      <c r="G38" s="449">
        <v>500</v>
      </c>
      <c r="H38" s="439">
        <f t="shared" si="3"/>
        <v>37.234042553191486</v>
      </c>
      <c r="I38" s="421">
        <f t="shared" si="2"/>
        <v>3.102836879432624</v>
      </c>
      <c r="J38" s="448">
        <f t="shared" si="1"/>
        <v>8.0053191489361701</v>
      </c>
    </row>
    <row r="39" spans="1:10" ht="68.25" x14ac:dyDescent="0.15">
      <c r="A39" s="435">
        <v>115080</v>
      </c>
      <c r="B39" s="433" t="s">
        <v>361</v>
      </c>
      <c r="C39" s="436" t="s">
        <v>372</v>
      </c>
      <c r="D39" s="431" t="s">
        <v>405</v>
      </c>
      <c r="E39" s="417" t="s">
        <v>192</v>
      </c>
      <c r="F39" s="418">
        <v>1.05</v>
      </c>
      <c r="G39" s="438">
        <v>2500</v>
      </c>
      <c r="H39" s="439">
        <f t="shared" si="3"/>
        <v>186.17021276595744</v>
      </c>
      <c r="I39" s="421">
        <f t="shared" si="2"/>
        <v>15.51418439716312</v>
      </c>
      <c r="J39" s="448">
        <f t="shared" si="1"/>
        <v>16.289893617021278</v>
      </c>
    </row>
    <row r="40" spans="1:10" ht="48.75" x14ac:dyDescent="0.15">
      <c r="A40" s="435">
        <v>115084</v>
      </c>
      <c r="B40" s="433" t="s">
        <v>361</v>
      </c>
      <c r="C40" s="436" t="s">
        <v>372</v>
      </c>
      <c r="D40" s="431" t="s">
        <v>406</v>
      </c>
      <c r="E40" s="417" t="s">
        <v>192</v>
      </c>
      <c r="F40" s="418">
        <v>1.47</v>
      </c>
      <c r="G40" s="438">
        <v>2000</v>
      </c>
      <c r="H40" s="439">
        <f t="shared" si="3"/>
        <v>148.93617021276594</v>
      </c>
      <c r="I40" s="421">
        <f t="shared" si="2"/>
        <v>12.411347517730496</v>
      </c>
      <c r="J40" s="448">
        <f t="shared" si="1"/>
        <v>18.24468085106383</v>
      </c>
    </row>
    <row r="41" spans="1:10" ht="117" x14ac:dyDescent="0.15">
      <c r="A41" s="430">
        <v>115233</v>
      </c>
      <c r="B41" s="497" t="s">
        <v>361</v>
      </c>
      <c r="C41" s="436" t="s">
        <v>372</v>
      </c>
      <c r="D41" s="425" t="s">
        <v>407</v>
      </c>
      <c r="E41" s="417" t="s">
        <v>408</v>
      </c>
      <c r="F41" s="418">
        <v>142</v>
      </c>
      <c r="G41" s="438">
        <v>100</v>
      </c>
      <c r="H41" s="439">
        <f t="shared" si="3"/>
        <v>7.4468085106382977</v>
      </c>
      <c r="I41" s="421">
        <f t="shared" si="2"/>
        <v>0.62056737588652477</v>
      </c>
      <c r="J41" s="448">
        <f t="shared" si="1"/>
        <v>88.120567375886523</v>
      </c>
    </row>
    <row r="42" spans="1:10" ht="97.5" x14ac:dyDescent="0.15">
      <c r="A42" s="434">
        <v>115090</v>
      </c>
      <c r="B42" s="417" t="s">
        <v>409</v>
      </c>
      <c r="C42" s="415" t="s">
        <v>372</v>
      </c>
      <c r="D42" s="440" t="s">
        <v>410</v>
      </c>
      <c r="E42" s="417" t="s">
        <v>217</v>
      </c>
      <c r="F42" s="418">
        <v>1.56</v>
      </c>
      <c r="G42" s="449">
        <v>360</v>
      </c>
      <c r="H42" s="439">
        <f t="shared" si="3"/>
        <v>26.808510638297872</v>
      </c>
      <c r="I42" s="421">
        <f t="shared" si="2"/>
        <v>2.2340425531914891</v>
      </c>
      <c r="J42" s="448">
        <f t="shared" si="1"/>
        <v>3.485106382978723</v>
      </c>
    </row>
    <row r="43" spans="1:10" ht="58.5" x14ac:dyDescent="0.15">
      <c r="A43" s="435">
        <v>115091</v>
      </c>
      <c r="B43" s="433" t="s">
        <v>361</v>
      </c>
      <c r="C43" s="436" t="s">
        <v>372</v>
      </c>
      <c r="D43" s="425" t="s">
        <v>411</v>
      </c>
      <c r="E43" s="417" t="s">
        <v>231</v>
      </c>
      <c r="F43" s="418">
        <v>1.55</v>
      </c>
      <c r="G43" s="438">
        <v>300</v>
      </c>
      <c r="H43" s="439">
        <f t="shared" si="3"/>
        <v>22.340425531914892</v>
      </c>
      <c r="I43" s="421">
        <f t="shared" si="2"/>
        <v>1.8617021276595744</v>
      </c>
      <c r="J43" s="448">
        <f t="shared" si="1"/>
        <v>2.8856382978723403</v>
      </c>
    </row>
    <row r="44" spans="1:10" ht="87.75" x14ac:dyDescent="0.15">
      <c r="A44" s="435">
        <v>115095</v>
      </c>
      <c r="B44" s="433" t="s">
        <v>409</v>
      </c>
      <c r="C44" s="436" t="s">
        <v>372</v>
      </c>
      <c r="D44" s="425" t="s">
        <v>412</v>
      </c>
      <c r="E44" s="417" t="s">
        <v>413</v>
      </c>
      <c r="F44" s="418">
        <v>10.9</v>
      </c>
      <c r="G44" s="449">
        <v>1125</v>
      </c>
      <c r="H44" s="439">
        <f t="shared" si="3"/>
        <v>83.776595744680847</v>
      </c>
      <c r="I44" s="421">
        <f t="shared" si="2"/>
        <v>6.9813829787234036</v>
      </c>
      <c r="J44" s="448">
        <f t="shared" si="1"/>
        <v>76.097074468085097</v>
      </c>
    </row>
    <row r="45" spans="1:10" ht="68.25" x14ac:dyDescent="0.15">
      <c r="A45" s="435">
        <v>115100</v>
      </c>
      <c r="B45" s="433" t="s">
        <v>361</v>
      </c>
      <c r="C45" s="436" t="s">
        <v>372</v>
      </c>
      <c r="D45" s="431" t="s">
        <v>414</v>
      </c>
      <c r="E45" s="417" t="s">
        <v>217</v>
      </c>
      <c r="F45" s="418">
        <v>2.4</v>
      </c>
      <c r="G45" s="449">
        <v>2000</v>
      </c>
      <c r="H45" s="439">
        <f t="shared" si="3"/>
        <v>148.93617021276594</v>
      </c>
      <c r="I45" s="421">
        <f t="shared" si="2"/>
        <v>12.411347517730496</v>
      </c>
      <c r="J45" s="448">
        <f t="shared" si="1"/>
        <v>29.787234042553187</v>
      </c>
    </row>
    <row r="46" spans="1:10" ht="68.25" x14ac:dyDescent="0.15">
      <c r="A46" s="435">
        <v>115122</v>
      </c>
      <c r="B46" s="433" t="s">
        <v>415</v>
      </c>
      <c r="C46" s="436" t="s">
        <v>372</v>
      </c>
      <c r="D46" s="431" t="s">
        <v>416</v>
      </c>
      <c r="E46" s="417" t="s">
        <v>192</v>
      </c>
      <c r="F46" s="418">
        <v>2.76</v>
      </c>
      <c r="G46" s="438">
        <v>3000</v>
      </c>
      <c r="H46" s="439">
        <f t="shared" si="3"/>
        <v>223.40425531914892</v>
      </c>
      <c r="I46" s="421">
        <f t="shared" si="2"/>
        <v>18.617021276595743</v>
      </c>
      <c r="J46" s="448">
        <f t="shared" si="1"/>
        <v>51.38297872340425</v>
      </c>
    </row>
    <row r="47" spans="1:10" ht="78" x14ac:dyDescent="0.15">
      <c r="A47" s="435">
        <v>115128</v>
      </c>
      <c r="B47" s="433" t="s">
        <v>409</v>
      </c>
      <c r="C47" s="436" t="s">
        <v>372</v>
      </c>
      <c r="D47" s="431" t="s">
        <v>417</v>
      </c>
      <c r="E47" s="450" t="s">
        <v>192</v>
      </c>
      <c r="F47" s="418">
        <v>0.87</v>
      </c>
      <c r="G47" s="449">
        <v>2500</v>
      </c>
      <c r="H47" s="439">
        <f t="shared" si="3"/>
        <v>186.17021276595744</v>
      </c>
      <c r="I47" s="421">
        <f t="shared" si="2"/>
        <v>15.51418439716312</v>
      </c>
      <c r="J47" s="448">
        <f t="shared" si="1"/>
        <v>13.497340425531915</v>
      </c>
    </row>
    <row r="48" spans="1:10" ht="48.75" x14ac:dyDescent="0.15">
      <c r="A48" s="435">
        <v>115153</v>
      </c>
      <c r="B48" s="433" t="s">
        <v>383</v>
      </c>
      <c r="C48" s="436" t="s">
        <v>372</v>
      </c>
      <c r="D48" s="416" t="s">
        <v>418</v>
      </c>
      <c r="E48" s="417" t="s">
        <v>192</v>
      </c>
      <c r="F48" s="418">
        <v>3.48</v>
      </c>
      <c r="G48" s="449">
        <v>400</v>
      </c>
      <c r="H48" s="439">
        <f t="shared" si="3"/>
        <v>29.787234042553191</v>
      </c>
      <c r="I48" s="421">
        <f t="shared" si="2"/>
        <v>2.4822695035460991</v>
      </c>
      <c r="J48" s="448">
        <f t="shared" si="1"/>
        <v>8.6382978723404253</v>
      </c>
    </row>
    <row r="49" spans="1:10" ht="149.25" customHeight="1" x14ac:dyDescent="0.15">
      <c r="A49" s="435">
        <v>115137</v>
      </c>
      <c r="B49" s="433" t="s">
        <v>383</v>
      </c>
      <c r="C49" s="436" t="s">
        <v>372</v>
      </c>
      <c r="D49" s="425" t="s">
        <v>419</v>
      </c>
      <c r="E49" s="417" t="s">
        <v>420</v>
      </c>
      <c r="F49" s="418">
        <v>12.05</v>
      </c>
      <c r="G49" s="449">
        <v>2000</v>
      </c>
      <c r="H49" s="439">
        <f t="shared" si="3"/>
        <v>148.93617021276594</v>
      </c>
      <c r="I49" s="421">
        <f t="shared" si="2"/>
        <v>12.411347517730496</v>
      </c>
      <c r="J49" s="448">
        <f t="shared" si="1"/>
        <v>149.55673758865248</v>
      </c>
    </row>
    <row r="50" spans="1:10" ht="78" x14ac:dyDescent="0.15">
      <c r="A50" s="435">
        <v>115173</v>
      </c>
      <c r="B50" s="433" t="s">
        <v>396</v>
      </c>
      <c r="C50" s="436" t="s">
        <v>372</v>
      </c>
      <c r="D50" s="431" t="s">
        <v>421</v>
      </c>
      <c r="E50" s="417" t="s">
        <v>422</v>
      </c>
      <c r="F50" s="418">
        <v>1.1100000000000001</v>
      </c>
      <c r="G50" s="449">
        <v>7100</v>
      </c>
      <c r="H50" s="439">
        <f t="shared" si="3"/>
        <v>528.72340425531911</v>
      </c>
      <c r="I50" s="421">
        <f t="shared" si="2"/>
        <v>44.060283687943262</v>
      </c>
      <c r="J50" s="448">
        <f t="shared" si="1"/>
        <v>48.906914893617028</v>
      </c>
    </row>
    <row r="51" spans="1:10" ht="66.75" customHeight="1" x14ac:dyDescent="0.15">
      <c r="A51" s="435">
        <v>115175</v>
      </c>
      <c r="B51" s="433" t="s">
        <v>423</v>
      </c>
      <c r="C51" s="436" t="s">
        <v>372</v>
      </c>
      <c r="D51" s="431" t="s">
        <v>424</v>
      </c>
      <c r="E51" s="417" t="s">
        <v>422</v>
      </c>
      <c r="F51" s="418">
        <v>1.02</v>
      </c>
      <c r="G51" s="449">
        <v>2500</v>
      </c>
      <c r="H51" s="439">
        <f t="shared" si="3"/>
        <v>186.17021276595744</v>
      </c>
      <c r="I51" s="421">
        <f t="shared" si="2"/>
        <v>15.51418439716312</v>
      </c>
      <c r="J51" s="448">
        <f t="shared" si="1"/>
        <v>15.824468085106384</v>
      </c>
    </row>
    <row r="52" spans="1:10" ht="69.75" customHeight="1" x14ac:dyDescent="0.15">
      <c r="A52" s="434">
        <v>115178</v>
      </c>
      <c r="B52" s="417" t="s">
        <v>361</v>
      </c>
      <c r="C52" s="436" t="s">
        <v>372</v>
      </c>
      <c r="D52" s="431" t="s">
        <v>425</v>
      </c>
      <c r="E52" s="417" t="s">
        <v>220</v>
      </c>
      <c r="F52" s="418">
        <v>1.05</v>
      </c>
      <c r="G52" s="438">
        <v>3500</v>
      </c>
      <c r="H52" s="439">
        <f t="shared" si="3"/>
        <v>260.63829787234039</v>
      </c>
      <c r="I52" s="421">
        <f t="shared" si="2"/>
        <v>21.719858156028366</v>
      </c>
      <c r="J52" s="448">
        <f t="shared" si="1"/>
        <v>22.805851063829785</v>
      </c>
    </row>
    <row r="53" spans="1:10" ht="70.5" customHeight="1" x14ac:dyDescent="0.15">
      <c r="A53" s="451" t="s">
        <v>426</v>
      </c>
      <c r="B53" s="415" t="s">
        <v>427</v>
      </c>
      <c r="C53" s="436" t="s">
        <v>372</v>
      </c>
      <c r="D53" s="437" t="s">
        <v>428</v>
      </c>
      <c r="E53" s="415" t="s">
        <v>429</v>
      </c>
      <c r="F53" s="418">
        <v>0.9</v>
      </c>
      <c r="G53" s="438">
        <v>1000</v>
      </c>
      <c r="H53" s="439">
        <f t="shared" si="3"/>
        <v>74.468085106382972</v>
      </c>
      <c r="I53" s="421">
        <f t="shared" si="2"/>
        <v>6.205673758865248</v>
      </c>
      <c r="J53" s="448">
        <f t="shared" si="1"/>
        <v>5.5851063829787231</v>
      </c>
    </row>
    <row r="54" spans="1:10" ht="37.5" customHeight="1" x14ac:dyDescent="0.15">
      <c r="A54" s="451" t="s">
        <v>495</v>
      </c>
      <c r="B54" s="415" t="s">
        <v>496</v>
      </c>
      <c r="C54" s="436" t="s">
        <v>372</v>
      </c>
      <c r="D54" s="437" t="s">
        <v>430</v>
      </c>
      <c r="E54" s="415" t="s">
        <v>432</v>
      </c>
      <c r="F54" s="418">
        <v>24.47</v>
      </c>
      <c r="G54" s="438">
        <v>4176</v>
      </c>
      <c r="H54" s="439">
        <f t="shared" si="3"/>
        <v>310.97872340425528</v>
      </c>
      <c r="I54" s="421">
        <f t="shared" si="2"/>
        <v>25.914893617021274</v>
      </c>
      <c r="J54" s="448">
        <f t="shared" si="1"/>
        <v>634.1374468085105</v>
      </c>
    </row>
    <row r="55" spans="1:10" ht="58.5" x14ac:dyDescent="0.15">
      <c r="A55" s="414">
        <v>111430</v>
      </c>
      <c r="B55" s="415" t="s">
        <v>496</v>
      </c>
      <c r="C55" s="436" t="s">
        <v>372</v>
      </c>
      <c r="D55" s="437" t="s">
        <v>431</v>
      </c>
      <c r="E55" s="415" t="s">
        <v>432</v>
      </c>
      <c r="F55" s="418">
        <v>13.76</v>
      </c>
      <c r="G55" s="438">
        <v>2267</v>
      </c>
      <c r="H55" s="439">
        <f t="shared" si="3"/>
        <v>168.81914893617019</v>
      </c>
      <c r="I55" s="421">
        <f t="shared" si="2"/>
        <v>14.068262411347517</v>
      </c>
      <c r="J55" s="448">
        <f t="shared" si="1"/>
        <v>193.57929078014183</v>
      </c>
    </row>
    <row r="56" spans="1:10" ht="107.25" x14ac:dyDescent="0.15">
      <c r="A56" s="430">
        <v>115181</v>
      </c>
      <c r="B56" s="497" t="s">
        <v>361</v>
      </c>
      <c r="C56" s="436" t="s">
        <v>372</v>
      </c>
      <c r="D56" s="425" t="s">
        <v>433</v>
      </c>
      <c r="E56" s="417" t="s">
        <v>192</v>
      </c>
      <c r="F56" s="418">
        <v>1.95</v>
      </c>
      <c r="G56" s="449">
        <v>300</v>
      </c>
      <c r="H56" s="439">
        <f t="shared" si="3"/>
        <v>22.340425531914892</v>
      </c>
      <c r="I56" s="421">
        <f t="shared" si="2"/>
        <v>1.8617021276595744</v>
      </c>
      <c r="J56" s="448">
        <f t="shared" si="1"/>
        <v>3.6303191489361701</v>
      </c>
    </row>
    <row r="57" spans="1:10" ht="68.25" x14ac:dyDescent="0.15">
      <c r="A57" s="430">
        <v>115182</v>
      </c>
      <c r="B57" s="433" t="s">
        <v>383</v>
      </c>
      <c r="C57" s="436" t="s">
        <v>372</v>
      </c>
      <c r="D57" s="431" t="s">
        <v>434</v>
      </c>
      <c r="E57" s="417" t="s">
        <v>435</v>
      </c>
      <c r="F57" s="418">
        <v>9.0500000000000007</v>
      </c>
      <c r="G57" s="449">
        <v>300</v>
      </c>
      <c r="H57" s="439">
        <f t="shared" si="3"/>
        <v>22.340425531914892</v>
      </c>
      <c r="I57" s="421">
        <f t="shared" si="2"/>
        <v>1.8617021276595744</v>
      </c>
      <c r="J57" s="448">
        <f t="shared" si="1"/>
        <v>16.848404255319149</v>
      </c>
    </row>
    <row r="58" spans="1:10" ht="95.25" customHeight="1" x14ac:dyDescent="0.15">
      <c r="A58" s="430">
        <v>115053</v>
      </c>
      <c r="B58" s="497" t="s">
        <v>396</v>
      </c>
      <c r="C58" s="452" t="s">
        <v>436</v>
      </c>
      <c r="D58" s="425" t="s">
        <v>437</v>
      </c>
      <c r="E58" s="453" t="s">
        <v>438</v>
      </c>
      <c r="F58" s="454">
        <v>5.88</v>
      </c>
      <c r="G58" s="455">
        <v>2000</v>
      </c>
      <c r="H58" s="439">
        <f t="shared" si="3"/>
        <v>148.93617021276594</v>
      </c>
      <c r="I58" s="421">
        <f t="shared" si="2"/>
        <v>12.411347517730496</v>
      </c>
      <c r="J58" s="422">
        <f>F58*I58</f>
        <v>72.978723404255319</v>
      </c>
    </row>
    <row r="59" spans="1:10" ht="68.25" x14ac:dyDescent="0.15">
      <c r="A59" s="430">
        <v>115127</v>
      </c>
      <c r="B59" s="497" t="s">
        <v>415</v>
      </c>
      <c r="C59" s="452" t="s">
        <v>436</v>
      </c>
      <c r="D59" s="431" t="s">
        <v>439</v>
      </c>
      <c r="E59" s="456" t="s">
        <v>440</v>
      </c>
      <c r="F59" s="454">
        <v>5.52</v>
      </c>
      <c r="G59" s="455">
        <v>500</v>
      </c>
      <c r="H59" s="439">
        <f t="shared" si="3"/>
        <v>37.234042553191486</v>
      </c>
      <c r="I59" s="421">
        <f t="shared" si="2"/>
        <v>3.102836879432624</v>
      </c>
      <c r="J59" s="422">
        <f t="shared" ref="J59:J67" si="4">F59*I59</f>
        <v>17.127659574468083</v>
      </c>
    </row>
    <row r="60" spans="1:10" ht="58.5" x14ac:dyDescent="0.15">
      <c r="A60" s="430">
        <v>115121</v>
      </c>
      <c r="B60" s="497" t="s">
        <v>361</v>
      </c>
      <c r="C60" s="452" t="s">
        <v>436</v>
      </c>
      <c r="D60" s="431" t="s">
        <v>441</v>
      </c>
      <c r="E60" s="456" t="s">
        <v>422</v>
      </c>
      <c r="F60" s="454">
        <v>1.98</v>
      </c>
      <c r="G60" s="455">
        <v>500</v>
      </c>
      <c r="H60" s="439">
        <f t="shared" si="3"/>
        <v>37.234042553191486</v>
      </c>
      <c r="I60" s="421">
        <f t="shared" si="2"/>
        <v>3.102836879432624</v>
      </c>
      <c r="J60" s="422">
        <f t="shared" si="4"/>
        <v>6.1436170212765955</v>
      </c>
    </row>
    <row r="61" spans="1:10" ht="39" x14ac:dyDescent="0.15">
      <c r="A61" s="430">
        <v>114985</v>
      </c>
      <c r="B61" s="497" t="s">
        <v>415</v>
      </c>
      <c r="C61" s="452" t="s">
        <v>436</v>
      </c>
      <c r="D61" s="431" t="s">
        <v>442</v>
      </c>
      <c r="E61" s="453" t="s">
        <v>253</v>
      </c>
      <c r="F61" s="454">
        <v>17.64</v>
      </c>
      <c r="G61" s="455">
        <v>1000</v>
      </c>
      <c r="H61" s="439">
        <f t="shared" si="3"/>
        <v>74.468085106382972</v>
      </c>
      <c r="I61" s="421">
        <f t="shared" si="2"/>
        <v>6.205673758865248</v>
      </c>
      <c r="J61" s="422">
        <f t="shared" si="4"/>
        <v>109.46808510638297</v>
      </c>
    </row>
    <row r="62" spans="1:10" ht="87.75" x14ac:dyDescent="0.15">
      <c r="A62" s="430">
        <v>115188</v>
      </c>
      <c r="B62" s="497" t="s">
        <v>361</v>
      </c>
      <c r="C62" s="452" t="s">
        <v>436</v>
      </c>
      <c r="D62" s="431" t="s">
        <v>443</v>
      </c>
      <c r="E62" s="456" t="s">
        <v>251</v>
      </c>
      <c r="F62" s="454">
        <v>8.99</v>
      </c>
      <c r="G62" s="455">
        <v>2500</v>
      </c>
      <c r="H62" s="439">
        <f t="shared" si="3"/>
        <v>186.17021276595744</v>
      </c>
      <c r="I62" s="421">
        <f t="shared" si="2"/>
        <v>15.51418439716312</v>
      </c>
      <c r="J62" s="422">
        <f t="shared" si="4"/>
        <v>139.47251773049646</v>
      </c>
    </row>
    <row r="63" spans="1:10" ht="97.5" x14ac:dyDescent="0.15">
      <c r="A63" s="430">
        <v>115169</v>
      </c>
      <c r="B63" s="497" t="s">
        <v>409</v>
      </c>
      <c r="C63" s="452" t="s">
        <v>436</v>
      </c>
      <c r="D63" s="431" t="s">
        <v>444</v>
      </c>
      <c r="E63" s="453" t="s">
        <v>200</v>
      </c>
      <c r="F63" s="454">
        <v>11.39</v>
      </c>
      <c r="G63" s="455">
        <v>4200</v>
      </c>
      <c r="H63" s="439">
        <f t="shared" si="3"/>
        <v>312.7659574468085</v>
      </c>
      <c r="I63" s="421">
        <f t="shared" si="2"/>
        <v>26.063829787234042</v>
      </c>
      <c r="J63" s="422">
        <f t="shared" si="4"/>
        <v>296.86702127659572</v>
      </c>
    </row>
    <row r="64" spans="1:10" ht="97.5" x14ac:dyDescent="0.15">
      <c r="A64" s="430">
        <v>115054</v>
      </c>
      <c r="B64" s="497" t="s">
        <v>409</v>
      </c>
      <c r="C64" s="452" t="s">
        <v>436</v>
      </c>
      <c r="D64" s="431" t="s">
        <v>445</v>
      </c>
      <c r="E64" s="497" t="s">
        <v>446</v>
      </c>
      <c r="F64" s="454">
        <v>8</v>
      </c>
      <c r="G64" s="455">
        <v>200</v>
      </c>
      <c r="H64" s="439">
        <f t="shared" si="3"/>
        <v>14.893617021276595</v>
      </c>
      <c r="I64" s="421">
        <f t="shared" si="2"/>
        <v>1.2411347517730495</v>
      </c>
      <c r="J64" s="422">
        <f t="shared" si="4"/>
        <v>9.9290780141843964</v>
      </c>
    </row>
    <row r="65" spans="1:10" ht="87.75" x14ac:dyDescent="0.15">
      <c r="A65" s="430">
        <v>115072</v>
      </c>
      <c r="B65" s="497" t="s">
        <v>383</v>
      </c>
      <c r="C65" s="452" t="s">
        <v>436</v>
      </c>
      <c r="D65" s="431" t="s">
        <v>447</v>
      </c>
      <c r="E65" s="497" t="s">
        <v>448</v>
      </c>
      <c r="F65" s="454">
        <v>5.91</v>
      </c>
      <c r="G65" s="455">
        <v>1000</v>
      </c>
      <c r="H65" s="439">
        <f t="shared" si="3"/>
        <v>74.468085106382972</v>
      </c>
      <c r="I65" s="421">
        <f t="shared" si="2"/>
        <v>6.205673758865248</v>
      </c>
      <c r="J65" s="422">
        <f t="shared" si="4"/>
        <v>36.675531914893618</v>
      </c>
    </row>
    <row r="66" spans="1:10" ht="117" x14ac:dyDescent="0.15">
      <c r="A66" s="430">
        <v>115161</v>
      </c>
      <c r="B66" s="497" t="s">
        <v>361</v>
      </c>
      <c r="C66" s="452" t="s">
        <v>436</v>
      </c>
      <c r="D66" s="431" t="s">
        <v>449</v>
      </c>
      <c r="E66" s="497" t="s">
        <v>450</v>
      </c>
      <c r="F66" s="454">
        <v>18.5</v>
      </c>
      <c r="G66" s="455">
        <v>2500</v>
      </c>
      <c r="H66" s="439">
        <f t="shared" si="3"/>
        <v>186.17021276595744</v>
      </c>
      <c r="I66" s="421">
        <f t="shared" si="2"/>
        <v>15.51418439716312</v>
      </c>
      <c r="J66" s="422">
        <f t="shared" si="4"/>
        <v>287.01241134751774</v>
      </c>
    </row>
    <row r="67" spans="1:10" ht="48.75" x14ac:dyDescent="0.15">
      <c r="A67" s="434" t="s">
        <v>451</v>
      </c>
      <c r="B67" s="415" t="s">
        <v>452</v>
      </c>
      <c r="C67" s="452" t="s">
        <v>436</v>
      </c>
      <c r="D67" s="416" t="s">
        <v>453</v>
      </c>
      <c r="E67" s="415" t="s">
        <v>454</v>
      </c>
      <c r="F67" s="418">
        <v>1.6</v>
      </c>
      <c r="G67" s="457">
        <v>45</v>
      </c>
      <c r="H67" s="439">
        <f t="shared" si="3"/>
        <v>3.3510638297872339</v>
      </c>
      <c r="I67" s="421">
        <f t="shared" si="2"/>
        <v>0.27925531914893614</v>
      </c>
      <c r="J67" s="422">
        <f t="shared" si="4"/>
        <v>0.44680851063829785</v>
      </c>
    </row>
    <row r="68" spans="1:10" ht="59.25" customHeight="1" x14ac:dyDescent="0.15">
      <c r="A68" s="430">
        <v>115061</v>
      </c>
      <c r="B68" s="497" t="s">
        <v>383</v>
      </c>
      <c r="C68" s="452" t="s">
        <v>455</v>
      </c>
      <c r="D68" s="431" t="s">
        <v>456</v>
      </c>
      <c r="E68" s="453" t="s">
        <v>194</v>
      </c>
      <c r="F68" s="454">
        <v>5.3</v>
      </c>
      <c r="G68" s="455">
        <v>300</v>
      </c>
      <c r="H68" s="439">
        <f t="shared" si="3"/>
        <v>22.340425531914892</v>
      </c>
      <c r="I68" s="421">
        <f t="shared" si="2"/>
        <v>1.8617021276595744</v>
      </c>
      <c r="J68" s="422">
        <f>F68*I68</f>
        <v>9.8670212765957448</v>
      </c>
    </row>
    <row r="69" spans="1:10" ht="77.25" customHeight="1" x14ac:dyDescent="0.15">
      <c r="A69" s="430">
        <v>115055</v>
      </c>
      <c r="B69" s="497" t="s">
        <v>383</v>
      </c>
      <c r="C69" s="452" t="s">
        <v>455</v>
      </c>
      <c r="D69" s="431" t="s">
        <v>457</v>
      </c>
      <c r="E69" s="456" t="s">
        <v>194</v>
      </c>
      <c r="F69" s="454">
        <v>3.25</v>
      </c>
      <c r="G69" s="455">
        <v>300</v>
      </c>
      <c r="H69" s="439">
        <f t="shared" si="3"/>
        <v>22.340425531914892</v>
      </c>
      <c r="I69" s="421">
        <f t="shared" si="2"/>
        <v>1.8617021276595744</v>
      </c>
      <c r="J69" s="422">
        <f t="shared" ref="J69:J83" si="5">F69*I69</f>
        <v>6.0505319148936172</v>
      </c>
    </row>
    <row r="70" spans="1:10" ht="48.75" x14ac:dyDescent="0.15">
      <c r="A70" s="430">
        <v>115079</v>
      </c>
      <c r="B70" s="497" t="s">
        <v>415</v>
      </c>
      <c r="C70" s="452" t="s">
        <v>455</v>
      </c>
      <c r="D70" s="425" t="s">
        <v>458</v>
      </c>
      <c r="E70" s="453" t="s">
        <v>194</v>
      </c>
      <c r="F70" s="454">
        <v>1.44</v>
      </c>
      <c r="G70" s="455">
        <v>1000</v>
      </c>
      <c r="H70" s="439">
        <f t="shared" si="3"/>
        <v>74.468085106382972</v>
      </c>
      <c r="I70" s="421">
        <f t="shared" si="2"/>
        <v>6.205673758865248</v>
      </c>
      <c r="J70" s="422">
        <f t="shared" si="5"/>
        <v>8.9361702127659566</v>
      </c>
    </row>
    <row r="71" spans="1:10" ht="29.25" customHeight="1" x14ac:dyDescent="0.15">
      <c r="A71" s="414" t="s">
        <v>459</v>
      </c>
      <c r="B71" s="415" t="s">
        <v>460</v>
      </c>
      <c r="C71" s="452" t="s">
        <v>455</v>
      </c>
      <c r="D71" s="416" t="s">
        <v>461</v>
      </c>
      <c r="E71" s="458" t="s">
        <v>462</v>
      </c>
      <c r="F71" s="418">
        <v>6.69</v>
      </c>
      <c r="G71" s="457">
        <v>240</v>
      </c>
      <c r="H71" s="439">
        <f t="shared" si="3"/>
        <v>17.872340425531913</v>
      </c>
      <c r="I71" s="421">
        <f t="shared" si="2"/>
        <v>1.4893617021276595</v>
      </c>
      <c r="J71" s="422">
        <f t="shared" si="5"/>
        <v>9.963829787234042</v>
      </c>
    </row>
    <row r="72" spans="1:10" ht="29.25" x14ac:dyDescent="0.15">
      <c r="A72" s="414" t="s">
        <v>463</v>
      </c>
      <c r="B72" s="415" t="s">
        <v>497</v>
      </c>
      <c r="C72" s="452" t="s">
        <v>455</v>
      </c>
      <c r="D72" s="416" t="s">
        <v>464</v>
      </c>
      <c r="E72" s="458" t="s">
        <v>462</v>
      </c>
      <c r="F72" s="418">
        <v>45</v>
      </c>
      <c r="G72" s="457">
        <v>120</v>
      </c>
      <c r="H72" s="439">
        <f t="shared" si="3"/>
        <v>8.9361702127659566</v>
      </c>
      <c r="I72" s="421">
        <f t="shared" si="2"/>
        <v>0.74468085106382975</v>
      </c>
      <c r="J72" s="422">
        <f t="shared" si="5"/>
        <v>33.51063829787234</v>
      </c>
    </row>
    <row r="73" spans="1:10" ht="19.5" x14ac:dyDescent="0.15">
      <c r="A73" s="434">
        <v>108937</v>
      </c>
      <c r="B73" s="417" t="s">
        <v>465</v>
      </c>
      <c r="C73" s="452" t="s">
        <v>455</v>
      </c>
      <c r="D73" s="459" t="s">
        <v>466</v>
      </c>
      <c r="E73" s="417" t="s">
        <v>194</v>
      </c>
      <c r="F73" s="418">
        <v>8.5500000000000007</v>
      </c>
      <c r="G73" s="457">
        <v>10</v>
      </c>
      <c r="H73" s="439">
        <f t="shared" si="3"/>
        <v>0.74468085106382975</v>
      </c>
      <c r="I73" s="421">
        <f t="shared" si="2"/>
        <v>6.2056737588652482E-2</v>
      </c>
      <c r="J73" s="422">
        <f t="shared" si="5"/>
        <v>0.53058510638297873</v>
      </c>
    </row>
    <row r="74" spans="1:10" ht="19.5" x14ac:dyDescent="0.15">
      <c r="A74" s="434">
        <v>108937</v>
      </c>
      <c r="B74" s="417" t="s">
        <v>465</v>
      </c>
      <c r="C74" s="452" t="s">
        <v>455</v>
      </c>
      <c r="D74" s="459" t="s">
        <v>467</v>
      </c>
      <c r="E74" s="417" t="s">
        <v>468</v>
      </c>
      <c r="F74" s="418">
        <v>199.9</v>
      </c>
      <c r="G74" s="457">
        <v>11</v>
      </c>
      <c r="H74" s="439">
        <f t="shared" si="3"/>
        <v>0.81914893617021267</v>
      </c>
      <c r="I74" s="421">
        <f t="shared" si="2"/>
        <v>6.8262411347517718E-2</v>
      </c>
      <c r="J74" s="422">
        <f t="shared" si="5"/>
        <v>13.645656028368792</v>
      </c>
    </row>
    <row r="75" spans="1:10" ht="40.5" customHeight="1" x14ac:dyDescent="0.15">
      <c r="A75" s="430">
        <v>115116</v>
      </c>
      <c r="B75" s="497" t="s">
        <v>383</v>
      </c>
      <c r="C75" s="452" t="s">
        <v>455</v>
      </c>
      <c r="D75" s="431" t="s">
        <v>469</v>
      </c>
      <c r="E75" s="497" t="s">
        <v>194</v>
      </c>
      <c r="F75" s="454">
        <v>2.15</v>
      </c>
      <c r="G75" s="455">
        <v>500</v>
      </c>
      <c r="H75" s="439">
        <f t="shared" si="3"/>
        <v>37.234042553191486</v>
      </c>
      <c r="I75" s="421">
        <f t="shared" ref="I75:I83" si="6">H75/$K$4</f>
        <v>3.102836879432624</v>
      </c>
      <c r="J75" s="422">
        <f t="shared" si="5"/>
        <v>6.6710992907801412</v>
      </c>
    </row>
    <row r="76" spans="1:10" ht="47.25" customHeight="1" x14ac:dyDescent="0.15">
      <c r="A76" s="414" t="s">
        <v>470</v>
      </c>
      <c r="B76" s="415" t="s">
        <v>498</v>
      </c>
      <c r="C76" s="452" t="s">
        <v>455</v>
      </c>
      <c r="D76" s="416" t="s">
        <v>471</v>
      </c>
      <c r="E76" s="417" t="s">
        <v>194</v>
      </c>
      <c r="F76" s="418">
        <v>9.5</v>
      </c>
      <c r="G76" s="457">
        <v>30</v>
      </c>
      <c r="H76" s="439">
        <f t="shared" si="3"/>
        <v>2.2340425531914891</v>
      </c>
      <c r="I76" s="421">
        <f t="shared" si="6"/>
        <v>0.18617021276595744</v>
      </c>
      <c r="J76" s="422">
        <f t="shared" si="5"/>
        <v>1.7686170212765957</v>
      </c>
    </row>
    <row r="77" spans="1:10" ht="48.75" x14ac:dyDescent="0.15">
      <c r="A77" s="430">
        <v>115135</v>
      </c>
      <c r="B77" s="497" t="s">
        <v>396</v>
      </c>
      <c r="C77" s="452" t="s">
        <v>455</v>
      </c>
      <c r="D77" s="431" t="s">
        <v>472</v>
      </c>
      <c r="E77" s="497" t="s">
        <v>194</v>
      </c>
      <c r="F77" s="454">
        <v>19.75</v>
      </c>
      <c r="G77" s="455">
        <v>250</v>
      </c>
      <c r="H77" s="439">
        <f t="shared" si="3"/>
        <v>18.617021276595743</v>
      </c>
      <c r="I77" s="421">
        <f t="shared" si="6"/>
        <v>1.551418439716312</v>
      </c>
      <c r="J77" s="422">
        <f t="shared" si="5"/>
        <v>30.640514184397162</v>
      </c>
    </row>
    <row r="78" spans="1:10" ht="58.5" x14ac:dyDescent="0.15">
      <c r="A78" s="430">
        <v>115134</v>
      </c>
      <c r="B78" s="497" t="s">
        <v>409</v>
      </c>
      <c r="C78" s="452" t="s">
        <v>455</v>
      </c>
      <c r="D78" s="425" t="s">
        <v>473</v>
      </c>
      <c r="E78" s="497" t="s">
        <v>194</v>
      </c>
      <c r="F78" s="454">
        <v>4.28</v>
      </c>
      <c r="G78" s="455">
        <v>300</v>
      </c>
      <c r="H78" s="439">
        <f t="shared" si="3"/>
        <v>22.340425531914892</v>
      </c>
      <c r="I78" s="421">
        <f t="shared" si="6"/>
        <v>1.8617021276595744</v>
      </c>
      <c r="J78" s="422">
        <f t="shared" si="5"/>
        <v>7.9680851063829792</v>
      </c>
    </row>
    <row r="79" spans="1:10" ht="58.5" x14ac:dyDescent="0.15">
      <c r="A79" s="430">
        <v>115189</v>
      </c>
      <c r="B79" s="497">
        <v>202</v>
      </c>
      <c r="C79" s="452" t="s">
        <v>455</v>
      </c>
      <c r="D79" s="431" t="s">
        <v>474</v>
      </c>
      <c r="E79" s="497" t="s">
        <v>194</v>
      </c>
      <c r="F79" s="454">
        <v>3.89</v>
      </c>
      <c r="G79" s="455">
        <v>300</v>
      </c>
      <c r="H79" s="439">
        <f t="shared" si="3"/>
        <v>22.340425531914892</v>
      </c>
      <c r="I79" s="421">
        <f t="shared" si="6"/>
        <v>1.8617021276595744</v>
      </c>
      <c r="J79" s="422">
        <f t="shared" si="5"/>
        <v>7.2420212765957448</v>
      </c>
    </row>
    <row r="80" spans="1:10" ht="51" customHeight="1" x14ac:dyDescent="0.15">
      <c r="A80" s="430">
        <v>1115190</v>
      </c>
      <c r="B80" s="497" t="s">
        <v>383</v>
      </c>
      <c r="C80" s="452" t="s">
        <v>455</v>
      </c>
      <c r="D80" s="431" t="s">
        <v>475</v>
      </c>
      <c r="E80" s="497" t="s">
        <v>194</v>
      </c>
      <c r="F80" s="454">
        <v>8.99</v>
      </c>
      <c r="G80" s="455">
        <v>300</v>
      </c>
      <c r="H80" s="439">
        <f t="shared" si="3"/>
        <v>22.340425531914892</v>
      </c>
      <c r="I80" s="421">
        <f t="shared" si="6"/>
        <v>1.8617021276595744</v>
      </c>
      <c r="J80" s="422">
        <f t="shared" si="5"/>
        <v>16.736702127659573</v>
      </c>
    </row>
    <row r="81" spans="1:10" ht="68.25" x14ac:dyDescent="0.15">
      <c r="A81" s="430">
        <v>115191</v>
      </c>
      <c r="B81" s="497" t="s">
        <v>383</v>
      </c>
      <c r="C81" s="452" t="s">
        <v>455</v>
      </c>
      <c r="D81" s="431" t="s">
        <v>476</v>
      </c>
      <c r="E81" s="497" t="s">
        <v>194</v>
      </c>
      <c r="F81" s="454">
        <v>4.3899999999999997</v>
      </c>
      <c r="G81" s="455">
        <v>500</v>
      </c>
      <c r="H81" s="439">
        <f t="shared" si="3"/>
        <v>37.234042553191486</v>
      </c>
      <c r="I81" s="421">
        <f t="shared" si="6"/>
        <v>3.102836879432624</v>
      </c>
      <c r="J81" s="422">
        <f t="shared" si="5"/>
        <v>13.621453900709218</v>
      </c>
    </row>
    <row r="82" spans="1:10" ht="99" customHeight="1" x14ac:dyDescent="0.15">
      <c r="A82" s="430">
        <v>115193</v>
      </c>
      <c r="B82" s="497" t="s">
        <v>383</v>
      </c>
      <c r="C82" s="452" t="s">
        <v>455</v>
      </c>
      <c r="D82" s="431" t="s">
        <v>477</v>
      </c>
      <c r="E82" s="497" t="s">
        <v>194</v>
      </c>
      <c r="F82" s="454">
        <v>3.06</v>
      </c>
      <c r="G82" s="455">
        <v>300</v>
      </c>
      <c r="H82" s="439">
        <f t="shared" si="3"/>
        <v>22.340425531914892</v>
      </c>
      <c r="I82" s="421">
        <f t="shared" si="6"/>
        <v>1.8617021276595744</v>
      </c>
      <c r="J82" s="422">
        <f t="shared" si="5"/>
        <v>5.6968085106382977</v>
      </c>
    </row>
    <row r="83" spans="1:10" ht="49.5" customHeight="1" thickBot="1" x14ac:dyDescent="0.2">
      <c r="A83" s="460">
        <v>115192</v>
      </c>
      <c r="B83" s="461" t="s">
        <v>415</v>
      </c>
      <c r="C83" s="462" t="s">
        <v>455</v>
      </c>
      <c r="D83" s="463" t="s">
        <v>478</v>
      </c>
      <c r="E83" s="461" t="s">
        <v>194</v>
      </c>
      <c r="F83" s="464">
        <v>4.99</v>
      </c>
      <c r="G83" s="465">
        <v>500</v>
      </c>
      <c r="H83" s="439">
        <f t="shared" si="3"/>
        <v>37.234042553191486</v>
      </c>
      <c r="I83" s="466">
        <f t="shared" si="6"/>
        <v>3.102836879432624</v>
      </c>
      <c r="J83" s="467">
        <f t="shared" si="5"/>
        <v>15.483156028368795</v>
      </c>
    </row>
    <row r="84" spans="1:10" x14ac:dyDescent="0.15">
      <c r="J84" s="468"/>
    </row>
    <row r="85" spans="1:10" ht="43.5" customHeight="1" x14ac:dyDescent="0.15">
      <c r="J85" s="468"/>
    </row>
    <row r="86" spans="1:10" x14ac:dyDescent="0.15">
      <c r="J86" s="468"/>
    </row>
    <row r="87" spans="1:10" ht="78" customHeight="1" x14ac:dyDescent="0.15">
      <c r="J87" s="468"/>
    </row>
    <row r="88" spans="1:10" ht="40.5" customHeight="1" x14ac:dyDescent="0.15">
      <c r="J88" s="468"/>
    </row>
    <row r="89" spans="1:10" x14ac:dyDescent="0.15">
      <c r="J89" s="468"/>
    </row>
    <row r="90" spans="1:10" x14ac:dyDescent="0.15">
      <c r="J90" s="468"/>
    </row>
    <row r="91" spans="1:10" x14ac:dyDescent="0.15">
      <c r="J91" s="468"/>
    </row>
    <row r="92" spans="1:10" x14ac:dyDescent="0.15">
      <c r="J92" s="468"/>
    </row>
    <row r="93" spans="1:10" x14ac:dyDescent="0.15">
      <c r="J93" s="468"/>
    </row>
    <row r="94" spans="1:10" x14ac:dyDescent="0.15">
      <c r="J94" s="468"/>
    </row>
    <row r="95" spans="1:10" x14ac:dyDescent="0.15">
      <c r="J95" s="468"/>
    </row>
    <row r="96" spans="1:10" x14ac:dyDescent="0.15">
      <c r="J96" s="468"/>
    </row>
    <row r="97" spans="10:10" x14ac:dyDescent="0.15">
      <c r="J97" s="468"/>
    </row>
    <row r="98" spans="10:10" x14ac:dyDescent="0.15">
      <c r="J98" s="468"/>
    </row>
    <row r="99" spans="10:10" x14ac:dyDescent="0.15">
      <c r="J99" s="468"/>
    </row>
    <row r="100" spans="10:10" x14ac:dyDescent="0.15">
      <c r="J100" s="468"/>
    </row>
    <row r="101" spans="10:10" x14ac:dyDescent="0.15">
      <c r="J101" s="468"/>
    </row>
    <row r="102" spans="10:10" x14ac:dyDescent="0.15">
      <c r="J102" s="468"/>
    </row>
    <row r="103" spans="10:10" x14ac:dyDescent="0.15">
      <c r="J103" s="468"/>
    </row>
    <row r="104" spans="10:10" x14ac:dyDescent="0.15">
      <c r="J104" s="468"/>
    </row>
    <row r="105" spans="10:10" x14ac:dyDescent="0.15">
      <c r="J105" s="468"/>
    </row>
    <row r="106" spans="10:10" x14ac:dyDescent="0.15">
      <c r="J106" s="468"/>
    </row>
    <row r="107" spans="10:10" x14ac:dyDescent="0.15">
      <c r="J107" s="468"/>
    </row>
    <row r="108" spans="10:10" x14ac:dyDescent="0.15">
      <c r="J108" s="468"/>
    </row>
    <row r="109" spans="10:10" x14ac:dyDescent="0.15">
      <c r="J109" s="468"/>
    </row>
  </sheetData>
  <mergeCells count="5">
    <mergeCell ref="C2:C7"/>
    <mergeCell ref="H4:I4"/>
    <mergeCell ref="H5:I5"/>
    <mergeCell ref="H6:I6"/>
    <mergeCell ref="H7:I7"/>
  </mergeCells>
  <pageMargins left="0.511811024" right="0.511811024" top="0.78740157499999996" bottom="0.78740157499999996" header="0.31496062000000002" footer="0.31496062000000002"/>
  <pageSetup paperSize="9" scale="68"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view="pageBreakPreview" topLeftCell="B7" zoomScaleNormal="100" zoomScaleSheetLayoutView="100" workbookViewId="0">
      <selection activeCell="L7" sqref="L7"/>
    </sheetView>
  </sheetViews>
  <sheetFormatPr defaultRowHeight="15" x14ac:dyDescent="0.25"/>
  <cols>
    <col min="1" max="2" width="9.140625" customWidth="1"/>
    <col min="3" max="3" width="39.42578125" customWidth="1"/>
    <col min="4" max="4" width="11.5703125" customWidth="1"/>
    <col min="5" max="5" width="10.85546875" customWidth="1"/>
    <col min="6" max="6" width="11.85546875" customWidth="1"/>
    <col min="7" max="7" width="10" customWidth="1"/>
    <col min="8" max="8" width="14" customWidth="1"/>
    <col min="9" max="9" width="12.140625" customWidth="1"/>
    <col min="14" max="14" width="16.7109375" customWidth="1"/>
  </cols>
  <sheetData>
    <row r="1" spans="1:16" ht="15.75" thickBot="1" x14ac:dyDescent="0.3"/>
    <row r="2" spans="1:16" s="377" customFormat="1" ht="19.5" thickBot="1" x14ac:dyDescent="0.2">
      <c r="A2" s="603" t="s">
        <v>127</v>
      </c>
      <c r="B2" s="604"/>
      <c r="C2" s="604"/>
      <c r="D2" s="604"/>
      <c r="E2" s="604"/>
      <c r="F2" s="604"/>
      <c r="G2" s="604"/>
      <c r="H2" s="605"/>
      <c r="I2" s="469" t="s">
        <v>479</v>
      </c>
      <c r="J2" s="469">
        <v>7</v>
      </c>
    </row>
    <row r="3" spans="1:16" ht="30.75" thickBot="1" x14ac:dyDescent="0.3">
      <c r="A3" s="376" t="s">
        <v>5</v>
      </c>
      <c r="B3" s="470" t="s">
        <v>336</v>
      </c>
      <c r="C3" s="471" t="s">
        <v>117</v>
      </c>
      <c r="D3" s="472" t="s">
        <v>340</v>
      </c>
      <c r="E3" s="472" t="s">
        <v>341</v>
      </c>
      <c r="F3" s="472" t="s">
        <v>480</v>
      </c>
      <c r="G3" s="472" t="s">
        <v>343</v>
      </c>
      <c r="H3" s="473" t="s">
        <v>120</v>
      </c>
      <c r="I3" s="469" t="s">
        <v>481</v>
      </c>
      <c r="J3" s="469">
        <v>12</v>
      </c>
    </row>
    <row r="4" spans="1:16" ht="60" x14ac:dyDescent="0.25">
      <c r="A4" s="474">
        <v>114698</v>
      </c>
      <c r="B4" s="475" t="s">
        <v>482</v>
      </c>
      <c r="C4" s="476" t="s">
        <v>483</v>
      </c>
      <c r="D4" s="477">
        <v>5.25</v>
      </c>
      <c r="E4" s="478">
        <f>J2*2</f>
        <v>14</v>
      </c>
      <c r="F4" s="479">
        <f>E4/J2</f>
        <v>2</v>
      </c>
      <c r="G4" s="480">
        <f>F4/$J$3</f>
        <v>0.16666666666666666</v>
      </c>
      <c r="H4" s="481">
        <f>D4*G4</f>
        <v>0.875</v>
      </c>
    </row>
    <row r="5" spans="1:16" ht="90" x14ac:dyDescent="0.25">
      <c r="A5" s="482">
        <v>114563</v>
      </c>
      <c r="B5" s="336" t="s">
        <v>484</v>
      </c>
      <c r="C5" s="483" t="s">
        <v>485</v>
      </c>
      <c r="D5" s="484">
        <v>27.79</v>
      </c>
      <c r="E5" s="478">
        <f>$J$2*2</f>
        <v>14</v>
      </c>
      <c r="F5" s="485">
        <v>2</v>
      </c>
      <c r="G5" s="486">
        <f t="shared" ref="G5:G8" si="0">F5/$J$3</f>
        <v>0.16666666666666666</v>
      </c>
      <c r="H5" s="487">
        <f t="shared" ref="H5:H8" si="1">D5*G5</f>
        <v>4.6316666666666659</v>
      </c>
      <c r="N5" s="7"/>
      <c r="O5" s="7"/>
      <c r="P5" s="488"/>
    </row>
    <row r="6" spans="1:16" ht="90" x14ac:dyDescent="0.25">
      <c r="A6" s="482">
        <v>114712</v>
      </c>
      <c r="B6" s="336" t="s">
        <v>486</v>
      </c>
      <c r="C6" s="483" t="s">
        <v>487</v>
      </c>
      <c r="D6" s="484">
        <v>10.5</v>
      </c>
      <c r="E6" s="478">
        <f>$J$2*2</f>
        <v>14</v>
      </c>
      <c r="F6" s="485">
        <v>2</v>
      </c>
      <c r="G6" s="486">
        <f t="shared" si="0"/>
        <v>0.16666666666666666</v>
      </c>
      <c r="H6" s="487">
        <f t="shared" si="1"/>
        <v>1.75</v>
      </c>
      <c r="N6" s="7"/>
      <c r="O6" s="7"/>
      <c r="P6" s="488"/>
    </row>
    <row r="7" spans="1:16" ht="409.5" x14ac:dyDescent="0.25">
      <c r="A7" s="482">
        <v>114610</v>
      </c>
      <c r="B7" s="336" t="s">
        <v>482</v>
      </c>
      <c r="C7" s="483" t="s">
        <v>488</v>
      </c>
      <c r="D7" s="484">
        <v>2.0699999999999998</v>
      </c>
      <c r="E7" s="478">
        <f>F7*J2</f>
        <v>2289</v>
      </c>
      <c r="F7" s="485">
        <v>327</v>
      </c>
      <c r="G7" s="486">
        <f t="shared" si="0"/>
        <v>27.25</v>
      </c>
      <c r="H7" s="487">
        <f t="shared" si="1"/>
        <v>56.407499999999999</v>
      </c>
      <c r="N7" s="7"/>
      <c r="O7" s="7"/>
      <c r="P7" s="488"/>
    </row>
    <row r="8" spans="1:16" ht="120.75" thickBot="1" x14ac:dyDescent="0.3">
      <c r="A8" s="489">
        <v>114586</v>
      </c>
      <c r="B8" s="490"/>
      <c r="C8" s="491" t="s">
        <v>489</v>
      </c>
      <c r="D8" s="492">
        <v>5.4</v>
      </c>
      <c r="E8" s="478">
        <f>$J$2*12</f>
        <v>84</v>
      </c>
      <c r="F8" s="493">
        <v>11</v>
      </c>
      <c r="G8" s="486">
        <f t="shared" si="0"/>
        <v>0.91666666666666663</v>
      </c>
      <c r="H8" s="487">
        <f t="shared" si="1"/>
        <v>4.95</v>
      </c>
      <c r="N8" s="7"/>
      <c r="O8" s="7"/>
      <c r="P8" s="488"/>
    </row>
    <row r="9" spans="1:16" ht="15.75" thickBot="1" x14ac:dyDescent="0.3">
      <c r="A9" s="606" t="s">
        <v>490</v>
      </c>
      <c r="B9" s="607"/>
      <c r="C9" s="607"/>
      <c r="D9" s="608"/>
      <c r="E9" s="608"/>
      <c r="F9" s="608"/>
      <c r="G9" s="609"/>
      <c r="H9" s="494">
        <f>SUM(H4:H8)</f>
        <v>68.614166666666662</v>
      </c>
      <c r="O9" s="7"/>
    </row>
    <row r="10" spans="1:16" ht="15.75" thickBot="1" x14ac:dyDescent="0.3">
      <c r="A10" s="515" t="s">
        <v>491</v>
      </c>
      <c r="B10" s="516"/>
      <c r="C10" s="516"/>
      <c r="D10" s="516"/>
      <c r="E10" s="516"/>
      <c r="F10" s="516"/>
      <c r="G10" s="517"/>
      <c r="H10" s="326">
        <f>H9*J2</f>
        <v>480.29916666666662</v>
      </c>
    </row>
  </sheetData>
  <mergeCells count="3">
    <mergeCell ref="A2:H2"/>
    <mergeCell ref="A9:G9"/>
    <mergeCell ref="A10:G10"/>
  </mergeCells>
  <pageMargins left="0.511811024" right="0.511811024" top="0.78740157499999996" bottom="0.78740157499999996" header="0.31496062000000002" footer="0.31496062000000002"/>
  <pageSetup paperSize="9" scale="6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Z17"/>
  <sheetViews>
    <sheetView view="pageBreakPreview" zoomScale="90" zoomScaleNormal="100" zoomScaleSheetLayoutView="90" workbookViewId="0">
      <selection activeCell="AC8" sqref="AC8"/>
    </sheetView>
  </sheetViews>
  <sheetFormatPr defaultRowHeight="15" x14ac:dyDescent="0.25"/>
  <cols>
    <col min="1" max="1" width="1.5703125" customWidth="1"/>
    <col min="2" max="2" width="4" customWidth="1"/>
    <col min="3" max="3" width="22.28515625" customWidth="1"/>
    <col min="4" max="7" width="12.7109375" customWidth="1"/>
    <col min="8" max="8" width="13.85546875" customWidth="1"/>
    <col min="9" max="9" width="14.28515625" customWidth="1"/>
    <col min="10" max="10" width="14" customWidth="1"/>
    <col min="11" max="12" width="12.7109375" customWidth="1"/>
    <col min="13" max="13" width="2.42578125" customWidth="1"/>
    <col min="14" max="14" width="14.140625" hidden="1" customWidth="1"/>
    <col min="15" max="15" width="8.7109375" hidden="1" customWidth="1"/>
    <col min="16" max="16" width="0" hidden="1" customWidth="1"/>
    <col min="17" max="17" width="10.5703125" hidden="1" customWidth="1"/>
    <col min="18" max="18" width="11.5703125" hidden="1" customWidth="1"/>
    <col min="19" max="20" width="0" hidden="1" customWidth="1"/>
    <col min="21" max="21" width="14.140625" hidden="1" customWidth="1"/>
    <col min="22" max="22" width="8.5703125" hidden="1" customWidth="1"/>
    <col min="23" max="23" width="0" hidden="1" customWidth="1"/>
    <col min="24" max="24" width="10.5703125" hidden="1" customWidth="1"/>
    <col min="25" max="25" width="12.28515625" hidden="1" customWidth="1"/>
    <col min="26" max="26" width="0" hidden="1" customWidth="1"/>
  </cols>
  <sheetData>
    <row r="1" spans="2:26" ht="15.75" thickBot="1" x14ac:dyDescent="0.3">
      <c r="L1" s="17" t="s">
        <v>24</v>
      </c>
      <c r="N1" s="255" t="s">
        <v>46</v>
      </c>
      <c r="O1" s="256">
        <v>180</v>
      </c>
      <c r="P1" s="256"/>
      <c r="Q1" s="256"/>
      <c r="R1" s="256"/>
      <c r="S1" s="253"/>
      <c r="U1" s="255" t="s">
        <v>46</v>
      </c>
      <c r="V1" s="256">
        <v>180</v>
      </c>
      <c r="W1" s="256"/>
      <c r="X1" s="256"/>
      <c r="Y1" s="256"/>
      <c r="Z1" s="253"/>
    </row>
    <row r="2" spans="2:26" ht="15.75" thickBot="1" x14ac:dyDescent="0.3">
      <c r="L2" s="15">
        <v>0.4</v>
      </c>
      <c r="N2" s="255" t="s">
        <v>47</v>
      </c>
      <c r="O2" s="256">
        <f>7*15</f>
        <v>105</v>
      </c>
      <c r="P2" s="41" t="s">
        <v>314</v>
      </c>
      <c r="Q2" s="352">
        <f>O2*60</f>
        <v>6300</v>
      </c>
      <c r="R2" s="353">
        <f>Q2/52.5</f>
        <v>120</v>
      </c>
      <c r="S2" s="253" t="s">
        <v>51</v>
      </c>
      <c r="U2" s="255" t="s">
        <v>47</v>
      </c>
      <c r="V2" s="256">
        <f>7*15</f>
        <v>105</v>
      </c>
      <c r="W2" s="256" t="s">
        <v>50</v>
      </c>
      <c r="X2" s="256">
        <f>V2*60</f>
        <v>6300</v>
      </c>
      <c r="Y2" s="256">
        <f>X2/52.5</f>
        <v>120</v>
      </c>
      <c r="Z2" s="253" t="s">
        <v>51</v>
      </c>
    </row>
    <row r="3" spans="2:26" ht="15.75" thickBot="1" x14ac:dyDescent="0.3">
      <c r="I3" s="323" t="s">
        <v>10</v>
      </c>
      <c r="J3" s="332">
        <v>1045</v>
      </c>
      <c r="K3" s="57"/>
      <c r="L3" s="15">
        <v>0.2</v>
      </c>
      <c r="N3" s="255"/>
      <c r="O3" s="256" t="s">
        <v>48</v>
      </c>
      <c r="P3" s="256" t="s">
        <v>49</v>
      </c>
      <c r="Q3" s="256"/>
      <c r="R3" s="256"/>
      <c r="S3" s="253"/>
      <c r="U3" s="255"/>
      <c r="V3" s="256" t="s">
        <v>48</v>
      </c>
      <c r="W3" s="256" t="s">
        <v>49</v>
      </c>
      <c r="X3" s="256"/>
      <c r="Y3" s="256"/>
      <c r="Z3" s="253"/>
    </row>
    <row r="4" spans="2:26" ht="20.25" customHeight="1" thickBot="1" x14ac:dyDescent="0.3">
      <c r="I4" s="323" t="s">
        <v>23</v>
      </c>
      <c r="J4" s="333">
        <v>0.5</v>
      </c>
      <c r="K4" s="58"/>
      <c r="L4" s="16">
        <v>0.1</v>
      </c>
      <c r="N4" s="334" t="s">
        <v>311</v>
      </c>
      <c r="O4" s="257">
        <f>(D13+I13)/O1</f>
        <v>7.5305555555555559</v>
      </c>
      <c r="P4" s="257">
        <f>O4*0.2</f>
        <v>1.5061111111111112</v>
      </c>
      <c r="Q4" s="258"/>
      <c r="R4" s="326">
        <f>R2*P4</f>
        <v>180.73333333333335</v>
      </c>
      <c r="S4" s="252"/>
      <c r="U4" s="334" t="s">
        <v>311</v>
      </c>
      <c r="V4" s="257">
        <f>(H11+D11)/V1</f>
        <v>9.2021999999999995</v>
      </c>
      <c r="W4" s="257">
        <f>V4*0.2</f>
        <v>1.8404400000000001</v>
      </c>
      <c r="X4" s="258"/>
      <c r="Y4" s="326">
        <f>Y2*W4</f>
        <v>220.8528</v>
      </c>
      <c r="Z4" s="252"/>
    </row>
    <row r="5" spans="2:26" s="7" customFormat="1" ht="40.5" customHeight="1" thickBot="1" x14ac:dyDescent="0.3">
      <c r="B5" s="511" t="s">
        <v>26</v>
      </c>
      <c r="C5" s="512"/>
      <c r="D5" s="512"/>
      <c r="E5" s="512"/>
      <c r="F5" s="512"/>
      <c r="G5" s="512"/>
      <c r="H5" s="512"/>
      <c r="I5" s="512"/>
      <c r="J5" s="512"/>
      <c r="K5" s="513"/>
      <c r="L5" s="514"/>
    </row>
    <row r="6" spans="2:26" ht="45.75" thickBot="1" x14ac:dyDescent="0.3">
      <c r="B6" s="281" t="s">
        <v>5</v>
      </c>
      <c r="C6" s="261" t="s">
        <v>11</v>
      </c>
      <c r="D6" s="261" t="s">
        <v>0</v>
      </c>
      <c r="E6" s="282" t="s">
        <v>1</v>
      </c>
      <c r="F6" s="283" t="s">
        <v>22</v>
      </c>
      <c r="G6" s="283" t="s">
        <v>6</v>
      </c>
      <c r="H6" s="283" t="s">
        <v>7</v>
      </c>
      <c r="I6" s="283" t="s">
        <v>8</v>
      </c>
      <c r="J6" s="283" t="s">
        <v>9</v>
      </c>
      <c r="K6" s="269" t="s">
        <v>45</v>
      </c>
      <c r="L6" s="284" t="s">
        <v>2</v>
      </c>
    </row>
    <row r="7" spans="2:26" ht="125.1" hidden="1" customHeight="1" thickBot="1" x14ac:dyDescent="0.3">
      <c r="B7" s="4" t="s">
        <v>3</v>
      </c>
      <c r="C7" s="324" t="s">
        <v>20</v>
      </c>
      <c r="D7" s="13">
        <v>1100.29</v>
      </c>
      <c r="E7" s="8">
        <v>42.4</v>
      </c>
      <c r="F7" s="8">
        <f>SUM(D7:E7)*$J$4</f>
        <v>571.34500000000003</v>
      </c>
      <c r="G7" s="8">
        <v>123.08</v>
      </c>
      <c r="H7" s="8">
        <f>(D7+G7)*$L$2</f>
        <v>489.34799999999996</v>
      </c>
      <c r="I7" s="8">
        <v>0</v>
      </c>
      <c r="J7" s="61">
        <v>0</v>
      </c>
      <c r="K7" s="59">
        <v>0</v>
      </c>
      <c r="L7" s="11">
        <f t="shared" ref="L7:L10" si="0">SUM(D7:K7)</f>
        <v>2326.4629999999997</v>
      </c>
    </row>
    <row r="8" spans="2:26" ht="125.1" customHeight="1" thickBot="1" x14ac:dyDescent="0.3">
      <c r="B8" s="41" t="s">
        <v>4</v>
      </c>
      <c r="C8" s="67" t="s">
        <v>319</v>
      </c>
      <c r="D8" s="13">
        <v>1146.5</v>
      </c>
      <c r="E8" s="8">
        <v>44.18</v>
      </c>
      <c r="F8" s="9">
        <v>0</v>
      </c>
      <c r="G8" s="8">
        <v>128.24</v>
      </c>
      <c r="H8" s="9">
        <v>0</v>
      </c>
      <c r="I8" s="9">
        <v>0</v>
      </c>
      <c r="J8" s="9">
        <v>0</v>
      </c>
      <c r="K8" s="59">
        <v>0</v>
      </c>
      <c r="L8" s="11">
        <f t="shared" si="0"/>
        <v>1318.92</v>
      </c>
    </row>
    <row r="9" spans="2:26" ht="125.1" hidden="1" customHeight="1" x14ac:dyDescent="0.25">
      <c r="B9" s="64" t="s">
        <v>12</v>
      </c>
      <c r="C9" s="68" t="s">
        <v>21</v>
      </c>
      <c r="D9" s="13">
        <v>1146.5</v>
      </c>
      <c r="E9" s="8">
        <v>44.18</v>
      </c>
      <c r="F9" s="9">
        <v>0</v>
      </c>
      <c r="G9" s="8">
        <v>128.24</v>
      </c>
      <c r="H9" s="8">
        <f>(D9+G9)*$L$2</f>
        <v>509.89600000000002</v>
      </c>
      <c r="I9" s="9">
        <v>0</v>
      </c>
      <c r="J9" s="9">
        <v>0</v>
      </c>
      <c r="K9" s="59">
        <v>0</v>
      </c>
      <c r="L9" s="11">
        <f t="shared" si="0"/>
        <v>1828.816</v>
      </c>
    </row>
    <row r="10" spans="2:26" ht="125.1" customHeight="1" x14ac:dyDescent="0.25">
      <c r="B10" s="65" t="s">
        <v>13</v>
      </c>
      <c r="C10" s="69" t="s">
        <v>324</v>
      </c>
      <c r="D10" s="13">
        <v>1146.5</v>
      </c>
      <c r="E10" s="8">
        <v>44.18</v>
      </c>
      <c r="F10" s="9">
        <v>0</v>
      </c>
      <c r="G10" s="8">
        <v>128.24</v>
      </c>
      <c r="H10" s="8">
        <f>(D10+G10)*$L$2</f>
        <v>509.89600000000002</v>
      </c>
      <c r="I10" s="12">
        <v>0</v>
      </c>
      <c r="J10" s="9">
        <v>0</v>
      </c>
      <c r="K10" s="59">
        <v>0</v>
      </c>
      <c r="L10" s="11">
        <f t="shared" si="0"/>
        <v>1828.816</v>
      </c>
    </row>
    <row r="11" spans="2:26" ht="125.1" hidden="1" customHeight="1" x14ac:dyDescent="0.25">
      <c r="B11" s="65" t="s">
        <v>14</v>
      </c>
      <c r="C11" s="69" t="s">
        <v>18</v>
      </c>
      <c r="D11" s="13">
        <v>1146.5</v>
      </c>
      <c r="E11" s="8">
        <v>44.18</v>
      </c>
      <c r="F11" s="9">
        <v>0</v>
      </c>
      <c r="G11" s="8">
        <v>128.24</v>
      </c>
      <c r="H11" s="8">
        <f>(D11+G11)*$L$2</f>
        <v>509.89600000000002</v>
      </c>
      <c r="I11" s="9">
        <v>0</v>
      </c>
      <c r="J11" s="9">
        <v>0</v>
      </c>
      <c r="K11" s="63">
        <f>Y4</f>
        <v>220.8528</v>
      </c>
      <c r="L11" s="11">
        <f>SUM(D11:K11)</f>
        <v>2049.6687999999999</v>
      </c>
    </row>
    <row r="12" spans="2:26" ht="125.1" customHeight="1" x14ac:dyDescent="0.25">
      <c r="B12" s="65" t="s">
        <v>15</v>
      </c>
      <c r="C12" s="69" t="s">
        <v>323</v>
      </c>
      <c r="D12" s="13">
        <v>1146.5</v>
      </c>
      <c r="E12" s="8">
        <v>44.18</v>
      </c>
      <c r="F12" s="9">
        <v>0</v>
      </c>
      <c r="G12" s="8">
        <v>128.24</v>
      </c>
      <c r="H12" s="9">
        <v>0</v>
      </c>
      <c r="I12" s="9">
        <f>$J$3*$L$3</f>
        <v>209</v>
      </c>
      <c r="J12" s="9">
        <v>0</v>
      </c>
      <c r="K12" s="59">
        <v>0</v>
      </c>
      <c r="L12" s="11">
        <f t="shared" ref="L12:L14" si="1">SUM(D12:K12)</f>
        <v>1527.92</v>
      </c>
    </row>
    <row r="13" spans="2:26" ht="125.1" hidden="1" customHeight="1" x14ac:dyDescent="0.25">
      <c r="B13" s="65" t="s">
        <v>16</v>
      </c>
      <c r="C13" s="69" t="s">
        <v>19</v>
      </c>
      <c r="D13" s="13">
        <v>1146.5</v>
      </c>
      <c r="E13" s="8">
        <v>44.18</v>
      </c>
      <c r="F13" s="9">
        <v>0</v>
      </c>
      <c r="G13" s="8">
        <v>128.24</v>
      </c>
      <c r="H13" s="9">
        <v>0</v>
      </c>
      <c r="I13" s="9">
        <f>$J$3*$L$3</f>
        <v>209</v>
      </c>
      <c r="J13" s="9">
        <v>0</v>
      </c>
      <c r="K13" s="59">
        <f>R4</f>
        <v>180.73333333333335</v>
      </c>
      <c r="L13" s="11">
        <f t="shared" si="1"/>
        <v>1708.6533333333334</v>
      </c>
    </row>
    <row r="14" spans="2:26" ht="125.1" customHeight="1" thickBot="1" x14ac:dyDescent="0.3">
      <c r="B14" s="66" t="s">
        <v>17</v>
      </c>
      <c r="C14" s="70" t="s">
        <v>322</v>
      </c>
      <c r="D14" s="13">
        <v>1146.5</v>
      </c>
      <c r="E14" s="8">
        <v>44.18</v>
      </c>
      <c r="F14" s="10">
        <v>0</v>
      </c>
      <c r="G14" s="8">
        <v>128.24</v>
      </c>
      <c r="H14" s="10">
        <v>0</v>
      </c>
      <c r="I14" s="10">
        <v>0</v>
      </c>
      <c r="J14" s="10">
        <v>0</v>
      </c>
      <c r="K14" s="60">
        <v>0</v>
      </c>
      <c r="L14" s="11">
        <f t="shared" si="1"/>
        <v>1318.92</v>
      </c>
    </row>
    <row r="16" spans="2:26" s="7" customFormat="1" ht="50.1" customHeight="1" x14ac:dyDescent="0.25"/>
    <row r="17" s="7" customFormat="1" ht="50.1" customHeight="1" x14ac:dyDescent="0.25"/>
  </sheetData>
  <mergeCells count="1">
    <mergeCell ref="B5:L5"/>
  </mergeCells>
  <pageMargins left="0.511811024" right="0.511811024" top="0.78740157499999996" bottom="0.78740157499999996" header="0.31496062000000002" footer="0.31496062000000002"/>
  <pageSetup paperSize="9" scale="55"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13"/>
  <sheetViews>
    <sheetView view="pageBreakPreview" zoomScaleNormal="100" zoomScaleSheetLayoutView="100" workbookViewId="0">
      <selection activeCell="L7" sqref="L7"/>
    </sheetView>
  </sheetViews>
  <sheetFormatPr defaultRowHeight="15" x14ac:dyDescent="0.25"/>
  <cols>
    <col min="1" max="1" width="2.28515625" customWidth="1"/>
    <col min="2" max="2" width="4.7109375" customWidth="1"/>
    <col min="3" max="3" width="22.7109375" customWidth="1"/>
    <col min="4" max="4" width="11.7109375" customWidth="1"/>
    <col min="5" max="5" width="7.28515625" customWidth="1"/>
    <col min="6" max="6" width="10.85546875" customWidth="1"/>
    <col min="7" max="7" width="6.28515625" customWidth="1"/>
    <col min="8" max="8" width="11.42578125" customWidth="1"/>
    <col min="9" max="9" width="6.140625" customWidth="1"/>
    <col min="10" max="10" width="10.28515625" customWidth="1"/>
    <col min="11" max="11" width="10.42578125" customWidth="1"/>
  </cols>
  <sheetData>
    <row r="1" spans="2:11" ht="30" customHeight="1" thickBot="1" x14ac:dyDescent="0.3">
      <c r="B1" s="511" t="s">
        <v>25</v>
      </c>
      <c r="C1" s="512"/>
      <c r="D1" s="512"/>
      <c r="E1" s="512"/>
      <c r="F1" s="512"/>
      <c r="G1" s="512"/>
      <c r="H1" s="512"/>
      <c r="I1" s="512"/>
      <c r="J1" s="512"/>
      <c r="K1" s="514"/>
    </row>
    <row r="2" spans="2:11" ht="15.75" thickBot="1" x14ac:dyDescent="0.3">
      <c r="B2" s="518" t="s">
        <v>312</v>
      </c>
      <c r="C2" s="519"/>
      <c r="D2" s="519"/>
      <c r="E2" s="519"/>
      <c r="F2" s="519"/>
      <c r="G2" s="519"/>
      <c r="H2" s="519"/>
      <c r="I2" s="519"/>
      <c r="J2" s="519"/>
      <c r="K2" s="520"/>
    </row>
    <row r="3" spans="2:11" ht="30.75" thickBot="1" x14ac:dyDescent="0.3">
      <c r="B3" s="18" t="s">
        <v>5</v>
      </c>
      <c r="C3" s="39" t="s">
        <v>11</v>
      </c>
      <c r="D3" s="38" t="s">
        <v>27</v>
      </c>
      <c r="E3" s="30" t="s">
        <v>31</v>
      </c>
      <c r="F3" s="33" t="s">
        <v>28</v>
      </c>
      <c r="G3" s="35" t="s">
        <v>31</v>
      </c>
      <c r="H3" s="36" t="s">
        <v>29</v>
      </c>
      <c r="I3" s="37" t="s">
        <v>31</v>
      </c>
      <c r="J3" s="34" t="s">
        <v>30</v>
      </c>
      <c r="K3" s="19" t="s">
        <v>2</v>
      </c>
    </row>
    <row r="4" spans="2:11" ht="90.75" hidden="1" thickBot="1" x14ac:dyDescent="0.3">
      <c r="B4" s="18" t="s">
        <v>3</v>
      </c>
      <c r="C4" s="14" t="s">
        <v>20</v>
      </c>
      <c r="D4" s="29">
        <f>'Modulo 1'!L7</f>
        <v>2326.4629999999997</v>
      </c>
      <c r="E4" s="31">
        <f>100%/12</f>
        <v>8.3333333333333329E-2</v>
      </c>
      <c r="F4" s="29">
        <f>E4*D4</f>
        <v>193.87191666666664</v>
      </c>
      <c r="G4" s="31">
        <f>100%/12</f>
        <v>8.3333333333333329E-2</v>
      </c>
      <c r="H4" s="29">
        <f>G4*D4</f>
        <v>193.87191666666664</v>
      </c>
      <c r="I4" s="31">
        <f>(33.33%*G4)</f>
        <v>2.7774999999999998E-2</v>
      </c>
      <c r="J4" s="20">
        <f>I4*D4</f>
        <v>64.617509824999985</v>
      </c>
      <c r="K4" s="21">
        <f>SUM(F4,H4,J4)</f>
        <v>452.36134315833328</v>
      </c>
    </row>
    <row r="5" spans="2:11" ht="90.75" thickBot="1" x14ac:dyDescent="0.3">
      <c r="B5" s="18" t="s">
        <v>4</v>
      </c>
      <c r="C5" s="67" t="s">
        <v>319</v>
      </c>
      <c r="D5" s="29">
        <f>'Modulo 1'!L8</f>
        <v>1318.92</v>
      </c>
      <c r="E5" s="31">
        <f t="shared" ref="E5:G11" si="0">100%/12</f>
        <v>8.3333333333333329E-2</v>
      </c>
      <c r="F5" s="29">
        <f t="shared" ref="F5:F11" si="1">E5*D5</f>
        <v>109.91</v>
      </c>
      <c r="G5" s="31">
        <f t="shared" si="0"/>
        <v>8.3333333333333329E-2</v>
      </c>
      <c r="H5" s="29">
        <f t="shared" ref="H5:H11" si="2">G5*D5</f>
        <v>109.91</v>
      </c>
      <c r="I5" s="31">
        <f t="shared" ref="I5:I11" si="3">(33.33%*G5)</f>
        <v>2.7774999999999998E-2</v>
      </c>
      <c r="J5" s="20">
        <f t="shared" ref="J5:J11" si="4">I5*D5</f>
        <v>36.633003000000002</v>
      </c>
      <c r="K5" s="21">
        <f t="shared" ref="K5:K11" si="5">SUM(F5,H5,J5)</f>
        <v>256.45300299999997</v>
      </c>
    </row>
    <row r="6" spans="2:11" ht="90" hidden="1" x14ac:dyDescent="0.25">
      <c r="B6" s="23" t="s">
        <v>12</v>
      </c>
      <c r="C6" s="68" t="s">
        <v>21</v>
      </c>
      <c r="D6" s="29">
        <f>'Modulo 1'!L9</f>
        <v>1828.816</v>
      </c>
      <c r="E6" s="31">
        <f t="shared" si="0"/>
        <v>8.3333333333333329E-2</v>
      </c>
      <c r="F6" s="29">
        <f t="shared" si="1"/>
        <v>152.40133333333333</v>
      </c>
      <c r="G6" s="31">
        <f t="shared" si="0"/>
        <v>8.3333333333333329E-2</v>
      </c>
      <c r="H6" s="29">
        <f t="shared" si="2"/>
        <v>152.40133333333333</v>
      </c>
      <c r="I6" s="31">
        <f t="shared" si="3"/>
        <v>2.7774999999999998E-2</v>
      </c>
      <c r="J6" s="20">
        <f t="shared" si="4"/>
        <v>50.795364399999997</v>
      </c>
      <c r="K6" s="21">
        <f t="shared" si="5"/>
        <v>355.59803106666664</v>
      </c>
    </row>
    <row r="7" spans="2:11" ht="75" x14ac:dyDescent="0.25">
      <c r="B7" s="24" t="s">
        <v>13</v>
      </c>
      <c r="C7" s="69" t="s">
        <v>324</v>
      </c>
      <c r="D7" s="29">
        <f>'Modulo 1'!L10</f>
        <v>1828.816</v>
      </c>
      <c r="E7" s="31">
        <f t="shared" si="0"/>
        <v>8.3333333333333329E-2</v>
      </c>
      <c r="F7" s="29">
        <f t="shared" si="1"/>
        <v>152.40133333333333</v>
      </c>
      <c r="G7" s="31">
        <f t="shared" si="0"/>
        <v>8.3333333333333329E-2</v>
      </c>
      <c r="H7" s="29">
        <f t="shared" si="2"/>
        <v>152.40133333333333</v>
      </c>
      <c r="I7" s="31">
        <f t="shared" si="3"/>
        <v>2.7774999999999998E-2</v>
      </c>
      <c r="J7" s="20">
        <f t="shared" si="4"/>
        <v>50.795364399999997</v>
      </c>
      <c r="K7" s="21">
        <f t="shared" si="5"/>
        <v>355.59803106666664</v>
      </c>
    </row>
    <row r="8" spans="2:11" ht="60" hidden="1" x14ac:dyDescent="0.25">
      <c r="B8" s="24" t="s">
        <v>14</v>
      </c>
      <c r="C8" s="69" t="s">
        <v>18</v>
      </c>
      <c r="D8" s="29">
        <f>'Modulo 1'!L11</f>
        <v>2049.6687999999999</v>
      </c>
      <c r="E8" s="31">
        <f t="shared" si="0"/>
        <v>8.3333333333333329E-2</v>
      </c>
      <c r="F8" s="29">
        <f t="shared" si="1"/>
        <v>170.80573333333331</v>
      </c>
      <c r="G8" s="31">
        <f t="shared" si="0"/>
        <v>8.3333333333333329E-2</v>
      </c>
      <c r="H8" s="29">
        <f t="shared" si="2"/>
        <v>170.80573333333331</v>
      </c>
      <c r="I8" s="31">
        <f t="shared" si="3"/>
        <v>2.7774999999999998E-2</v>
      </c>
      <c r="J8" s="20">
        <f t="shared" si="4"/>
        <v>56.92955091999999</v>
      </c>
      <c r="K8" s="21">
        <f t="shared" si="5"/>
        <v>398.54101758666661</v>
      </c>
    </row>
    <row r="9" spans="2:11" ht="90" x14ac:dyDescent="0.25">
      <c r="B9" s="24" t="s">
        <v>15</v>
      </c>
      <c r="C9" s="69" t="s">
        <v>323</v>
      </c>
      <c r="D9" s="29">
        <f>'Modulo 1'!L12</f>
        <v>1527.92</v>
      </c>
      <c r="E9" s="31">
        <f t="shared" si="0"/>
        <v>8.3333333333333329E-2</v>
      </c>
      <c r="F9" s="29">
        <f t="shared" si="1"/>
        <v>127.32666666666667</v>
      </c>
      <c r="G9" s="31">
        <f t="shared" si="0"/>
        <v>8.3333333333333329E-2</v>
      </c>
      <c r="H9" s="29">
        <f t="shared" si="2"/>
        <v>127.32666666666667</v>
      </c>
      <c r="I9" s="31">
        <f t="shared" si="3"/>
        <v>2.7774999999999998E-2</v>
      </c>
      <c r="J9" s="20">
        <f t="shared" si="4"/>
        <v>42.437978000000001</v>
      </c>
      <c r="K9" s="21">
        <f t="shared" si="5"/>
        <v>297.09131133333335</v>
      </c>
    </row>
    <row r="10" spans="2:11" ht="75" hidden="1" x14ac:dyDescent="0.25">
      <c r="B10" s="24" t="s">
        <v>16</v>
      </c>
      <c r="C10" s="69" t="s">
        <v>19</v>
      </c>
      <c r="D10" s="29">
        <f>'Modulo 1'!L13</f>
        <v>1708.6533333333334</v>
      </c>
      <c r="E10" s="31">
        <f t="shared" si="0"/>
        <v>8.3333333333333329E-2</v>
      </c>
      <c r="F10" s="29">
        <f t="shared" si="1"/>
        <v>142.38777777777779</v>
      </c>
      <c r="G10" s="31">
        <f t="shared" si="0"/>
        <v>8.3333333333333329E-2</v>
      </c>
      <c r="H10" s="29">
        <f t="shared" si="2"/>
        <v>142.38777777777779</v>
      </c>
      <c r="I10" s="31">
        <f t="shared" si="3"/>
        <v>2.7774999999999998E-2</v>
      </c>
      <c r="J10" s="20">
        <f t="shared" si="4"/>
        <v>47.457846333333329</v>
      </c>
      <c r="K10" s="21">
        <f t="shared" si="5"/>
        <v>332.23340188888892</v>
      </c>
    </row>
    <row r="11" spans="2:11" ht="90.75" thickBot="1" x14ac:dyDescent="0.3">
      <c r="B11" s="25" t="s">
        <v>17</v>
      </c>
      <c r="C11" s="70" t="s">
        <v>322</v>
      </c>
      <c r="D11" s="56">
        <f>'Modulo 1'!L14</f>
        <v>1318.92</v>
      </c>
      <c r="E11" s="32">
        <f t="shared" si="0"/>
        <v>8.3333333333333329E-2</v>
      </c>
      <c r="F11" s="56">
        <f t="shared" si="1"/>
        <v>109.91</v>
      </c>
      <c r="G11" s="32">
        <f t="shared" si="0"/>
        <v>8.3333333333333329E-2</v>
      </c>
      <c r="H11" s="56">
        <f t="shared" si="2"/>
        <v>109.91</v>
      </c>
      <c r="I11" s="32">
        <f t="shared" si="3"/>
        <v>2.7774999999999998E-2</v>
      </c>
      <c r="J11" s="310">
        <f t="shared" si="4"/>
        <v>36.633003000000002</v>
      </c>
      <c r="K11" s="27">
        <f t="shared" si="5"/>
        <v>256.45300299999997</v>
      </c>
    </row>
    <row r="12" spans="2:11" x14ac:dyDescent="0.25">
      <c r="B12" s="42"/>
      <c r="C12" s="43"/>
      <c r="D12" s="44"/>
      <c r="E12" s="45"/>
      <c r="F12" s="44"/>
      <c r="G12" s="45"/>
      <c r="H12" s="44"/>
      <c r="I12" s="45"/>
      <c r="J12" s="44"/>
      <c r="K12" s="44"/>
    </row>
    <row r="13" spans="2:11" x14ac:dyDescent="0.25">
      <c r="B13" s="42"/>
      <c r="C13" s="43"/>
      <c r="D13" s="44"/>
      <c r="E13" s="45"/>
      <c r="F13" s="44"/>
      <c r="G13" s="45"/>
      <c r="H13" s="44"/>
      <c r="I13" s="45"/>
      <c r="J13" s="44"/>
      <c r="K13" s="44"/>
    </row>
  </sheetData>
  <mergeCells count="2">
    <mergeCell ref="B1:K1"/>
    <mergeCell ref="B2:K2"/>
  </mergeCells>
  <pageMargins left="0.511811024" right="0.511811024" top="0.78740157499999996" bottom="0.78740157499999996" header="0.31496062000000002" footer="0.31496062000000002"/>
  <pageSetup paperSize="9" scale="81"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22"/>
  <sheetViews>
    <sheetView view="pageBreakPreview" zoomScaleNormal="100" zoomScaleSheetLayoutView="100" workbookViewId="0">
      <selection activeCell="L9" sqref="L9"/>
    </sheetView>
  </sheetViews>
  <sheetFormatPr defaultRowHeight="15" x14ac:dyDescent="0.25"/>
  <cols>
    <col min="1" max="1" width="2.7109375" customWidth="1"/>
    <col min="2" max="2" width="4.7109375" customWidth="1"/>
    <col min="3" max="3" width="22.7109375" customWidth="1"/>
    <col min="4" max="4" width="11.85546875" customWidth="1"/>
    <col min="5" max="5" width="7.5703125" customWidth="1"/>
    <col min="6" max="6" width="9.7109375" customWidth="1"/>
    <col min="7" max="7" width="6.28515625" customWidth="1"/>
    <col min="8" max="8" width="10.28515625" customWidth="1"/>
    <col min="9" max="9" width="11.42578125" customWidth="1"/>
    <col min="10" max="10" width="13.28515625" customWidth="1"/>
  </cols>
  <sheetData>
    <row r="1" spans="2:10" ht="15.75" thickBot="1" x14ac:dyDescent="0.3">
      <c r="B1" s="42"/>
      <c r="C1" s="521" t="s">
        <v>35</v>
      </c>
      <c r="D1" s="522"/>
      <c r="E1" s="45"/>
      <c r="F1" s="44"/>
      <c r="G1" s="45"/>
      <c r="H1" s="44"/>
      <c r="I1" s="45"/>
      <c r="J1" s="44"/>
    </row>
    <row r="2" spans="2:10" ht="15.75" thickBot="1" x14ac:dyDescent="0.3">
      <c r="B2" s="42"/>
      <c r="C2" s="325" t="s">
        <v>36</v>
      </c>
      <c r="D2" s="92" t="s">
        <v>31</v>
      </c>
      <c r="E2" s="45"/>
      <c r="F2" s="44"/>
      <c r="G2" s="45"/>
      <c r="H2" s="44"/>
      <c r="I2" s="45"/>
      <c r="J2" s="44"/>
    </row>
    <row r="3" spans="2:10" x14ac:dyDescent="0.25">
      <c r="B3" s="42"/>
      <c r="C3" s="47" t="s">
        <v>37</v>
      </c>
      <c r="D3" s="49">
        <v>0.2</v>
      </c>
      <c r="E3" s="45"/>
      <c r="F3" s="44"/>
      <c r="G3" s="45"/>
      <c r="H3" s="44"/>
      <c r="I3" s="45"/>
      <c r="J3" s="44"/>
    </row>
    <row r="4" spans="2:10" x14ac:dyDescent="0.25">
      <c r="B4" s="42"/>
      <c r="C4" s="46" t="s">
        <v>38</v>
      </c>
      <c r="D4" s="50">
        <v>2.5000000000000001E-2</v>
      </c>
      <c r="E4" s="45"/>
      <c r="F4" s="44"/>
      <c r="G4" s="45"/>
      <c r="H4" s="44"/>
      <c r="I4" s="45"/>
      <c r="J4" s="44"/>
    </row>
    <row r="5" spans="2:10" x14ac:dyDescent="0.25">
      <c r="B5" s="42"/>
      <c r="C5" s="71" t="s">
        <v>39</v>
      </c>
      <c r="D5" s="354">
        <v>0.03</v>
      </c>
      <c r="E5" s="45"/>
      <c r="F5" s="44"/>
      <c r="G5" s="45"/>
      <c r="H5" s="44"/>
      <c r="I5" s="45"/>
      <c r="J5" s="44"/>
    </row>
    <row r="6" spans="2:10" x14ac:dyDescent="0.25">
      <c r="B6" s="42"/>
      <c r="C6" s="46" t="s">
        <v>40</v>
      </c>
      <c r="D6" s="50">
        <v>1.4999999999999999E-2</v>
      </c>
      <c r="E6" s="45"/>
      <c r="F6" s="44"/>
      <c r="G6" s="45"/>
      <c r="H6" s="44"/>
      <c r="I6" s="45"/>
      <c r="J6" s="44"/>
    </row>
    <row r="7" spans="2:10" x14ac:dyDescent="0.25">
      <c r="B7" s="42"/>
      <c r="C7" s="46" t="s">
        <v>41</v>
      </c>
      <c r="D7" s="50">
        <v>0.01</v>
      </c>
      <c r="E7" s="45"/>
      <c r="F7" s="44"/>
      <c r="G7" s="45"/>
      <c r="H7" s="44"/>
      <c r="I7" s="45"/>
      <c r="J7" s="44"/>
    </row>
    <row r="8" spans="2:10" x14ac:dyDescent="0.25">
      <c r="B8" s="42"/>
      <c r="C8" s="46" t="s">
        <v>42</v>
      </c>
      <c r="D8" s="50">
        <v>6.0000000000000001E-3</v>
      </c>
      <c r="E8" s="45"/>
      <c r="F8" s="44"/>
      <c r="G8" s="45"/>
      <c r="H8" s="44"/>
      <c r="I8" s="45"/>
      <c r="J8" s="44"/>
    </row>
    <row r="9" spans="2:10" x14ac:dyDescent="0.25">
      <c r="B9" s="42"/>
      <c r="C9" s="46" t="s">
        <v>43</v>
      </c>
      <c r="D9" s="50">
        <v>2E-3</v>
      </c>
      <c r="E9" s="45"/>
      <c r="F9" s="44"/>
      <c r="G9" s="45"/>
      <c r="H9" s="44"/>
      <c r="I9" s="45"/>
      <c r="J9" s="44"/>
    </row>
    <row r="10" spans="2:10" ht="15.75" thickBot="1" x14ac:dyDescent="0.3">
      <c r="B10" s="42"/>
      <c r="C10" s="52" t="s">
        <v>34</v>
      </c>
      <c r="D10" s="53">
        <v>0.08</v>
      </c>
      <c r="E10" s="45"/>
      <c r="F10" s="44"/>
      <c r="G10" s="45"/>
      <c r="H10" s="44"/>
      <c r="I10" s="45"/>
      <c r="J10" s="44"/>
    </row>
    <row r="11" spans="2:10" ht="15.75" thickBot="1" x14ac:dyDescent="0.3">
      <c r="B11" s="42"/>
      <c r="C11" s="48" t="s">
        <v>44</v>
      </c>
      <c r="D11" s="51">
        <f>SUM(D3:D10)</f>
        <v>0.36800000000000005</v>
      </c>
      <c r="E11" s="45"/>
      <c r="F11" s="44"/>
      <c r="G11" s="45"/>
      <c r="H11" s="44"/>
      <c r="I11" s="45"/>
      <c r="J11" s="44"/>
    </row>
    <row r="12" spans="2:10" ht="15.75" thickBot="1" x14ac:dyDescent="0.3">
      <c r="B12" s="42"/>
      <c r="C12" s="43"/>
      <c r="D12" s="44"/>
      <c r="E12" s="45"/>
      <c r="F12" s="44"/>
      <c r="G12" s="45"/>
      <c r="H12" s="44"/>
      <c r="I12" s="45"/>
      <c r="J12" s="44"/>
    </row>
    <row r="13" spans="2:10" ht="30" customHeight="1" thickBot="1" x14ac:dyDescent="0.3">
      <c r="B13" s="518" t="s">
        <v>32</v>
      </c>
      <c r="C13" s="519"/>
      <c r="D13" s="519"/>
      <c r="E13" s="519"/>
      <c r="F13" s="519"/>
      <c r="G13" s="519"/>
      <c r="H13" s="519"/>
      <c r="I13" s="520"/>
      <c r="J13" s="54"/>
    </row>
    <row r="14" spans="2:10" ht="30.75" thickBot="1" x14ac:dyDescent="0.3">
      <c r="B14" s="91" t="s">
        <v>5</v>
      </c>
      <c r="C14" s="260" t="s">
        <v>11</v>
      </c>
      <c r="D14" s="265" t="s">
        <v>27</v>
      </c>
      <c r="E14" s="266" t="s">
        <v>31</v>
      </c>
      <c r="F14" s="267" t="s">
        <v>33</v>
      </c>
      <c r="G14" s="268" t="s">
        <v>31</v>
      </c>
      <c r="H14" s="269" t="s">
        <v>34</v>
      </c>
      <c r="I14" s="264" t="s">
        <v>44</v>
      </c>
      <c r="J14" s="55"/>
    </row>
    <row r="15" spans="2:10" ht="90.75" hidden="1" thickBot="1" x14ac:dyDescent="0.3">
      <c r="B15" s="18" t="s">
        <v>3</v>
      </c>
      <c r="C15" s="14" t="s">
        <v>20</v>
      </c>
      <c r="D15" s="29">
        <f>'Modulo 1'!L7+'Modulo 2.1'!K4</f>
        <v>2778.8243431583332</v>
      </c>
      <c r="E15" s="31">
        <f>SUM($D$3:$D$9)</f>
        <v>0.28800000000000003</v>
      </c>
      <c r="F15" s="29">
        <f>E15*D15</f>
        <v>800.30141082960006</v>
      </c>
      <c r="G15" s="31">
        <f>$D$10</f>
        <v>0.08</v>
      </c>
      <c r="H15" s="29">
        <f>G15*D15</f>
        <v>222.30594745266666</v>
      </c>
      <c r="I15" s="243">
        <f>SUM(F15,H15)</f>
        <v>1022.6073582822667</v>
      </c>
      <c r="J15" s="44"/>
    </row>
    <row r="16" spans="2:10" ht="90.75" thickBot="1" x14ac:dyDescent="0.3">
      <c r="B16" s="18" t="s">
        <v>4</v>
      </c>
      <c r="C16" s="67" t="s">
        <v>319</v>
      </c>
      <c r="D16" s="29">
        <f>'Modulo 1'!L8+'Modulo 2.1'!K5</f>
        <v>1575.3730030000002</v>
      </c>
      <c r="E16" s="31">
        <f t="shared" ref="E16:E22" si="0">SUM($D$3:$D$9)</f>
        <v>0.28800000000000003</v>
      </c>
      <c r="F16" s="29">
        <f t="shared" ref="F16:F22" si="1">E16*D16</f>
        <v>453.70742486400007</v>
      </c>
      <c r="G16" s="31">
        <f t="shared" ref="G16:G22" si="2">$D$10</f>
        <v>0.08</v>
      </c>
      <c r="H16" s="29">
        <f t="shared" ref="H16:H22" si="3">G16*D16</f>
        <v>126.02984024000001</v>
      </c>
      <c r="I16" s="243">
        <f t="shared" ref="I16:I22" si="4">SUM(F16,H16)</f>
        <v>579.73726510400013</v>
      </c>
      <c r="J16" s="44"/>
    </row>
    <row r="17" spans="2:10" ht="90.75" hidden="1" thickBot="1" x14ac:dyDescent="0.3">
      <c r="B17" s="23" t="s">
        <v>12</v>
      </c>
      <c r="C17" s="68" t="s">
        <v>21</v>
      </c>
      <c r="D17" s="29">
        <f>'Modulo 1'!L9+'Modulo 2.1'!K6</f>
        <v>2184.4140310666667</v>
      </c>
      <c r="E17" s="31">
        <f t="shared" si="0"/>
        <v>0.28800000000000003</v>
      </c>
      <c r="F17" s="29">
        <f t="shared" si="1"/>
        <v>629.11124094720003</v>
      </c>
      <c r="G17" s="31">
        <f t="shared" si="2"/>
        <v>0.08</v>
      </c>
      <c r="H17" s="29">
        <f t="shared" si="3"/>
        <v>174.75312248533334</v>
      </c>
      <c r="I17" s="243">
        <f t="shared" si="4"/>
        <v>803.86436343253331</v>
      </c>
      <c r="J17" s="44"/>
    </row>
    <row r="18" spans="2:10" ht="75.75" thickBot="1" x14ac:dyDescent="0.3">
      <c r="B18" s="24" t="s">
        <v>13</v>
      </c>
      <c r="C18" s="69" t="s">
        <v>324</v>
      </c>
      <c r="D18" s="29">
        <f>'Modulo 1'!L10+'Modulo 2.1'!K7</f>
        <v>2184.4140310666667</v>
      </c>
      <c r="E18" s="31">
        <f t="shared" si="0"/>
        <v>0.28800000000000003</v>
      </c>
      <c r="F18" s="29">
        <f t="shared" si="1"/>
        <v>629.11124094720003</v>
      </c>
      <c r="G18" s="31">
        <f t="shared" si="2"/>
        <v>0.08</v>
      </c>
      <c r="H18" s="29">
        <f t="shared" si="3"/>
        <v>174.75312248533334</v>
      </c>
      <c r="I18" s="243">
        <f t="shared" si="4"/>
        <v>803.86436343253331</v>
      </c>
      <c r="J18" s="44"/>
    </row>
    <row r="19" spans="2:10" ht="60.75" hidden="1" thickBot="1" x14ac:dyDescent="0.3">
      <c r="B19" s="24" t="s">
        <v>14</v>
      </c>
      <c r="C19" s="69" t="s">
        <v>18</v>
      </c>
      <c r="D19" s="29">
        <f>'Modulo 1'!L11+'Modulo 2.1'!K8</f>
        <v>2448.2098175866668</v>
      </c>
      <c r="E19" s="31">
        <f t="shared" si="0"/>
        <v>0.28800000000000003</v>
      </c>
      <c r="F19" s="29">
        <f t="shared" si="1"/>
        <v>705.08442746496007</v>
      </c>
      <c r="G19" s="31">
        <f t="shared" si="2"/>
        <v>0.08</v>
      </c>
      <c r="H19" s="29">
        <f t="shared" si="3"/>
        <v>195.85678540693334</v>
      </c>
      <c r="I19" s="243">
        <f t="shared" si="4"/>
        <v>900.94121287189341</v>
      </c>
      <c r="J19" s="44"/>
    </row>
    <row r="20" spans="2:10" ht="90.75" thickBot="1" x14ac:dyDescent="0.3">
      <c r="B20" s="24" t="s">
        <v>15</v>
      </c>
      <c r="C20" s="69" t="s">
        <v>323</v>
      </c>
      <c r="D20" s="29">
        <f>'Modulo 1'!L12+'Modulo 2.1'!K9</f>
        <v>1825.0113113333334</v>
      </c>
      <c r="E20" s="31">
        <f t="shared" si="0"/>
        <v>0.28800000000000003</v>
      </c>
      <c r="F20" s="29">
        <f t="shared" si="1"/>
        <v>525.60325766400013</v>
      </c>
      <c r="G20" s="31">
        <f t="shared" si="2"/>
        <v>0.08</v>
      </c>
      <c r="H20" s="29">
        <f t="shared" si="3"/>
        <v>146.00090490666668</v>
      </c>
      <c r="I20" s="243">
        <f t="shared" si="4"/>
        <v>671.60416257066686</v>
      </c>
      <c r="J20" s="44"/>
    </row>
    <row r="21" spans="2:10" ht="75.75" hidden="1" thickBot="1" x14ac:dyDescent="0.3">
      <c r="B21" s="24" t="s">
        <v>16</v>
      </c>
      <c r="C21" s="69" t="s">
        <v>19</v>
      </c>
      <c r="D21" s="29">
        <f>'Modulo 1'!L13+'Modulo 2.1'!K10</f>
        <v>2040.8867352222223</v>
      </c>
      <c r="E21" s="31">
        <f t="shared" si="0"/>
        <v>0.28800000000000003</v>
      </c>
      <c r="F21" s="29">
        <f t="shared" si="1"/>
        <v>587.77537974400013</v>
      </c>
      <c r="G21" s="31">
        <f t="shared" si="2"/>
        <v>0.08</v>
      </c>
      <c r="H21" s="29">
        <f t="shared" si="3"/>
        <v>163.27093881777779</v>
      </c>
      <c r="I21" s="243">
        <f t="shared" si="4"/>
        <v>751.04631856177798</v>
      </c>
      <c r="J21" s="44"/>
    </row>
    <row r="22" spans="2:10" ht="90.75" thickBot="1" x14ac:dyDescent="0.3">
      <c r="B22" s="25" t="s">
        <v>17</v>
      </c>
      <c r="C22" s="70" t="s">
        <v>322</v>
      </c>
      <c r="D22" s="56">
        <f>'Modulo 1'!L14+'Modulo 2.1'!K11</f>
        <v>1575.3730030000002</v>
      </c>
      <c r="E22" s="32">
        <f t="shared" si="0"/>
        <v>0.28800000000000003</v>
      </c>
      <c r="F22" s="56">
        <f t="shared" si="1"/>
        <v>453.70742486400007</v>
      </c>
      <c r="G22" s="32">
        <f t="shared" si="2"/>
        <v>0.08</v>
      </c>
      <c r="H22" s="56">
        <f t="shared" si="3"/>
        <v>126.02984024000001</v>
      </c>
      <c r="I22" s="244">
        <f t="shared" si="4"/>
        <v>579.73726510400013</v>
      </c>
      <c r="J22" s="44"/>
    </row>
  </sheetData>
  <mergeCells count="2">
    <mergeCell ref="C1:D1"/>
    <mergeCell ref="B13:I13"/>
  </mergeCells>
  <pageMargins left="0.511811024" right="0.511811024" top="0.78740157499999996" bottom="0.78740157499999996" header="0.31496062000000002" footer="0.31496062000000002"/>
  <pageSetup paperSize="9" scale="8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15"/>
  <sheetViews>
    <sheetView view="pageBreakPreview" zoomScaleNormal="100" zoomScaleSheetLayoutView="100" workbookViewId="0">
      <selection activeCell="L14" sqref="L14"/>
    </sheetView>
  </sheetViews>
  <sheetFormatPr defaultRowHeight="15" x14ac:dyDescent="0.25"/>
  <cols>
    <col min="1" max="1" width="1.7109375" customWidth="1"/>
    <col min="2" max="2" width="4.7109375" customWidth="1"/>
    <col min="3" max="3" width="22.7109375" customWidth="1"/>
    <col min="4" max="4" width="10.85546875" customWidth="1"/>
    <col min="5" max="5" width="6.42578125" customWidth="1"/>
    <col min="6" max="6" width="9.28515625" customWidth="1"/>
    <col min="7" max="7" width="5.85546875" customWidth="1"/>
    <col min="8" max="8" width="6.28515625" customWidth="1"/>
    <col min="9" max="9" width="9.7109375" customWidth="1"/>
    <col min="10" max="10" width="13" customWidth="1"/>
    <col min="11" max="11" width="10.42578125" customWidth="1"/>
    <col min="12" max="12" width="8.28515625" customWidth="1"/>
    <col min="13" max="13" width="11.28515625" customWidth="1"/>
    <col min="14" max="14" width="10.5703125" bestFit="1" customWidth="1"/>
    <col min="15" max="15" width="10.5703125" customWidth="1"/>
    <col min="16" max="16" width="10.5703125" bestFit="1" customWidth="1"/>
  </cols>
  <sheetData>
    <row r="1" spans="2:16" ht="6" customHeight="1" thickBot="1" x14ac:dyDescent="0.3"/>
    <row r="2" spans="2:16" ht="30" customHeight="1" thickBot="1" x14ac:dyDescent="0.3">
      <c r="B2" s="518" t="s">
        <v>25</v>
      </c>
      <c r="C2" s="519"/>
      <c r="D2" s="519"/>
      <c r="E2" s="519"/>
      <c r="F2" s="519"/>
      <c r="G2" s="519"/>
      <c r="H2" s="519"/>
      <c r="I2" s="519"/>
      <c r="J2" s="519"/>
      <c r="K2" s="519"/>
      <c r="L2" s="519"/>
      <c r="M2" s="519"/>
      <c r="N2" s="519"/>
      <c r="O2" s="519"/>
      <c r="P2" s="520"/>
    </row>
    <row r="3" spans="2:16" ht="15.75" thickBot="1" x14ac:dyDescent="0.3">
      <c r="B3" s="518" t="s">
        <v>55</v>
      </c>
      <c r="C3" s="519"/>
      <c r="D3" s="519"/>
      <c r="E3" s="519"/>
      <c r="F3" s="519"/>
      <c r="G3" s="519"/>
      <c r="H3" s="519"/>
      <c r="I3" s="519"/>
      <c r="J3" s="519"/>
      <c r="K3" s="519"/>
      <c r="L3" s="519"/>
      <c r="M3" s="519"/>
      <c r="N3" s="519"/>
      <c r="O3" s="519"/>
      <c r="P3" s="520"/>
    </row>
    <row r="4" spans="2:16" ht="30.75" thickBot="1" x14ac:dyDescent="0.3">
      <c r="B4" s="316"/>
      <c r="C4" s="317"/>
      <c r="D4" s="523" t="s">
        <v>52</v>
      </c>
      <c r="E4" s="524"/>
      <c r="F4" s="524"/>
      <c r="G4" s="524"/>
      <c r="H4" s="524"/>
      <c r="I4" s="525"/>
      <c r="J4" s="526" t="s">
        <v>59</v>
      </c>
      <c r="K4" s="527"/>
      <c r="L4" s="527"/>
      <c r="M4" s="527"/>
      <c r="N4" s="318" t="s">
        <v>62</v>
      </c>
      <c r="O4" s="318" t="s">
        <v>313</v>
      </c>
      <c r="P4" s="319"/>
    </row>
    <row r="5" spans="2:16" ht="45.75" thickBot="1" x14ac:dyDescent="0.3">
      <c r="B5" s="18" t="s">
        <v>5</v>
      </c>
      <c r="C5" s="28" t="s">
        <v>11</v>
      </c>
      <c r="D5" s="23" t="s">
        <v>58</v>
      </c>
      <c r="E5" s="2" t="s">
        <v>54</v>
      </c>
      <c r="F5" s="2" t="s">
        <v>53</v>
      </c>
      <c r="G5" s="3" t="s">
        <v>56</v>
      </c>
      <c r="H5" s="77" t="s">
        <v>57</v>
      </c>
      <c r="I5" s="80" t="s">
        <v>2</v>
      </c>
      <c r="J5" s="23" t="s">
        <v>315</v>
      </c>
      <c r="K5" s="3" t="s">
        <v>60</v>
      </c>
      <c r="L5" s="86" t="s">
        <v>61</v>
      </c>
      <c r="M5" s="80" t="s">
        <v>2</v>
      </c>
      <c r="N5" s="83" t="s">
        <v>60</v>
      </c>
      <c r="O5" s="83" t="s">
        <v>60</v>
      </c>
      <c r="P5" s="84" t="s">
        <v>63</v>
      </c>
    </row>
    <row r="6" spans="2:16" ht="90.75" hidden="1" thickBot="1" x14ac:dyDescent="0.3">
      <c r="B6" s="18" t="s">
        <v>3</v>
      </c>
      <c r="C6" s="72" t="s">
        <v>20</v>
      </c>
      <c r="D6" s="74">
        <v>4.0999999999999996</v>
      </c>
      <c r="E6" s="73">
        <v>0.06</v>
      </c>
      <c r="F6" s="22">
        <f>E6*'Modulo 1'!D7</f>
        <v>66.017399999999995</v>
      </c>
      <c r="G6" s="355">
        <v>26</v>
      </c>
      <c r="H6" s="78">
        <v>2</v>
      </c>
      <c r="I6" s="81">
        <f>(D6*G6*H6)-F6</f>
        <v>147.18259999999998</v>
      </c>
      <c r="J6" s="29">
        <v>14</v>
      </c>
      <c r="K6" s="21">
        <f>J6*G6</f>
        <v>364</v>
      </c>
      <c r="L6" s="87">
        <v>0.05</v>
      </c>
      <c r="M6" s="21">
        <f>(K6-(K6*L6))</f>
        <v>345.8</v>
      </c>
      <c r="N6" s="85">
        <v>110</v>
      </c>
      <c r="O6" s="85">
        <v>2</v>
      </c>
      <c r="P6" s="88">
        <f>SUM(I6+M6+N6+O6)</f>
        <v>604.98260000000005</v>
      </c>
    </row>
    <row r="7" spans="2:16" ht="90.75" thickBot="1" x14ac:dyDescent="0.3">
      <c r="B7" s="18" t="s">
        <v>4</v>
      </c>
      <c r="C7" s="67" t="s">
        <v>319</v>
      </c>
      <c r="D7" s="74">
        <v>4.0999999999999996</v>
      </c>
      <c r="E7" s="73">
        <v>0.06</v>
      </c>
      <c r="F7" s="22">
        <f>E7*'Modulo 1'!D8</f>
        <v>68.789999999999992</v>
      </c>
      <c r="G7" s="375">
        <v>22</v>
      </c>
      <c r="H7" s="78">
        <v>2</v>
      </c>
      <c r="I7" s="81">
        <f t="shared" ref="I7:I13" si="0">(D7*G7*H7)-F7</f>
        <v>111.60999999999999</v>
      </c>
      <c r="J7" s="29">
        <v>15</v>
      </c>
      <c r="K7" s="21">
        <f t="shared" ref="K7:K13" si="1">J7*G7</f>
        <v>330</v>
      </c>
      <c r="L7" s="87">
        <v>0.05</v>
      </c>
      <c r="M7" s="21">
        <f t="shared" ref="M7:M13" si="2">(K7-(K7*L7))</f>
        <v>313.5</v>
      </c>
      <c r="N7" s="85">
        <v>110</v>
      </c>
      <c r="O7" s="85">
        <v>2</v>
      </c>
      <c r="P7" s="88">
        <f t="shared" ref="P7:P12" si="3">SUM(I7+M7+N7+O7)</f>
        <v>537.11</v>
      </c>
    </row>
    <row r="8" spans="2:16" ht="90" hidden="1" x14ac:dyDescent="0.25">
      <c r="B8" s="23" t="s">
        <v>12</v>
      </c>
      <c r="C8" s="68" t="s">
        <v>21</v>
      </c>
      <c r="D8" s="74">
        <v>4.0999999999999996</v>
      </c>
      <c r="E8" s="73">
        <v>0.06</v>
      </c>
      <c r="F8" s="22">
        <f>E8*'Modulo 1'!D9</f>
        <v>68.789999999999992</v>
      </c>
      <c r="G8" s="375">
        <v>22</v>
      </c>
      <c r="H8" s="78">
        <v>2</v>
      </c>
      <c r="I8" s="81">
        <f t="shared" si="0"/>
        <v>111.60999999999999</v>
      </c>
      <c r="J8" s="29">
        <v>15</v>
      </c>
      <c r="K8" s="21">
        <f t="shared" si="1"/>
        <v>330</v>
      </c>
      <c r="L8" s="87">
        <v>0.05</v>
      </c>
      <c r="M8" s="21">
        <f t="shared" si="2"/>
        <v>313.5</v>
      </c>
      <c r="N8" s="85">
        <v>110</v>
      </c>
      <c r="O8" s="85">
        <v>2</v>
      </c>
      <c r="P8" s="88">
        <f t="shared" si="3"/>
        <v>537.11</v>
      </c>
    </row>
    <row r="9" spans="2:16" ht="75" x14ac:dyDescent="0.25">
      <c r="B9" s="24" t="s">
        <v>13</v>
      </c>
      <c r="C9" s="69" t="s">
        <v>324</v>
      </c>
      <c r="D9" s="74">
        <v>4.0999999999999996</v>
      </c>
      <c r="E9" s="73">
        <v>0.06</v>
      </c>
      <c r="F9" s="22">
        <f>E9*'Modulo 1'!D10</f>
        <v>68.789999999999992</v>
      </c>
      <c r="G9" s="375">
        <v>22</v>
      </c>
      <c r="H9" s="78">
        <v>2</v>
      </c>
      <c r="I9" s="81">
        <f t="shared" si="0"/>
        <v>111.60999999999999</v>
      </c>
      <c r="J9" s="29">
        <v>15</v>
      </c>
      <c r="K9" s="21">
        <f t="shared" si="1"/>
        <v>330</v>
      </c>
      <c r="L9" s="87">
        <v>0.05</v>
      </c>
      <c r="M9" s="21">
        <f t="shared" si="2"/>
        <v>313.5</v>
      </c>
      <c r="N9" s="85">
        <v>110</v>
      </c>
      <c r="O9" s="85">
        <v>2</v>
      </c>
      <c r="P9" s="88">
        <f t="shared" si="3"/>
        <v>537.11</v>
      </c>
    </row>
    <row r="10" spans="2:16" ht="60" hidden="1" x14ac:dyDescent="0.25">
      <c r="B10" s="24" t="s">
        <v>14</v>
      </c>
      <c r="C10" s="69" t="s">
        <v>18</v>
      </c>
      <c r="D10" s="74">
        <v>4.0999999999999996</v>
      </c>
      <c r="E10" s="73">
        <v>0.06</v>
      </c>
      <c r="F10" s="22">
        <f>E10*'Modulo 1'!D11</f>
        <v>68.789999999999992</v>
      </c>
      <c r="G10" s="375">
        <v>22</v>
      </c>
      <c r="H10" s="78">
        <v>2</v>
      </c>
      <c r="I10" s="81">
        <f t="shared" si="0"/>
        <v>111.60999999999999</v>
      </c>
      <c r="J10" s="29">
        <v>15</v>
      </c>
      <c r="K10" s="21">
        <f t="shared" si="1"/>
        <v>330</v>
      </c>
      <c r="L10" s="87">
        <v>0.05</v>
      </c>
      <c r="M10" s="21">
        <f t="shared" si="2"/>
        <v>313.5</v>
      </c>
      <c r="N10" s="85">
        <v>110</v>
      </c>
      <c r="O10" s="85">
        <v>2</v>
      </c>
      <c r="P10" s="88">
        <f t="shared" si="3"/>
        <v>537.11</v>
      </c>
    </row>
    <row r="11" spans="2:16" ht="90" x14ac:dyDescent="0.25">
      <c r="B11" s="24" t="s">
        <v>15</v>
      </c>
      <c r="C11" s="69" t="s">
        <v>323</v>
      </c>
      <c r="D11" s="74">
        <v>4.0999999999999996</v>
      </c>
      <c r="E11" s="73">
        <v>0.06</v>
      </c>
      <c r="F11" s="22">
        <f>E11*'Modulo 1'!D12</f>
        <v>68.789999999999992</v>
      </c>
      <c r="G11" s="375">
        <v>22</v>
      </c>
      <c r="H11" s="78">
        <v>2</v>
      </c>
      <c r="I11" s="81">
        <f t="shared" si="0"/>
        <v>111.60999999999999</v>
      </c>
      <c r="J11" s="29">
        <v>15</v>
      </c>
      <c r="K11" s="21">
        <f t="shared" si="1"/>
        <v>330</v>
      </c>
      <c r="L11" s="87">
        <v>0.05</v>
      </c>
      <c r="M11" s="21">
        <f t="shared" si="2"/>
        <v>313.5</v>
      </c>
      <c r="N11" s="85">
        <v>110</v>
      </c>
      <c r="O11" s="85">
        <v>2</v>
      </c>
      <c r="P11" s="88">
        <f t="shared" si="3"/>
        <v>537.11</v>
      </c>
    </row>
    <row r="12" spans="2:16" ht="75" hidden="1" x14ac:dyDescent="0.25">
      <c r="B12" s="24" t="s">
        <v>16</v>
      </c>
      <c r="C12" s="69" t="s">
        <v>19</v>
      </c>
      <c r="D12" s="74">
        <v>4.0999999999999996</v>
      </c>
      <c r="E12" s="73">
        <v>0.06</v>
      </c>
      <c r="F12" s="22">
        <f>E12*'Modulo 1'!D13</f>
        <v>68.789999999999992</v>
      </c>
      <c r="G12" s="375">
        <v>22</v>
      </c>
      <c r="H12" s="78">
        <v>2</v>
      </c>
      <c r="I12" s="81">
        <f t="shared" si="0"/>
        <v>111.60999999999999</v>
      </c>
      <c r="J12" s="29">
        <v>15</v>
      </c>
      <c r="K12" s="21">
        <f t="shared" si="1"/>
        <v>330</v>
      </c>
      <c r="L12" s="87">
        <v>0.05</v>
      </c>
      <c r="M12" s="21">
        <f t="shared" si="2"/>
        <v>313.5</v>
      </c>
      <c r="N12" s="85">
        <v>110</v>
      </c>
      <c r="O12" s="85">
        <v>2</v>
      </c>
      <c r="P12" s="88">
        <f t="shared" si="3"/>
        <v>537.11</v>
      </c>
    </row>
    <row r="13" spans="2:16" ht="90.75" thickBot="1" x14ac:dyDescent="0.3">
      <c r="B13" s="25" t="s">
        <v>17</v>
      </c>
      <c r="C13" s="70" t="s">
        <v>322</v>
      </c>
      <c r="D13" s="75">
        <v>4.0999999999999996</v>
      </c>
      <c r="E13" s="76">
        <v>0.06</v>
      </c>
      <c r="F13" s="26">
        <f>E13*'Modulo 1'!D14</f>
        <v>68.789999999999992</v>
      </c>
      <c r="G13" s="375">
        <v>22</v>
      </c>
      <c r="H13" s="79">
        <v>2</v>
      </c>
      <c r="I13" s="82">
        <f t="shared" si="0"/>
        <v>111.60999999999999</v>
      </c>
      <c r="J13" s="29">
        <v>15</v>
      </c>
      <c r="K13" s="27">
        <f t="shared" si="1"/>
        <v>330</v>
      </c>
      <c r="L13" s="311">
        <v>0.05</v>
      </c>
      <c r="M13" s="27">
        <f t="shared" si="2"/>
        <v>313.5</v>
      </c>
      <c r="N13" s="312">
        <v>110</v>
      </c>
      <c r="O13" s="85">
        <v>2</v>
      </c>
      <c r="P13" s="88">
        <f>SUM(I13+M13+N13+O13)</f>
        <v>537.11</v>
      </c>
    </row>
    <row r="14" spans="2:16" x14ac:dyDescent="0.25">
      <c r="B14" s="42"/>
      <c r="C14" s="43"/>
      <c r="D14" s="44"/>
      <c r="E14" s="45"/>
      <c r="F14" s="45"/>
      <c r="G14" s="44"/>
      <c r="H14" s="45"/>
      <c r="I14" s="45"/>
      <c r="J14" s="44"/>
      <c r="K14" s="45"/>
      <c r="L14" s="44"/>
      <c r="M14" s="44"/>
    </row>
    <row r="15" spans="2:16" x14ac:dyDescent="0.25">
      <c r="B15" s="42"/>
      <c r="C15" s="43"/>
      <c r="D15" s="44"/>
      <c r="E15" s="45"/>
      <c r="F15" s="45"/>
      <c r="G15" s="44"/>
      <c r="H15" s="45"/>
      <c r="I15" s="45"/>
      <c r="J15" s="44"/>
      <c r="K15" s="45"/>
      <c r="L15" s="44"/>
      <c r="M15" s="44"/>
    </row>
  </sheetData>
  <mergeCells count="4">
    <mergeCell ref="D4:I4"/>
    <mergeCell ref="J4:M4"/>
    <mergeCell ref="B2:P2"/>
    <mergeCell ref="B3:P3"/>
  </mergeCells>
  <pageMargins left="0.511811024" right="0.511811024" top="0.78740157499999996" bottom="0.78740157499999996" header="0.31496062000000002" footer="0.31496062000000002"/>
  <pageSetup paperSize="9" scale="5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43"/>
  <sheetViews>
    <sheetView view="pageBreakPreview" zoomScaleNormal="100" zoomScaleSheetLayoutView="100" workbookViewId="0">
      <selection activeCell="C37" sqref="C37:C43"/>
    </sheetView>
  </sheetViews>
  <sheetFormatPr defaultRowHeight="15" x14ac:dyDescent="0.25"/>
  <cols>
    <col min="1" max="1" width="2.7109375" customWidth="1"/>
    <col min="2" max="2" width="4.7109375" customWidth="1"/>
    <col min="3" max="3" width="24.5703125" customWidth="1"/>
    <col min="4" max="4" width="12.85546875" customWidth="1"/>
    <col min="5" max="5" width="12.42578125" customWidth="1"/>
    <col min="6" max="6" width="12.7109375" customWidth="1"/>
    <col min="7" max="7" width="11.28515625" customWidth="1"/>
    <col min="8" max="8" width="8.140625" customWidth="1"/>
    <col min="9" max="9" width="10" customWidth="1"/>
    <col min="10" max="10" width="10.85546875" customWidth="1"/>
    <col min="11" max="11" width="8.28515625" customWidth="1"/>
    <col min="12" max="12" width="10.28515625" customWidth="1"/>
    <col min="13" max="13" width="13.28515625" customWidth="1"/>
  </cols>
  <sheetData>
    <row r="1" spans="2:13" ht="6.75" customHeight="1" thickBot="1" x14ac:dyDescent="0.3">
      <c r="B1" s="42"/>
      <c r="C1" s="43"/>
      <c r="D1" s="44"/>
      <c r="E1" s="45"/>
      <c r="F1" s="44"/>
      <c r="G1" s="45"/>
      <c r="H1" s="44"/>
      <c r="I1" s="45"/>
      <c r="J1" s="45"/>
      <c r="K1" s="45"/>
      <c r="L1" s="44"/>
      <c r="M1" s="44"/>
    </row>
    <row r="2" spans="2:13" ht="36" customHeight="1" thickBot="1" x14ac:dyDescent="0.3">
      <c r="B2" s="42"/>
      <c r="C2" s="535" t="s">
        <v>64</v>
      </c>
      <c r="D2" s="536"/>
      <c r="E2" s="45"/>
      <c r="F2" s="44"/>
      <c r="G2" s="45"/>
      <c r="H2" s="44"/>
      <c r="I2" s="45"/>
      <c r="J2" s="45"/>
      <c r="K2" s="45"/>
      <c r="L2" s="44"/>
      <c r="M2" s="44"/>
    </row>
    <row r="3" spans="2:13" ht="15.75" thickBot="1" x14ac:dyDescent="0.3">
      <c r="B3" s="42"/>
      <c r="C3" s="91" t="s">
        <v>65</v>
      </c>
      <c r="D3" s="92" t="s">
        <v>31</v>
      </c>
      <c r="E3" s="45"/>
      <c r="F3" s="44"/>
      <c r="G3" s="45"/>
      <c r="H3" s="44"/>
      <c r="I3" s="45"/>
      <c r="J3" s="45"/>
      <c r="K3" s="45"/>
      <c r="L3" s="44"/>
      <c r="M3" s="44"/>
    </row>
    <row r="4" spans="2:13" x14ac:dyDescent="0.25">
      <c r="B4" s="42"/>
      <c r="C4" s="47" t="s">
        <v>66</v>
      </c>
      <c r="D4" s="49">
        <v>0.67090000000000005</v>
      </c>
      <c r="E4" s="45"/>
      <c r="F4" s="44"/>
      <c r="G4" s="45"/>
      <c r="H4" s="44"/>
      <c r="I4" s="45"/>
      <c r="J4" s="45"/>
      <c r="K4" s="45"/>
      <c r="L4" s="44"/>
      <c r="M4" s="44"/>
    </row>
    <row r="5" spans="2:13" ht="30" x14ac:dyDescent="0.25">
      <c r="B5" s="42"/>
      <c r="C5" s="46" t="s">
        <v>67</v>
      </c>
      <c r="D5" s="50">
        <v>7.4999999999999997E-3</v>
      </c>
      <c r="E5" s="45"/>
      <c r="F5" s="44"/>
      <c r="G5" s="45"/>
      <c r="H5" s="44"/>
      <c r="I5" s="45"/>
      <c r="J5" s="45"/>
      <c r="K5" s="45"/>
      <c r="L5" s="44"/>
      <c r="M5" s="44"/>
    </row>
    <row r="6" spans="2:13" ht="30" x14ac:dyDescent="0.25">
      <c r="B6" s="42"/>
      <c r="C6" s="89" t="s">
        <v>68</v>
      </c>
      <c r="D6" s="90">
        <v>0.3216</v>
      </c>
      <c r="E6" s="45"/>
      <c r="F6" s="44"/>
      <c r="G6" s="45"/>
      <c r="H6" s="44"/>
      <c r="I6" s="45"/>
      <c r="J6" s="45"/>
      <c r="K6" s="45"/>
      <c r="L6" s="44"/>
      <c r="M6" s="44"/>
    </row>
    <row r="7" spans="2:13" ht="30" x14ac:dyDescent="0.25">
      <c r="B7" s="42"/>
      <c r="C7" s="46" t="s">
        <v>69</v>
      </c>
      <c r="D7" s="50">
        <v>0.33550000000000002</v>
      </c>
      <c r="E7" s="45"/>
      <c r="F7" s="44"/>
      <c r="G7" s="45"/>
      <c r="H7" s="44"/>
      <c r="I7" s="45"/>
      <c r="J7" s="45"/>
      <c r="K7" s="45"/>
      <c r="L7" s="44"/>
      <c r="M7" s="44"/>
    </row>
    <row r="8" spans="2:13" ht="30" x14ac:dyDescent="0.25">
      <c r="B8" s="42"/>
      <c r="C8" s="46" t="s">
        <v>70</v>
      </c>
      <c r="D8" s="50">
        <v>0.33550000000000002</v>
      </c>
      <c r="E8" s="45"/>
      <c r="F8" s="44"/>
      <c r="G8" s="45"/>
      <c r="H8" s="44"/>
      <c r="I8" s="45"/>
      <c r="J8" s="45"/>
      <c r="K8" s="45"/>
      <c r="L8" s="44"/>
      <c r="M8" s="44"/>
    </row>
    <row r="9" spans="2:13" ht="5.25" customHeight="1" thickBot="1" x14ac:dyDescent="0.3">
      <c r="B9" s="42"/>
      <c r="C9" s="43"/>
      <c r="D9" s="44"/>
      <c r="E9" s="45"/>
      <c r="F9" s="44"/>
      <c r="G9" s="45"/>
      <c r="H9" s="44"/>
      <c r="I9" s="45"/>
      <c r="J9" s="45"/>
      <c r="K9" s="45"/>
      <c r="L9" s="44"/>
      <c r="M9" s="44"/>
    </row>
    <row r="10" spans="2:13" ht="30" customHeight="1" thickBot="1" x14ac:dyDescent="0.3">
      <c r="B10" s="518" t="s">
        <v>71</v>
      </c>
      <c r="C10" s="519"/>
      <c r="D10" s="537"/>
      <c r="E10" s="537"/>
      <c r="F10" s="537"/>
      <c r="G10" s="537"/>
      <c r="H10" s="537"/>
      <c r="I10" s="537"/>
      <c r="J10" s="537"/>
      <c r="K10" s="537"/>
      <c r="L10" s="538"/>
      <c r="M10" s="54"/>
    </row>
    <row r="11" spans="2:13" ht="30.75" customHeight="1" thickBot="1" x14ac:dyDescent="0.3">
      <c r="B11" s="259"/>
      <c r="C11" s="285"/>
      <c r="D11" s="528" t="s">
        <v>78</v>
      </c>
      <c r="E11" s="529"/>
      <c r="F11" s="530"/>
      <c r="G11" s="534" t="s">
        <v>73</v>
      </c>
      <c r="H11" s="532"/>
      <c r="I11" s="533"/>
      <c r="J11" s="531" t="s">
        <v>79</v>
      </c>
      <c r="K11" s="532"/>
      <c r="L11" s="533"/>
      <c r="M11" s="54"/>
    </row>
    <row r="12" spans="2:13" ht="30.75" thickBot="1" x14ac:dyDescent="0.3">
      <c r="B12" s="18" t="s">
        <v>5</v>
      </c>
      <c r="C12" s="28" t="s">
        <v>11</v>
      </c>
      <c r="D12" s="18" t="s">
        <v>27</v>
      </c>
      <c r="E12" s="5" t="s">
        <v>72</v>
      </c>
      <c r="F12" s="102" t="s">
        <v>60</v>
      </c>
      <c r="G12" s="18" t="s">
        <v>27</v>
      </c>
      <c r="H12" s="6" t="s">
        <v>74</v>
      </c>
      <c r="I12" s="94" t="s">
        <v>75</v>
      </c>
      <c r="J12" s="107" t="s">
        <v>76</v>
      </c>
      <c r="K12" s="6" t="s">
        <v>31</v>
      </c>
      <c r="L12" s="106" t="s">
        <v>75</v>
      </c>
      <c r="M12" s="55"/>
    </row>
    <row r="13" spans="2:13" ht="90.75" hidden="1" thickBot="1" x14ac:dyDescent="0.3">
      <c r="B13" s="18" t="s">
        <v>3</v>
      </c>
      <c r="C13" s="72" t="s">
        <v>20</v>
      </c>
      <c r="D13" s="100">
        <f>SUM('Modulo 1'!L7+'Modulo 2.1'!K4+'Modulo 2.2'!H15+'Modulo 2.3'!P6)</f>
        <v>3606.1128906109998</v>
      </c>
      <c r="E13" s="101">
        <v>12</v>
      </c>
      <c r="F13" s="104">
        <f>D13/E13</f>
        <v>300.50940755091665</v>
      </c>
      <c r="G13" s="111">
        <f>'Modulo 2.2'!H15</f>
        <v>222.30594745266666</v>
      </c>
      <c r="H13" s="3">
        <v>0.5</v>
      </c>
      <c r="I13" s="112">
        <f>G13*H13</f>
        <v>111.15297372633333</v>
      </c>
      <c r="J13" s="108">
        <f>(F13+I13)</f>
        <v>411.66238127725001</v>
      </c>
      <c r="K13" s="103">
        <f>$D$7</f>
        <v>0.33550000000000002</v>
      </c>
      <c r="L13" s="104">
        <f>J13*K13</f>
        <v>138.11272891851738</v>
      </c>
      <c r="M13" s="44"/>
    </row>
    <row r="14" spans="2:13" ht="75.75" thickBot="1" x14ac:dyDescent="0.3">
      <c r="B14" s="18" t="s">
        <v>4</v>
      </c>
      <c r="C14" s="67" t="s">
        <v>319</v>
      </c>
      <c r="D14" s="74">
        <f>SUM('Modulo 1'!L8+'Modulo 2.1'!K5+'Modulo 2.2'!H16+'Modulo 2.3'!P7)</f>
        <v>2238.5128432400002</v>
      </c>
      <c r="E14" s="95">
        <v>12</v>
      </c>
      <c r="F14" s="96">
        <f t="shared" ref="F14:F20" si="0">D14/E14</f>
        <v>186.54273693666667</v>
      </c>
      <c r="G14" s="113">
        <f>'Modulo 2.2'!H16</f>
        <v>126.02984024000001</v>
      </c>
      <c r="H14" s="93">
        <v>0.5</v>
      </c>
      <c r="I14" s="114">
        <f t="shared" ref="I14:I20" si="1">G14*H14</f>
        <v>63.014920120000006</v>
      </c>
      <c r="J14" s="109">
        <f t="shared" ref="J14:J20" si="2">(F14+I14)</f>
        <v>249.55765705666667</v>
      </c>
      <c r="K14" s="103">
        <f t="shared" ref="K14:K20" si="3">$D$7</f>
        <v>0.33550000000000002</v>
      </c>
      <c r="L14" s="96">
        <f t="shared" ref="L14:L20" si="4">J14*K14</f>
        <v>83.72659394251167</v>
      </c>
      <c r="M14" s="44"/>
    </row>
    <row r="15" spans="2:13" ht="90" hidden="1" x14ac:dyDescent="0.25">
      <c r="B15" s="23" t="s">
        <v>12</v>
      </c>
      <c r="C15" s="68" t="s">
        <v>21</v>
      </c>
      <c r="D15" s="74">
        <f>SUM('Modulo 1'!L9+'Modulo 2.1'!K6+'Modulo 2.2'!H17+'Modulo 2.3'!P8)</f>
        <v>2896.2771535520001</v>
      </c>
      <c r="E15" s="95">
        <v>12</v>
      </c>
      <c r="F15" s="96">
        <f t="shared" si="0"/>
        <v>241.35642946266668</v>
      </c>
      <c r="G15" s="113">
        <f>'Modulo 2.2'!H17</f>
        <v>174.75312248533334</v>
      </c>
      <c r="H15" s="93">
        <v>0.5</v>
      </c>
      <c r="I15" s="114">
        <f t="shared" si="1"/>
        <v>87.376561242666668</v>
      </c>
      <c r="J15" s="109">
        <f t="shared" si="2"/>
        <v>328.73299070533335</v>
      </c>
      <c r="K15" s="103">
        <f t="shared" si="3"/>
        <v>0.33550000000000002</v>
      </c>
      <c r="L15" s="96">
        <f t="shared" si="4"/>
        <v>110.28991838163934</v>
      </c>
      <c r="M15" s="44"/>
    </row>
    <row r="16" spans="2:13" ht="75" x14ac:dyDescent="0.25">
      <c r="B16" s="24" t="s">
        <v>13</v>
      </c>
      <c r="C16" s="69" t="s">
        <v>324</v>
      </c>
      <c r="D16" s="74">
        <f>SUM('Modulo 1'!L10+'Modulo 2.1'!K7+'Modulo 2.2'!H18+'Modulo 2.3'!P9)</f>
        <v>2896.2771535520001</v>
      </c>
      <c r="E16" s="95">
        <v>12</v>
      </c>
      <c r="F16" s="96">
        <f t="shared" si="0"/>
        <v>241.35642946266668</v>
      </c>
      <c r="G16" s="113">
        <f>'Modulo 2.2'!H18</f>
        <v>174.75312248533334</v>
      </c>
      <c r="H16" s="93">
        <v>0.5</v>
      </c>
      <c r="I16" s="114">
        <f t="shared" si="1"/>
        <v>87.376561242666668</v>
      </c>
      <c r="J16" s="109">
        <f t="shared" si="2"/>
        <v>328.73299070533335</v>
      </c>
      <c r="K16" s="103">
        <f t="shared" si="3"/>
        <v>0.33550000000000002</v>
      </c>
      <c r="L16" s="96">
        <f t="shared" si="4"/>
        <v>110.28991838163934</v>
      </c>
      <c r="M16" s="44"/>
    </row>
    <row r="17" spans="2:13" ht="60" hidden="1" x14ac:dyDescent="0.25">
      <c r="B17" s="24" t="s">
        <v>14</v>
      </c>
      <c r="C17" s="69" t="s">
        <v>18</v>
      </c>
      <c r="D17" s="74">
        <f>SUM('Modulo 1'!L11+'Modulo 2.1'!K8+'Modulo 2.2'!H19+'Modulo 2.3'!P10)</f>
        <v>3181.1766029936002</v>
      </c>
      <c r="E17" s="95">
        <v>12</v>
      </c>
      <c r="F17" s="96">
        <f t="shared" si="0"/>
        <v>265.09805024946667</v>
      </c>
      <c r="G17" s="113">
        <f>'Modulo 2.2'!H19</f>
        <v>195.85678540693334</v>
      </c>
      <c r="H17" s="93">
        <v>0.5</v>
      </c>
      <c r="I17" s="114">
        <f t="shared" si="1"/>
        <v>97.92839270346667</v>
      </c>
      <c r="J17" s="109">
        <f t="shared" si="2"/>
        <v>363.02644295293334</v>
      </c>
      <c r="K17" s="103">
        <f t="shared" si="3"/>
        <v>0.33550000000000002</v>
      </c>
      <c r="L17" s="96">
        <f t="shared" si="4"/>
        <v>121.79537161070914</v>
      </c>
      <c r="M17" s="44"/>
    </row>
    <row r="18" spans="2:13" ht="75" x14ac:dyDescent="0.25">
      <c r="B18" s="24" t="s">
        <v>15</v>
      </c>
      <c r="C18" s="69" t="s">
        <v>323</v>
      </c>
      <c r="D18" s="74">
        <f>SUM('Modulo 1'!L12+'Modulo 2.1'!K9+'Modulo 2.2'!H20+'Modulo 2.3'!P11)</f>
        <v>2508.1222162399999</v>
      </c>
      <c r="E18" s="95">
        <v>12</v>
      </c>
      <c r="F18" s="96">
        <f t="shared" si="0"/>
        <v>209.01018468666666</v>
      </c>
      <c r="G18" s="113">
        <f>'Modulo 2.2'!H20</f>
        <v>146.00090490666668</v>
      </c>
      <c r="H18" s="93">
        <v>0.5</v>
      </c>
      <c r="I18" s="114">
        <f t="shared" si="1"/>
        <v>73.000452453333338</v>
      </c>
      <c r="J18" s="109">
        <f t="shared" si="2"/>
        <v>282.01063713999997</v>
      </c>
      <c r="K18" s="103">
        <f t="shared" si="3"/>
        <v>0.33550000000000002</v>
      </c>
      <c r="L18" s="96">
        <f t="shared" si="4"/>
        <v>94.614568760469993</v>
      </c>
      <c r="M18" s="44"/>
    </row>
    <row r="19" spans="2:13" ht="60" hidden="1" x14ac:dyDescent="0.25">
      <c r="B19" s="24" t="s">
        <v>16</v>
      </c>
      <c r="C19" s="69" t="s">
        <v>19</v>
      </c>
      <c r="D19" s="74">
        <f>SUM('Modulo 1'!L13+'Modulo 2.1'!K10+'Modulo 2.2'!H21+'Modulo 2.3'!P12)</f>
        <v>2741.2676740400002</v>
      </c>
      <c r="E19" s="95">
        <v>12</v>
      </c>
      <c r="F19" s="96">
        <f t="shared" si="0"/>
        <v>228.43897283666669</v>
      </c>
      <c r="G19" s="113">
        <f>'Modulo 2.2'!H21</f>
        <v>163.27093881777779</v>
      </c>
      <c r="H19" s="93">
        <v>0.5</v>
      </c>
      <c r="I19" s="114">
        <f t="shared" si="1"/>
        <v>81.635469408888895</v>
      </c>
      <c r="J19" s="109">
        <f t="shared" si="2"/>
        <v>310.07444224555559</v>
      </c>
      <c r="K19" s="103">
        <f t="shared" si="3"/>
        <v>0.33550000000000002</v>
      </c>
      <c r="L19" s="96">
        <f t="shared" si="4"/>
        <v>104.02997537338391</v>
      </c>
      <c r="M19" s="44"/>
    </row>
    <row r="20" spans="2:13" ht="75.75" thickBot="1" x14ac:dyDescent="0.3">
      <c r="B20" s="25" t="s">
        <v>17</v>
      </c>
      <c r="C20" s="70" t="s">
        <v>322</v>
      </c>
      <c r="D20" s="75">
        <f>SUM('Modulo 1'!L14+'Modulo 2.1'!K11+'Modulo 2.2'!H22+'Modulo 2.3'!P13)</f>
        <v>2238.5128432400002</v>
      </c>
      <c r="E20" s="97">
        <v>12</v>
      </c>
      <c r="F20" s="99">
        <f t="shared" si="0"/>
        <v>186.54273693666667</v>
      </c>
      <c r="G20" s="115">
        <f>'Modulo 2.2'!H22</f>
        <v>126.02984024000001</v>
      </c>
      <c r="H20" s="98">
        <v>0.5</v>
      </c>
      <c r="I20" s="116">
        <f t="shared" si="1"/>
        <v>63.014920120000006</v>
      </c>
      <c r="J20" s="110">
        <f t="shared" si="2"/>
        <v>249.55765705666667</v>
      </c>
      <c r="K20" s="103">
        <f t="shared" si="3"/>
        <v>0.33550000000000002</v>
      </c>
      <c r="L20" s="99">
        <f t="shared" si="4"/>
        <v>83.72659394251167</v>
      </c>
      <c r="M20" s="44"/>
    </row>
    <row r="21" spans="2:13" ht="15.75" thickBot="1" x14ac:dyDescent="0.3"/>
    <row r="22" spans="2:13" ht="15.75" thickBot="1" x14ac:dyDescent="0.3">
      <c r="B22" s="518" t="s">
        <v>316</v>
      </c>
      <c r="C22" s="519"/>
      <c r="D22" s="537"/>
      <c r="E22" s="537"/>
      <c r="F22" s="537"/>
      <c r="G22" s="537"/>
      <c r="H22" s="537"/>
      <c r="I22" s="537"/>
      <c r="J22" s="537"/>
      <c r="K22" s="537"/>
      <c r="L22" s="538"/>
    </row>
    <row r="23" spans="2:13" ht="43.5" customHeight="1" thickBot="1" x14ac:dyDescent="0.3">
      <c r="B23" s="259"/>
      <c r="C23" s="285"/>
      <c r="D23" s="528" t="s">
        <v>80</v>
      </c>
      <c r="E23" s="529"/>
      <c r="F23" s="530"/>
      <c r="G23" s="534" t="s">
        <v>81</v>
      </c>
      <c r="H23" s="532"/>
      <c r="I23" s="533"/>
      <c r="J23" s="531" t="s">
        <v>82</v>
      </c>
      <c r="K23" s="532"/>
      <c r="L23" s="533"/>
    </row>
    <row r="24" spans="2:13" ht="45.75" thickBot="1" x14ac:dyDescent="0.3">
      <c r="B24" s="18" t="s">
        <v>5</v>
      </c>
      <c r="C24" s="28" t="s">
        <v>11</v>
      </c>
      <c r="D24" s="18" t="s">
        <v>27</v>
      </c>
      <c r="E24" s="5" t="s">
        <v>72</v>
      </c>
      <c r="F24" s="102" t="s">
        <v>60</v>
      </c>
      <c r="G24" s="18" t="s">
        <v>27</v>
      </c>
      <c r="H24" s="6" t="s">
        <v>74</v>
      </c>
      <c r="I24" s="94" t="s">
        <v>75</v>
      </c>
      <c r="J24" s="107" t="s">
        <v>76</v>
      </c>
      <c r="K24" s="105" t="s">
        <v>77</v>
      </c>
      <c r="L24" s="106" t="s">
        <v>75</v>
      </c>
    </row>
    <row r="25" spans="2:13" ht="90.75" hidden="1" thickBot="1" x14ac:dyDescent="0.3">
      <c r="B25" s="18" t="s">
        <v>3</v>
      </c>
      <c r="C25" s="72" t="s">
        <v>20</v>
      </c>
      <c r="D25" s="100">
        <f>'Modulo 1'!L7+'Modulo 2.1'!K4+'Modulo 2.2'!I15+'Modulo 2.3'!P6</f>
        <v>4406.4143014406</v>
      </c>
      <c r="E25" s="101">
        <v>12</v>
      </c>
      <c r="F25" s="104">
        <f>D25/E25</f>
        <v>367.20119178671666</v>
      </c>
      <c r="G25" s="111">
        <f>'Modulo 2.2'!H15</f>
        <v>222.30594745266666</v>
      </c>
      <c r="H25" s="3">
        <v>0.5</v>
      </c>
      <c r="I25" s="112">
        <f>G25*H25</f>
        <v>111.15297372633333</v>
      </c>
      <c r="J25" s="108">
        <f>(F25+I25)</f>
        <v>478.35416551305002</v>
      </c>
      <c r="K25" s="103">
        <f>$D$8</f>
        <v>0.33550000000000002</v>
      </c>
      <c r="L25" s="104">
        <f>J25*K25</f>
        <v>160.48782252962829</v>
      </c>
    </row>
    <row r="26" spans="2:13" ht="75.75" thickBot="1" x14ac:dyDescent="0.3">
      <c r="B26" s="18" t="s">
        <v>4</v>
      </c>
      <c r="C26" s="67" t="s">
        <v>319</v>
      </c>
      <c r="D26" s="100">
        <f>'Modulo 1'!L8+'Modulo 2.1'!K5+'Modulo 2.2'!I16+'Modulo 2.3'!P7</f>
        <v>2692.2202681040003</v>
      </c>
      <c r="E26" s="95">
        <v>12</v>
      </c>
      <c r="F26" s="96">
        <f t="shared" ref="F26:F32" si="5">D26/E26</f>
        <v>224.35168900866668</v>
      </c>
      <c r="G26" s="111">
        <f>'Modulo 2.2'!H16</f>
        <v>126.02984024000001</v>
      </c>
      <c r="H26" s="93">
        <v>0.5</v>
      </c>
      <c r="I26" s="114">
        <f t="shared" ref="I26:I32" si="6">G26*H26</f>
        <v>63.014920120000006</v>
      </c>
      <c r="J26" s="109">
        <f t="shared" ref="J26:J32" si="7">(F26+I26)</f>
        <v>287.36660912866671</v>
      </c>
      <c r="K26" s="103">
        <f t="shared" ref="K26:K32" si="8">$D$8</f>
        <v>0.33550000000000002</v>
      </c>
      <c r="L26" s="96">
        <f t="shared" ref="L26:L32" si="9">J26*K26</f>
        <v>96.411497362667689</v>
      </c>
    </row>
    <row r="27" spans="2:13" ht="90" hidden="1" x14ac:dyDescent="0.25">
      <c r="B27" s="23" t="s">
        <v>12</v>
      </c>
      <c r="C27" s="68" t="s">
        <v>21</v>
      </c>
      <c r="D27" s="100">
        <f>'Modulo 1'!L9+'Modulo 2.1'!K6+'Modulo 2.2'!I17+'Modulo 2.3'!P8</f>
        <v>3525.3883944991999</v>
      </c>
      <c r="E27" s="95">
        <v>12</v>
      </c>
      <c r="F27" s="96">
        <f t="shared" si="5"/>
        <v>293.78236620826664</v>
      </c>
      <c r="G27" s="111">
        <f>'Modulo 2.2'!H17</f>
        <v>174.75312248533334</v>
      </c>
      <c r="H27" s="93">
        <v>0.5</v>
      </c>
      <c r="I27" s="114">
        <f t="shared" si="6"/>
        <v>87.376561242666668</v>
      </c>
      <c r="J27" s="109">
        <f t="shared" si="7"/>
        <v>381.15892745093333</v>
      </c>
      <c r="K27" s="103">
        <f t="shared" si="8"/>
        <v>0.33550000000000002</v>
      </c>
      <c r="L27" s="96">
        <f t="shared" si="9"/>
        <v>127.87882015978815</v>
      </c>
    </row>
    <row r="28" spans="2:13" ht="75" x14ac:dyDescent="0.25">
      <c r="B28" s="24" t="s">
        <v>13</v>
      </c>
      <c r="C28" s="69" t="s">
        <v>324</v>
      </c>
      <c r="D28" s="100">
        <f>'Modulo 1'!L10+'Modulo 2.1'!K7+'Modulo 2.2'!I18+'Modulo 2.3'!P9</f>
        <v>3525.3883944991999</v>
      </c>
      <c r="E28" s="95">
        <v>12</v>
      </c>
      <c r="F28" s="96">
        <f t="shared" si="5"/>
        <v>293.78236620826664</v>
      </c>
      <c r="G28" s="111">
        <f>'Modulo 2.2'!H18</f>
        <v>174.75312248533334</v>
      </c>
      <c r="H28" s="93">
        <v>0.5</v>
      </c>
      <c r="I28" s="114">
        <f t="shared" si="6"/>
        <v>87.376561242666668</v>
      </c>
      <c r="J28" s="109">
        <f t="shared" si="7"/>
        <v>381.15892745093333</v>
      </c>
      <c r="K28" s="103">
        <f t="shared" si="8"/>
        <v>0.33550000000000002</v>
      </c>
      <c r="L28" s="96">
        <f t="shared" si="9"/>
        <v>127.87882015978815</v>
      </c>
    </row>
    <row r="29" spans="2:13" ht="60" hidden="1" x14ac:dyDescent="0.25">
      <c r="B29" s="24" t="s">
        <v>14</v>
      </c>
      <c r="C29" s="69" t="s">
        <v>18</v>
      </c>
      <c r="D29" s="100">
        <f>'Modulo 1'!L11+'Modulo 2.1'!K8+'Modulo 2.2'!I19+'Modulo 2.3'!P10</f>
        <v>3886.2610304585601</v>
      </c>
      <c r="E29" s="95">
        <v>12</v>
      </c>
      <c r="F29" s="96">
        <f t="shared" si="5"/>
        <v>323.85508587154669</v>
      </c>
      <c r="G29" s="111">
        <f>'Modulo 2.2'!H19</f>
        <v>195.85678540693334</v>
      </c>
      <c r="H29" s="93">
        <v>0.5</v>
      </c>
      <c r="I29" s="114">
        <f t="shared" si="6"/>
        <v>97.92839270346667</v>
      </c>
      <c r="J29" s="109">
        <f t="shared" si="7"/>
        <v>421.78347857501336</v>
      </c>
      <c r="K29" s="103">
        <f t="shared" si="8"/>
        <v>0.33550000000000002</v>
      </c>
      <c r="L29" s="96">
        <f t="shared" si="9"/>
        <v>141.508357061917</v>
      </c>
    </row>
    <row r="30" spans="2:13" ht="75" x14ac:dyDescent="0.25">
      <c r="B30" s="24" t="s">
        <v>15</v>
      </c>
      <c r="C30" s="69" t="s">
        <v>323</v>
      </c>
      <c r="D30" s="100">
        <f>'Modulo 1'!L12+'Modulo 2.1'!K9+'Modulo 2.2'!I20+'Modulo 2.3'!P11</f>
        <v>3033.7254739040004</v>
      </c>
      <c r="E30" s="95">
        <v>12</v>
      </c>
      <c r="F30" s="96">
        <f t="shared" si="5"/>
        <v>252.81045615866671</v>
      </c>
      <c r="G30" s="111">
        <f>'Modulo 2.2'!H20</f>
        <v>146.00090490666668</v>
      </c>
      <c r="H30" s="93">
        <v>0.5</v>
      </c>
      <c r="I30" s="114">
        <f t="shared" si="6"/>
        <v>73.000452453333338</v>
      </c>
      <c r="J30" s="109">
        <f t="shared" si="7"/>
        <v>325.81090861200005</v>
      </c>
      <c r="K30" s="103">
        <f t="shared" si="8"/>
        <v>0.33550000000000002</v>
      </c>
      <c r="L30" s="96">
        <f t="shared" si="9"/>
        <v>109.30955983932603</v>
      </c>
    </row>
    <row r="31" spans="2:13" ht="60" hidden="1" x14ac:dyDescent="0.25">
      <c r="B31" s="24" t="s">
        <v>16</v>
      </c>
      <c r="C31" s="69" t="s">
        <v>19</v>
      </c>
      <c r="D31" s="100">
        <f>'Modulo 1'!L13+'Modulo 2.1'!K10+'Modulo 2.2'!I21+'Modulo 2.3'!P12</f>
        <v>3329.0430537840007</v>
      </c>
      <c r="E31" s="95">
        <v>12</v>
      </c>
      <c r="F31" s="96">
        <f t="shared" si="5"/>
        <v>277.42025448200008</v>
      </c>
      <c r="G31" s="111">
        <f>'Modulo 2.2'!H21</f>
        <v>163.27093881777779</v>
      </c>
      <c r="H31" s="93">
        <v>0.5</v>
      </c>
      <c r="I31" s="114">
        <f t="shared" si="6"/>
        <v>81.635469408888895</v>
      </c>
      <c r="J31" s="109">
        <f t="shared" si="7"/>
        <v>359.055723890889</v>
      </c>
      <c r="K31" s="103">
        <f t="shared" si="8"/>
        <v>0.33550000000000002</v>
      </c>
      <c r="L31" s="96">
        <f t="shared" si="9"/>
        <v>120.46319536539326</v>
      </c>
    </row>
    <row r="32" spans="2:13" ht="75.75" thickBot="1" x14ac:dyDescent="0.3">
      <c r="B32" s="25" t="s">
        <v>17</v>
      </c>
      <c r="C32" s="70" t="s">
        <v>322</v>
      </c>
      <c r="D32" s="100">
        <f>'Modulo 1'!L14+'Modulo 2.1'!K11+'Modulo 2.2'!I22+'Modulo 2.3'!P13</f>
        <v>2692.2202681040003</v>
      </c>
      <c r="E32" s="97">
        <v>12</v>
      </c>
      <c r="F32" s="99">
        <f t="shared" si="5"/>
        <v>224.35168900866668</v>
      </c>
      <c r="G32" s="111">
        <f>'Modulo 2.2'!H22</f>
        <v>126.02984024000001</v>
      </c>
      <c r="H32" s="98">
        <v>0.5</v>
      </c>
      <c r="I32" s="116">
        <f t="shared" si="6"/>
        <v>63.014920120000006</v>
      </c>
      <c r="J32" s="110">
        <f t="shared" si="7"/>
        <v>287.36660912866671</v>
      </c>
      <c r="K32" s="103">
        <f t="shared" si="8"/>
        <v>0.33550000000000002</v>
      </c>
      <c r="L32" s="99">
        <f t="shared" si="9"/>
        <v>96.411497362667689</v>
      </c>
    </row>
    <row r="33" spans="2:12" ht="15.75" thickBot="1" x14ac:dyDescent="0.3"/>
    <row r="34" spans="2:12" ht="15.75" thickBot="1" x14ac:dyDescent="0.3">
      <c r="B34" s="511" t="s">
        <v>83</v>
      </c>
      <c r="C34" s="512"/>
      <c r="D34" s="512"/>
      <c r="E34" s="512"/>
      <c r="F34" s="512"/>
      <c r="G34" s="512"/>
      <c r="H34" s="512"/>
      <c r="I34" s="514"/>
      <c r="J34" s="117"/>
      <c r="K34" s="117"/>
      <c r="L34" s="117"/>
    </row>
    <row r="35" spans="2:12" ht="66" customHeight="1" thickBot="1" x14ac:dyDescent="0.3">
      <c r="B35" s="91" t="s">
        <v>5</v>
      </c>
      <c r="C35" s="260" t="s">
        <v>11</v>
      </c>
      <c r="D35" s="91" t="s">
        <v>84</v>
      </c>
      <c r="E35" s="261" t="s">
        <v>85</v>
      </c>
      <c r="F35" s="262" t="s">
        <v>86</v>
      </c>
      <c r="G35" s="91" t="s">
        <v>87</v>
      </c>
      <c r="H35" s="263" t="s">
        <v>74</v>
      </c>
      <c r="I35" s="264" t="s">
        <v>75</v>
      </c>
      <c r="J35" s="118"/>
      <c r="K35" s="119"/>
      <c r="L35" s="118"/>
    </row>
    <row r="36" spans="2:12" ht="90" hidden="1" x14ac:dyDescent="0.25">
      <c r="B36" s="23" t="s">
        <v>3</v>
      </c>
      <c r="C36" s="40" t="s">
        <v>20</v>
      </c>
      <c r="D36" s="337">
        <f>-('Modulo 2.1'!F4)</f>
        <v>-193.87191666666664</v>
      </c>
      <c r="E36" s="338">
        <f>-('Modulo 2.1'!H4)</f>
        <v>-193.87191666666664</v>
      </c>
      <c r="F36" s="339">
        <f>-('Modulo 2.1'!J4)</f>
        <v>-64.617509824999985</v>
      </c>
      <c r="G36" s="340">
        <f>SUM(D36:F36)</f>
        <v>-452.36134315833328</v>
      </c>
      <c r="H36" s="49">
        <f>$D$5</f>
        <v>7.4999999999999997E-3</v>
      </c>
      <c r="I36" s="349">
        <f>G36*H36</f>
        <v>-3.3927100736874993</v>
      </c>
      <c r="J36" s="120"/>
      <c r="K36" s="45"/>
      <c r="L36" s="44"/>
    </row>
    <row r="37" spans="2:12" ht="75.75" thickBot="1" x14ac:dyDescent="0.3">
      <c r="B37" s="24" t="s">
        <v>4</v>
      </c>
      <c r="C37" s="67" t="s">
        <v>319</v>
      </c>
      <c r="D37" s="341">
        <f>-('Modulo 2.1'!F5)</f>
        <v>-109.91</v>
      </c>
      <c r="E37" s="342">
        <f>-('Modulo 2.1'!H5)</f>
        <v>-109.91</v>
      </c>
      <c r="F37" s="343">
        <f>-('Modulo 2.1'!J5)</f>
        <v>-36.633003000000002</v>
      </c>
      <c r="G37" s="344">
        <f t="shared" ref="G37:G43" si="10">SUM(D37:F37)</f>
        <v>-256.45300299999997</v>
      </c>
      <c r="H37" s="49">
        <f t="shared" ref="H37:H43" si="11">$D$5</f>
        <v>7.4999999999999997E-3</v>
      </c>
      <c r="I37" s="350">
        <f t="shared" ref="I37:I43" si="12">G37*H37</f>
        <v>-1.9233975224999997</v>
      </c>
      <c r="J37" s="120"/>
      <c r="K37" s="45"/>
      <c r="L37" s="44"/>
    </row>
    <row r="38" spans="2:12" ht="90" hidden="1" x14ac:dyDescent="0.25">
      <c r="B38" s="24" t="s">
        <v>12</v>
      </c>
      <c r="C38" s="68" t="s">
        <v>21</v>
      </c>
      <c r="D38" s="341">
        <f>-('Modulo 2.1'!F6)</f>
        <v>-152.40133333333333</v>
      </c>
      <c r="E38" s="342">
        <f>-('Modulo 2.1'!H6)</f>
        <v>-152.40133333333333</v>
      </c>
      <c r="F38" s="343">
        <f>-('Modulo 2.1'!J6)</f>
        <v>-50.795364399999997</v>
      </c>
      <c r="G38" s="344">
        <f t="shared" si="10"/>
        <v>-355.59803106666664</v>
      </c>
      <c r="H38" s="49">
        <f t="shared" si="11"/>
        <v>7.4999999999999997E-3</v>
      </c>
      <c r="I38" s="350">
        <f t="shared" si="12"/>
        <v>-2.6669852329999997</v>
      </c>
      <c r="J38" s="120"/>
      <c r="K38" s="45"/>
      <c r="L38" s="44"/>
    </row>
    <row r="39" spans="2:12" ht="75" x14ac:dyDescent="0.25">
      <c r="B39" s="24" t="s">
        <v>13</v>
      </c>
      <c r="C39" s="69" t="s">
        <v>324</v>
      </c>
      <c r="D39" s="341">
        <f>-('Modulo 2.1'!F7)</f>
        <v>-152.40133333333333</v>
      </c>
      <c r="E39" s="342">
        <f>-('Modulo 2.1'!H7)</f>
        <v>-152.40133333333333</v>
      </c>
      <c r="F39" s="343">
        <f>-('Modulo 2.1'!J7)</f>
        <v>-50.795364399999997</v>
      </c>
      <c r="G39" s="344">
        <f t="shared" si="10"/>
        <v>-355.59803106666664</v>
      </c>
      <c r="H39" s="49">
        <f t="shared" si="11"/>
        <v>7.4999999999999997E-3</v>
      </c>
      <c r="I39" s="350">
        <f t="shared" si="12"/>
        <v>-2.6669852329999997</v>
      </c>
      <c r="J39" s="120"/>
      <c r="K39" s="45"/>
      <c r="L39" s="44"/>
    </row>
    <row r="40" spans="2:12" ht="60" hidden="1" x14ac:dyDescent="0.25">
      <c r="B40" s="24" t="s">
        <v>14</v>
      </c>
      <c r="C40" s="69" t="s">
        <v>18</v>
      </c>
      <c r="D40" s="341">
        <f>-('Modulo 2.1'!F8)</f>
        <v>-170.80573333333331</v>
      </c>
      <c r="E40" s="342">
        <f>-('Modulo 2.1'!H8)</f>
        <v>-170.80573333333331</v>
      </c>
      <c r="F40" s="343">
        <f>-('Modulo 2.1'!J8)</f>
        <v>-56.92955091999999</v>
      </c>
      <c r="G40" s="344">
        <f t="shared" si="10"/>
        <v>-398.54101758666661</v>
      </c>
      <c r="H40" s="49">
        <f t="shared" si="11"/>
        <v>7.4999999999999997E-3</v>
      </c>
      <c r="I40" s="350">
        <f t="shared" si="12"/>
        <v>-2.9890576318999993</v>
      </c>
      <c r="J40" s="120"/>
      <c r="K40" s="45"/>
      <c r="L40" s="44"/>
    </row>
    <row r="41" spans="2:12" ht="75" x14ac:dyDescent="0.25">
      <c r="B41" s="24" t="s">
        <v>15</v>
      </c>
      <c r="C41" s="69" t="s">
        <v>323</v>
      </c>
      <c r="D41" s="341">
        <f>-('Modulo 2.1'!F9)</f>
        <v>-127.32666666666667</v>
      </c>
      <c r="E41" s="342">
        <f>-('Modulo 2.1'!H9)</f>
        <v>-127.32666666666667</v>
      </c>
      <c r="F41" s="343">
        <f>-('Modulo 2.1'!J9)</f>
        <v>-42.437978000000001</v>
      </c>
      <c r="G41" s="344">
        <f t="shared" si="10"/>
        <v>-297.09131133333335</v>
      </c>
      <c r="H41" s="49">
        <f t="shared" si="11"/>
        <v>7.4999999999999997E-3</v>
      </c>
      <c r="I41" s="350">
        <f t="shared" si="12"/>
        <v>-2.228184835</v>
      </c>
      <c r="J41" s="120"/>
      <c r="K41" s="45"/>
      <c r="L41" s="44"/>
    </row>
    <row r="42" spans="2:12" ht="60" hidden="1" x14ac:dyDescent="0.25">
      <c r="B42" s="24" t="s">
        <v>16</v>
      </c>
      <c r="C42" s="69" t="s">
        <v>19</v>
      </c>
      <c r="D42" s="341">
        <f>-('Modulo 2.1'!F10)</f>
        <v>-142.38777777777779</v>
      </c>
      <c r="E42" s="342">
        <f>-('Modulo 2.1'!H10)</f>
        <v>-142.38777777777779</v>
      </c>
      <c r="F42" s="343">
        <f>-('Modulo 2.1'!J10)</f>
        <v>-47.457846333333329</v>
      </c>
      <c r="G42" s="344">
        <f t="shared" si="10"/>
        <v>-332.23340188888892</v>
      </c>
      <c r="H42" s="49">
        <f t="shared" si="11"/>
        <v>7.4999999999999997E-3</v>
      </c>
      <c r="I42" s="350">
        <f t="shared" si="12"/>
        <v>-2.4917505141666667</v>
      </c>
      <c r="J42" s="120"/>
      <c r="K42" s="45"/>
      <c r="L42" s="44"/>
    </row>
    <row r="43" spans="2:12" ht="75.75" thickBot="1" x14ac:dyDescent="0.3">
      <c r="B43" s="25" t="s">
        <v>17</v>
      </c>
      <c r="C43" s="70" t="s">
        <v>322</v>
      </c>
      <c r="D43" s="345">
        <f>-('Modulo 2.1'!F11)</f>
        <v>-109.91</v>
      </c>
      <c r="E43" s="346">
        <f>-('Modulo 2.1'!H11)</f>
        <v>-109.91</v>
      </c>
      <c r="F43" s="347">
        <f>-('Modulo 2.1'!J11)</f>
        <v>-36.633003000000002</v>
      </c>
      <c r="G43" s="348">
        <f t="shared" si="10"/>
        <v>-256.45300299999997</v>
      </c>
      <c r="H43" s="49">
        <f t="shared" si="11"/>
        <v>7.4999999999999997E-3</v>
      </c>
      <c r="I43" s="351">
        <f t="shared" si="12"/>
        <v>-1.9233975224999997</v>
      </c>
      <c r="J43" s="120"/>
      <c r="K43" s="45"/>
      <c r="L43" s="44"/>
    </row>
  </sheetData>
  <mergeCells count="10">
    <mergeCell ref="B22:L22"/>
    <mergeCell ref="D23:F23"/>
    <mergeCell ref="G23:I23"/>
    <mergeCell ref="J23:L23"/>
    <mergeCell ref="B34:I34"/>
    <mergeCell ref="D11:F11"/>
    <mergeCell ref="J11:L11"/>
    <mergeCell ref="G11:I11"/>
    <mergeCell ref="C2:D2"/>
    <mergeCell ref="B10:L10"/>
  </mergeCells>
  <pageMargins left="0.511811024" right="0.511811024" top="0.78740157499999996" bottom="0.78740157499999996" header="0.31496062000000002" footer="0.31496062000000002"/>
  <pageSetup paperSize="9" scale="48" orientation="portrait" r:id="rId1"/>
  <rowBreaks count="1" manualBreakCount="1">
    <brk id="20" min="1" max="11"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28"/>
  <sheetViews>
    <sheetView view="pageBreakPreview" zoomScaleNormal="100" zoomScaleSheetLayoutView="100" workbookViewId="0">
      <selection activeCell="C22" sqref="C22:C28"/>
    </sheetView>
  </sheetViews>
  <sheetFormatPr defaultRowHeight="15" x14ac:dyDescent="0.25"/>
  <cols>
    <col min="1" max="1" width="2.42578125" customWidth="1"/>
    <col min="2" max="2" width="4.28515625" customWidth="1"/>
    <col min="3" max="3" width="23.5703125" customWidth="1"/>
    <col min="4" max="4" width="11.85546875" customWidth="1"/>
    <col min="5" max="5" width="12.85546875" customWidth="1"/>
    <col min="6" max="6" width="12.5703125" customWidth="1"/>
    <col min="7" max="7" width="14.28515625" customWidth="1"/>
    <col min="8" max="8" width="12.85546875" customWidth="1"/>
    <col min="9" max="9" width="16.42578125" customWidth="1"/>
  </cols>
  <sheetData>
    <row r="1" spans="3:9" ht="15.75" thickBot="1" x14ac:dyDescent="0.3"/>
    <row r="2" spans="3:9" ht="35.25" customHeight="1" thickBot="1" x14ac:dyDescent="0.3">
      <c r="C2" s="541" t="s">
        <v>88</v>
      </c>
      <c r="D2" s="542"/>
      <c r="E2" s="542"/>
      <c r="F2" s="542"/>
      <c r="G2" s="542"/>
      <c r="H2" s="542"/>
      <c r="I2" s="543"/>
    </row>
    <row r="3" spans="3:9" ht="15.75" thickBot="1" x14ac:dyDescent="0.3">
      <c r="C3" s="544" t="s">
        <v>89</v>
      </c>
      <c r="D3" s="544" t="s">
        <v>90</v>
      </c>
      <c r="E3" s="546" t="s">
        <v>91</v>
      </c>
      <c r="F3" s="548" t="s">
        <v>106</v>
      </c>
      <c r="G3" s="549"/>
      <c r="H3" s="539" t="s">
        <v>92</v>
      </c>
      <c r="I3" s="540"/>
    </row>
    <row r="4" spans="3:9" ht="45.75" thickBot="1" x14ac:dyDescent="0.3">
      <c r="C4" s="545"/>
      <c r="D4" s="545"/>
      <c r="E4" s="547"/>
      <c r="F4" s="271" t="s">
        <v>93</v>
      </c>
      <c r="G4" s="272" t="s">
        <v>94</v>
      </c>
      <c r="H4" s="273" t="s">
        <v>93</v>
      </c>
      <c r="I4" s="272" t="s">
        <v>94</v>
      </c>
    </row>
    <row r="5" spans="3:9" x14ac:dyDescent="0.25">
      <c r="C5" s="126" t="s">
        <v>29</v>
      </c>
      <c r="D5" s="125">
        <v>1</v>
      </c>
      <c r="E5" s="133">
        <v>30</v>
      </c>
      <c r="F5" s="138">
        <v>0.5</v>
      </c>
      <c r="G5" s="127">
        <f>(D5*E5)*F5</f>
        <v>15</v>
      </c>
      <c r="H5" s="136">
        <v>0.6986</v>
      </c>
      <c r="I5" s="127">
        <f>(D5*H5)*E5</f>
        <v>20.957999999999998</v>
      </c>
    </row>
    <row r="6" spans="3:9" x14ac:dyDescent="0.25">
      <c r="C6" s="128" t="s">
        <v>95</v>
      </c>
      <c r="D6" s="123">
        <v>1</v>
      </c>
      <c r="E6" s="134">
        <v>1</v>
      </c>
      <c r="F6" s="139">
        <v>1</v>
      </c>
      <c r="G6" s="127">
        <f t="shared" ref="G6:G16" si="0">(D6*E6)*F6</f>
        <v>1</v>
      </c>
      <c r="H6" s="137">
        <v>1</v>
      </c>
      <c r="I6" s="129">
        <f t="shared" ref="I6:I16" si="1">(D6*H6)*E6</f>
        <v>1</v>
      </c>
    </row>
    <row r="7" spans="3:9" x14ac:dyDescent="0.25">
      <c r="C7" s="130" t="s">
        <v>96</v>
      </c>
      <c r="D7" s="123">
        <v>9.2200000000000004E-2</v>
      </c>
      <c r="E7" s="134">
        <v>15</v>
      </c>
      <c r="F7" s="138">
        <v>0.5</v>
      </c>
      <c r="G7" s="127">
        <f t="shared" si="0"/>
        <v>0.6915</v>
      </c>
      <c r="H7" s="137">
        <v>0.6986</v>
      </c>
      <c r="I7" s="129">
        <f t="shared" si="1"/>
        <v>0.96616379999999991</v>
      </c>
    </row>
    <row r="8" spans="3:9" x14ac:dyDescent="0.25">
      <c r="C8" s="130" t="s">
        <v>97</v>
      </c>
      <c r="D8" s="123">
        <v>1</v>
      </c>
      <c r="E8" s="134">
        <v>5</v>
      </c>
      <c r="F8" s="138">
        <v>0.5</v>
      </c>
      <c r="G8" s="127">
        <f t="shared" si="0"/>
        <v>2.5</v>
      </c>
      <c r="H8" s="137">
        <v>0.6986</v>
      </c>
      <c r="I8" s="129">
        <f t="shared" si="1"/>
        <v>3.4929999999999999</v>
      </c>
    </row>
    <row r="9" spans="3:9" x14ac:dyDescent="0.25">
      <c r="C9" s="130" t="s">
        <v>98</v>
      </c>
      <c r="D9" s="123">
        <v>0.13439999999999999</v>
      </c>
      <c r="E9" s="134">
        <v>2</v>
      </c>
      <c r="F9" s="139">
        <v>1</v>
      </c>
      <c r="G9" s="127">
        <f t="shared" si="0"/>
        <v>0.26879999999999998</v>
      </c>
      <c r="H9" s="137">
        <v>1</v>
      </c>
      <c r="I9" s="129">
        <f t="shared" si="1"/>
        <v>0.26879999999999998</v>
      </c>
    </row>
    <row r="10" spans="3:9" x14ac:dyDescent="0.25">
      <c r="C10" s="130" t="s">
        <v>99</v>
      </c>
      <c r="D10" s="123">
        <v>3.0499999999999999E-2</v>
      </c>
      <c r="E10" s="134">
        <v>2</v>
      </c>
      <c r="F10" s="138">
        <v>0.5</v>
      </c>
      <c r="G10" s="127">
        <f t="shared" si="0"/>
        <v>3.0499999999999999E-2</v>
      </c>
      <c r="H10" s="137">
        <v>0.6986</v>
      </c>
      <c r="I10" s="129">
        <f t="shared" si="1"/>
        <v>4.2614599999999996E-2</v>
      </c>
    </row>
    <row r="11" spans="3:9" x14ac:dyDescent="0.25">
      <c r="C11" s="130" t="s">
        <v>100</v>
      </c>
      <c r="D11" s="123">
        <v>1.18E-2</v>
      </c>
      <c r="E11" s="134">
        <v>3</v>
      </c>
      <c r="F11" s="139">
        <v>1</v>
      </c>
      <c r="G11" s="127">
        <f t="shared" si="0"/>
        <v>3.5400000000000001E-2</v>
      </c>
      <c r="H11" s="137">
        <v>1</v>
      </c>
      <c r="I11" s="129">
        <f t="shared" si="1"/>
        <v>3.5400000000000001E-2</v>
      </c>
    </row>
    <row r="12" spans="3:9" x14ac:dyDescent="0.25">
      <c r="C12" s="130" t="s">
        <v>101</v>
      </c>
      <c r="D12" s="123">
        <v>0.02</v>
      </c>
      <c r="E12" s="134">
        <v>1</v>
      </c>
      <c r="F12" s="139">
        <v>1</v>
      </c>
      <c r="G12" s="127">
        <f t="shared" si="0"/>
        <v>0.02</v>
      </c>
      <c r="H12" s="137">
        <v>1</v>
      </c>
      <c r="I12" s="129">
        <f t="shared" si="1"/>
        <v>0.02</v>
      </c>
    </row>
    <row r="13" spans="3:9" x14ac:dyDescent="0.25">
      <c r="C13" s="130" t="s">
        <v>102</v>
      </c>
      <c r="D13" s="123">
        <v>4.0000000000000001E-3</v>
      </c>
      <c r="E13" s="134">
        <v>1</v>
      </c>
      <c r="F13" s="139">
        <v>1</v>
      </c>
      <c r="G13" s="127">
        <f t="shared" si="0"/>
        <v>4.0000000000000001E-3</v>
      </c>
      <c r="H13" s="137">
        <v>1</v>
      </c>
      <c r="I13" s="129">
        <f t="shared" si="1"/>
        <v>4.0000000000000001E-3</v>
      </c>
    </row>
    <row r="14" spans="3:9" x14ac:dyDescent="0.25">
      <c r="C14" s="130" t="s">
        <v>103</v>
      </c>
      <c r="D14" s="123">
        <v>1.43E-2</v>
      </c>
      <c r="E14" s="134">
        <v>20</v>
      </c>
      <c r="F14" s="138">
        <v>0.5</v>
      </c>
      <c r="G14" s="127">
        <f t="shared" si="0"/>
        <v>0.14300000000000002</v>
      </c>
      <c r="H14" s="137">
        <v>0.6986</v>
      </c>
      <c r="I14" s="129">
        <f t="shared" si="1"/>
        <v>0.19979960000000002</v>
      </c>
    </row>
    <row r="15" spans="3:9" x14ac:dyDescent="0.25">
      <c r="C15" s="130" t="s">
        <v>104</v>
      </c>
      <c r="D15" s="123">
        <v>1.9699999999999999E-2</v>
      </c>
      <c r="E15" s="134">
        <v>180</v>
      </c>
      <c r="F15" s="138">
        <v>0.5</v>
      </c>
      <c r="G15" s="127">
        <f t="shared" si="0"/>
        <v>1.7729999999999999</v>
      </c>
      <c r="H15" s="137">
        <v>0.6986</v>
      </c>
      <c r="I15" s="129">
        <f t="shared" si="1"/>
        <v>2.4772355999999998</v>
      </c>
    </row>
    <row r="16" spans="3:9" ht="15.75" thickBot="1" x14ac:dyDescent="0.3">
      <c r="C16" s="131" t="s">
        <v>105</v>
      </c>
      <c r="D16" s="132">
        <v>1.6000000000000001E-3</v>
      </c>
      <c r="E16" s="135">
        <v>6</v>
      </c>
      <c r="F16" s="140">
        <v>1</v>
      </c>
      <c r="G16" s="141">
        <f t="shared" si="0"/>
        <v>9.6000000000000009E-3</v>
      </c>
      <c r="H16" s="142">
        <v>1</v>
      </c>
      <c r="I16" s="143">
        <f t="shared" si="1"/>
        <v>9.6000000000000009E-3</v>
      </c>
    </row>
    <row r="17" spans="2:9" ht="45.75" thickBot="1" x14ac:dyDescent="0.3">
      <c r="F17" s="18" t="s">
        <v>107</v>
      </c>
      <c r="G17" s="144">
        <f>SUM(G5:G16)</f>
        <v>21.4758</v>
      </c>
      <c r="H17" s="18" t="s">
        <v>108</v>
      </c>
      <c r="I17" s="144">
        <f>SUM(I5:I16)</f>
        <v>29.474613599999994</v>
      </c>
    </row>
    <row r="18" spans="2:9" ht="15.75" thickBot="1" x14ac:dyDescent="0.3"/>
    <row r="19" spans="2:9" ht="15.75" thickBot="1" x14ac:dyDescent="0.3">
      <c r="B19" s="518" t="s">
        <v>109</v>
      </c>
      <c r="C19" s="519"/>
      <c r="D19" s="519"/>
      <c r="E19" s="519"/>
      <c r="F19" s="519"/>
      <c r="G19" s="519"/>
      <c r="H19" s="519"/>
      <c r="I19" s="520"/>
    </row>
    <row r="20" spans="2:9" ht="30.75" thickBot="1" x14ac:dyDescent="0.3">
      <c r="B20" s="91" t="s">
        <v>5</v>
      </c>
      <c r="C20" s="260" t="s">
        <v>11</v>
      </c>
      <c r="D20" s="265" t="s">
        <v>27</v>
      </c>
      <c r="E20" s="266" t="s">
        <v>110</v>
      </c>
      <c r="F20" s="267" t="s">
        <v>111</v>
      </c>
      <c r="G20" s="268" t="s">
        <v>112</v>
      </c>
      <c r="H20" s="269" t="s">
        <v>113</v>
      </c>
      <c r="I20" s="264" t="s">
        <v>114</v>
      </c>
    </row>
    <row r="21" spans="2:9" ht="90.75" hidden="1" thickBot="1" x14ac:dyDescent="0.3">
      <c r="B21" s="18" t="s">
        <v>3</v>
      </c>
      <c r="C21" s="14" t="s">
        <v>20</v>
      </c>
      <c r="D21" s="29">
        <f>'Modulo 1'!L7+'Modulo 2.1'!K4+'Modulo 2.2'!I15+'Modulo 2.3'!P6+'Modulo 3'!L13+'Modulo 3'!I36+'Modulo 3'!L25</f>
        <v>4701.6221428150575</v>
      </c>
      <c r="E21" s="313">
        <v>30</v>
      </c>
      <c r="F21" s="29">
        <f>D21/E21</f>
        <v>156.72073809383525</v>
      </c>
      <c r="G21" s="145">
        <f>$I$17</f>
        <v>29.474613599999994</v>
      </c>
      <c r="H21" s="29">
        <f>G21*F21</f>
        <v>4619.2831984225941</v>
      </c>
      <c r="I21" s="21">
        <f>H21/12</f>
        <v>384.94026653521615</v>
      </c>
    </row>
    <row r="22" spans="2:9" ht="90.75" thickBot="1" x14ac:dyDescent="0.3">
      <c r="B22" s="18" t="s">
        <v>4</v>
      </c>
      <c r="C22" s="67" t="s">
        <v>319</v>
      </c>
      <c r="D22" s="29">
        <f>'Modulo 1'!L8+'Modulo 2.1'!K5+'Modulo 2.2'!I16+'Modulo 2.3'!P7+'Modulo 3'!L14+'Modulo 3'!I37+'Modulo 3'!L26</f>
        <v>2870.4349618866795</v>
      </c>
      <c r="E22" s="313">
        <v>30</v>
      </c>
      <c r="F22" s="29">
        <f t="shared" ref="F22:F28" si="2">D22/E22</f>
        <v>95.681165396222653</v>
      </c>
      <c r="G22" s="145">
        <f t="shared" ref="G22:G23" si="3">$I$17</f>
        <v>29.474613599999994</v>
      </c>
      <c r="H22" s="29">
        <f t="shared" ref="H22:H28" si="4">G22*F22</f>
        <v>2820.1653788513531</v>
      </c>
      <c r="I22" s="21">
        <f t="shared" ref="I22:I28" si="5">H22/12</f>
        <v>235.01378157094609</v>
      </c>
    </row>
    <row r="23" spans="2:9" ht="90" hidden="1" x14ac:dyDescent="0.25">
      <c r="B23" s="23" t="s">
        <v>12</v>
      </c>
      <c r="C23" s="68" t="s">
        <v>21</v>
      </c>
      <c r="D23" s="29">
        <f>'Modulo 1'!L9+'Modulo 2.1'!K6+'Modulo 2.2'!I17+'Modulo 2.3'!P8+'Modulo 3'!L15+'Modulo 3'!I38+'Modulo 3'!L27</f>
        <v>3760.8901478076273</v>
      </c>
      <c r="E23" s="313">
        <v>30</v>
      </c>
      <c r="F23" s="29">
        <f t="shared" si="2"/>
        <v>125.36300492692091</v>
      </c>
      <c r="G23" s="145">
        <f t="shared" si="3"/>
        <v>29.474613599999994</v>
      </c>
      <c r="H23" s="29">
        <f t="shared" si="4"/>
        <v>3695.0261299558892</v>
      </c>
      <c r="I23" s="21">
        <f t="shared" si="5"/>
        <v>307.91884416299075</v>
      </c>
    </row>
    <row r="24" spans="2:9" ht="75" x14ac:dyDescent="0.25">
      <c r="B24" s="24" t="s">
        <v>13</v>
      </c>
      <c r="C24" s="69" t="s">
        <v>324</v>
      </c>
      <c r="D24" s="29">
        <f>'Modulo 1'!L10+'Modulo 2.1'!K7+'Modulo 2.2'!I18+'Modulo 2.3'!P9+'Modulo 3'!L16+'Modulo 3'!I39+'Modulo 3'!L28</f>
        <v>3760.8901478076273</v>
      </c>
      <c r="E24" s="313">
        <v>30</v>
      </c>
      <c r="F24" s="29">
        <f t="shared" si="2"/>
        <v>125.36300492692091</v>
      </c>
      <c r="G24" s="145">
        <f>$G$17</f>
        <v>21.4758</v>
      </c>
      <c r="H24" s="29">
        <f t="shared" si="4"/>
        <v>2692.2708212095681</v>
      </c>
      <c r="I24" s="21">
        <f t="shared" si="5"/>
        <v>224.35590176746402</v>
      </c>
    </row>
    <row r="25" spans="2:9" ht="60" hidden="1" x14ac:dyDescent="0.25">
      <c r="B25" s="24" t="s">
        <v>14</v>
      </c>
      <c r="C25" s="69" t="s">
        <v>18</v>
      </c>
      <c r="D25" s="29">
        <f>'Modulo 1'!L11+'Modulo 2.1'!K8+'Modulo 2.2'!I19+'Modulo 2.3'!P10+'Modulo 3'!L17+'Modulo 3'!I40+'Modulo 3'!L29</f>
        <v>4146.575701499286</v>
      </c>
      <c r="E25" s="313">
        <v>30</v>
      </c>
      <c r="F25" s="29">
        <f t="shared" si="2"/>
        <v>138.21919004997619</v>
      </c>
      <c r="G25" s="145">
        <f t="shared" ref="G25:G28" si="6">$G$17</f>
        <v>21.4758</v>
      </c>
      <c r="H25" s="29">
        <f t="shared" si="4"/>
        <v>2968.3676816752786</v>
      </c>
      <c r="I25" s="21">
        <f t="shared" si="5"/>
        <v>247.36397347293988</v>
      </c>
    </row>
    <row r="26" spans="2:9" ht="90" x14ac:dyDescent="0.25">
      <c r="B26" s="24" t="s">
        <v>15</v>
      </c>
      <c r="C26" s="69" t="s">
        <v>323</v>
      </c>
      <c r="D26" s="29">
        <f>'Modulo 1'!L12+'Modulo 2.1'!K9+'Modulo 2.2'!I20+'Modulo 2.3'!P11+'Modulo 3'!L18+'Modulo 3'!I41+'Modulo 3'!L30</f>
        <v>3235.4214176687965</v>
      </c>
      <c r="E26" s="313">
        <v>30</v>
      </c>
      <c r="F26" s="29">
        <f t="shared" si="2"/>
        <v>107.84738058895988</v>
      </c>
      <c r="G26" s="145">
        <f t="shared" si="6"/>
        <v>21.4758</v>
      </c>
      <c r="H26" s="29">
        <f t="shared" si="4"/>
        <v>2316.1087760523847</v>
      </c>
      <c r="I26" s="21">
        <f t="shared" si="5"/>
        <v>193.00906467103206</v>
      </c>
    </row>
    <row r="27" spans="2:9" ht="75" hidden="1" x14ac:dyDescent="0.25">
      <c r="B27" s="24" t="s">
        <v>16</v>
      </c>
      <c r="C27" s="69" t="s">
        <v>19</v>
      </c>
      <c r="D27" s="29">
        <f>'Modulo 1'!L13+'Modulo 2.1'!K10+'Modulo 2.2'!I21+'Modulo 2.3'!P12+'Modulo 3'!L19+'Modulo 3'!I42+'Modulo 3'!L31</f>
        <v>3551.0444740086114</v>
      </c>
      <c r="E27" s="313">
        <v>30</v>
      </c>
      <c r="F27" s="29">
        <f t="shared" si="2"/>
        <v>118.36814913362038</v>
      </c>
      <c r="G27" s="145">
        <f t="shared" si="6"/>
        <v>21.4758</v>
      </c>
      <c r="H27" s="29">
        <f t="shared" si="4"/>
        <v>2542.0506971638047</v>
      </c>
      <c r="I27" s="21">
        <f t="shared" si="5"/>
        <v>211.83755809698371</v>
      </c>
    </row>
    <row r="28" spans="2:9" ht="75.75" thickBot="1" x14ac:dyDescent="0.3">
      <c r="B28" s="25" t="s">
        <v>17</v>
      </c>
      <c r="C28" s="70" t="s">
        <v>322</v>
      </c>
      <c r="D28" s="29">
        <f>'Modulo 1'!L14+'Modulo 2.1'!K11+'Modulo 2.2'!I22+'Modulo 2.3'!P13+'Modulo 3'!L20+'Modulo 3'!I43+'Modulo 3'!L32</f>
        <v>2870.4349618866795</v>
      </c>
      <c r="E28" s="313">
        <v>30</v>
      </c>
      <c r="F28" s="29">
        <f t="shared" si="2"/>
        <v>95.681165396222653</v>
      </c>
      <c r="G28" s="145">
        <f t="shared" si="6"/>
        <v>21.4758</v>
      </c>
      <c r="H28" s="29">
        <f t="shared" si="4"/>
        <v>2054.8295718161985</v>
      </c>
      <c r="I28" s="21">
        <f t="shared" si="5"/>
        <v>171.23579765134988</v>
      </c>
    </row>
  </sheetData>
  <mergeCells count="7">
    <mergeCell ref="B19:I19"/>
    <mergeCell ref="H3:I3"/>
    <mergeCell ref="C2:I2"/>
    <mergeCell ref="C3:C4"/>
    <mergeCell ref="D3:D4"/>
    <mergeCell ref="E3:E4"/>
    <mergeCell ref="F3:G3"/>
  </mergeCells>
  <pageMargins left="0.511811024" right="0.511811024" top="0.78740157499999996" bottom="0.78740157499999996" header="0.31496062000000002" footer="0.31496062000000002"/>
  <pageSetup paperSize="9" scale="70" orientation="portrait" horizontalDpi="300" verticalDpi="3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24"/>
  <sheetViews>
    <sheetView view="pageBreakPreview" topLeftCell="D1" zoomScaleNormal="100" zoomScaleSheetLayoutView="100" workbookViewId="0">
      <selection activeCell="O12" sqref="O12"/>
    </sheetView>
  </sheetViews>
  <sheetFormatPr defaultRowHeight="15" x14ac:dyDescent="0.25"/>
  <cols>
    <col min="1" max="1" width="2" customWidth="1"/>
    <col min="2" max="2" width="5" customWidth="1"/>
    <col min="3" max="3" width="18.140625" customWidth="1"/>
    <col min="4" max="4" width="11.28515625" customWidth="1"/>
    <col min="5" max="5" width="6.85546875" customWidth="1"/>
    <col min="6" max="6" width="15.85546875" customWidth="1"/>
    <col min="7" max="7" width="12" customWidth="1"/>
    <col min="8" max="8" width="7" customWidth="1"/>
    <col min="9" max="9" width="12.140625" customWidth="1"/>
    <col min="10" max="10" width="10.28515625" customWidth="1"/>
    <col min="11" max="12" width="13.28515625" customWidth="1"/>
    <col min="13" max="13" width="9.140625" customWidth="1"/>
    <col min="14" max="14" width="13.28515625" customWidth="1"/>
    <col min="15" max="15" width="17.5703125" customWidth="1"/>
    <col min="16" max="16" width="9.140625" customWidth="1"/>
    <col min="17" max="17" width="12.28515625" customWidth="1"/>
  </cols>
  <sheetData>
    <row r="1" spans="2:17" ht="15.75" thickBot="1" x14ac:dyDescent="0.3">
      <c r="I1" s="330" t="s">
        <v>266</v>
      </c>
      <c r="J1" s="331">
        <v>9.2499999999999999E-2</v>
      </c>
      <c r="K1" s="246"/>
    </row>
    <row r="2" spans="2:17" ht="15.75" thickBot="1" x14ac:dyDescent="0.3">
      <c r="B2" s="518" t="s">
        <v>262</v>
      </c>
      <c r="C2" s="519"/>
      <c r="D2" s="519"/>
      <c r="E2" s="519"/>
      <c r="F2" s="519"/>
      <c r="G2" s="537"/>
      <c r="H2" s="537"/>
      <c r="I2" s="537"/>
      <c r="J2" s="537"/>
      <c r="K2" s="537"/>
      <c r="L2" s="538"/>
    </row>
    <row r="3" spans="2:17" ht="27" customHeight="1" thickBot="1" x14ac:dyDescent="0.3">
      <c r="B3" s="259"/>
      <c r="C3" s="285"/>
      <c r="D3" s="550" t="s">
        <v>263</v>
      </c>
      <c r="E3" s="551"/>
      <c r="F3" s="551"/>
      <c r="G3" s="552" t="s">
        <v>267</v>
      </c>
      <c r="H3" s="553"/>
      <c r="I3" s="553"/>
      <c r="J3" s="553"/>
      <c r="K3" s="554"/>
      <c r="L3" s="286"/>
    </row>
    <row r="4" spans="2:17" ht="46.5" customHeight="1" thickBot="1" x14ac:dyDescent="0.3">
      <c r="B4" s="91" t="s">
        <v>5</v>
      </c>
      <c r="C4" s="287" t="s">
        <v>11</v>
      </c>
      <c r="D4" s="288" t="s">
        <v>76</v>
      </c>
      <c r="E4" s="289" t="s">
        <v>31</v>
      </c>
      <c r="F4" s="290" t="s">
        <v>75</v>
      </c>
      <c r="G4" s="291" t="s">
        <v>264</v>
      </c>
      <c r="H4" s="292" t="s">
        <v>31</v>
      </c>
      <c r="I4" s="293" t="s">
        <v>265</v>
      </c>
      <c r="J4" s="294" t="s">
        <v>266</v>
      </c>
      <c r="K4" s="314" t="s">
        <v>120</v>
      </c>
      <c r="L4" s="295" t="s">
        <v>268</v>
      </c>
      <c r="N4" s="246"/>
      <c r="O4" s="246"/>
    </row>
    <row r="5" spans="2:17" ht="105.75" hidden="1" thickBot="1" x14ac:dyDescent="0.3">
      <c r="B5" s="18" t="s">
        <v>3</v>
      </c>
      <c r="C5" s="14" t="s">
        <v>20</v>
      </c>
      <c r="D5" s="29">
        <f>'Modulo 1'!L7+'Modulo 2.1'!K4+'Modulo 2.2'!I15+'Modulo 2.3'!P6+'Modulo 3'!L25+'Modulo 3'!L13+'Modulo 3'!I36+'Modulo 4'!I21</f>
        <v>5086.5624093502738</v>
      </c>
      <c r="E5" s="31">
        <v>1.23E-2</v>
      </c>
      <c r="F5" s="29">
        <f>E5*D5</f>
        <v>62.564717635008371</v>
      </c>
      <c r="G5" s="245"/>
      <c r="H5" s="73"/>
      <c r="I5" s="22"/>
      <c r="J5" s="29"/>
      <c r="K5" s="243"/>
      <c r="L5" s="243">
        <f>SUM(F5+K5)</f>
        <v>62.564717635008371</v>
      </c>
      <c r="N5" s="1"/>
      <c r="O5" s="1"/>
    </row>
    <row r="6" spans="2:17" ht="90.75" thickBot="1" x14ac:dyDescent="0.3">
      <c r="B6" s="18" t="s">
        <v>4</v>
      </c>
      <c r="C6" s="67" t="s">
        <v>319</v>
      </c>
      <c r="D6" s="29">
        <f>'Modulo 1'!L8+'Modulo 2.1'!K5+'Modulo 2.2'!I16+'Modulo 2.3'!P7+'Modulo 3'!L26+'Modulo 3'!L14+'Modulo 3'!I37+'Modulo 4'!I22</f>
        <v>3105.4487434576258</v>
      </c>
      <c r="E6" s="31">
        <v>1.4500000000000001E-2</v>
      </c>
      <c r="F6" s="29">
        <f t="shared" ref="F6:F12" si="0">E6*D6</f>
        <v>45.029006780135575</v>
      </c>
      <c r="G6" s="245"/>
      <c r="H6" s="73"/>
      <c r="I6" s="22">
        <f>'Modulo 5.2 (Detalhado)'!$E$7/'Modulo 5.2 (Detalhado)'!$G$7</f>
        <v>683.4382535460993</v>
      </c>
      <c r="J6" s="29">
        <f>I6*$J$1</f>
        <v>63.218038453014188</v>
      </c>
      <c r="K6" s="243">
        <f>I6-J6</f>
        <v>620.22021509308513</v>
      </c>
      <c r="L6" s="243">
        <f t="shared" ref="L6:L12" si="1">SUM(F6+K6)</f>
        <v>665.24922187322068</v>
      </c>
      <c r="N6" s="1"/>
      <c r="O6" s="1"/>
    </row>
    <row r="7" spans="2:17" ht="120.75" hidden="1" thickBot="1" x14ac:dyDescent="0.3">
      <c r="B7" s="23" t="s">
        <v>12</v>
      </c>
      <c r="C7" s="68" t="s">
        <v>21</v>
      </c>
      <c r="D7" s="29">
        <f>'Modulo 1'!L9+'Modulo 2.1'!K6+'Modulo 2.2'!I17+'Modulo 2.3'!P8+'Modulo 3'!L27+'Modulo 3'!L15+'Modulo 3'!I38+'Modulo 4'!I23</f>
        <v>4068.8089919706181</v>
      </c>
      <c r="E7" s="31">
        <v>1.2699999999999999E-2</v>
      </c>
      <c r="F7" s="29">
        <f t="shared" si="0"/>
        <v>51.673874198026844</v>
      </c>
      <c r="G7" s="245"/>
      <c r="H7" s="73"/>
      <c r="I7" s="22">
        <f>'Modulo 5.2 (Detalhado)'!$E$7/'Modulo 5.2 (Detalhado)'!$G$7</f>
        <v>683.4382535460993</v>
      </c>
      <c r="J7" s="29">
        <f t="shared" ref="J7:J12" si="2">I7*$J$1</f>
        <v>63.218038453014188</v>
      </c>
      <c r="K7" s="243">
        <f t="shared" ref="K7:K12" si="3">I7-J7</f>
        <v>620.22021509308513</v>
      </c>
      <c r="L7" s="243"/>
      <c r="N7" s="1"/>
      <c r="O7" s="1"/>
    </row>
    <row r="8" spans="2:17" ht="90.75" thickBot="1" x14ac:dyDescent="0.3">
      <c r="B8" s="24" t="s">
        <v>13</v>
      </c>
      <c r="C8" s="69" t="s">
        <v>324</v>
      </c>
      <c r="D8" s="29">
        <f>'Modulo 1'!L10+'Modulo 2.1'!K7+'Modulo 2.2'!I18+'Modulo 2.3'!P9+'Modulo 3'!L28+'Modulo 3'!L16+'Modulo 3'!I39+'Modulo 4'!I24</f>
        <v>3985.2460495750911</v>
      </c>
      <c r="E8" s="31">
        <v>1.4500000000000001E-2</v>
      </c>
      <c r="F8" s="29">
        <f t="shared" si="0"/>
        <v>57.786067718838822</v>
      </c>
      <c r="G8" s="245"/>
      <c r="H8" s="73"/>
      <c r="I8" s="22">
        <f>'Modulo 5.2 (Detalhado)'!$E$7/'Modulo 5.2 (Detalhado)'!$G$7</f>
        <v>683.4382535460993</v>
      </c>
      <c r="J8" s="29">
        <f t="shared" si="2"/>
        <v>63.218038453014188</v>
      </c>
      <c r="K8" s="243">
        <f t="shared" si="3"/>
        <v>620.22021509308513</v>
      </c>
      <c r="L8" s="243">
        <f t="shared" si="1"/>
        <v>678.00628281192394</v>
      </c>
      <c r="N8" s="1"/>
      <c r="O8" s="1"/>
    </row>
    <row r="9" spans="2:17" ht="90.75" hidden="1" thickBot="1" x14ac:dyDescent="0.3">
      <c r="B9" s="24" t="s">
        <v>14</v>
      </c>
      <c r="C9" s="69" t="s">
        <v>18</v>
      </c>
      <c r="D9" s="29">
        <f>'Modulo 1'!L11+'Modulo 2.1'!K8+'Modulo 2.2'!I19+'Modulo 2.3'!P10+'Modulo 3'!L29+'Modulo 3'!L17+'Modulo 3'!I40+'Modulo 4'!I25</f>
        <v>4393.9396749722255</v>
      </c>
      <c r="E9" s="31">
        <v>1.4500000000000001E-2</v>
      </c>
      <c r="F9" s="29">
        <f t="shared" si="0"/>
        <v>63.712125287097273</v>
      </c>
      <c r="G9" s="245"/>
      <c r="H9" s="73"/>
      <c r="I9" s="22">
        <f>'Modulo 5.2 (Detalhado)'!$E$7/'Modulo 5.2 (Detalhado)'!$G$7</f>
        <v>683.4382535460993</v>
      </c>
      <c r="J9" s="29">
        <f t="shared" si="2"/>
        <v>63.218038453014188</v>
      </c>
      <c r="K9" s="243">
        <f t="shared" si="3"/>
        <v>620.22021509308513</v>
      </c>
      <c r="L9" s="243"/>
      <c r="N9" s="1"/>
      <c r="O9" s="1"/>
    </row>
    <row r="10" spans="2:17" ht="90.75" thickBot="1" x14ac:dyDescent="0.3">
      <c r="B10" s="24" t="s">
        <v>15</v>
      </c>
      <c r="C10" s="69" t="s">
        <v>323</v>
      </c>
      <c r="D10" s="29">
        <f>'Modulo 1'!L12+'Modulo 2.1'!K9+'Modulo 2.2'!I20+'Modulo 2.3'!P11+'Modulo 3'!L30+'Modulo 3'!L18+'Modulo 3'!I41+'Modulo 4'!I26</f>
        <v>3428.4304823398284</v>
      </c>
      <c r="E10" s="31">
        <v>1.4500000000000001E-2</v>
      </c>
      <c r="F10" s="29">
        <f t="shared" si="0"/>
        <v>49.712241993927513</v>
      </c>
      <c r="G10" s="245"/>
      <c r="H10" s="73"/>
      <c r="I10" s="22">
        <f>'Modulo 5.2 (Detalhado)'!$E$7/'Modulo 5.2 (Detalhado)'!$G$7</f>
        <v>683.4382535460993</v>
      </c>
      <c r="J10" s="29">
        <f t="shared" si="2"/>
        <v>63.218038453014188</v>
      </c>
      <c r="K10" s="243">
        <f t="shared" si="3"/>
        <v>620.22021509308513</v>
      </c>
      <c r="L10" s="243">
        <f t="shared" si="1"/>
        <v>669.93245708701261</v>
      </c>
      <c r="N10" s="1"/>
      <c r="O10" s="1"/>
    </row>
    <row r="11" spans="2:17" ht="90.75" hidden="1" thickBot="1" x14ac:dyDescent="0.3">
      <c r="B11" s="24" t="s">
        <v>16</v>
      </c>
      <c r="C11" s="69" t="s">
        <v>19</v>
      </c>
      <c r="D11" s="29">
        <f>'Modulo 1'!L13+'Modulo 2.1'!K10+'Modulo 2.2'!I21+'Modulo 2.3'!P12+'Modulo 3'!L31+'Modulo 3'!L19+'Modulo 3'!I42+'Modulo 4'!I27</f>
        <v>3762.882032105595</v>
      </c>
      <c r="E11" s="31">
        <v>1.4500000000000001E-2</v>
      </c>
      <c r="F11" s="29">
        <f t="shared" si="0"/>
        <v>54.561789465531128</v>
      </c>
      <c r="G11" s="245"/>
      <c r="H11" s="73"/>
      <c r="I11" s="22">
        <f>'Modulo 5.2 (Detalhado)'!$E$7/'Modulo 5.2 (Detalhado)'!$G$7</f>
        <v>683.4382535460993</v>
      </c>
      <c r="J11" s="29">
        <f t="shared" si="2"/>
        <v>63.218038453014188</v>
      </c>
      <c r="K11" s="243">
        <f t="shared" si="3"/>
        <v>620.22021509308513</v>
      </c>
      <c r="L11" s="243">
        <f t="shared" si="1"/>
        <v>674.78200455861622</v>
      </c>
      <c r="N11" s="1"/>
      <c r="O11" s="1"/>
    </row>
    <row r="12" spans="2:17" ht="90.75" thickBot="1" x14ac:dyDescent="0.3">
      <c r="B12" s="25" t="s">
        <v>17</v>
      </c>
      <c r="C12" s="70" t="s">
        <v>322</v>
      </c>
      <c r="D12" s="56">
        <f>'Modulo 1'!L14+'Modulo 2.1'!K11+'Modulo 2.2'!I22+'Modulo 2.3'!P13+'Modulo 3'!L32+'Modulo 3'!L20+'Modulo 3'!I43+'Modulo 4'!I28</f>
        <v>3041.6707595380294</v>
      </c>
      <c r="E12" s="32">
        <v>1.4500000000000001E-2</v>
      </c>
      <c r="F12" s="56">
        <f t="shared" si="0"/>
        <v>44.104226013301428</v>
      </c>
      <c r="G12" s="245"/>
      <c r="H12" s="73"/>
      <c r="I12" s="22">
        <f>'Modulo 5.2 (Detalhado)'!$E$7/'Modulo 5.2 (Detalhado)'!$G$7</f>
        <v>683.4382535460993</v>
      </c>
      <c r="J12" s="29">
        <f t="shared" si="2"/>
        <v>63.218038453014188</v>
      </c>
      <c r="K12" s="243">
        <f t="shared" si="3"/>
        <v>620.22021509308513</v>
      </c>
      <c r="L12" s="244">
        <f t="shared" si="1"/>
        <v>664.32444110638653</v>
      </c>
      <c r="N12" s="1"/>
      <c r="O12" s="1"/>
    </row>
    <row r="14" spans="2:17" x14ac:dyDescent="0.25">
      <c r="N14" s="1"/>
      <c r="O14" s="1"/>
      <c r="Q14" s="1"/>
    </row>
    <row r="15" spans="2:17" ht="24" customHeight="1" x14ac:dyDescent="0.25">
      <c r="O15" s="1"/>
    </row>
    <row r="24" spans="11:11" x14ac:dyDescent="0.25">
      <c r="K24" s="1" t="e">
        <f>'Modulo 5'!G6:J12</f>
        <v>#VALUE!</v>
      </c>
    </row>
  </sheetData>
  <mergeCells count="3">
    <mergeCell ref="B2:L2"/>
    <mergeCell ref="D3:F3"/>
    <mergeCell ref="G3:K3"/>
  </mergeCells>
  <pageMargins left="0.511811024" right="0.511811024" top="0.78740157499999996" bottom="0.78740157499999996" header="0.31496062000000002" footer="0.31496062000000002"/>
  <pageSetup paperSize="9" scale="63"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7"/>
  <sheetViews>
    <sheetView workbookViewId="0">
      <selection activeCell="J3" sqref="J3"/>
    </sheetView>
  </sheetViews>
  <sheetFormatPr defaultRowHeight="15" x14ac:dyDescent="0.25"/>
  <sheetData>
    <row r="1" spans="1:9" ht="15.75" x14ac:dyDescent="0.25">
      <c r="A1" s="557" t="s">
        <v>115</v>
      </c>
      <c r="B1" s="557"/>
      <c r="C1" s="557"/>
      <c r="D1" s="557"/>
      <c r="E1" s="557" t="s">
        <v>116</v>
      </c>
      <c r="F1" s="558"/>
      <c r="G1" s="558"/>
      <c r="H1" s="558"/>
      <c r="I1" s="558"/>
    </row>
    <row r="2" spans="1:9" ht="63" x14ac:dyDescent="0.25">
      <c r="A2" s="146" t="s">
        <v>117</v>
      </c>
      <c r="B2" s="147" t="s">
        <v>118</v>
      </c>
      <c r="C2" s="146" t="s">
        <v>119</v>
      </c>
      <c r="D2" s="148" t="s">
        <v>120</v>
      </c>
      <c r="E2" s="146" t="s">
        <v>117</v>
      </c>
      <c r="F2" s="147" t="s">
        <v>118</v>
      </c>
      <c r="G2" s="149" t="s">
        <v>119</v>
      </c>
      <c r="H2" s="149"/>
      <c r="I2" s="148" t="s">
        <v>120</v>
      </c>
    </row>
    <row r="3" spans="1:9" ht="105" x14ac:dyDescent="0.25">
      <c r="A3" s="150" t="s">
        <v>121</v>
      </c>
      <c r="B3" s="151">
        <f>28.5/12</f>
        <v>2.375</v>
      </c>
      <c r="C3" s="236">
        <v>2</v>
      </c>
      <c r="D3" s="152">
        <f>B3*C3</f>
        <v>4.75</v>
      </c>
      <c r="E3" s="150" t="s">
        <v>122</v>
      </c>
      <c r="F3" s="151">
        <f>32.1/12</f>
        <v>2.6750000000000003</v>
      </c>
      <c r="G3" s="236">
        <v>6</v>
      </c>
      <c r="H3" s="236"/>
      <c r="I3" s="152">
        <f>F3*G3</f>
        <v>16.05</v>
      </c>
    </row>
    <row r="4" spans="1:9" ht="90" x14ac:dyDescent="0.25">
      <c r="A4" s="150" t="s">
        <v>123</v>
      </c>
      <c r="B4" s="151">
        <f>46.7/12</f>
        <v>3.8916666666666671</v>
      </c>
      <c r="C4" s="237">
        <v>2</v>
      </c>
      <c r="D4" s="152">
        <f>B4*C4</f>
        <v>7.7833333333333341</v>
      </c>
      <c r="E4" s="150" t="s">
        <v>124</v>
      </c>
      <c r="F4" s="151">
        <f>46.05/12</f>
        <v>3.8374999999999999</v>
      </c>
      <c r="G4" s="236">
        <v>6</v>
      </c>
      <c r="H4" s="236"/>
      <c r="I4" s="152">
        <f>F4*G4</f>
        <v>23.024999999999999</v>
      </c>
    </row>
    <row r="5" spans="1:9" ht="15.75" x14ac:dyDescent="0.25">
      <c r="A5" s="149" t="s">
        <v>44</v>
      </c>
      <c r="B5" s="153"/>
      <c r="C5" s="149"/>
      <c r="D5" s="154">
        <f>SUM(D3:D4)</f>
        <v>12.533333333333335</v>
      </c>
      <c r="E5" s="155"/>
      <c r="F5" s="156"/>
      <c r="G5" s="155"/>
      <c r="H5" s="155"/>
      <c r="I5" s="154">
        <f>SUM(I3:I4)</f>
        <v>39.075000000000003</v>
      </c>
    </row>
    <row r="6" spans="1:9" ht="15.75" x14ac:dyDescent="0.25">
      <c r="A6" s="559" t="s">
        <v>125</v>
      </c>
      <c r="B6" s="560"/>
      <c r="C6" s="559" t="s">
        <v>261</v>
      </c>
      <c r="D6" s="561"/>
      <c r="E6" s="561"/>
      <c r="F6" s="219">
        <v>55</v>
      </c>
      <c r="G6" s="238"/>
      <c r="H6" s="218"/>
      <c r="I6" s="157">
        <f>F51</f>
        <v>0</v>
      </c>
    </row>
    <row r="7" spans="1:9" x14ac:dyDescent="0.25">
      <c r="D7" t="s">
        <v>126</v>
      </c>
    </row>
    <row r="8" spans="1:9" ht="15.75" thickBot="1" x14ac:dyDescent="0.3"/>
    <row r="9" spans="1:9" ht="15.75" x14ac:dyDescent="0.25">
      <c r="A9" s="562" t="s">
        <v>127</v>
      </c>
      <c r="B9" s="563"/>
      <c r="C9" s="563"/>
      <c r="D9" s="564"/>
      <c r="E9" s="215"/>
      <c r="F9" s="215"/>
      <c r="G9" s="215"/>
      <c r="H9" s="215"/>
      <c r="I9" s="215"/>
    </row>
    <row r="10" spans="1:9" ht="63" x14ac:dyDescent="0.25">
      <c r="A10" s="225" t="s">
        <v>117</v>
      </c>
      <c r="B10" s="148" t="s">
        <v>118</v>
      </c>
      <c r="C10" s="146" t="s">
        <v>119</v>
      </c>
      <c r="D10" s="226" t="s">
        <v>120</v>
      </c>
      <c r="E10" s="216"/>
      <c r="F10" s="217"/>
      <c r="G10" s="216"/>
      <c r="H10" s="216"/>
      <c r="I10" s="217"/>
    </row>
    <row r="11" spans="1:9" ht="45" x14ac:dyDescent="0.25">
      <c r="A11" s="227" t="s">
        <v>128</v>
      </c>
      <c r="B11" s="151">
        <v>1.04</v>
      </c>
      <c r="C11" s="158">
        <v>6</v>
      </c>
      <c r="D11" s="228">
        <v>6.24</v>
      </c>
      <c r="E11" s="211"/>
      <c r="F11" s="212"/>
      <c r="G11" s="213"/>
      <c r="H11" s="213"/>
      <c r="I11" s="214"/>
    </row>
    <row r="12" spans="1:9" ht="90" x14ac:dyDescent="0.25">
      <c r="A12" s="227" t="s">
        <v>129</v>
      </c>
      <c r="B12" s="151">
        <v>2.38</v>
      </c>
      <c r="C12" s="158">
        <v>2</v>
      </c>
      <c r="D12" s="228">
        <v>4.76</v>
      </c>
      <c r="E12" s="211"/>
      <c r="F12" s="212"/>
      <c r="G12" s="213"/>
      <c r="H12" s="213"/>
      <c r="I12" s="214"/>
    </row>
    <row r="13" spans="1:9" ht="90" x14ac:dyDescent="0.25">
      <c r="A13" s="227" t="s">
        <v>130</v>
      </c>
      <c r="B13" s="151">
        <v>3.12</v>
      </c>
      <c r="C13" s="158">
        <v>2</v>
      </c>
      <c r="D13" s="228">
        <v>6.24</v>
      </c>
      <c r="E13" s="211"/>
      <c r="F13" s="212"/>
      <c r="G13" s="213"/>
      <c r="H13" s="213"/>
      <c r="I13" s="214"/>
    </row>
    <row r="14" spans="1:9" ht="120" x14ac:dyDescent="0.25">
      <c r="A14" s="227" t="s">
        <v>132</v>
      </c>
      <c r="B14" s="151">
        <v>3.35</v>
      </c>
      <c r="C14" s="158">
        <v>2</v>
      </c>
      <c r="D14" s="228">
        <v>6.74</v>
      </c>
      <c r="E14" s="211"/>
      <c r="F14" s="212"/>
      <c r="G14" s="213"/>
      <c r="H14" s="213"/>
      <c r="I14" s="214"/>
    </row>
    <row r="15" spans="1:9" ht="120" x14ac:dyDescent="0.25">
      <c r="A15" s="227" t="s">
        <v>133</v>
      </c>
      <c r="B15" s="151">
        <v>3.96</v>
      </c>
      <c r="C15" s="158">
        <v>2</v>
      </c>
      <c r="D15" s="228">
        <v>7.9340000000000002</v>
      </c>
      <c r="E15" s="211"/>
      <c r="F15" s="212"/>
      <c r="G15" s="213"/>
      <c r="H15" s="213"/>
      <c r="I15" s="214"/>
    </row>
    <row r="16" spans="1:9" ht="90" x14ac:dyDescent="0.25">
      <c r="A16" s="227" t="s">
        <v>134</v>
      </c>
      <c r="B16" s="151">
        <v>1.1499999999999999</v>
      </c>
      <c r="C16" s="158">
        <v>2</v>
      </c>
      <c r="D16" s="228">
        <v>2.2999999999999998</v>
      </c>
      <c r="E16" s="211"/>
      <c r="F16" s="212"/>
      <c r="G16" s="213"/>
      <c r="H16" s="213"/>
      <c r="I16" s="214"/>
    </row>
    <row r="17" spans="1:9" ht="105" x14ac:dyDescent="0.25">
      <c r="A17" s="227" t="s">
        <v>135</v>
      </c>
      <c r="B17" s="151">
        <v>0</v>
      </c>
      <c r="C17" s="158"/>
      <c r="D17" s="228">
        <f t="shared" ref="D17" si="0">B17*C17</f>
        <v>0</v>
      </c>
      <c r="E17" s="211"/>
      <c r="F17" s="212"/>
      <c r="G17" s="213"/>
      <c r="H17" s="213"/>
      <c r="I17" s="214"/>
    </row>
    <row r="18" spans="1:9" ht="135" x14ac:dyDescent="0.25">
      <c r="A18" s="227" t="s">
        <v>131</v>
      </c>
      <c r="B18" s="151">
        <v>0.01</v>
      </c>
      <c r="C18" s="158">
        <v>327</v>
      </c>
      <c r="D18" s="229">
        <v>3.2709999999999999</v>
      </c>
      <c r="E18" s="211"/>
      <c r="F18" s="212"/>
      <c r="G18" s="213"/>
      <c r="H18" s="213"/>
      <c r="I18" s="214"/>
    </row>
    <row r="19" spans="1:9" ht="135" x14ac:dyDescent="0.25">
      <c r="A19" s="227" t="s">
        <v>136</v>
      </c>
      <c r="B19" s="151">
        <v>1.1499999999999999</v>
      </c>
      <c r="C19" s="158">
        <v>11</v>
      </c>
      <c r="D19" s="228">
        <v>12.654</v>
      </c>
      <c r="E19" s="211"/>
      <c r="F19" s="212"/>
      <c r="G19" s="213"/>
      <c r="H19" s="213"/>
      <c r="I19" s="214"/>
    </row>
    <row r="20" spans="1:9" ht="15.75" x14ac:dyDescent="0.25">
      <c r="A20" s="230" t="s">
        <v>44</v>
      </c>
      <c r="B20" s="159"/>
      <c r="C20" s="160"/>
      <c r="D20" s="231">
        <f>SUM(D11:D19)</f>
        <v>50.13900000000001</v>
      </c>
      <c r="E20" s="220"/>
      <c r="F20" s="221"/>
      <c r="G20" s="222"/>
      <c r="H20" s="222"/>
      <c r="I20" s="223"/>
    </row>
    <row r="21" spans="1:9" ht="16.5" thickBot="1" x14ac:dyDescent="0.3">
      <c r="A21" s="232" t="s">
        <v>125</v>
      </c>
      <c r="B21" s="233" t="s">
        <v>260</v>
      </c>
      <c r="C21" s="234">
        <v>55</v>
      </c>
      <c r="D21" s="235">
        <f>D20*C21</f>
        <v>2757.6450000000004</v>
      </c>
      <c r="E21" s="215"/>
      <c r="F21" s="215"/>
      <c r="G21" s="215"/>
      <c r="H21" s="215"/>
      <c r="I21" s="224"/>
    </row>
    <row r="22" spans="1:9" ht="15.75" thickBot="1" x14ac:dyDescent="0.3"/>
    <row r="23" spans="1:9" x14ac:dyDescent="0.25">
      <c r="A23" s="565" t="s">
        <v>137</v>
      </c>
      <c r="B23" s="566"/>
      <c r="C23" s="566"/>
      <c r="D23" s="566"/>
      <c r="E23" s="566"/>
      <c r="F23" s="567"/>
    </row>
    <row r="24" spans="1:9" x14ac:dyDescent="0.25">
      <c r="A24" s="568" t="s">
        <v>117</v>
      </c>
      <c r="B24" s="569"/>
      <c r="C24" s="572" t="s">
        <v>138</v>
      </c>
      <c r="D24" s="161" t="s">
        <v>139</v>
      </c>
      <c r="E24" s="572" t="s">
        <v>140</v>
      </c>
      <c r="F24" s="573" t="s">
        <v>120</v>
      </c>
    </row>
    <row r="25" spans="1:9" x14ac:dyDescent="0.25">
      <c r="A25" s="570"/>
      <c r="B25" s="571"/>
      <c r="C25" s="572"/>
      <c r="D25" s="161" t="s">
        <v>141</v>
      </c>
      <c r="E25" s="572"/>
      <c r="F25" s="574"/>
    </row>
    <row r="26" spans="1:9" x14ac:dyDescent="0.25">
      <c r="A26" s="555" t="s">
        <v>142</v>
      </c>
      <c r="B26" s="556"/>
      <c r="C26" s="162">
        <v>225</v>
      </c>
      <c r="D26" s="162">
        <f>(C26*10%)/12</f>
        <v>1.875</v>
      </c>
      <c r="E26" s="163">
        <v>4</v>
      </c>
      <c r="F26" s="239">
        <f>D26*E26</f>
        <v>7.5</v>
      </c>
    </row>
    <row r="27" spans="1:9" x14ac:dyDescent="0.25">
      <c r="A27" s="555" t="s">
        <v>143</v>
      </c>
      <c r="B27" s="556"/>
      <c r="C27" s="162">
        <v>389.9</v>
      </c>
      <c r="D27" s="162">
        <f t="shared" ref="D27:D43" si="1">(C27*10%)/12</f>
        <v>3.249166666666667</v>
      </c>
      <c r="E27" s="163">
        <v>2</v>
      </c>
      <c r="F27" s="239">
        <f t="shared" ref="F27:F43" si="2">D27*E27</f>
        <v>6.498333333333334</v>
      </c>
    </row>
    <row r="28" spans="1:9" x14ac:dyDescent="0.25">
      <c r="A28" s="555" t="s">
        <v>144</v>
      </c>
      <c r="B28" s="556"/>
      <c r="C28" s="162">
        <v>555</v>
      </c>
      <c r="D28" s="162">
        <f t="shared" si="1"/>
        <v>4.625</v>
      </c>
      <c r="E28" s="163">
        <v>3</v>
      </c>
      <c r="F28" s="239">
        <f t="shared" si="2"/>
        <v>13.875</v>
      </c>
    </row>
    <row r="29" spans="1:9" x14ac:dyDescent="0.25">
      <c r="A29" s="555" t="s">
        <v>145</v>
      </c>
      <c r="B29" s="556"/>
      <c r="C29" s="162">
        <v>462.9</v>
      </c>
      <c r="D29" s="162">
        <f t="shared" si="1"/>
        <v>3.8574999999999999</v>
      </c>
      <c r="E29" s="163">
        <v>10</v>
      </c>
      <c r="F29" s="239">
        <f t="shared" si="2"/>
        <v>38.575000000000003</v>
      </c>
    </row>
    <row r="30" spans="1:9" x14ac:dyDescent="0.25">
      <c r="A30" s="555" t="s">
        <v>146</v>
      </c>
      <c r="B30" s="556"/>
      <c r="C30" s="162">
        <v>925</v>
      </c>
      <c r="D30" s="162">
        <f t="shared" si="1"/>
        <v>7.708333333333333</v>
      </c>
      <c r="E30" s="163">
        <v>2</v>
      </c>
      <c r="F30" s="239">
        <f t="shared" si="2"/>
        <v>15.416666666666666</v>
      </c>
    </row>
    <row r="31" spans="1:9" x14ac:dyDescent="0.25">
      <c r="A31" s="555" t="s">
        <v>147</v>
      </c>
      <c r="B31" s="556"/>
      <c r="C31" s="162">
        <v>1079</v>
      </c>
      <c r="D31" s="162">
        <f t="shared" si="1"/>
        <v>8.9916666666666671</v>
      </c>
      <c r="E31" s="163">
        <v>1</v>
      </c>
      <c r="F31" s="239">
        <f t="shared" si="2"/>
        <v>8.9916666666666671</v>
      </c>
    </row>
    <row r="32" spans="1:9" x14ac:dyDescent="0.25">
      <c r="A32" s="555" t="s">
        <v>148</v>
      </c>
      <c r="B32" s="556"/>
      <c r="C32" s="162">
        <v>78.900000000000006</v>
      </c>
      <c r="D32" s="162">
        <f t="shared" si="1"/>
        <v>0.65750000000000008</v>
      </c>
      <c r="E32" s="163">
        <v>1</v>
      </c>
      <c r="F32" s="239">
        <f t="shared" si="2"/>
        <v>0.65750000000000008</v>
      </c>
    </row>
    <row r="33" spans="1:6" x14ac:dyDescent="0.25">
      <c r="A33" s="555" t="s">
        <v>149</v>
      </c>
      <c r="B33" s="556"/>
      <c r="C33" s="162">
        <v>54.84</v>
      </c>
      <c r="D33" s="162">
        <f t="shared" si="1"/>
        <v>0.45700000000000007</v>
      </c>
      <c r="E33" s="163">
        <v>2</v>
      </c>
      <c r="F33" s="239">
        <f t="shared" si="2"/>
        <v>0.91400000000000015</v>
      </c>
    </row>
    <row r="34" spans="1:6" x14ac:dyDescent="0.25">
      <c r="A34" s="555" t="s">
        <v>150</v>
      </c>
      <c r="B34" s="556"/>
      <c r="C34" s="162">
        <v>227.9</v>
      </c>
      <c r="D34" s="162">
        <f t="shared" si="1"/>
        <v>1.8991666666666669</v>
      </c>
      <c r="E34" s="163">
        <v>1</v>
      </c>
      <c r="F34" s="239">
        <f t="shared" si="2"/>
        <v>1.8991666666666669</v>
      </c>
    </row>
    <row r="35" spans="1:6" x14ac:dyDescent="0.25">
      <c r="A35" s="555" t="s">
        <v>151</v>
      </c>
      <c r="B35" s="556"/>
      <c r="C35" s="162">
        <v>469.9</v>
      </c>
      <c r="D35" s="162">
        <f t="shared" si="1"/>
        <v>3.9158333333333335</v>
      </c>
      <c r="E35" s="163">
        <v>1</v>
      </c>
      <c r="F35" s="239">
        <f t="shared" si="2"/>
        <v>3.9158333333333335</v>
      </c>
    </row>
    <row r="36" spans="1:6" x14ac:dyDescent="0.25">
      <c r="A36" s="555" t="s">
        <v>152</v>
      </c>
      <c r="B36" s="556"/>
      <c r="C36" s="162">
        <v>49.9</v>
      </c>
      <c r="D36" s="162">
        <f t="shared" si="1"/>
        <v>0.41583333333333333</v>
      </c>
      <c r="E36" s="163">
        <v>10</v>
      </c>
      <c r="F36" s="239">
        <f t="shared" si="2"/>
        <v>4.1583333333333332</v>
      </c>
    </row>
    <row r="37" spans="1:6" x14ac:dyDescent="0.25">
      <c r="A37" s="555" t="s">
        <v>153</v>
      </c>
      <c r="B37" s="556"/>
      <c r="C37" s="162">
        <v>69.989999999999995</v>
      </c>
      <c r="D37" s="162">
        <f t="shared" si="1"/>
        <v>0.58324999999999994</v>
      </c>
      <c r="E37" s="163">
        <v>8</v>
      </c>
      <c r="F37" s="239">
        <f t="shared" si="2"/>
        <v>4.6659999999999995</v>
      </c>
    </row>
    <row r="38" spans="1:6" x14ac:dyDescent="0.25">
      <c r="A38" s="555" t="s">
        <v>154</v>
      </c>
      <c r="B38" s="556"/>
      <c r="C38" s="162">
        <v>29.9</v>
      </c>
      <c r="D38" s="162">
        <f t="shared" si="1"/>
        <v>0.24916666666666668</v>
      </c>
      <c r="E38" s="163">
        <v>14</v>
      </c>
      <c r="F38" s="239">
        <f t="shared" si="2"/>
        <v>3.4883333333333333</v>
      </c>
    </row>
    <row r="39" spans="1:6" x14ac:dyDescent="0.25">
      <c r="A39" s="555" t="s">
        <v>155</v>
      </c>
      <c r="B39" s="556"/>
      <c r="C39" s="162">
        <v>30.15</v>
      </c>
      <c r="D39" s="162">
        <f t="shared" si="1"/>
        <v>0.25125000000000003</v>
      </c>
      <c r="E39" s="163">
        <v>30</v>
      </c>
      <c r="F39" s="239">
        <f t="shared" si="2"/>
        <v>7.5375000000000005</v>
      </c>
    </row>
    <row r="40" spans="1:6" x14ac:dyDescent="0.25">
      <c r="A40" s="555" t="s">
        <v>156</v>
      </c>
      <c r="B40" s="556"/>
      <c r="C40" s="162">
        <v>18.3</v>
      </c>
      <c r="D40" s="162">
        <f t="shared" si="1"/>
        <v>0.1525</v>
      </c>
      <c r="E40" s="163">
        <v>30</v>
      </c>
      <c r="F40" s="239">
        <f t="shared" si="2"/>
        <v>4.5750000000000002</v>
      </c>
    </row>
    <row r="41" spans="1:6" x14ac:dyDescent="0.25">
      <c r="A41" s="555" t="s">
        <v>157</v>
      </c>
      <c r="B41" s="556"/>
      <c r="C41" s="162">
        <v>34.42</v>
      </c>
      <c r="D41" s="162">
        <f t="shared" si="1"/>
        <v>0.28683333333333333</v>
      </c>
      <c r="E41" s="163">
        <v>8</v>
      </c>
      <c r="F41" s="239">
        <f t="shared" si="2"/>
        <v>2.2946666666666666</v>
      </c>
    </row>
    <row r="42" spans="1:6" x14ac:dyDescent="0.25">
      <c r="A42" s="555" t="s">
        <v>158</v>
      </c>
      <c r="B42" s="556"/>
      <c r="C42" s="162">
        <v>18.25</v>
      </c>
      <c r="D42" s="162">
        <f t="shared" si="1"/>
        <v>0.15208333333333335</v>
      </c>
      <c r="E42" s="163">
        <v>30</v>
      </c>
      <c r="F42" s="239">
        <f t="shared" si="2"/>
        <v>4.5625</v>
      </c>
    </row>
    <row r="43" spans="1:6" x14ac:dyDescent="0.25">
      <c r="A43" s="555" t="s">
        <v>159</v>
      </c>
      <c r="B43" s="556"/>
      <c r="C43" s="162">
        <v>1350</v>
      </c>
      <c r="D43" s="162">
        <f t="shared" si="1"/>
        <v>11.25</v>
      </c>
      <c r="E43" s="163">
        <v>1</v>
      </c>
      <c r="F43" s="239">
        <f t="shared" si="2"/>
        <v>11.25</v>
      </c>
    </row>
    <row r="44" spans="1:6" ht="16.5" thickBot="1" x14ac:dyDescent="0.3">
      <c r="A44" s="578" t="s">
        <v>125</v>
      </c>
      <c r="B44" s="579"/>
      <c r="C44" s="579"/>
      <c r="D44" s="579"/>
      <c r="E44" s="240"/>
      <c r="F44" s="241">
        <f>SUM(F26:F43)</f>
        <v>140.77550000000002</v>
      </c>
    </row>
    <row r="46" spans="1:6" ht="15.75" x14ac:dyDescent="0.25">
      <c r="A46" s="580" t="s">
        <v>160</v>
      </c>
      <c r="B46" s="581"/>
      <c r="C46" s="581"/>
      <c r="D46" s="581"/>
    </row>
    <row r="47" spans="1:6" ht="15.75" x14ac:dyDescent="0.25">
      <c r="A47" s="165" t="s">
        <v>117</v>
      </c>
      <c r="B47" s="165" t="s">
        <v>161</v>
      </c>
      <c r="C47" s="166" t="s">
        <v>162</v>
      </c>
      <c r="D47" s="167" t="s">
        <v>75</v>
      </c>
    </row>
    <row r="48" spans="1:6" ht="30" x14ac:dyDescent="0.25">
      <c r="A48" s="172" t="s">
        <v>163</v>
      </c>
      <c r="B48" s="169">
        <v>44.92</v>
      </c>
      <c r="C48" s="168">
        <f>15/12</f>
        <v>1.25</v>
      </c>
      <c r="D48" s="170">
        <f>B48*C48</f>
        <v>56.150000000000006</v>
      </c>
    </row>
    <row r="49" spans="1:11" ht="30" x14ac:dyDescent="0.25">
      <c r="A49" s="172" t="s">
        <v>164</v>
      </c>
      <c r="B49" s="169">
        <v>2.7</v>
      </c>
      <c r="C49" s="171">
        <f>40/12</f>
        <v>3.3333333333333335</v>
      </c>
      <c r="D49" s="170">
        <f>B49*C49</f>
        <v>9.0000000000000018</v>
      </c>
    </row>
    <row r="50" spans="1:11" ht="60" x14ac:dyDescent="0.25">
      <c r="A50" s="172" t="s">
        <v>165</v>
      </c>
      <c r="B50" s="169">
        <v>4.8099999999999996</v>
      </c>
      <c r="C50" s="171">
        <f>40/12</f>
        <v>3.3333333333333335</v>
      </c>
      <c r="D50" s="170">
        <f>B50*C50</f>
        <v>16.033333333333331</v>
      </c>
    </row>
    <row r="51" spans="1:11" ht="60" x14ac:dyDescent="0.25">
      <c r="A51" s="172" t="s">
        <v>166</v>
      </c>
      <c r="B51" s="169">
        <v>3.32</v>
      </c>
      <c r="C51" s="171">
        <f>40/12</f>
        <v>3.3333333333333335</v>
      </c>
      <c r="D51" s="170">
        <f t="shared" ref="D51:D69" si="3">B51*C51</f>
        <v>11.066666666666666</v>
      </c>
    </row>
    <row r="52" spans="1:11" ht="105" x14ac:dyDescent="0.25">
      <c r="A52" s="172" t="s">
        <v>167</v>
      </c>
      <c r="B52" s="169">
        <v>35.44</v>
      </c>
      <c r="C52" s="171">
        <f>5/12</f>
        <v>0.41666666666666669</v>
      </c>
      <c r="D52" s="170">
        <f t="shared" si="3"/>
        <v>14.766666666666666</v>
      </c>
      <c r="E52" s="121"/>
      <c r="F52" s="121"/>
      <c r="G52" s="121"/>
      <c r="H52" s="121"/>
      <c r="I52" s="121"/>
      <c r="J52" s="121"/>
      <c r="K52" s="121"/>
    </row>
    <row r="53" spans="1:11" ht="105" x14ac:dyDescent="0.25">
      <c r="A53" s="172" t="s">
        <v>168</v>
      </c>
      <c r="B53" s="169">
        <v>36.15</v>
      </c>
      <c r="C53" s="171">
        <f>5/12</f>
        <v>0.41666666666666669</v>
      </c>
      <c r="D53" s="170">
        <f t="shared" si="3"/>
        <v>15.0625</v>
      </c>
      <c r="E53" s="121"/>
      <c r="F53" s="121"/>
      <c r="G53" s="121"/>
      <c r="H53" s="121"/>
      <c r="I53" s="121"/>
      <c r="J53" s="121"/>
      <c r="K53" s="121"/>
    </row>
    <row r="54" spans="1:11" ht="105" x14ac:dyDescent="0.25">
      <c r="A54" s="172" t="s">
        <v>169</v>
      </c>
      <c r="B54" s="169">
        <v>84.99</v>
      </c>
      <c r="C54" s="171">
        <f>5/12</f>
        <v>0.41666666666666669</v>
      </c>
      <c r="D54" s="170">
        <f t="shared" si="3"/>
        <v>35.412500000000001</v>
      </c>
      <c r="E54" s="121"/>
      <c r="F54" s="121"/>
      <c r="G54" s="121"/>
      <c r="H54" s="121"/>
      <c r="I54" s="121"/>
      <c r="J54" s="121"/>
      <c r="K54" s="121"/>
    </row>
    <row r="55" spans="1:11" ht="45" x14ac:dyDescent="0.25">
      <c r="A55" s="172" t="s">
        <v>170</v>
      </c>
      <c r="B55" s="169">
        <v>4.8899999999999997</v>
      </c>
      <c r="C55" s="171">
        <f>40/12</f>
        <v>3.3333333333333335</v>
      </c>
      <c r="D55" s="170">
        <f t="shared" si="3"/>
        <v>16.3</v>
      </c>
      <c r="E55" s="121"/>
      <c r="F55" s="121"/>
      <c r="G55" s="121"/>
      <c r="H55" s="121"/>
      <c r="I55" s="121"/>
      <c r="J55" s="121"/>
      <c r="K55" s="121"/>
    </row>
    <row r="56" spans="1:11" ht="45" x14ac:dyDescent="0.25">
      <c r="A56" s="172" t="s">
        <v>171</v>
      </c>
      <c r="B56" s="169">
        <v>3.86</v>
      </c>
      <c r="C56" s="171">
        <f>5/12</f>
        <v>0.41666666666666669</v>
      </c>
      <c r="D56" s="170">
        <f t="shared" si="3"/>
        <v>1.6083333333333334</v>
      </c>
      <c r="E56" s="121"/>
      <c r="F56" s="121"/>
      <c r="G56" s="121"/>
      <c r="H56" s="121"/>
      <c r="I56" s="121"/>
      <c r="J56" s="121"/>
      <c r="K56" s="121"/>
    </row>
    <row r="57" spans="1:11" ht="135" x14ac:dyDescent="0.25">
      <c r="A57" s="172" t="s">
        <v>172</v>
      </c>
      <c r="B57" s="169">
        <v>7.99</v>
      </c>
      <c r="C57" s="171">
        <f>100/12</f>
        <v>8.3333333333333339</v>
      </c>
      <c r="D57" s="170">
        <f t="shared" si="3"/>
        <v>66.583333333333343</v>
      </c>
      <c r="E57" s="121"/>
      <c r="F57" s="121"/>
      <c r="G57" s="121"/>
      <c r="H57" s="121"/>
      <c r="I57" s="121"/>
      <c r="J57" s="121"/>
      <c r="K57" s="121"/>
    </row>
    <row r="58" spans="1:11" ht="30" x14ac:dyDescent="0.25">
      <c r="A58" s="172" t="s">
        <v>173</v>
      </c>
      <c r="B58" s="169">
        <v>7.58</v>
      </c>
      <c r="C58" s="171">
        <f>10/12</f>
        <v>0.83333333333333337</v>
      </c>
      <c r="D58" s="170">
        <f t="shared" si="3"/>
        <v>6.3166666666666673</v>
      </c>
    </row>
    <row r="59" spans="1:11" ht="60" x14ac:dyDescent="0.25">
      <c r="A59" s="172" t="s">
        <v>174</v>
      </c>
      <c r="B59" s="169">
        <v>10.585000000000001</v>
      </c>
      <c r="C59" s="171">
        <f>10/12</f>
        <v>0.83333333333333337</v>
      </c>
      <c r="D59" s="170">
        <f t="shared" si="3"/>
        <v>8.8208333333333346</v>
      </c>
    </row>
    <row r="60" spans="1:11" ht="30" x14ac:dyDescent="0.25">
      <c r="A60" s="172" t="s">
        <v>175</v>
      </c>
      <c r="B60" s="169">
        <v>19.989999999999998</v>
      </c>
      <c r="C60" s="171">
        <f>5/12</f>
        <v>0.41666666666666669</v>
      </c>
      <c r="D60" s="170">
        <f t="shared" si="3"/>
        <v>8.3291666666666657</v>
      </c>
    </row>
    <row r="61" spans="1:11" x14ac:dyDescent="0.25">
      <c r="A61" s="172" t="s">
        <v>176</v>
      </c>
      <c r="B61" s="169">
        <v>17.36</v>
      </c>
      <c r="C61" s="171">
        <f>10/12</f>
        <v>0.83333333333333337</v>
      </c>
      <c r="D61" s="170">
        <f t="shared" si="3"/>
        <v>14.466666666666667</v>
      </c>
    </row>
    <row r="62" spans="1:11" ht="75" x14ac:dyDescent="0.25">
      <c r="A62" s="172" t="s">
        <v>177</v>
      </c>
      <c r="B62" s="169">
        <v>8.49</v>
      </c>
      <c r="C62" s="171">
        <f t="shared" ref="C62:C67" si="4">20/12</f>
        <v>1.6666666666666667</v>
      </c>
      <c r="D62" s="170">
        <f t="shared" si="3"/>
        <v>14.15</v>
      </c>
    </row>
    <row r="63" spans="1:11" ht="75" x14ac:dyDescent="0.25">
      <c r="A63" s="172" t="s">
        <v>178</v>
      </c>
      <c r="B63" s="169">
        <v>5.29</v>
      </c>
      <c r="C63" s="171">
        <f t="shared" si="4"/>
        <v>1.6666666666666667</v>
      </c>
      <c r="D63" s="170">
        <f t="shared" si="3"/>
        <v>8.8166666666666664</v>
      </c>
    </row>
    <row r="64" spans="1:11" ht="75" x14ac:dyDescent="0.25">
      <c r="A64" s="172" t="s">
        <v>179</v>
      </c>
      <c r="B64" s="169">
        <v>6.7</v>
      </c>
      <c r="C64" s="171">
        <f t="shared" si="4"/>
        <v>1.6666666666666667</v>
      </c>
      <c r="D64" s="170">
        <f t="shared" si="3"/>
        <v>11.166666666666668</v>
      </c>
    </row>
    <row r="65" spans="1:11" ht="45" x14ac:dyDescent="0.25">
      <c r="A65" s="172" t="s">
        <v>180</v>
      </c>
      <c r="B65" s="169">
        <v>5.39</v>
      </c>
      <c r="C65" s="171">
        <f t="shared" si="4"/>
        <v>1.6666666666666667</v>
      </c>
      <c r="D65" s="170">
        <f t="shared" si="3"/>
        <v>8.9833333333333325</v>
      </c>
    </row>
    <row r="66" spans="1:11" ht="60" x14ac:dyDescent="0.25">
      <c r="A66" s="172" t="s">
        <v>181</v>
      </c>
      <c r="B66" s="169">
        <v>12.96</v>
      </c>
      <c r="C66" s="171">
        <f t="shared" si="4"/>
        <v>1.6666666666666667</v>
      </c>
      <c r="D66" s="170">
        <f t="shared" si="3"/>
        <v>21.6</v>
      </c>
    </row>
    <row r="67" spans="1:11" ht="60" x14ac:dyDescent="0.25">
      <c r="A67" s="172" t="s">
        <v>182</v>
      </c>
      <c r="B67" s="169">
        <v>14.6</v>
      </c>
      <c r="C67" s="171">
        <f t="shared" si="4"/>
        <v>1.6666666666666667</v>
      </c>
      <c r="D67" s="170">
        <f t="shared" si="3"/>
        <v>24.333333333333332</v>
      </c>
    </row>
    <row r="68" spans="1:11" ht="60" x14ac:dyDescent="0.25">
      <c r="A68" s="172" t="s">
        <v>183</v>
      </c>
      <c r="B68" s="169">
        <v>11.62</v>
      </c>
      <c r="C68" s="171">
        <f>10/12</f>
        <v>0.83333333333333337</v>
      </c>
      <c r="D68" s="170">
        <f t="shared" si="3"/>
        <v>9.6833333333333336</v>
      </c>
    </row>
    <row r="69" spans="1:11" ht="45" x14ac:dyDescent="0.25">
      <c r="A69" s="172" t="s">
        <v>184</v>
      </c>
      <c r="B69" s="169">
        <v>17.899999999999999</v>
      </c>
      <c r="C69" s="171">
        <f>5/12</f>
        <v>0.41666666666666669</v>
      </c>
      <c r="D69" s="170">
        <f t="shared" si="3"/>
        <v>7.458333333333333</v>
      </c>
    </row>
    <row r="70" spans="1:11" ht="15.75" x14ac:dyDescent="0.25">
      <c r="A70" s="582" t="s">
        <v>125</v>
      </c>
      <c r="B70" s="582"/>
      <c r="C70" s="173"/>
      <c r="D70" s="174">
        <f>SUM(D48:D69)</f>
        <v>386.10833333333329</v>
      </c>
    </row>
    <row r="72" spans="1:11" x14ac:dyDescent="0.25">
      <c r="A72" s="583" t="s">
        <v>185</v>
      </c>
      <c r="B72" s="583"/>
      <c r="C72" s="583"/>
      <c r="D72" s="583"/>
      <c r="E72" s="583"/>
      <c r="F72" s="583"/>
      <c r="G72" s="583"/>
      <c r="H72" s="583"/>
      <c r="I72" s="583"/>
      <c r="J72" s="583"/>
      <c r="K72" s="583"/>
    </row>
    <row r="73" spans="1:11" x14ac:dyDescent="0.25">
      <c r="A73" s="583" t="s">
        <v>186</v>
      </c>
      <c r="B73" s="583"/>
      <c r="C73" s="583"/>
      <c r="D73" s="583"/>
      <c r="E73" s="583"/>
      <c r="F73" s="583"/>
      <c r="G73" s="583"/>
      <c r="H73" s="583"/>
      <c r="I73" s="583"/>
      <c r="J73" s="583"/>
      <c r="K73" s="583"/>
    </row>
    <row r="74" spans="1:11" x14ac:dyDescent="0.25">
      <c r="A74" s="583" t="s">
        <v>187</v>
      </c>
      <c r="B74" s="583"/>
      <c r="C74" s="583"/>
      <c r="D74" s="583"/>
      <c r="E74" s="583"/>
      <c r="F74" s="583" t="s">
        <v>188</v>
      </c>
      <c r="G74" s="583"/>
      <c r="H74" s="583"/>
      <c r="I74" s="583"/>
      <c r="J74" s="583"/>
      <c r="K74" s="583"/>
    </row>
    <row r="75" spans="1:11" ht="60" x14ac:dyDescent="0.25">
      <c r="A75" s="175" t="s">
        <v>189</v>
      </c>
      <c r="B75" s="176" t="s">
        <v>190</v>
      </c>
      <c r="C75" s="176" t="s">
        <v>75</v>
      </c>
      <c r="D75" s="176" t="s">
        <v>119</v>
      </c>
      <c r="E75" s="175" t="s">
        <v>120</v>
      </c>
      <c r="F75" s="175" t="s">
        <v>189</v>
      </c>
      <c r="G75" s="176" t="s">
        <v>190</v>
      </c>
      <c r="H75" s="176"/>
      <c r="I75" s="176" t="s">
        <v>75</v>
      </c>
      <c r="J75" s="176" t="s">
        <v>119</v>
      </c>
      <c r="K75" s="175" t="s">
        <v>120</v>
      </c>
    </row>
    <row r="76" spans="1:11" ht="57" x14ac:dyDescent="0.25">
      <c r="A76" s="177" t="s">
        <v>191</v>
      </c>
      <c r="B76" s="178" t="s">
        <v>192</v>
      </c>
      <c r="C76" s="179">
        <v>13.7</v>
      </c>
      <c r="D76" s="180">
        <v>4</v>
      </c>
      <c r="E76" s="181">
        <f>C76*D76</f>
        <v>54.8</v>
      </c>
      <c r="F76" s="177" t="s">
        <v>193</v>
      </c>
      <c r="G76" s="178" t="s">
        <v>194</v>
      </c>
      <c r="H76" s="178"/>
      <c r="I76" s="179">
        <v>1.1100000000000001</v>
      </c>
      <c r="J76" s="178">
        <v>1800</v>
      </c>
      <c r="K76" s="182">
        <f t="shared" ref="K76:K82" si="5">I76*J76</f>
        <v>1998.0000000000002</v>
      </c>
    </row>
    <row r="77" spans="1:11" ht="57" x14ac:dyDescent="0.25">
      <c r="A77" s="177" t="s">
        <v>195</v>
      </c>
      <c r="B77" s="178" t="s">
        <v>192</v>
      </c>
      <c r="C77" s="179">
        <v>16.760000000000002</v>
      </c>
      <c r="D77" s="180">
        <v>4</v>
      </c>
      <c r="E77" s="181">
        <f t="shared" ref="E77:E83" si="6">C77*D77</f>
        <v>67.040000000000006</v>
      </c>
      <c r="F77" s="177" t="s">
        <v>196</v>
      </c>
      <c r="G77" s="178" t="s">
        <v>194</v>
      </c>
      <c r="H77" s="178"/>
      <c r="I77" s="179">
        <v>0.85</v>
      </c>
      <c r="J77" s="178">
        <v>1800</v>
      </c>
      <c r="K77" s="182">
        <f t="shared" si="5"/>
        <v>1530</v>
      </c>
    </row>
    <row r="78" spans="1:11" ht="57" x14ac:dyDescent="0.25">
      <c r="A78" s="177" t="s">
        <v>197</v>
      </c>
      <c r="B78" s="178" t="s">
        <v>192</v>
      </c>
      <c r="C78" s="179">
        <v>10.96</v>
      </c>
      <c r="D78" s="180">
        <v>15</v>
      </c>
      <c r="E78" s="181">
        <f t="shared" si="6"/>
        <v>164.4</v>
      </c>
      <c r="F78" s="177" t="s">
        <v>198</v>
      </c>
      <c r="G78" s="178" t="s">
        <v>194</v>
      </c>
      <c r="H78" s="178"/>
      <c r="I78" s="179">
        <v>0.12</v>
      </c>
      <c r="J78" s="178">
        <v>1800</v>
      </c>
      <c r="K78" s="182">
        <f t="shared" si="5"/>
        <v>216</v>
      </c>
    </row>
    <row r="79" spans="1:11" ht="57" x14ac:dyDescent="0.25">
      <c r="A79" s="177" t="s">
        <v>199</v>
      </c>
      <c r="B79" s="178" t="s">
        <v>200</v>
      </c>
      <c r="C79" s="179">
        <v>20.9</v>
      </c>
      <c r="D79" s="180">
        <v>15</v>
      </c>
      <c r="E79" s="181">
        <f t="shared" si="6"/>
        <v>313.5</v>
      </c>
      <c r="F79" s="177" t="s">
        <v>201</v>
      </c>
      <c r="G79" s="178" t="s">
        <v>194</v>
      </c>
      <c r="H79" s="178"/>
      <c r="I79" s="179">
        <v>0.4</v>
      </c>
      <c r="J79" s="178">
        <v>1800</v>
      </c>
      <c r="K79" s="182">
        <f t="shared" si="5"/>
        <v>720</v>
      </c>
    </row>
    <row r="80" spans="1:11" ht="57" x14ac:dyDescent="0.25">
      <c r="A80" s="177" t="s">
        <v>202</v>
      </c>
      <c r="B80" s="178" t="s">
        <v>200</v>
      </c>
      <c r="C80" s="179">
        <v>146.9</v>
      </c>
      <c r="D80" s="180">
        <v>15</v>
      </c>
      <c r="E80" s="181">
        <f t="shared" si="6"/>
        <v>2203.5</v>
      </c>
      <c r="F80" s="177" t="s">
        <v>203</v>
      </c>
      <c r="G80" s="178" t="s">
        <v>194</v>
      </c>
      <c r="H80" s="178"/>
      <c r="I80" s="179">
        <v>0.32</v>
      </c>
      <c r="J80" s="178">
        <v>2000</v>
      </c>
      <c r="K80" s="182">
        <f t="shared" si="5"/>
        <v>640</v>
      </c>
    </row>
    <row r="81" spans="1:11" ht="71.25" x14ac:dyDescent="0.25">
      <c r="A81" s="177" t="s">
        <v>204</v>
      </c>
      <c r="B81" s="178" t="s">
        <v>200</v>
      </c>
      <c r="C81" s="179">
        <v>139.9</v>
      </c>
      <c r="D81" s="180">
        <v>15</v>
      </c>
      <c r="E81" s="181">
        <f t="shared" si="6"/>
        <v>2098.5</v>
      </c>
      <c r="F81" s="177" t="s">
        <v>205</v>
      </c>
      <c r="G81" s="178" t="s">
        <v>194</v>
      </c>
      <c r="H81" s="178"/>
      <c r="I81" s="179">
        <v>0.14000000000000001</v>
      </c>
      <c r="J81" s="178">
        <v>2000</v>
      </c>
      <c r="K81" s="182">
        <f t="shared" si="5"/>
        <v>280</v>
      </c>
    </row>
    <row r="82" spans="1:11" ht="57" x14ac:dyDescent="0.25">
      <c r="A82" s="177" t="s">
        <v>206</v>
      </c>
      <c r="B82" s="178" t="s">
        <v>200</v>
      </c>
      <c r="C82" s="179">
        <v>198.9</v>
      </c>
      <c r="D82" s="180">
        <v>3</v>
      </c>
      <c r="E82" s="181">
        <f t="shared" si="6"/>
        <v>596.70000000000005</v>
      </c>
      <c r="F82" s="177" t="s">
        <v>207</v>
      </c>
      <c r="G82" s="178" t="s">
        <v>194</v>
      </c>
      <c r="H82" s="178"/>
      <c r="I82" s="179">
        <v>0.1</v>
      </c>
      <c r="J82" s="178">
        <v>2000</v>
      </c>
      <c r="K82" s="182">
        <f t="shared" si="5"/>
        <v>200</v>
      </c>
    </row>
    <row r="83" spans="1:11" ht="99.75" x14ac:dyDescent="0.25">
      <c r="A83" s="177" t="s">
        <v>208</v>
      </c>
      <c r="B83" s="178" t="s">
        <v>200</v>
      </c>
      <c r="C83" s="179">
        <v>65.900000000000006</v>
      </c>
      <c r="D83" s="180">
        <v>6</v>
      </c>
      <c r="E83" s="181">
        <f t="shared" si="6"/>
        <v>395.40000000000003</v>
      </c>
      <c r="F83" s="177"/>
      <c r="G83" s="178"/>
      <c r="H83" s="178"/>
      <c r="I83" s="179"/>
      <c r="J83" s="178"/>
      <c r="K83" s="182"/>
    </row>
    <row r="84" spans="1:11" x14ac:dyDescent="0.25">
      <c r="A84" s="183" t="s">
        <v>44</v>
      </c>
      <c r="B84" s="184"/>
      <c r="C84" s="185"/>
      <c r="D84" s="186"/>
      <c r="E84" s="187">
        <f>SUM(E76:E83)</f>
        <v>5893.8399999999992</v>
      </c>
      <c r="F84" s="183" t="s">
        <v>44</v>
      </c>
      <c r="G84" s="184"/>
      <c r="H84" s="184"/>
      <c r="I84" s="185"/>
      <c r="J84" s="184"/>
      <c r="K84" s="187">
        <f>SUM(K76:K83)</f>
        <v>5584</v>
      </c>
    </row>
    <row r="85" spans="1:11" x14ac:dyDescent="0.25">
      <c r="A85" s="188" t="s">
        <v>125</v>
      </c>
      <c r="B85" s="575">
        <f>E84+K84</f>
        <v>11477.84</v>
      </c>
      <c r="C85" s="576"/>
      <c r="D85" s="576"/>
      <c r="E85" s="576"/>
      <c r="F85" s="576"/>
      <c r="G85" s="576"/>
      <c r="H85" s="576"/>
      <c r="I85" s="576"/>
      <c r="J85" s="576"/>
      <c r="K85" s="577"/>
    </row>
    <row r="87" spans="1:11" ht="90" x14ac:dyDescent="0.25">
      <c r="A87" s="210" t="s">
        <v>209</v>
      </c>
      <c r="B87" s="210" t="s">
        <v>190</v>
      </c>
      <c r="C87" s="161" t="s">
        <v>161</v>
      </c>
      <c r="D87" s="161" t="s">
        <v>162</v>
      </c>
      <c r="E87" s="161" t="s">
        <v>75</v>
      </c>
    </row>
    <row r="88" spans="1:11" x14ac:dyDescent="0.25">
      <c r="A88" s="164" t="s">
        <v>210</v>
      </c>
      <c r="B88" s="189" t="s">
        <v>211</v>
      </c>
      <c r="C88" s="190">
        <v>7.9</v>
      </c>
      <c r="D88" s="191">
        <v>33.333333333333336</v>
      </c>
      <c r="E88" s="190">
        <f>C88*D88</f>
        <v>263.33333333333337</v>
      </c>
    </row>
    <row r="89" spans="1:11" x14ac:dyDescent="0.25">
      <c r="A89" s="164" t="s">
        <v>212</v>
      </c>
      <c r="B89" s="189" t="s">
        <v>213</v>
      </c>
      <c r="C89" s="190">
        <v>2.68</v>
      </c>
      <c r="D89" s="191">
        <v>33.333333333333336</v>
      </c>
      <c r="E89" s="190">
        <f t="shared" ref="E89:E117" si="7">C89*D89</f>
        <v>89.333333333333343</v>
      </c>
    </row>
    <row r="90" spans="1:11" x14ac:dyDescent="0.25">
      <c r="A90" s="164" t="s">
        <v>212</v>
      </c>
      <c r="B90" s="189" t="s">
        <v>211</v>
      </c>
      <c r="C90" s="190">
        <v>2.4500000000000002</v>
      </c>
      <c r="D90" s="191">
        <v>33.333333333333336</v>
      </c>
      <c r="E90" s="190">
        <f t="shared" si="7"/>
        <v>81.666666666666671</v>
      </c>
    </row>
    <row r="91" spans="1:11" x14ac:dyDescent="0.25">
      <c r="A91" s="164" t="s">
        <v>214</v>
      </c>
      <c r="B91" s="189" t="s">
        <v>211</v>
      </c>
      <c r="C91" s="190">
        <v>2.95</v>
      </c>
      <c r="D91" s="191">
        <f>200/12</f>
        <v>16.666666666666668</v>
      </c>
      <c r="E91" s="190">
        <f t="shared" si="7"/>
        <v>49.166666666666671</v>
      </c>
    </row>
    <row r="92" spans="1:11" x14ac:dyDescent="0.25">
      <c r="A92" s="164" t="s">
        <v>215</v>
      </c>
      <c r="B92" s="189" t="s">
        <v>211</v>
      </c>
      <c r="C92" s="190">
        <v>4.01</v>
      </c>
      <c r="D92" s="191">
        <f t="shared" ref="D92:D93" si="8">200/12</f>
        <v>16.666666666666668</v>
      </c>
      <c r="E92" s="190">
        <f t="shared" si="7"/>
        <v>66.833333333333329</v>
      </c>
    </row>
    <row r="93" spans="1:11" x14ac:dyDescent="0.25">
      <c r="A93" s="164" t="s">
        <v>216</v>
      </c>
      <c r="B93" s="189" t="s">
        <v>217</v>
      </c>
      <c r="C93" s="190">
        <v>3.91</v>
      </c>
      <c r="D93" s="191">
        <f t="shared" si="8"/>
        <v>16.666666666666668</v>
      </c>
      <c r="E93" s="190">
        <f t="shared" si="7"/>
        <v>65.166666666666671</v>
      </c>
    </row>
    <row r="94" spans="1:11" x14ac:dyDescent="0.25">
      <c r="A94" s="164" t="s">
        <v>218</v>
      </c>
      <c r="B94" s="189" t="s">
        <v>211</v>
      </c>
      <c r="C94" s="190">
        <v>4.4400000000000004</v>
      </c>
      <c r="D94" s="191">
        <f>500/12</f>
        <v>41.666666666666664</v>
      </c>
      <c r="E94" s="190">
        <f t="shared" si="7"/>
        <v>185</v>
      </c>
    </row>
    <row r="95" spans="1:11" x14ac:dyDescent="0.25">
      <c r="A95" s="164" t="s">
        <v>219</v>
      </c>
      <c r="B95" s="189" t="s">
        <v>220</v>
      </c>
      <c r="C95" s="190">
        <v>1.25</v>
      </c>
      <c r="D95" s="191">
        <f>600/12</f>
        <v>50</v>
      </c>
      <c r="E95" s="190">
        <f t="shared" si="7"/>
        <v>62.5</v>
      </c>
    </row>
    <row r="96" spans="1:11" x14ac:dyDescent="0.25">
      <c r="A96" s="164" t="s">
        <v>221</v>
      </c>
      <c r="B96" s="189" t="s">
        <v>222</v>
      </c>
      <c r="C96" s="190">
        <v>14</v>
      </c>
      <c r="D96" s="191">
        <f>400/12</f>
        <v>33.333333333333336</v>
      </c>
      <c r="E96" s="190">
        <f t="shared" si="7"/>
        <v>466.66666666666669</v>
      </c>
    </row>
    <row r="97" spans="1:5" x14ac:dyDescent="0.25">
      <c r="A97" s="164" t="s">
        <v>223</v>
      </c>
      <c r="B97" s="189" t="s">
        <v>217</v>
      </c>
      <c r="C97" s="190">
        <v>3</v>
      </c>
      <c r="D97" s="191">
        <f>800/12</f>
        <v>66.666666666666671</v>
      </c>
      <c r="E97" s="190">
        <f t="shared" si="7"/>
        <v>200</v>
      </c>
    </row>
    <row r="98" spans="1:5" x14ac:dyDescent="0.25">
      <c r="A98" s="164" t="s">
        <v>224</v>
      </c>
      <c r="B98" s="189" t="s">
        <v>192</v>
      </c>
      <c r="C98" s="190">
        <v>0.38</v>
      </c>
      <c r="D98" s="191">
        <f>2000/12</f>
        <v>166.66666666666666</v>
      </c>
      <c r="E98" s="190">
        <f t="shared" si="7"/>
        <v>63.333333333333329</v>
      </c>
    </row>
    <row r="99" spans="1:5" x14ac:dyDescent="0.25">
      <c r="A99" s="164" t="s">
        <v>225</v>
      </c>
      <c r="B99" s="189" t="s">
        <v>192</v>
      </c>
      <c r="C99" s="190">
        <v>1.39</v>
      </c>
      <c r="D99" s="191">
        <f>400/12</f>
        <v>33.333333333333336</v>
      </c>
      <c r="E99" s="190">
        <f t="shared" si="7"/>
        <v>46.333333333333336</v>
      </c>
    </row>
    <row r="100" spans="1:5" x14ac:dyDescent="0.25">
      <c r="A100" s="164" t="s">
        <v>226</v>
      </c>
      <c r="B100" s="189" t="s">
        <v>192</v>
      </c>
      <c r="C100" s="190">
        <v>1.95</v>
      </c>
      <c r="D100" s="191">
        <f>1000/12</f>
        <v>83.333333333333329</v>
      </c>
      <c r="E100" s="190">
        <f t="shared" si="7"/>
        <v>162.5</v>
      </c>
    </row>
    <row r="101" spans="1:5" x14ac:dyDescent="0.25">
      <c r="A101" s="164" t="s">
        <v>227</v>
      </c>
      <c r="B101" s="189" t="s">
        <v>228</v>
      </c>
      <c r="C101" s="190">
        <v>12.64</v>
      </c>
      <c r="D101" s="191">
        <f>500/12</f>
        <v>41.666666666666664</v>
      </c>
      <c r="E101" s="190">
        <f t="shared" si="7"/>
        <v>526.66666666666663</v>
      </c>
    </row>
    <row r="102" spans="1:5" x14ac:dyDescent="0.25">
      <c r="A102" s="164" t="s">
        <v>229</v>
      </c>
      <c r="B102" s="189" t="s">
        <v>217</v>
      </c>
      <c r="C102" s="190">
        <v>3.69</v>
      </c>
      <c r="D102" s="191">
        <f>600/12</f>
        <v>50</v>
      </c>
      <c r="E102" s="190">
        <f t="shared" si="7"/>
        <v>184.5</v>
      </c>
    </row>
    <row r="103" spans="1:5" x14ac:dyDescent="0.25">
      <c r="A103" s="164" t="s">
        <v>230</v>
      </c>
      <c r="B103" s="189" t="s">
        <v>231</v>
      </c>
      <c r="C103" s="190">
        <v>3.69</v>
      </c>
      <c r="D103" s="191">
        <f>600/12</f>
        <v>50</v>
      </c>
      <c r="E103" s="190">
        <f t="shared" si="7"/>
        <v>184.5</v>
      </c>
    </row>
    <row r="104" spans="1:5" x14ac:dyDescent="0.25">
      <c r="A104" s="164" t="s">
        <v>232</v>
      </c>
      <c r="B104" s="189" t="s">
        <v>222</v>
      </c>
      <c r="C104" s="190">
        <v>16.940000000000001</v>
      </c>
      <c r="D104" s="191">
        <f>200/12</f>
        <v>16.666666666666668</v>
      </c>
      <c r="E104" s="190">
        <f t="shared" si="7"/>
        <v>282.33333333333337</v>
      </c>
    </row>
    <row r="105" spans="1:5" x14ac:dyDescent="0.25">
      <c r="A105" s="164" t="s">
        <v>233</v>
      </c>
      <c r="B105" s="189" t="s">
        <v>217</v>
      </c>
      <c r="C105" s="190">
        <v>3.69</v>
      </c>
      <c r="D105" s="191">
        <f>400/12</f>
        <v>33.333333333333336</v>
      </c>
      <c r="E105" s="190">
        <f t="shared" si="7"/>
        <v>123</v>
      </c>
    </row>
    <row r="106" spans="1:5" x14ac:dyDescent="0.25">
      <c r="A106" s="164" t="s">
        <v>234</v>
      </c>
      <c r="B106" s="189" t="s">
        <v>217</v>
      </c>
      <c r="C106" s="190">
        <v>2.9</v>
      </c>
      <c r="D106" s="191">
        <f>600/12</f>
        <v>50</v>
      </c>
      <c r="E106" s="190">
        <f t="shared" si="7"/>
        <v>145</v>
      </c>
    </row>
    <row r="107" spans="1:5" x14ac:dyDescent="0.25">
      <c r="A107" s="164" t="s">
        <v>235</v>
      </c>
      <c r="B107" s="189" t="s">
        <v>192</v>
      </c>
      <c r="C107" s="190">
        <v>1.96</v>
      </c>
      <c r="D107" s="191">
        <f>1050/12</f>
        <v>87.5</v>
      </c>
      <c r="E107" s="190">
        <f t="shared" si="7"/>
        <v>171.5</v>
      </c>
    </row>
    <row r="108" spans="1:5" x14ac:dyDescent="0.25">
      <c r="A108" s="164" t="s">
        <v>236</v>
      </c>
      <c r="B108" s="189" t="s">
        <v>192</v>
      </c>
      <c r="C108" s="190">
        <v>0.86</v>
      </c>
      <c r="D108" s="191">
        <f>2020/12</f>
        <v>168.33333333333334</v>
      </c>
      <c r="E108" s="190">
        <f t="shared" si="7"/>
        <v>144.76666666666668</v>
      </c>
    </row>
    <row r="109" spans="1:5" x14ac:dyDescent="0.25">
      <c r="A109" s="164" t="s">
        <v>237</v>
      </c>
      <c r="B109" s="189" t="s">
        <v>192</v>
      </c>
      <c r="C109" s="190">
        <v>0.26</v>
      </c>
      <c r="D109" s="191">
        <f>500/12</f>
        <v>41.666666666666664</v>
      </c>
      <c r="E109" s="190">
        <f t="shared" si="7"/>
        <v>10.833333333333334</v>
      </c>
    </row>
    <row r="110" spans="1:5" x14ac:dyDescent="0.25">
      <c r="A110" s="164" t="s">
        <v>238</v>
      </c>
      <c r="B110" s="189" t="s">
        <v>239</v>
      </c>
      <c r="C110" s="190">
        <v>2.6</v>
      </c>
      <c r="D110" s="191">
        <f>800/12</f>
        <v>66.666666666666671</v>
      </c>
      <c r="E110" s="190">
        <f t="shared" si="7"/>
        <v>173.33333333333334</v>
      </c>
    </row>
    <row r="111" spans="1:5" x14ac:dyDescent="0.25">
      <c r="A111" s="164" t="s">
        <v>240</v>
      </c>
      <c r="B111" s="189" t="s">
        <v>192</v>
      </c>
      <c r="C111" s="190">
        <v>0.24</v>
      </c>
      <c r="D111" s="191">
        <v>166.66666666666666</v>
      </c>
      <c r="E111" s="190">
        <f t="shared" si="7"/>
        <v>39.999999999999993</v>
      </c>
    </row>
    <row r="112" spans="1:5" x14ac:dyDescent="0.25">
      <c r="A112" s="164" t="s">
        <v>241</v>
      </c>
      <c r="B112" s="189" t="s">
        <v>192</v>
      </c>
      <c r="C112" s="190">
        <v>0.21</v>
      </c>
      <c r="D112" s="191">
        <v>166.66666666666666</v>
      </c>
      <c r="E112" s="190">
        <f t="shared" si="7"/>
        <v>35</v>
      </c>
    </row>
    <row r="113" spans="1:5" x14ac:dyDescent="0.25">
      <c r="A113" s="164" t="s">
        <v>242</v>
      </c>
      <c r="B113" s="189" t="s">
        <v>192</v>
      </c>
      <c r="C113" s="190">
        <v>2.99</v>
      </c>
      <c r="D113" s="191">
        <f>500/12</f>
        <v>41.666666666666664</v>
      </c>
      <c r="E113" s="190">
        <f t="shared" si="7"/>
        <v>124.58333333333333</v>
      </c>
    </row>
    <row r="114" spans="1:5" x14ac:dyDescent="0.25">
      <c r="A114" s="164" t="s">
        <v>243</v>
      </c>
      <c r="B114" s="189" t="s">
        <v>222</v>
      </c>
      <c r="C114" s="190">
        <v>17</v>
      </c>
      <c r="D114" s="191">
        <f>100/12</f>
        <v>8.3333333333333339</v>
      </c>
      <c r="E114" s="190">
        <f t="shared" si="7"/>
        <v>141.66666666666669</v>
      </c>
    </row>
    <row r="115" spans="1:5" x14ac:dyDescent="0.25">
      <c r="A115" s="164" t="s">
        <v>244</v>
      </c>
      <c r="B115" s="189" t="s">
        <v>211</v>
      </c>
      <c r="C115" s="190">
        <v>6.1740000000000004</v>
      </c>
      <c r="D115" s="191">
        <v>16.666666666666668</v>
      </c>
      <c r="E115" s="190">
        <f t="shared" si="7"/>
        <v>102.90000000000002</v>
      </c>
    </row>
    <row r="116" spans="1:5" x14ac:dyDescent="0.25">
      <c r="A116" s="164" t="s">
        <v>245</v>
      </c>
      <c r="B116" s="189" t="s">
        <v>211</v>
      </c>
      <c r="C116" s="190">
        <v>7.78</v>
      </c>
      <c r="D116" s="191">
        <v>20.833333333333332</v>
      </c>
      <c r="E116" s="190">
        <f t="shared" si="7"/>
        <v>162.08333333333334</v>
      </c>
    </row>
    <row r="117" spans="1:5" x14ac:dyDescent="0.25">
      <c r="A117" s="164" t="s">
        <v>246</v>
      </c>
      <c r="B117" s="189" t="s">
        <v>231</v>
      </c>
      <c r="C117" s="190">
        <v>16.899999999999999</v>
      </c>
      <c r="D117" s="191">
        <v>20.833333333333332</v>
      </c>
      <c r="E117" s="190">
        <f t="shared" si="7"/>
        <v>352.08333333333326</v>
      </c>
    </row>
    <row r="118" spans="1:5" x14ac:dyDescent="0.25">
      <c r="A118" s="584" t="s">
        <v>120</v>
      </c>
      <c r="B118" s="584"/>
      <c r="C118" s="584"/>
      <c r="D118" s="192"/>
      <c r="E118" s="242">
        <f>SUM(E88:E117)</f>
        <v>4706.583333333333</v>
      </c>
    </row>
    <row r="120" spans="1:5" x14ac:dyDescent="0.25">
      <c r="A120" s="585" t="s">
        <v>247</v>
      </c>
      <c r="B120" s="585"/>
      <c r="C120" s="585"/>
      <c r="D120" s="585"/>
      <c r="E120" s="585"/>
    </row>
    <row r="121" spans="1:5" ht="75" x14ac:dyDescent="0.25">
      <c r="A121" s="207" t="s">
        <v>209</v>
      </c>
      <c r="B121" s="208" t="s">
        <v>190</v>
      </c>
      <c r="C121" s="209" t="s">
        <v>75</v>
      </c>
      <c r="D121" s="208" t="s">
        <v>140</v>
      </c>
      <c r="E121" s="208" t="s">
        <v>75</v>
      </c>
    </row>
    <row r="122" spans="1:5" ht="75" x14ac:dyDescent="0.25">
      <c r="A122" s="193" t="s">
        <v>248</v>
      </c>
      <c r="B122" s="194" t="s">
        <v>249</v>
      </c>
      <c r="C122" s="195">
        <v>12.9</v>
      </c>
      <c r="D122" s="196">
        <f>750.96/12</f>
        <v>62.580000000000005</v>
      </c>
      <c r="E122" s="197">
        <f>C122*D122</f>
        <v>807.28200000000004</v>
      </c>
    </row>
    <row r="123" spans="1:5" ht="90" x14ac:dyDescent="0.25">
      <c r="A123" s="198" t="s">
        <v>250</v>
      </c>
      <c r="B123" s="199" t="s">
        <v>251</v>
      </c>
      <c r="C123" s="200">
        <v>60.25</v>
      </c>
      <c r="D123" s="201">
        <v>166.666666666667</v>
      </c>
      <c r="E123" s="197">
        <f t="shared" ref="E123:E128" si="9">C123*D123</f>
        <v>10041.666666666686</v>
      </c>
    </row>
    <row r="124" spans="1:5" ht="45" x14ac:dyDescent="0.25">
      <c r="A124" s="193" t="s">
        <v>252</v>
      </c>
      <c r="B124" s="194" t="s">
        <v>253</v>
      </c>
      <c r="C124" s="195">
        <v>25.8</v>
      </c>
      <c r="D124" s="196">
        <v>170.83333333333334</v>
      </c>
      <c r="E124" s="197">
        <f t="shared" si="9"/>
        <v>4407.5</v>
      </c>
    </row>
    <row r="125" spans="1:5" ht="30" x14ac:dyDescent="0.25">
      <c r="A125" s="193" t="s">
        <v>254</v>
      </c>
      <c r="B125" s="194" t="s">
        <v>200</v>
      </c>
      <c r="C125" s="195">
        <v>18.899999999999999</v>
      </c>
      <c r="D125" s="196">
        <v>16.666666666666668</v>
      </c>
      <c r="E125" s="197">
        <f t="shared" si="9"/>
        <v>315</v>
      </c>
    </row>
    <row r="126" spans="1:5" x14ac:dyDescent="0.25">
      <c r="A126" s="122"/>
      <c r="B126" s="122"/>
      <c r="C126" s="202"/>
      <c r="D126" s="122"/>
      <c r="E126" s="197">
        <f t="shared" si="9"/>
        <v>0</v>
      </c>
    </row>
    <row r="127" spans="1:5" x14ac:dyDescent="0.25">
      <c r="A127" s="122"/>
      <c r="B127" s="122"/>
      <c r="C127" s="202"/>
      <c r="D127" s="122"/>
      <c r="E127" s="197">
        <f t="shared" si="9"/>
        <v>0</v>
      </c>
    </row>
    <row r="128" spans="1:5" x14ac:dyDescent="0.25">
      <c r="A128" s="122"/>
      <c r="B128" s="122"/>
      <c r="C128" s="202"/>
      <c r="D128" s="122"/>
      <c r="E128" s="197">
        <f t="shared" si="9"/>
        <v>0</v>
      </c>
    </row>
    <row r="129" spans="1:5" x14ac:dyDescent="0.25">
      <c r="A129" s="585" t="s">
        <v>120</v>
      </c>
      <c r="B129" s="585"/>
      <c r="C129" s="585"/>
      <c r="D129" s="203"/>
      <c r="E129" s="204">
        <f>SUM(E122:E128)</f>
        <v>15571.448666666685</v>
      </c>
    </row>
    <row r="130" spans="1:5" x14ac:dyDescent="0.25">
      <c r="C130" s="205"/>
    </row>
    <row r="131" spans="1:5" x14ac:dyDescent="0.25">
      <c r="A131" s="585" t="s">
        <v>255</v>
      </c>
      <c r="B131" s="585"/>
      <c r="C131" s="585"/>
      <c r="D131" s="585"/>
      <c r="E131" s="585"/>
    </row>
    <row r="132" spans="1:5" ht="75" x14ac:dyDescent="0.25">
      <c r="A132" s="207" t="s">
        <v>209</v>
      </c>
      <c r="B132" s="208" t="s">
        <v>190</v>
      </c>
      <c r="C132" s="208" t="s">
        <v>75</v>
      </c>
      <c r="D132" s="208" t="s">
        <v>140</v>
      </c>
      <c r="E132" s="208" t="s">
        <v>75</v>
      </c>
    </row>
    <row r="133" spans="1:5" x14ac:dyDescent="0.25">
      <c r="A133" s="122" t="s">
        <v>256</v>
      </c>
      <c r="B133" s="122" t="s">
        <v>211</v>
      </c>
      <c r="C133" s="206">
        <v>6.09</v>
      </c>
      <c r="D133" s="196">
        <f>1000/12</f>
        <v>83.333333333333329</v>
      </c>
      <c r="E133" s="197">
        <f t="shared" ref="E133:E136" si="10">C133*D133</f>
        <v>507.49999999999994</v>
      </c>
    </row>
    <row r="134" spans="1:5" x14ac:dyDescent="0.25">
      <c r="A134" s="122" t="s">
        <v>257</v>
      </c>
      <c r="B134" s="122" t="s">
        <v>211</v>
      </c>
      <c r="C134" s="206">
        <v>6.09</v>
      </c>
      <c r="D134" s="196">
        <f t="shared" ref="D134:D135" si="11">1000/12</f>
        <v>83.333333333333329</v>
      </c>
      <c r="E134" s="197">
        <f t="shared" si="10"/>
        <v>507.49999999999994</v>
      </c>
    </row>
    <row r="135" spans="1:5" x14ac:dyDescent="0.25">
      <c r="A135" s="122" t="s">
        <v>258</v>
      </c>
      <c r="B135" s="122" t="s">
        <v>192</v>
      </c>
      <c r="C135" s="206">
        <v>5.04</v>
      </c>
      <c r="D135" s="196">
        <f t="shared" si="11"/>
        <v>83.333333333333329</v>
      </c>
      <c r="E135" s="197">
        <f t="shared" si="10"/>
        <v>420</v>
      </c>
    </row>
    <row r="136" spans="1:5" x14ac:dyDescent="0.25">
      <c r="A136" s="122" t="s">
        <v>259</v>
      </c>
      <c r="B136" s="122" t="s">
        <v>220</v>
      </c>
      <c r="C136" s="206">
        <v>1.52</v>
      </c>
      <c r="D136" s="196">
        <f>1200/12</f>
        <v>100</v>
      </c>
      <c r="E136" s="197">
        <f t="shared" si="10"/>
        <v>152</v>
      </c>
    </row>
    <row r="137" spans="1:5" x14ac:dyDescent="0.25">
      <c r="A137" s="585" t="s">
        <v>120</v>
      </c>
      <c r="B137" s="585"/>
      <c r="C137" s="585"/>
      <c r="D137" s="203"/>
      <c r="E137" s="204">
        <f>SUM(E133:E136)</f>
        <v>1587</v>
      </c>
    </row>
  </sheetData>
  <mergeCells count="41">
    <mergeCell ref="A118:C118"/>
    <mergeCell ref="A120:E120"/>
    <mergeCell ref="A129:C129"/>
    <mergeCell ref="A131:E131"/>
    <mergeCell ref="A137:C137"/>
    <mergeCell ref="B85:K85"/>
    <mergeCell ref="A40:B40"/>
    <mergeCell ref="A41:B41"/>
    <mergeCell ref="A42:B42"/>
    <mergeCell ref="A43:B43"/>
    <mergeCell ref="A44:D44"/>
    <mergeCell ref="A46:D46"/>
    <mergeCell ref="A70:B70"/>
    <mergeCell ref="A72:K72"/>
    <mergeCell ref="A73:K73"/>
    <mergeCell ref="A74:E74"/>
    <mergeCell ref="F74:K74"/>
    <mergeCell ref="A39:B39"/>
    <mergeCell ref="A28:B28"/>
    <mergeCell ref="A29:B29"/>
    <mergeCell ref="A30:B30"/>
    <mergeCell ref="A31:B31"/>
    <mergeCell ref="A32:B32"/>
    <mergeCell ref="A33:B33"/>
    <mergeCell ref="A34:B34"/>
    <mergeCell ref="A35:B35"/>
    <mergeCell ref="A36:B36"/>
    <mergeCell ref="A37:B37"/>
    <mergeCell ref="A38:B38"/>
    <mergeCell ref="A27:B27"/>
    <mergeCell ref="A1:D1"/>
    <mergeCell ref="E1:I1"/>
    <mergeCell ref="A6:B6"/>
    <mergeCell ref="C6:E6"/>
    <mergeCell ref="A9:D9"/>
    <mergeCell ref="A23:F23"/>
    <mergeCell ref="A24:B25"/>
    <mergeCell ref="C24:C25"/>
    <mergeCell ref="E24:E25"/>
    <mergeCell ref="F24:F25"/>
    <mergeCell ref="A26:B26"/>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12</vt:i4>
      </vt:variant>
      <vt:variant>
        <vt:lpstr>Intervalos nomeados</vt:lpstr>
      </vt:variant>
      <vt:variant>
        <vt:i4>11</vt:i4>
      </vt:variant>
    </vt:vector>
  </HeadingPairs>
  <TitlesOfParts>
    <vt:vector size="23" baseType="lpstr">
      <vt:lpstr> Resumo M.O.</vt:lpstr>
      <vt:lpstr>Modulo 1</vt:lpstr>
      <vt:lpstr>Modulo 2.1</vt:lpstr>
      <vt:lpstr>Modulo 2.2</vt:lpstr>
      <vt:lpstr>Modulo 2.3</vt:lpstr>
      <vt:lpstr>Modulo 3</vt:lpstr>
      <vt:lpstr>Modulo 4</vt:lpstr>
      <vt:lpstr>Modulo 5</vt:lpstr>
      <vt:lpstr>Plan2</vt:lpstr>
      <vt:lpstr>Modulo 6</vt:lpstr>
      <vt:lpstr>Modulo 5.2 (Detalhado)</vt:lpstr>
      <vt:lpstr>EPI´s</vt:lpstr>
      <vt:lpstr>' Resumo M.O.'!Area_de_impressao</vt:lpstr>
      <vt:lpstr>EPI´s!Area_de_impressao</vt:lpstr>
      <vt:lpstr>'Modulo 1'!Area_de_impressao</vt:lpstr>
      <vt:lpstr>'Modulo 2.1'!Area_de_impressao</vt:lpstr>
      <vt:lpstr>'Modulo 2.2'!Area_de_impressao</vt:lpstr>
      <vt:lpstr>'Modulo 2.3'!Area_de_impressao</vt:lpstr>
      <vt:lpstr>'Modulo 3'!Area_de_impressao</vt:lpstr>
      <vt:lpstr>'Modulo 4'!Area_de_impressao</vt:lpstr>
      <vt:lpstr>'Modulo 5'!Area_de_impressao</vt:lpstr>
      <vt:lpstr>'Modulo 5.2 (Detalhado)'!Area_de_impressao</vt:lpstr>
      <vt:lpstr>'Modulo 6'!Area_de_impressao</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dc:creator>
  <cp:lastModifiedBy>sergio.neto</cp:lastModifiedBy>
  <cp:lastPrinted>2020-03-11T19:26:11Z</cp:lastPrinted>
  <dcterms:created xsi:type="dcterms:W3CDTF">2020-02-04T22:41:48Z</dcterms:created>
  <dcterms:modified xsi:type="dcterms:W3CDTF">2020-03-11T20:16:28Z</dcterms:modified>
</cp:coreProperties>
</file>