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EstaPasta_de_trabalho"/>
  <mc:AlternateContent xmlns:mc="http://schemas.openxmlformats.org/markup-compatibility/2006">
    <mc:Choice Requires="x15">
      <x15ac:absPath xmlns:x15ac="http://schemas.microsoft.com/office/spreadsheetml/2010/11/ac" url="\\lua\SMVO_LICITACAO\LICITAÇÃO\LICITAÇÃO - 2022\EDITAIS\PREGÃO ELETRÔNICO\PE xx-2022 - TRABALHO SOCIAL\MIDIA DIGITAL\"/>
    </mc:Choice>
  </mc:AlternateContent>
  <xr:revisionPtr revIDLastSave="0" documentId="13_ncr:1_{8478CE73-82A8-4216-9F6C-2326CC3DD3F9}" xr6:coauthVersionLast="47" xr6:coauthVersionMax="47" xr10:uidLastSave="{00000000-0000-0000-0000-000000000000}"/>
  <bookViews>
    <workbookView xWindow="-120" yWindow="-120" windowWidth="29040" windowHeight="15840" activeTab="3" xr2:uid="{00000000-000D-0000-FFFF-FFFF00000000}"/>
  </bookViews>
  <sheets>
    <sheet name="DADOS" sheetId="16" r:id="rId1"/>
    <sheet name="INSUMOS" sheetId="25" r:id="rId2"/>
    <sheet name="PO" sheetId="12" r:id="rId3"/>
    <sheet name="CFF" sheetId="11" r:id="rId4"/>
    <sheet name="ABC" sheetId="26" state="veryHidden" r:id="rId5"/>
  </sheets>
  <definedNames>
    <definedName name="_xlnm._FilterDatabase" localSheetId="4" hidden="1">ABC!$A$10:$U$11</definedName>
    <definedName name="_xlnm._FilterDatabase" localSheetId="3" hidden="1">CFF!#REF!</definedName>
    <definedName name="_xlnm._FilterDatabase" localSheetId="0" hidden="1">DADOS!#REF!</definedName>
    <definedName name="_xlnm._FilterDatabase" localSheetId="1" hidden="1">INSUMOS!$A$4:$G$5</definedName>
    <definedName name="_xlnm._FilterDatabase" localSheetId="2" hidden="1">PO!$C$9:$U$12</definedName>
    <definedName name="ABC.ABC">OFFSET(ABC!$A$10:$U$10,1,0,ABC!$A$7)</definedName>
    <definedName name="ABC.Filtro">OFFSET(ABC!$A$10:$U$10,0,0,ABC!$A$7+1)</definedName>
    <definedName name="ABC.LinhaPadrão">ABC!$A$9:$U$9</definedName>
    <definedName name="ABC.LinhasExistentes">ABC!$A$7</definedName>
    <definedName name="ABC.LinhasNecessárias">ABC!$A$8</definedName>
    <definedName name="ABC.Ordem">ABC!$A$3</definedName>
    <definedName name="ABC.Serviços">ABC!$A$6</definedName>
    <definedName name="_xlnm.Print_Area" localSheetId="4">ABC!$B$1:$U$21</definedName>
    <definedName name="_xlnm.Print_Area" localSheetId="3">CFF!$L$1:$AN$120</definedName>
    <definedName name="_xlnm.Print_Area" localSheetId="0">DADOS!$A$1:$X$64</definedName>
    <definedName name="_xlnm.Print_Area" localSheetId="2">PO!$K$1:$U$378</definedName>
    <definedName name="Banco">INSUMOS!$A$4:OFFSET(INSUMOS!$G$83,-1,0)</definedName>
    <definedName name="Banco.LP">INSUMOS!$A$5:$G$5</definedName>
    <definedName name="Banco.Opção">INSUMOS!$A$2</definedName>
    <definedName name="Banco.RH">OFFSET(Banco,MATCH("Rec. Humanos",OFFSET(Banco,1,1,,1),0),1,MATCH("Rec. Materiais",OFFSET(Banco,1,1,,1),0)-MATCH("Rec. Humanos",OFFSET(Banco,1,1,,1),0),1)</definedName>
    <definedName name="Banco.RM">OFFSET(Banco,MATCH("Rec. Materiais",OFFSET(Banco,1,1,,1),0),1,MATCH("Serv. Terc.",OFFSET(Banco,1,1,,1),0)-MATCH("Rec. Materiais",OFFSET(Banco,1,1,,1),0),1)</definedName>
    <definedName name="Banco.ST">OFFSET(Banco,MATCH("Serv. Terc.",OFFSET(Banco,1,1,,1),0),1,1+MATCH("zzzzzzzz",OFFSET(Banco,1,1,,1),1)-MATCH("Serv. Terc.",OFFSET(Banco,1,1,,1),0),1)</definedName>
    <definedName name="Banco.UL">INSUMOS!$A$3</definedName>
    <definedName name="CFF.Colunas">CFF!$P$10:$AN$10</definedName>
    <definedName name="CFF.Dados">OFFSET(CFF!$L$17,1,0):OFFSET(CFF!$AN$114,-1,-1)</definedName>
    <definedName name="CFF.IncluirLinha">MAX(PO!$W$11:$W$367)*CFF.NumLinha-ROW(CFF!$F$114)+ROW(CFF!$F$17)+1</definedName>
    <definedName name="CFF.Item">OFFSET(CFF!$L$17,1,0):OFFSET(CFF!$AN$114,-1,-1)</definedName>
    <definedName name="CFF.LinhaPadrão">CFF!$A$11:$W$11</definedName>
    <definedName name="CFF.NumLinha">ROW(CFF!$D$14)-ROW(CFF!$D$10)-1</definedName>
    <definedName name="Dados.Assinatura1">DADOS!$B$33:$E$35</definedName>
    <definedName name="Dados.Assinatura2">DADOS!$H$33:$K$35</definedName>
    <definedName name="Dados.Lista.BDI">DADOS!$T$29:$X$29</definedName>
    <definedName name="Import.Ação">DADOS!$C$24</definedName>
    <definedName name="Import.Código">OFFSET(PO!$N$11,1,0):OFFSET(PO!$N$367,-1,0)</definedName>
    <definedName name="Import.CR">DADOS!$A$24</definedName>
    <definedName name="Import.CustoUnitário">OFFSET(PO!$R$11,1,0):OFFSET(PO!$R$367,-1,0)</definedName>
    <definedName name="Import.DataBase">DADOS!$A$30</definedName>
    <definedName name="Import.DataBaseLicit">DADOS!$A$30</definedName>
    <definedName name="Import.DataInícioObra">DADOS!$C$30</definedName>
    <definedName name="Import.Descrição">OFFSET(PO!$O$11,1,0):OFFSET(PO!$O$367,-1,0)</definedName>
    <definedName name="Import.Empresa">DADOS!$E$30</definedName>
    <definedName name="Import.Fonte">OFFSET(PO!$L$11,1,0):OFFSET(PO!$L$367,-1,0)</definedName>
    <definedName name="Import.Item">OFFSET(PO!$K$11,1,0):OFFSET(PO!$K$367,-1,0)</definedName>
    <definedName name="Import.Município">DADOS!$U$24</definedName>
    <definedName name="Import.Nível">OFFSET(PO!$J$11,1,0):OFFSET(PO!$J$367,-1,0)</definedName>
    <definedName name="Import.ObjetoCR">DADOS!$A$27</definedName>
    <definedName name="Import.ObjetoCTEF">DADOS!$J$27</definedName>
    <definedName name="Import.PO">OFFSET(PO!$K$11,1,0):OFFSET(PO!$AA$367,-1,0)</definedName>
    <definedName name="Import.PreçoTotal">OFFSET(PO!$U$11,1,0):OFFSET(PO!$U$367,-1,0)</definedName>
    <definedName name="Import.PreçoUnitário">OFFSET(PO!$T$11,1,0):OFFSET(PO!$T$367,-1,0)</definedName>
    <definedName name="Import.Programa">DADOS!$C$24</definedName>
    <definedName name="Import.Proponente">DADOS!$J$24</definedName>
    <definedName name="Import.Quantidade">OFFSET(PO!$Q$11,1,0):OFFSET(PO!$Q$367,-1,0)</definedName>
    <definedName name="Import.Tipo">OFFSET(PO!$M$11,1,0):OFFSET(PO!$M$367,-1,0)</definedName>
    <definedName name="Import.Unidade">OFFSET(PO!$P$11,1,0):OFFSET(PO!$P$367,-1,0)</definedName>
    <definedName name="Import.ValorBDI">OFFSET(PO!$AA$11,1,0):OFFSET(PO!$AA$367,-1,0)</definedName>
    <definedName name="NMaxCrono">CFF!$A$9</definedName>
    <definedName name="PARETO">ABC!$R$7</definedName>
    <definedName name="PO.BDI">OFFSET(PO!$S$11,1,0):OFFSET(PO!$S$367,-1,0)</definedName>
    <definedName name="PO.CustoRef">OFFSET(PO!$Z$11,1,0):OFFSET(PO!$Z$367,-1,0)</definedName>
    <definedName name="PO.Dados">PO!$C$11:OFFSET(PO!$AA$367,-1,0)</definedName>
    <definedName name="PO.LinhaPadrão">PO!$C$10:$AA$10</definedName>
    <definedName name="SaldoPerc">1-IF(ISNUMBER(CFF!XFD2),CFF!XFD2,0)</definedName>
    <definedName name="SENHAGT" hidden="1">"5381GEPAD10"</definedName>
    <definedName name="SomaAgrup">SUMIF(OFFSET(PO!$A1,1,0,PO!$B1),"S",OFFSET(PO!A1,1,0,PO!$B1))</definedName>
    <definedName name="TipoOrçamento">"BASE"</definedName>
    <definedName name="_xlnm.Print_Titles" localSheetId="3">CFF!$L:$O,CFF!$10:$10</definedName>
    <definedName name="_xlnm.Print_Titles" localSheetId="2">PO!$9:$9</definedName>
    <definedName name="VTOTAL1">ROUND(ROUND(PO!$Q1,2)*ROUND(PO!$T1,2),2)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99" i="12" l="1"/>
  <c r="X199" i="12"/>
  <c r="A199" i="12"/>
  <c r="W199" i="12" s="1"/>
  <c r="AA108" i="12"/>
  <c r="X108" i="12"/>
  <c r="A108" i="12"/>
  <c r="AA319" i="12"/>
  <c r="X319" i="12"/>
  <c r="A319" i="12"/>
  <c r="H319" i="12" s="1"/>
  <c r="AA357" i="12"/>
  <c r="X357" i="12"/>
  <c r="Y357" i="12"/>
  <c r="T357" i="12"/>
  <c r="A357" i="12"/>
  <c r="F357" i="12" s="1"/>
  <c r="AA343" i="12"/>
  <c r="X343" i="12"/>
  <c r="Y343" i="12" s="1"/>
  <c r="P343" i="12" s="1"/>
  <c r="T343" i="12"/>
  <c r="A343" i="12"/>
  <c r="AA336" i="12"/>
  <c r="X336" i="12"/>
  <c r="Y336" i="12" s="1"/>
  <c r="T336" i="12"/>
  <c r="A336" i="12"/>
  <c r="F336" i="12" s="1"/>
  <c r="AA309" i="12"/>
  <c r="X309" i="12"/>
  <c r="Y309" i="12" s="1"/>
  <c r="L309" i="12" s="1"/>
  <c r="T309" i="12"/>
  <c r="A309" i="12"/>
  <c r="F309" i="12" s="1"/>
  <c r="AA297" i="12"/>
  <c r="X297" i="12"/>
  <c r="Y297" i="12" s="1"/>
  <c r="T297" i="12"/>
  <c r="A297" i="12"/>
  <c r="AA285" i="12"/>
  <c r="X285" i="12"/>
  <c r="Y285" i="12"/>
  <c r="R285" i="12" s="1"/>
  <c r="T285" i="12"/>
  <c r="A285" i="12"/>
  <c r="G285" i="12" s="1"/>
  <c r="AA272" i="12"/>
  <c r="X272" i="12"/>
  <c r="Y272" i="12" s="1"/>
  <c r="P272" i="12" s="1"/>
  <c r="T272" i="12"/>
  <c r="A272" i="12"/>
  <c r="E272" i="12" s="1"/>
  <c r="AA237" i="12"/>
  <c r="X237" i="12"/>
  <c r="Y237" i="12" s="1"/>
  <c r="T237" i="12"/>
  <c r="A237" i="12"/>
  <c r="E237" i="12" s="1"/>
  <c r="AA273" i="12"/>
  <c r="X273" i="12"/>
  <c r="Y273" i="12" s="1"/>
  <c r="T273" i="12"/>
  <c r="A273" i="12"/>
  <c r="F273" i="12" s="1"/>
  <c r="F274" i="12" s="1"/>
  <c r="F275" i="12" s="1"/>
  <c r="F276" i="12" s="1"/>
  <c r="F277" i="12" s="1"/>
  <c r="F278" i="12" s="1"/>
  <c r="F279" i="12" s="1"/>
  <c r="F280" i="12" s="1"/>
  <c r="F281" i="12" s="1"/>
  <c r="F282" i="12" s="1"/>
  <c r="F283" i="12" s="1"/>
  <c r="AA244" i="12"/>
  <c r="X244" i="12"/>
  <c r="Y244" i="12" s="1"/>
  <c r="R244" i="12" s="1"/>
  <c r="T244" i="12"/>
  <c r="A244" i="12"/>
  <c r="E244" i="12" s="1"/>
  <c r="AA238" i="12"/>
  <c r="X238" i="12"/>
  <c r="Y238" i="12" s="1"/>
  <c r="T238" i="12"/>
  <c r="A238" i="12"/>
  <c r="AA226" i="12"/>
  <c r="X226" i="12"/>
  <c r="Y226" i="12" s="1"/>
  <c r="R226" i="12" s="1"/>
  <c r="T226" i="12"/>
  <c r="A226" i="12"/>
  <c r="G226" i="12" s="1"/>
  <c r="AA189" i="12"/>
  <c r="X189" i="12"/>
  <c r="Y189" i="12" s="1"/>
  <c r="T189" i="12"/>
  <c r="A189" i="12"/>
  <c r="AA177" i="12"/>
  <c r="X177" i="12"/>
  <c r="Y177" i="12" s="1"/>
  <c r="T177" i="12"/>
  <c r="A177" i="12"/>
  <c r="F177" i="12" s="1"/>
  <c r="AA165" i="12"/>
  <c r="X165" i="12"/>
  <c r="Y165" i="12" s="1"/>
  <c r="T165" i="12"/>
  <c r="A165" i="12"/>
  <c r="F165" i="12" s="1"/>
  <c r="AA138" i="12"/>
  <c r="X138" i="12"/>
  <c r="Y138" i="12" s="1"/>
  <c r="T138" i="12"/>
  <c r="A138" i="12"/>
  <c r="AA126" i="12"/>
  <c r="X126" i="12"/>
  <c r="Y126" i="12" s="1"/>
  <c r="P126" i="12" s="1"/>
  <c r="T126" i="12"/>
  <c r="A126" i="12"/>
  <c r="F126" i="12" s="1"/>
  <c r="AA90" i="12"/>
  <c r="X90" i="12"/>
  <c r="Y90" i="12" s="1"/>
  <c r="T90" i="12"/>
  <c r="A90" i="12"/>
  <c r="AA89" i="12"/>
  <c r="X89" i="12"/>
  <c r="Y89" i="12" s="1"/>
  <c r="L89" i="12" s="1"/>
  <c r="T89" i="12"/>
  <c r="A89" i="12"/>
  <c r="AA241" i="12"/>
  <c r="X241" i="12"/>
  <c r="A241" i="12"/>
  <c r="I241" i="12"/>
  <c r="AA93" i="12"/>
  <c r="X93" i="12"/>
  <c r="A93" i="12"/>
  <c r="E343" i="12"/>
  <c r="F343" i="12"/>
  <c r="G343" i="12"/>
  <c r="G309" i="12"/>
  <c r="F297" i="12"/>
  <c r="E285" i="12"/>
  <c r="F285" i="12"/>
  <c r="E238" i="12"/>
  <c r="F238" i="12"/>
  <c r="G238" i="12"/>
  <c r="E226" i="12"/>
  <c r="E189" i="12"/>
  <c r="E177" i="12"/>
  <c r="G177" i="12"/>
  <c r="G90" i="12"/>
  <c r="H241" i="12"/>
  <c r="D89" i="12"/>
  <c r="D90" i="12" s="1"/>
  <c r="D91" i="12" s="1"/>
  <c r="D92" i="12" s="1"/>
  <c r="AA135" i="12"/>
  <c r="X135" i="12"/>
  <c r="A135" i="12"/>
  <c r="H135" i="12" s="1"/>
  <c r="AA341" i="12"/>
  <c r="X341" i="12"/>
  <c r="A341" i="12"/>
  <c r="I341" i="12" s="1"/>
  <c r="W341" i="12"/>
  <c r="I135" i="12"/>
  <c r="W135" i="12"/>
  <c r="AA99" i="12"/>
  <c r="X99" i="12"/>
  <c r="A99" i="12"/>
  <c r="AA16" i="12"/>
  <c r="X16" i="12"/>
  <c r="A16" i="12"/>
  <c r="B16" i="12" s="1"/>
  <c r="AA366" i="12"/>
  <c r="X366" i="12"/>
  <c r="A366" i="12"/>
  <c r="AA365" i="12"/>
  <c r="X365" i="12"/>
  <c r="A365" i="12"/>
  <c r="I365" i="12" s="1"/>
  <c r="AA364" i="12"/>
  <c r="X364" i="12"/>
  <c r="A364" i="12"/>
  <c r="B364" i="12" s="1"/>
  <c r="AA363" i="12"/>
  <c r="X363" i="12"/>
  <c r="A363" i="12"/>
  <c r="W363" i="12"/>
  <c r="AA361" i="12"/>
  <c r="X361" i="12"/>
  <c r="A361" i="12"/>
  <c r="B361" i="12" s="1"/>
  <c r="H366" i="12"/>
  <c r="I366" i="12"/>
  <c r="W366" i="12"/>
  <c r="B366" i="12"/>
  <c r="W361" i="12"/>
  <c r="AA353" i="12"/>
  <c r="X353" i="12"/>
  <c r="A353" i="12"/>
  <c r="AA313" i="12"/>
  <c r="X313" i="12"/>
  <c r="A313" i="12"/>
  <c r="W313" i="12" s="1"/>
  <c r="AA225" i="12"/>
  <c r="X225" i="12"/>
  <c r="A225" i="12"/>
  <c r="AA202" i="12"/>
  <c r="X202" i="12"/>
  <c r="A202" i="12"/>
  <c r="I202" i="12" s="1"/>
  <c r="AA204" i="12"/>
  <c r="X204" i="12"/>
  <c r="A204" i="12"/>
  <c r="I204" i="12" s="1"/>
  <c r="AA215" i="12"/>
  <c r="X215" i="12"/>
  <c r="A215" i="12"/>
  <c r="AA213" i="12"/>
  <c r="X213" i="12"/>
  <c r="A213" i="12"/>
  <c r="AA212" i="12"/>
  <c r="X212" i="12"/>
  <c r="A212" i="12"/>
  <c r="AA206" i="12"/>
  <c r="X206" i="12"/>
  <c r="A206" i="12"/>
  <c r="I206" i="12" s="1"/>
  <c r="AA203" i="12"/>
  <c r="X203" i="12"/>
  <c r="A203" i="12"/>
  <c r="AA122" i="12"/>
  <c r="X122" i="12"/>
  <c r="A122" i="12"/>
  <c r="B122" i="12" s="1"/>
  <c r="AA118" i="12"/>
  <c r="X118" i="12"/>
  <c r="A118" i="12"/>
  <c r="AA103" i="12"/>
  <c r="X103" i="12"/>
  <c r="A103" i="12"/>
  <c r="I103" i="12" s="1"/>
  <c r="AA112" i="12"/>
  <c r="X112" i="12"/>
  <c r="A112" i="12"/>
  <c r="AA101" i="12"/>
  <c r="X101" i="12"/>
  <c r="A101" i="12"/>
  <c r="W101" i="12"/>
  <c r="AA100" i="12"/>
  <c r="X100" i="12"/>
  <c r="A100" i="12"/>
  <c r="W100" i="12" s="1"/>
  <c r="AA117" i="12"/>
  <c r="X117" i="12"/>
  <c r="A117" i="12"/>
  <c r="B313" i="12"/>
  <c r="B202" i="12"/>
  <c r="I213" i="12"/>
  <c r="W213" i="12"/>
  <c r="B206" i="12"/>
  <c r="W122" i="12"/>
  <c r="I101" i="12"/>
  <c r="AA201" i="12"/>
  <c r="X201" i="12"/>
  <c r="A201" i="12"/>
  <c r="AA175" i="12"/>
  <c r="X175" i="12"/>
  <c r="A175" i="12"/>
  <c r="W175" i="12" s="1"/>
  <c r="AA75" i="12"/>
  <c r="X75" i="12"/>
  <c r="A75" i="12"/>
  <c r="H75" i="12" s="1"/>
  <c r="AA32" i="12"/>
  <c r="X32" i="12"/>
  <c r="A32" i="12"/>
  <c r="AA362" i="12"/>
  <c r="X362" i="12"/>
  <c r="A362" i="12"/>
  <c r="AA360" i="12"/>
  <c r="X360" i="12"/>
  <c r="A360" i="12"/>
  <c r="AA359" i="12"/>
  <c r="X359" i="12"/>
  <c r="A359" i="12"/>
  <c r="H359" i="12"/>
  <c r="AA358" i="12"/>
  <c r="X358" i="12"/>
  <c r="A358" i="12"/>
  <c r="B358" i="12" s="1"/>
  <c r="AA356" i="12"/>
  <c r="X356" i="12"/>
  <c r="Y356" i="12" s="1"/>
  <c r="T356" i="12"/>
  <c r="A356" i="12"/>
  <c r="AA355" i="12"/>
  <c r="X355" i="12"/>
  <c r="A355" i="12"/>
  <c r="H355" i="12" s="1"/>
  <c r="W355" i="12"/>
  <c r="AA354" i="12"/>
  <c r="X354" i="12"/>
  <c r="A354" i="12"/>
  <c r="AA352" i="12"/>
  <c r="X352" i="12"/>
  <c r="A352" i="12"/>
  <c r="H352" i="12" s="1"/>
  <c r="AA351" i="12"/>
  <c r="X351" i="12"/>
  <c r="A351" i="12"/>
  <c r="AA350" i="12"/>
  <c r="X350" i="12"/>
  <c r="A350" i="12"/>
  <c r="AA349" i="12"/>
  <c r="X349" i="12"/>
  <c r="A349" i="12"/>
  <c r="W349" i="12" s="1"/>
  <c r="AA348" i="12"/>
  <c r="X348" i="12"/>
  <c r="A348" i="12"/>
  <c r="AA347" i="12"/>
  <c r="X347" i="12"/>
  <c r="A347" i="12"/>
  <c r="AA346" i="12"/>
  <c r="X346" i="12"/>
  <c r="A346" i="12"/>
  <c r="B346" i="12" s="1"/>
  <c r="AA345" i="12"/>
  <c r="X345" i="12"/>
  <c r="A345" i="12"/>
  <c r="H345" i="12"/>
  <c r="AA344" i="12"/>
  <c r="X344" i="12"/>
  <c r="A344" i="12"/>
  <c r="AA342" i="12"/>
  <c r="X342" i="12"/>
  <c r="Y342" i="12" s="1"/>
  <c r="R342" i="12" s="1"/>
  <c r="T342" i="12"/>
  <c r="A342" i="12"/>
  <c r="G342" i="12" s="1"/>
  <c r="AA340" i="12"/>
  <c r="X340" i="12"/>
  <c r="A340" i="12"/>
  <c r="H340" i="12" s="1"/>
  <c r="AA339" i="12"/>
  <c r="X339" i="12"/>
  <c r="A339" i="12"/>
  <c r="H339" i="12" s="1"/>
  <c r="AA338" i="12"/>
  <c r="X338" i="12"/>
  <c r="A338" i="12"/>
  <c r="AA337" i="12"/>
  <c r="X337" i="12"/>
  <c r="A337" i="12"/>
  <c r="AA312" i="12"/>
  <c r="X312" i="12"/>
  <c r="A312" i="12"/>
  <c r="AA335" i="12"/>
  <c r="X335" i="12"/>
  <c r="A335" i="12"/>
  <c r="W335" i="12"/>
  <c r="AA334" i="12"/>
  <c r="X334" i="12"/>
  <c r="A334" i="12"/>
  <c r="AA333" i="12"/>
  <c r="X333" i="12"/>
  <c r="A333" i="12"/>
  <c r="W333" i="12"/>
  <c r="AA332" i="12"/>
  <c r="X332" i="12"/>
  <c r="A332" i="12"/>
  <c r="I332" i="12" s="1"/>
  <c r="AA331" i="12"/>
  <c r="X331" i="12"/>
  <c r="A331" i="12"/>
  <c r="W331" i="12"/>
  <c r="AA330" i="12"/>
  <c r="X330" i="12"/>
  <c r="A330" i="12"/>
  <c r="H330" i="12" s="1"/>
  <c r="AA329" i="12"/>
  <c r="X329" i="12"/>
  <c r="A329" i="12"/>
  <c r="W329" i="12" s="1"/>
  <c r="AA328" i="12"/>
  <c r="X328" i="12"/>
  <c r="A328" i="12"/>
  <c r="H328" i="12" s="1"/>
  <c r="AA327" i="12"/>
  <c r="X327" i="12"/>
  <c r="A327" i="12"/>
  <c r="W327" i="12" s="1"/>
  <c r="AA326" i="12"/>
  <c r="X326" i="12"/>
  <c r="A326" i="12"/>
  <c r="AA325" i="12"/>
  <c r="X325" i="12"/>
  <c r="A325" i="12"/>
  <c r="W325" i="12" s="1"/>
  <c r="AA324" i="12"/>
  <c r="X324" i="12"/>
  <c r="A324" i="12"/>
  <c r="AA323" i="12"/>
  <c r="X323" i="12"/>
  <c r="A323" i="12"/>
  <c r="H323" i="12" s="1"/>
  <c r="W323" i="12"/>
  <c r="AA322" i="12"/>
  <c r="X322" i="12"/>
  <c r="A322" i="12"/>
  <c r="AA321" i="12"/>
  <c r="X321" i="12"/>
  <c r="A321" i="12"/>
  <c r="H321" i="12" s="1"/>
  <c r="W321" i="12"/>
  <c r="AA320" i="12"/>
  <c r="X320" i="12"/>
  <c r="A320" i="12"/>
  <c r="AA318" i="12"/>
  <c r="X318" i="12"/>
  <c r="A318" i="12"/>
  <c r="H318" i="12" s="1"/>
  <c r="W318" i="12"/>
  <c r="AA317" i="12"/>
  <c r="X317" i="12"/>
  <c r="A317" i="12"/>
  <c r="AA316" i="12"/>
  <c r="X316" i="12"/>
  <c r="A316" i="12"/>
  <c r="W316" i="12"/>
  <c r="AA315" i="12"/>
  <c r="X315" i="12"/>
  <c r="A315" i="12"/>
  <c r="I315" i="12" s="1"/>
  <c r="AA314" i="12"/>
  <c r="X314" i="12"/>
  <c r="A314" i="12"/>
  <c r="W314" i="12"/>
  <c r="AA311" i="12"/>
  <c r="X311" i="12"/>
  <c r="A311" i="12"/>
  <c r="H311" i="12" s="1"/>
  <c r="AA310" i="12"/>
  <c r="X310" i="12"/>
  <c r="A310" i="12"/>
  <c r="F310" i="12" s="1"/>
  <c r="AA308" i="12"/>
  <c r="X308" i="12"/>
  <c r="Y308" i="12" s="1"/>
  <c r="T308" i="12"/>
  <c r="A308" i="12"/>
  <c r="AA307" i="12"/>
  <c r="X307" i="12"/>
  <c r="A307" i="12"/>
  <c r="AA306" i="12"/>
  <c r="X306" i="12"/>
  <c r="A306" i="12"/>
  <c r="B306" i="12" s="1"/>
  <c r="AA305" i="12"/>
  <c r="X305" i="12"/>
  <c r="A305" i="12"/>
  <c r="W305" i="12" s="1"/>
  <c r="AA304" i="12"/>
  <c r="X304" i="12"/>
  <c r="A304" i="12"/>
  <c r="W304" i="12" s="1"/>
  <c r="AA303" i="12"/>
  <c r="X303" i="12"/>
  <c r="A303" i="12"/>
  <c r="W303" i="12" s="1"/>
  <c r="AA302" i="12"/>
  <c r="X302" i="12"/>
  <c r="A302" i="12"/>
  <c r="AA301" i="12"/>
  <c r="X301" i="12"/>
  <c r="A301" i="12"/>
  <c r="H301" i="12" s="1"/>
  <c r="AA300" i="12"/>
  <c r="X300" i="12"/>
  <c r="A300" i="12"/>
  <c r="AA299" i="12"/>
  <c r="X299" i="12"/>
  <c r="A299" i="12"/>
  <c r="AA298" i="12"/>
  <c r="X298" i="12"/>
  <c r="A298" i="12"/>
  <c r="AA296" i="12"/>
  <c r="X296" i="12"/>
  <c r="A296" i="12"/>
  <c r="AA295" i="12"/>
  <c r="X295" i="12"/>
  <c r="A295" i="12"/>
  <c r="H295" i="12" s="1"/>
  <c r="AA294" i="12"/>
  <c r="X294" i="12"/>
  <c r="A294" i="12"/>
  <c r="I294" i="12" s="1"/>
  <c r="AA293" i="12"/>
  <c r="X293" i="12"/>
  <c r="A293" i="12"/>
  <c r="AA292" i="12"/>
  <c r="X292" i="12"/>
  <c r="A292" i="12"/>
  <c r="AA291" i="12"/>
  <c r="X291" i="12"/>
  <c r="A291" i="12"/>
  <c r="I291" i="12" s="1"/>
  <c r="AA290" i="12"/>
  <c r="X290" i="12"/>
  <c r="A290" i="12"/>
  <c r="W290" i="12"/>
  <c r="AA289" i="12"/>
  <c r="X289" i="12"/>
  <c r="A289" i="12"/>
  <c r="AA288" i="12"/>
  <c r="X288" i="12"/>
  <c r="A288" i="12"/>
  <c r="AA287" i="12"/>
  <c r="X287" i="12"/>
  <c r="A287" i="12"/>
  <c r="B287" i="12" s="1"/>
  <c r="AA286" i="12"/>
  <c r="X286" i="12"/>
  <c r="A286" i="12"/>
  <c r="AA284" i="12"/>
  <c r="X284" i="12"/>
  <c r="Y284" i="12" s="1"/>
  <c r="T284" i="12"/>
  <c r="A284" i="12"/>
  <c r="AA283" i="12"/>
  <c r="X283" i="12"/>
  <c r="A283" i="12"/>
  <c r="AA282" i="12"/>
  <c r="X282" i="12"/>
  <c r="A282" i="12"/>
  <c r="AA281" i="12"/>
  <c r="X281" i="12"/>
  <c r="A281" i="12"/>
  <c r="AA280" i="12"/>
  <c r="X280" i="12"/>
  <c r="A280" i="12"/>
  <c r="AA279" i="12"/>
  <c r="X279" i="12"/>
  <c r="A279" i="12"/>
  <c r="I279" i="12" s="1"/>
  <c r="B279" i="12"/>
  <c r="AA278" i="12"/>
  <c r="X278" i="12"/>
  <c r="A278" i="12"/>
  <c r="AA277" i="12"/>
  <c r="X277" i="12"/>
  <c r="A277" i="12"/>
  <c r="B277" i="12" s="1"/>
  <c r="AA276" i="12"/>
  <c r="X276" i="12"/>
  <c r="A276" i="12"/>
  <c r="AA275" i="12"/>
  <c r="X275" i="12"/>
  <c r="A275" i="12"/>
  <c r="AA274" i="12"/>
  <c r="X274" i="12"/>
  <c r="A274" i="12"/>
  <c r="W274" i="12" s="1"/>
  <c r="AA247" i="12"/>
  <c r="X247" i="12"/>
  <c r="A247" i="12"/>
  <c r="AA271" i="12"/>
  <c r="X271" i="12"/>
  <c r="A271" i="12"/>
  <c r="AA270" i="12"/>
  <c r="X270" i="12"/>
  <c r="A270" i="12"/>
  <c r="B270" i="12" s="1"/>
  <c r="AA269" i="12"/>
  <c r="X269" i="12"/>
  <c r="A269" i="12"/>
  <c r="AA268" i="12"/>
  <c r="X268" i="12"/>
  <c r="A268" i="12"/>
  <c r="I268" i="12" s="1"/>
  <c r="AA267" i="12"/>
  <c r="X267" i="12"/>
  <c r="A267" i="12"/>
  <c r="AA266" i="12"/>
  <c r="X266" i="12"/>
  <c r="A266" i="12"/>
  <c r="AA265" i="12"/>
  <c r="X265" i="12"/>
  <c r="A265" i="12"/>
  <c r="B265" i="12" s="1"/>
  <c r="H265" i="12"/>
  <c r="AA264" i="12"/>
  <c r="X264" i="12"/>
  <c r="A264" i="12"/>
  <c r="AA263" i="12"/>
  <c r="X263" i="12"/>
  <c r="A263" i="12"/>
  <c r="B263" i="12" s="1"/>
  <c r="AA262" i="12"/>
  <c r="X262" i="12"/>
  <c r="A262" i="12"/>
  <c r="AA261" i="12"/>
  <c r="X261" i="12"/>
  <c r="A261" i="12"/>
  <c r="H261" i="12" s="1"/>
  <c r="AA260" i="12"/>
  <c r="X260" i="12"/>
  <c r="A260" i="12"/>
  <c r="AA259" i="12"/>
  <c r="X259" i="12"/>
  <c r="A259" i="12"/>
  <c r="AA258" i="12"/>
  <c r="X258" i="12"/>
  <c r="A258" i="12"/>
  <c r="AA257" i="12"/>
  <c r="X257" i="12"/>
  <c r="A257" i="12"/>
  <c r="AA256" i="12"/>
  <c r="X256" i="12"/>
  <c r="A256" i="12"/>
  <c r="AA255" i="12"/>
  <c r="X255" i="12"/>
  <c r="A255" i="12"/>
  <c r="B255" i="12" s="1"/>
  <c r="W255" i="12"/>
  <c r="AA254" i="12"/>
  <c r="X254" i="12"/>
  <c r="A254" i="12"/>
  <c r="B254" i="12"/>
  <c r="AA253" i="12"/>
  <c r="X253" i="12"/>
  <c r="A253" i="12"/>
  <c r="I253" i="12" s="1"/>
  <c r="B253" i="12"/>
  <c r="AA252" i="12"/>
  <c r="X252" i="12"/>
  <c r="A252" i="12"/>
  <c r="AA251" i="12"/>
  <c r="X251" i="12"/>
  <c r="A251" i="12"/>
  <c r="I251" i="12" s="1"/>
  <c r="AA250" i="12"/>
  <c r="X250" i="12"/>
  <c r="A250" i="12"/>
  <c r="B250" i="12" s="1"/>
  <c r="AA249" i="12"/>
  <c r="X249" i="12"/>
  <c r="A249" i="12"/>
  <c r="W249" i="12" s="1"/>
  <c r="AA248" i="12"/>
  <c r="X248" i="12"/>
  <c r="A248" i="12"/>
  <c r="W248" i="12" s="1"/>
  <c r="AA246" i="12"/>
  <c r="X246" i="12"/>
  <c r="A246" i="12"/>
  <c r="AA245" i="12"/>
  <c r="X245" i="12"/>
  <c r="A245" i="12"/>
  <c r="B245" i="12" s="1"/>
  <c r="AA243" i="12"/>
  <c r="X243" i="12"/>
  <c r="A243" i="12"/>
  <c r="I243" i="12" s="1"/>
  <c r="AA242" i="12"/>
  <c r="X242" i="12"/>
  <c r="A242" i="12"/>
  <c r="AA240" i="12"/>
  <c r="X240" i="12"/>
  <c r="A240" i="12"/>
  <c r="B240" i="12" s="1"/>
  <c r="W240" i="12"/>
  <c r="AA239" i="12"/>
  <c r="X239" i="12"/>
  <c r="A239" i="12"/>
  <c r="E239" i="12" s="1"/>
  <c r="AA236" i="12"/>
  <c r="X236" i="12"/>
  <c r="A236" i="12"/>
  <c r="B236" i="12" s="1"/>
  <c r="AA235" i="12"/>
  <c r="X235" i="12"/>
  <c r="A235" i="12"/>
  <c r="I235" i="12" s="1"/>
  <c r="AA234" i="12"/>
  <c r="X234" i="12"/>
  <c r="A234" i="12"/>
  <c r="AA233" i="12"/>
  <c r="X233" i="12"/>
  <c r="A233" i="12"/>
  <c r="H233" i="12" s="1"/>
  <c r="AA232" i="12"/>
  <c r="X232" i="12"/>
  <c r="A232" i="12"/>
  <c r="AA231" i="12"/>
  <c r="X231" i="12"/>
  <c r="A231" i="12"/>
  <c r="AA230" i="12"/>
  <c r="X230" i="12"/>
  <c r="A230" i="12"/>
  <c r="H230" i="12" s="1"/>
  <c r="AA229" i="12"/>
  <c r="X229" i="12"/>
  <c r="A229" i="12"/>
  <c r="AA228" i="12"/>
  <c r="X228" i="12"/>
  <c r="A228" i="12"/>
  <c r="W228" i="12" s="1"/>
  <c r="AA227" i="12"/>
  <c r="X227" i="12"/>
  <c r="A227" i="12"/>
  <c r="I227" i="12" s="1"/>
  <c r="AA224" i="12"/>
  <c r="X224" i="12"/>
  <c r="A224" i="12"/>
  <c r="I224" i="12"/>
  <c r="AA223" i="12"/>
  <c r="X223" i="12"/>
  <c r="A223" i="12"/>
  <c r="B223" i="12" s="1"/>
  <c r="I223" i="12"/>
  <c r="AA222" i="12"/>
  <c r="X222" i="12"/>
  <c r="A222" i="12"/>
  <c r="H222" i="12"/>
  <c r="AA221" i="12"/>
  <c r="X221" i="12"/>
  <c r="A221" i="12"/>
  <c r="B221" i="12" s="1"/>
  <c r="H221" i="12"/>
  <c r="AA220" i="12"/>
  <c r="X220" i="12"/>
  <c r="A220" i="12"/>
  <c r="I220" i="12"/>
  <c r="AA219" i="12"/>
  <c r="X219" i="12"/>
  <c r="A219" i="12"/>
  <c r="W219" i="12" s="1"/>
  <c r="AA218" i="12"/>
  <c r="X218" i="12"/>
  <c r="A218" i="12"/>
  <c r="AA217" i="12"/>
  <c r="X217" i="12"/>
  <c r="A217" i="12"/>
  <c r="I217" i="12"/>
  <c r="AA216" i="12"/>
  <c r="X216" i="12"/>
  <c r="A216" i="12"/>
  <c r="B216" i="12" s="1"/>
  <c r="AA214" i="12"/>
  <c r="X214" i="12"/>
  <c r="A214" i="12"/>
  <c r="I214" i="12" s="1"/>
  <c r="AA211" i="12"/>
  <c r="X211" i="12"/>
  <c r="A211" i="12"/>
  <c r="I211" i="12" s="1"/>
  <c r="AA210" i="12"/>
  <c r="X210" i="12"/>
  <c r="A210" i="12"/>
  <c r="AA209" i="12"/>
  <c r="X209" i="12"/>
  <c r="A209" i="12"/>
  <c r="AA208" i="12"/>
  <c r="X208" i="12"/>
  <c r="A208" i="12"/>
  <c r="I208" i="12" s="1"/>
  <c r="AA207" i="12"/>
  <c r="X207" i="12"/>
  <c r="A207" i="12"/>
  <c r="H207" i="12" s="1"/>
  <c r="AA205" i="12"/>
  <c r="X205" i="12"/>
  <c r="A205" i="12"/>
  <c r="B205" i="12" s="1"/>
  <c r="AA200" i="12"/>
  <c r="X200" i="12"/>
  <c r="A200" i="12"/>
  <c r="W200" i="12" s="1"/>
  <c r="AA198" i="12"/>
  <c r="X198" i="12"/>
  <c r="A198" i="12"/>
  <c r="I198" i="12" s="1"/>
  <c r="AA197" i="12"/>
  <c r="X197" i="12"/>
  <c r="A197" i="12"/>
  <c r="B197" i="12" s="1"/>
  <c r="AA196" i="12"/>
  <c r="X196" i="12"/>
  <c r="A196" i="12"/>
  <c r="AA195" i="12"/>
  <c r="X195" i="12"/>
  <c r="A195" i="12"/>
  <c r="AA194" i="12"/>
  <c r="X194" i="12"/>
  <c r="A194" i="12"/>
  <c r="B194" i="12" s="1"/>
  <c r="AA193" i="12"/>
  <c r="X193" i="12"/>
  <c r="A193" i="12"/>
  <c r="AA192" i="12"/>
  <c r="X192" i="12"/>
  <c r="A192" i="12"/>
  <c r="W192" i="12" s="1"/>
  <c r="AA191" i="12"/>
  <c r="X191" i="12"/>
  <c r="A191" i="12"/>
  <c r="AA190" i="12"/>
  <c r="X190" i="12"/>
  <c r="A190" i="12"/>
  <c r="AA188" i="12"/>
  <c r="X188" i="12"/>
  <c r="Y188" i="12" s="1"/>
  <c r="T188" i="12"/>
  <c r="A188" i="12"/>
  <c r="AA187" i="12"/>
  <c r="X187" i="12"/>
  <c r="A187" i="12"/>
  <c r="AA186" i="12"/>
  <c r="X186" i="12"/>
  <c r="A186" i="12"/>
  <c r="B186" i="12" s="1"/>
  <c r="AA185" i="12"/>
  <c r="X185" i="12"/>
  <c r="A185" i="12"/>
  <c r="AA184" i="12"/>
  <c r="X184" i="12"/>
  <c r="A184" i="12"/>
  <c r="I184" i="12" s="1"/>
  <c r="H184" i="12"/>
  <c r="AA183" i="12"/>
  <c r="X183" i="12"/>
  <c r="A183" i="12"/>
  <c r="AA182" i="12"/>
  <c r="X182" i="12"/>
  <c r="A182" i="12"/>
  <c r="AA181" i="12"/>
  <c r="X181" i="12"/>
  <c r="A181" i="12"/>
  <c r="H181" i="12" s="1"/>
  <c r="AA180" i="12"/>
  <c r="X180" i="12"/>
  <c r="A180" i="12"/>
  <c r="W180" i="12"/>
  <c r="AA179" i="12"/>
  <c r="X179" i="12"/>
  <c r="A179" i="12"/>
  <c r="I179" i="12" s="1"/>
  <c r="AA178" i="12"/>
  <c r="X178" i="12"/>
  <c r="A178" i="12"/>
  <c r="AA176" i="12"/>
  <c r="X176" i="12"/>
  <c r="A176" i="12"/>
  <c r="AA174" i="12"/>
  <c r="X174" i="12"/>
  <c r="A174" i="12"/>
  <c r="H174" i="12" s="1"/>
  <c r="AA173" i="12"/>
  <c r="X173" i="12"/>
  <c r="A173" i="12"/>
  <c r="AA172" i="12"/>
  <c r="X172" i="12"/>
  <c r="A172" i="12"/>
  <c r="H172" i="12" s="1"/>
  <c r="AA171" i="12"/>
  <c r="X171" i="12"/>
  <c r="A171" i="12"/>
  <c r="H171" i="12" s="1"/>
  <c r="AA170" i="12"/>
  <c r="X170" i="12"/>
  <c r="A170" i="12"/>
  <c r="AA169" i="12"/>
  <c r="X169" i="12"/>
  <c r="A169" i="12"/>
  <c r="B169" i="12" s="1"/>
  <c r="AA168" i="12"/>
  <c r="X168" i="12"/>
  <c r="A168" i="12"/>
  <c r="AA167" i="12"/>
  <c r="X167" i="12"/>
  <c r="A167" i="12"/>
  <c r="W167" i="12" s="1"/>
  <c r="AA166" i="12"/>
  <c r="X166" i="12"/>
  <c r="A166" i="12"/>
  <c r="AA164" i="12"/>
  <c r="X164" i="12"/>
  <c r="Y164" i="12" s="1"/>
  <c r="T164" i="12"/>
  <c r="A164" i="12"/>
  <c r="AA145" i="12"/>
  <c r="X145" i="12"/>
  <c r="A145" i="12"/>
  <c r="I145" i="12" s="1"/>
  <c r="AA163" i="12"/>
  <c r="X163" i="12"/>
  <c r="A163" i="12"/>
  <c r="H163" i="12" s="1"/>
  <c r="AA162" i="12"/>
  <c r="X162" i="12"/>
  <c r="A162" i="12"/>
  <c r="H162" i="12" s="1"/>
  <c r="B162" i="12"/>
  <c r="AA161" i="12"/>
  <c r="X161" i="12"/>
  <c r="A161" i="12"/>
  <c r="H161" i="12" s="1"/>
  <c r="AA160" i="12"/>
  <c r="X160" i="12"/>
  <c r="A160" i="12"/>
  <c r="B160" i="12" s="1"/>
  <c r="H160" i="12"/>
  <c r="AA159" i="12"/>
  <c r="X159" i="12"/>
  <c r="A159" i="12"/>
  <c r="B159" i="12" s="1"/>
  <c r="AA158" i="12"/>
  <c r="X158" i="12"/>
  <c r="A158" i="12"/>
  <c r="H158" i="12" s="1"/>
  <c r="AA157" i="12"/>
  <c r="X157" i="12"/>
  <c r="A157" i="12"/>
  <c r="H157" i="12" s="1"/>
  <c r="AA156" i="12"/>
  <c r="X156" i="12"/>
  <c r="A156" i="12"/>
  <c r="W156" i="12"/>
  <c r="AA155" i="12"/>
  <c r="X155" i="12"/>
  <c r="A155" i="12"/>
  <c r="W155" i="12" s="1"/>
  <c r="AA154" i="12"/>
  <c r="X154" i="12"/>
  <c r="A154" i="12"/>
  <c r="AA153" i="12"/>
  <c r="X153" i="12"/>
  <c r="A153" i="12"/>
  <c r="I153" i="12" s="1"/>
  <c r="B153" i="12"/>
  <c r="AA152" i="12"/>
  <c r="X152" i="12"/>
  <c r="A152" i="12"/>
  <c r="H152" i="12" s="1"/>
  <c r="AA151" i="12"/>
  <c r="X151" i="12"/>
  <c r="A151" i="12"/>
  <c r="B151" i="12" s="1"/>
  <c r="AA150" i="12"/>
  <c r="X150" i="12"/>
  <c r="A150" i="12"/>
  <c r="B150" i="12" s="1"/>
  <c r="AA149" i="12"/>
  <c r="X149" i="12"/>
  <c r="A149" i="12"/>
  <c r="B149" i="12"/>
  <c r="AA148" i="12"/>
  <c r="X148" i="12"/>
  <c r="A148" i="12"/>
  <c r="I148" i="12" s="1"/>
  <c r="W148" i="12"/>
  <c r="AA147" i="12"/>
  <c r="X147" i="12"/>
  <c r="A147" i="12"/>
  <c r="H147" i="12"/>
  <c r="AA146" i="12"/>
  <c r="X146" i="12"/>
  <c r="A146" i="12"/>
  <c r="W146" i="12" s="1"/>
  <c r="H146" i="12"/>
  <c r="AA144" i="12"/>
  <c r="X144" i="12"/>
  <c r="A144" i="12"/>
  <c r="B144" i="12"/>
  <c r="AA143" i="12"/>
  <c r="X143" i="12"/>
  <c r="A143" i="12"/>
  <c r="H143" i="12" s="1"/>
  <c r="AA142" i="12"/>
  <c r="X142" i="12"/>
  <c r="A142" i="12"/>
  <c r="B320" i="12"/>
  <c r="I345" i="12"/>
  <c r="H320" i="12"/>
  <c r="B321" i="12"/>
  <c r="H348" i="12"/>
  <c r="B32" i="12"/>
  <c r="B324" i="12"/>
  <c r="B312" i="12"/>
  <c r="H240" i="12"/>
  <c r="H250" i="12"/>
  <c r="H305" i="12"/>
  <c r="B322" i="12"/>
  <c r="H324" i="12"/>
  <c r="B329" i="12"/>
  <c r="H332" i="12"/>
  <c r="H312" i="12"/>
  <c r="W291" i="12"/>
  <c r="B326" i="12"/>
  <c r="H329" i="12"/>
  <c r="B330" i="12"/>
  <c r="B333" i="12"/>
  <c r="B359" i="12"/>
  <c r="B175" i="12"/>
  <c r="B348" i="12"/>
  <c r="H351" i="12"/>
  <c r="H175" i="12"/>
  <c r="I175" i="12"/>
  <c r="I32" i="12"/>
  <c r="I360" i="12"/>
  <c r="B318" i="12"/>
  <c r="H322" i="12"/>
  <c r="B323" i="12"/>
  <c r="H326" i="12"/>
  <c r="B327" i="12"/>
  <c r="B331" i="12"/>
  <c r="H333" i="12"/>
  <c r="B334" i="12"/>
  <c r="F342" i="12"/>
  <c r="B349" i="12"/>
  <c r="B354" i="12"/>
  <c r="H327" i="12"/>
  <c r="B328" i="12"/>
  <c r="H331" i="12"/>
  <c r="B332" i="12"/>
  <c r="H334" i="12"/>
  <c r="B335" i="12"/>
  <c r="B345" i="12"/>
  <c r="B350" i="12"/>
  <c r="H354" i="12"/>
  <c r="B355" i="12"/>
  <c r="H156" i="12"/>
  <c r="H239" i="12"/>
  <c r="B305" i="12"/>
  <c r="B310" i="12"/>
  <c r="B311" i="12"/>
  <c r="B314" i="12"/>
  <c r="B315" i="12"/>
  <c r="B316" i="12"/>
  <c r="B317" i="12"/>
  <c r="H335" i="12"/>
  <c r="H350" i="12"/>
  <c r="H360" i="12"/>
  <c r="W346" i="12"/>
  <c r="H337" i="12"/>
  <c r="H338" i="12"/>
  <c r="W345" i="12"/>
  <c r="I338" i="12"/>
  <c r="W338" i="12"/>
  <c r="W339" i="12"/>
  <c r="I339" i="12"/>
  <c r="B338" i="12"/>
  <c r="B339" i="12"/>
  <c r="H344" i="12"/>
  <c r="I340" i="12"/>
  <c r="E342" i="12"/>
  <c r="I359" i="12"/>
  <c r="W359" i="12"/>
  <c r="I350" i="12"/>
  <c r="I354" i="12"/>
  <c r="I355" i="12"/>
  <c r="H182" i="12"/>
  <c r="B231" i="12"/>
  <c r="H242" i="12"/>
  <c r="W234" i="12"/>
  <c r="B234" i="12"/>
  <c r="B242" i="12"/>
  <c r="B229" i="12"/>
  <c r="B183" i="12"/>
  <c r="W187" i="12"/>
  <c r="B230" i="12"/>
  <c r="I249" i="12"/>
  <c r="H249" i="12"/>
  <c r="I254" i="12"/>
  <c r="H254" i="12"/>
  <c r="H151" i="12"/>
  <c r="W179" i="12"/>
  <c r="W232" i="12"/>
  <c r="B232" i="12"/>
  <c r="W236" i="12"/>
  <c r="W302" i="12"/>
  <c r="H303" i="12"/>
  <c r="B303" i="12"/>
  <c r="H307" i="12"/>
  <c r="B239" i="12"/>
  <c r="H245" i="12"/>
  <c r="B300" i="12"/>
  <c r="B304" i="12"/>
  <c r="H310" i="12"/>
  <c r="H314" i="12"/>
  <c r="H316" i="12"/>
  <c r="H317" i="12"/>
  <c r="I310" i="12"/>
  <c r="I311" i="12"/>
  <c r="I314" i="12"/>
  <c r="I316" i="12"/>
  <c r="I317" i="12"/>
  <c r="I318" i="12"/>
  <c r="I320" i="12"/>
  <c r="I321" i="12"/>
  <c r="I322" i="12"/>
  <c r="I323" i="12"/>
  <c r="I324" i="12"/>
  <c r="I326" i="12"/>
  <c r="I327" i="12"/>
  <c r="I329" i="12"/>
  <c r="I330" i="12"/>
  <c r="I331" i="12"/>
  <c r="I333" i="12"/>
  <c r="I334" i="12"/>
  <c r="I335" i="12"/>
  <c r="I312" i="12"/>
  <c r="H247" i="12"/>
  <c r="B247" i="12"/>
  <c r="W247" i="12"/>
  <c r="B276" i="12"/>
  <c r="B278" i="12"/>
  <c r="B280" i="12"/>
  <c r="B281" i="12"/>
  <c r="B282" i="12"/>
  <c r="F284" i="12"/>
  <c r="B291" i="12"/>
  <c r="H291" i="12"/>
  <c r="H293" i="12"/>
  <c r="I281" i="12"/>
  <c r="B286" i="12"/>
  <c r="H286" i="12"/>
  <c r="I286" i="12"/>
  <c r="W286" i="12"/>
  <c r="B288" i="12"/>
  <c r="H288" i="12"/>
  <c r="I288" i="12"/>
  <c r="W288" i="12"/>
  <c r="B289" i="12"/>
  <c r="H289" i="12"/>
  <c r="I289" i="12"/>
  <c r="W289" i="12"/>
  <c r="B290" i="12"/>
  <c r="H290" i="12"/>
  <c r="I290" i="12"/>
  <c r="H296" i="12"/>
  <c r="I300" i="12"/>
  <c r="I302" i="12"/>
  <c r="I303" i="12"/>
  <c r="I304" i="12"/>
  <c r="I305" i="12"/>
  <c r="W295" i="12"/>
  <c r="I296" i="12"/>
  <c r="W296" i="12"/>
  <c r="B295" i="12"/>
  <c r="B296" i="12"/>
  <c r="W252" i="12"/>
  <c r="B267" i="12"/>
  <c r="I245" i="12"/>
  <c r="W245" i="12"/>
  <c r="W251" i="12"/>
  <c r="B252" i="12"/>
  <c r="H252" i="12"/>
  <c r="H256" i="12"/>
  <c r="H267" i="12"/>
  <c r="B246" i="12"/>
  <c r="B251" i="12"/>
  <c r="H251" i="12"/>
  <c r="I252" i="12"/>
  <c r="W254" i="12"/>
  <c r="B256" i="12"/>
  <c r="I256" i="12"/>
  <c r="W256" i="12"/>
  <c r="H259" i="12"/>
  <c r="B259" i="12"/>
  <c r="B264" i="12"/>
  <c r="W264" i="12"/>
  <c r="I267" i="12"/>
  <c r="W246" i="12"/>
  <c r="I255" i="12"/>
  <c r="H255" i="12"/>
  <c r="I246" i="12"/>
  <c r="W263" i="12"/>
  <c r="B268" i="12"/>
  <c r="H268" i="12"/>
  <c r="I262" i="12"/>
  <c r="W262" i="12"/>
  <c r="W266" i="12"/>
  <c r="W270" i="12"/>
  <c r="B258" i="12"/>
  <c r="B261" i="12"/>
  <c r="I261" i="12"/>
  <c r="W261" i="12"/>
  <c r="B269" i="12"/>
  <c r="I269" i="12"/>
  <c r="I239" i="12"/>
  <c r="I240" i="12"/>
  <c r="I242" i="12"/>
  <c r="H227" i="12"/>
  <c r="H228" i="12"/>
  <c r="H229" i="12"/>
  <c r="H232" i="12"/>
  <c r="H234" i="12"/>
  <c r="H235" i="12"/>
  <c r="H236" i="12"/>
  <c r="I229" i="12"/>
  <c r="I231" i="12"/>
  <c r="I232" i="12"/>
  <c r="I233" i="12"/>
  <c r="I234" i="12"/>
  <c r="B219" i="12"/>
  <c r="W214" i="12"/>
  <c r="B214" i="12"/>
  <c r="H214" i="12"/>
  <c r="W218" i="12"/>
  <c r="I205" i="12"/>
  <c r="W205" i="12"/>
  <c r="I207" i="12"/>
  <c r="W207" i="12"/>
  <c r="I209" i="12"/>
  <c r="W209" i="12"/>
  <c r="W210" i="12"/>
  <c r="B218" i="12"/>
  <c r="H218" i="12"/>
  <c r="B207" i="12"/>
  <c r="B208" i="12"/>
  <c r="B209" i="12"/>
  <c r="B210" i="12"/>
  <c r="H210" i="12"/>
  <c r="W216" i="12"/>
  <c r="B217" i="12"/>
  <c r="H217" i="12"/>
  <c r="I218" i="12"/>
  <c r="W220" i="12"/>
  <c r="B222" i="12"/>
  <c r="I222" i="12"/>
  <c r="W222" i="12"/>
  <c r="H224" i="12"/>
  <c r="B224" i="12"/>
  <c r="W224" i="12"/>
  <c r="B220" i="12"/>
  <c r="H220" i="12"/>
  <c r="H223" i="12"/>
  <c r="I200" i="12"/>
  <c r="I195" i="12"/>
  <c r="W195" i="12"/>
  <c r="I196" i="12"/>
  <c r="W196" i="12"/>
  <c r="B195" i="12"/>
  <c r="B196" i="12"/>
  <c r="H194" i="12"/>
  <c r="H195" i="12"/>
  <c r="H196" i="12"/>
  <c r="B193" i="12"/>
  <c r="I193" i="12"/>
  <c r="W193" i="12"/>
  <c r="H193" i="12"/>
  <c r="I191" i="12"/>
  <c r="W191" i="12"/>
  <c r="I192" i="12"/>
  <c r="B191" i="12"/>
  <c r="H191" i="12"/>
  <c r="I190" i="12"/>
  <c r="W190" i="12"/>
  <c r="B190" i="12"/>
  <c r="H190" i="12"/>
  <c r="B163" i="12"/>
  <c r="B184" i="12"/>
  <c r="F188" i="12"/>
  <c r="H144" i="12"/>
  <c r="B146" i="12"/>
  <c r="H159" i="12"/>
  <c r="H180" i="12"/>
  <c r="B185" i="12"/>
  <c r="G188" i="12"/>
  <c r="H149" i="12"/>
  <c r="B180" i="12"/>
  <c r="H155" i="12"/>
  <c r="B156" i="12"/>
  <c r="D188" i="12"/>
  <c r="D189" i="12" s="1"/>
  <c r="D190" i="12" s="1"/>
  <c r="D191" i="12" s="1"/>
  <c r="D192" i="12" s="1"/>
  <c r="D193" i="12" s="1"/>
  <c r="D194" i="12" s="1"/>
  <c r="D195" i="12" s="1"/>
  <c r="D196" i="12" s="1"/>
  <c r="D197" i="12" s="1"/>
  <c r="D198" i="12" s="1"/>
  <c r="D199" i="12" s="1"/>
  <c r="D200" i="12" s="1"/>
  <c r="D201" i="12" s="1"/>
  <c r="D202" i="12" s="1"/>
  <c r="D203" i="12" s="1"/>
  <c r="D204" i="12" s="1"/>
  <c r="D205" i="12" s="1"/>
  <c r="D206" i="12" s="1"/>
  <c r="D207" i="12" s="1"/>
  <c r="D208" i="12" s="1"/>
  <c r="D209" i="12" s="1"/>
  <c r="D210" i="12" s="1"/>
  <c r="D211" i="12" s="1"/>
  <c r="D212" i="12" s="1"/>
  <c r="D213" i="12" s="1"/>
  <c r="D214" i="12" s="1"/>
  <c r="D215" i="12" s="1"/>
  <c r="D216" i="12" s="1"/>
  <c r="D217" i="12" s="1"/>
  <c r="D218" i="12" s="1"/>
  <c r="D219" i="12" s="1"/>
  <c r="D220" i="12" s="1"/>
  <c r="D221" i="12" s="1"/>
  <c r="D222" i="12" s="1"/>
  <c r="D223" i="12" s="1"/>
  <c r="D224" i="12" s="1"/>
  <c r="D225" i="12" s="1"/>
  <c r="D226" i="12" s="1"/>
  <c r="D227" i="12" s="1"/>
  <c r="D228" i="12" s="1"/>
  <c r="D229" i="12" s="1"/>
  <c r="D230" i="12" s="1"/>
  <c r="D231" i="12" s="1"/>
  <c r="D232" i="12" s="1"/>
  <c r="D233" i="12" s="1"/>
  <c r="D234" i="12" s="1"/>
  <c r="D235" i="12" s="1"/>
  <c r="E188" i="12"/>
  <c r="I187" i="12"/>
  <c r="W154" i="12"/>
  <c r="H154" i="12"/>
  <c r="B154" i="12"/>
  <c r="B157" i="12"/>
  <c r="H153" i="12"/>
  <c r="H148" i="12"/>
  <c r="B147" i="12"/>
  <c r="B161" i="12"/>
  <c r="I178" i="12"/>
  <c r="W178" i="12"/>
  <c r="I180" i="12"/>
  <c r="I182" i="12"/>
  <c r="I183" i="12"/>
  <c r="W183" i="12"/>
  <c r="I185" i="12"/>
  <c r="W185" i="12"/>
  <c r="B155" i="12"/>
  <c r="B178" i="12"/>
  <c r="I167" i="12"/>
  <c r="W168" i="12"/>
  <c r="I172" i="12"/>
  <c r="W172" i="12"/>
  <c r="W176" i="12"/>
  <c r="B166" i="12"/>
  <c r="B167" i="12"/>
  <c r="B168" i="12"/>
  <c r="B170" i="12"/>
  <c r="B172" i="12"/>
  <c r="B173" i="12"/>
  <c r="B174" i="12"/>
  <c r="B176" i="12"/>
  <c r="I168" i="12"/>
  <c r="I170" i="12"/>
  <c r="W170" i="12"/>
  <c r="I173" i="12"/>
  <c r="W173" i="12"/>
  <c r="I176" i="12"/>
  <c r="H167" i="12"/>
  <c r="H168" i="12"/>
  <c r="H169" i="12"/>
  <c r="H170" i="12"/>
  <c r="H173" i="12"/>
  <c r="H176" i="12"/>
  <c r="D164" i="12"/>
  <c r="D165" i="12" s="1"/>
  <c r="E164" i="12"/>
  <c r="F164" i="12"/>
  <c r="G164" i="12"/>
  <c r="I163" i="12"/>
  <c r="W163" i="12"/>
  <c r="I161" i="12"/>
  <c r="W161" i="12"/>
  <c r="I160" i="12"/>
  <c r="I159" i="12"/>
  <c r="W159" i="12"/>
  <c r="I157" i="12"/>
  <c r="W157" i="12"/>
  <c r="I156" i="12"/>
  <c r="I154" i="12"/>
  <c r="I152" i="12"/>
  <c r="I151" i="12"/>
  <c r="W151" i="12"/>
  <c r="I150" i="12"/>
  <c r="W150" i="12"/>
  <c r="I149" i="12"/>
  <c r="W149" i="12"/>
  <c r="I147" i="12"/>
  <c r="W147" i="12"/>
  <c r="I146" i="12"/>
  <c r="I144" i="12"/>
  <c r="W144" i="12"/>
  <c r="B143" i="12"/>
  <c r="I142" i="12"/>
  <c r="W142" i="12"/>
  <c r="H142" i="12"/>
  <c r="B142" i="12"/>
  <c r="AA141" i="12"/>
  <c r="X141" i="12"/>
  <c r="A141" i="12"/>
  <c r="B141" i="12" s="1"/>
  <c r="AA140" i="12"/>
  <c r="X140" i="12"/>
  <c r="A140" i="12"/>
  <c r="AA139" i="12"/>
  <c r="X139" i="12"/>
  <c r="A139" i="12"/>
  <c r="AA137" i="12"/>
  <c r="X137" i="12"/>
  <c r="A137" i="12"/>
  <c r="H137" i="12" s="1"/>
  <c r="AA136" i="12"/>
  <c r="X136" i="12"/>
  <c r="A136" i="12"/>
  <c r="AA134" i="12"/>
  <c r="X134" i="12"/>
  <c r="A134" i="12"/>
  <c r="B134" i="12"/>
  <c r="AA133" i="12"/>
  <c r="X133" i="12"/>
  <c r="A133" i="12"/>
  <c r="W133" i="12" s="1"/>
  <c r="AA132" i="12"/>
  <c r="X132" i="12"/>
  <c r="A132" i="12"/>
  <c r="H132" i="12"/>
  <c r="AA131" i="12"/>
  <c r="X131" i="12"/>
  <c r="A131" i="12"/>
  <c r="H131" i="12" s="1"/>
  <c r="AA130" i="12"/>
  <c r="X130" i="12"/>
  <c r="A130" i="12"/>
  <c r="H130" i="12"/>
  <c r="AA129" i="12"/>
  <c r="X129" i="12"/>
  <c r="A129" i="12"/>
  <c r="W129" i="12" s="1"/>
  <c r="AA128" i="12"/>
  <c r="X128" i="12"/>
  <c r="A128" i="12"/>
  <c r="W128" i="12"/>
  <c r="AA127" i="12"/>
  <c r="X127" i="12"/>
  <c r="A127" i="12"/>
  <c r="W127" i="12" s="1"/>
  <c r="AA125" i="12"/>
  <c r="X125" i="12"/>
  <c r="Y125" i="12" s="1"/>
  <c r="T125" i="12"/>
  <c r="A125" i="12"/>
  <c r="F125" i="12" s="1"/>
  <c r="AA124" i="12"/>
  <c r="X124" i="12"/>
  <c r="A124" i="12"/>
  <c r="H124" i="12" s="1"/>
  <c r="AA123" i="12"/>
  <c r="X123" i="12"/>
  <c r="A123" i="12"/>
  <c r="W123" i="12" s="1"/>
  <c r="AA121" i="12"/>
  <c r="X121" i="12"/>
  <c r="A121" i="12"/>
  <c r="W121" i="12" s="1"/>
  <c r="AA120" i="12"/>
  <c r="X120" i="12"/>
  <c r="A120" i="12"/>
  <c r="I120" i="12" s="1"/>
  <c r="AA119" i="12"/>
  <c r="X119" i="12"/>
  <c r="A119" i="12"/>
  <c r="H119" i="12" s="1"/>
  <c r="AA116" i="12"/>
  <c r="X116" i="12"/>
  <c r="A116" i="12"/>
  <c r="H116" i="12"/>
  <c r="AA115" i="12"/>
  <c r="X115" i="12"/>
  <c r="A115" i="12"/>
  <c r="W115" i="12" s="1"/>
  <c r="B115" i="12"/>
  <c r="AA114" i="12"/>
  <c r="X114" i="12"/>
  <c r="A114" i="12"/>
  <c r="H114" i="12" s="1"/>
  <c r="AA113" i="12"/>
  <c r="X113" i="12"/>
  <c r="A113" i="12"/>
  <c r="AA111" i="12"/>
  <c r="X111" i="12"/>
  <c r="A111" i="12"/>
  <c r="H111" i="12" s="1"/>
  <c r="AA110" i="12"/>
  <c r="X110" i="12"/>
  <c r="A110" i="12"/>
  <c r="I110" i="12"/>
  <c r="AA109" i="12"/>
  <c r="X109" i="12"/>
  <c r="A109" i="12"/>
  <c r="H109" i="12" s="1"/>
  <c r="B109" i="12"/>
  <c r="AA107" i="12"/>
  <c r="X107" i="12"/>
  <c r="A107" i="12"/>
  <c r="W107" i="12"/>
  <c r="AA106" i="12"/>
  <c r="X106" i="12"/>
  <c r="A106" i="12"/>
  <c r="W106" i="12" s="1"/>
  <c r="AA105" i="12"/>
  <c r="X105" i="12"/>
  <c r="A105" i="12"/>
  <c r="H105" i="12"/>
  <c r="AA104" i="12"/>
  <c r="X104" i="12"/>
  <c r="A104" i="12"/>
  <c r="B104" i="12" s="1"/>
  <c r="AA102" i="12"/>
  <c r="X102" i="12"/>
  <c r="A102" i="12"/>
  <c r="B102" i="12" s="1"/>
  <c r="AA98" i="12"/>
  <c r="X98" i="12"/>
  <c r="A98" i="12"/>
  <c r="B98" i="12" s="1"/>
  <c r="H98" i="12"/>
  <c r="AA97" i="12"/>
  <c r="X97" i="12"/>
  <c r="A97" i="12"/>
  <c r="AA96" i="12"/>
  <c r="X96" i="12"/>
  <c r="A96" i="12"/>
  <c r="B96" i="12" s="1"/>
  <c r="W96" i="12"/>
  <c r="AA95" i="12"/>
  <c r="X95" i="12"/>
  <c r="A95" i="12"/>
  <c r="AA94" i="12"/>
  <c r="X94" i="12"/>
  <c r="A94" i="12"/>
  <c r="B94" i="12" s="1"/>
  <c r="H94" i="12"/>
  <c r="AA92" i="12"/>
  <c r="X92" i="12"/>
  <c r="A92" i="12"/>
  <c r="B92" i="12" s="1"/>
  <c r="AA91" i="12"/>
  <c r="X91" i="12"/>
  <c r="A91" i="12"/>
  <c r="G91" i="12" s="1"/>
  <c r="AA88" i="12"/>
  <c r="X88" i="12"/>
  <c r="A88" i="12"/>
  <c r="W88" i="12" s="1"/>
  <c r="AA87" i="12"/>
  <c r="X87" i="12"/>
  <c r="A87" i="12"/>
  <c r="H87" i="12" s="1"/>
  <c r="AA86" i="12"/>
  <c r="X86" i="12"/>
  <c r="A86" i="12"/>
  <c r="AA85" i="12"/>
  <c r="X85" i="12"/>
  <c r="A85" i="12"/>
  <c r="W85" i="12" s="1"/>
  <c r="AA84" i="12"/>
  <c r="X84" i="12"/>
  <c r="A84" i="12"/>
  <c r="AA83" i="12"/>
  <c r="X83" i="12"/>
  <c r="A83" i="12"/>
  <c r="B83" i="12" s="1"/>
  <c r="W83" i="12"/>
  <c r="AA82" i="12"/>
  <c r="X82" i="12"/>
  <c r="A82" i="12"/>
  <c r="W82" i="12" s="1"/>
  <c r="AA81" i="12"/>
  <c r="X81" i="12"/>
  <c r="A81" i="12"/>
  <c r="AA79" i="12"/>
  <c r="X79" i="12"/>
  <c r="A79" i="12"/>
  <c r="I79" i="12" s="1"/>
  <c r="AA80" i="12"/>
  <c r="X80" i="12"/>
  <c r="A80" i="12"/>
  <c r="AA78" i="12"/>
  <c r="X78" i="12"/>
  <c r="A78" i="12"/>
  <c r="B78" i="12" s="1"/>
  <c r="AA77" i="12"/>
  <c r="X77" i="12"/>
  <c r="Y77" i="12" s="1"/>
  <c r="T77" i="12"/>
  <c r="A77" i="12"/>
  <c r="G77" i="12"/>
  <c r="AA76" i="12"/>
  <c r="X76" i="12"/>
  <c r="A76" i="12"/>
  <c r="B76" i="12" s="1"/>
  <c r="AA74" i="12"/>
  <c r="X74" i="12"/>
  <c r="A74" i="12"/>
  <c r="AA73" i="12"/>
  <c r="X73" i="12"/>
  <c r="A73" i="12"/>
  <c r="B73" i="12" s="1"/>
  <c r="W73" i="12"/>
  <c r="AA72" i="12"/>
  <c r="X72" i="12"/>
  <c r="A72" i="12"/>
  <c r="W72" i="12" s="1"/>
  <c r="AA71" i="12"/>
  <c r="X71" i="12"/>
  <c r="A71" i="12"/>
  <c r="B71" i="12" s="1"/>
  <c r="H71" i="12"/>
  <c r="AA68" i="12"/>
  <c r="X68" i="12"/>
  <c r="A68" i="12"/>
  <c r="I68" i="12" s="1"/>
  <c r="AA70" i="12"/>
  <c r="X70" i="12"/>
  <c r="A70" i="12"/>
  <c r="AA69" i="12"/>
  <c r="X69" i="12"/>
  <c r="A69" i="12"/>
  <c r="H69" i="12" s="1"/>
  <c r="AA67" i="12"/>
  <c r="X67" i="12"/>
  <c r="A67" i="12"/>
  <c r="AA66" i="12"/>
  <c r="X66" i="12"/>
  <c r="A66" i="12"/>
  <c r="B66" i="12" s="1"/>
  <c r="AA65" i="12"/>
  <c r="X65" i="12"/>
  <c r="Y65" i="12" s="1"/>
  <c r="R65" i="12" s="1"/>
  <c r="T65" i="12"/>
  <c r="A65" i="12"/>
  <c r="F65" i="12" s="1"/>
  <c r="F66" i="12" s="1"/>
  <c r="AA64" i="12"/>
  <c r="X64" i="12"/>
  <c r="Y64" i="12" s="1"/>
  <c r="R64" i="12" s="1"/>
  <c r="T64" i="12"/>
  <c r="A64" i="12"/>
  <c r="AA63" i="12"/>
  <c r="X63" i="12"/>
  <c r="A63" i="12"/>
  <c r="AA62" i="12"/>
  <c r="X62" i="12"/>
  <c r="A62" i="12"/>
  <c r="AA61" i="12"/>
  <c r="X61" i="12"/>
  <c r="A61" i="12"/>
  <c r="AA60" i="12"/>
  <c r="X60" i="12"/>
  <c r="A60" i="12"/>
  <c r="W60" i="12" s="1"/>
  <c r="AA59" i="12"/>
  <c r="X59" i="12"/>
  <c r="A59" i="12"/>
  <c r="AA58" i="12"/>
  <c r="X58" i="12"/>
  <c r="A58" i="12"/>
  <c r="W58" i="12" s="1"/>
  <c r="AA57" i="12"/>
  <c r="X57" i="12"/>
  <c r="A57" i="12"/>
  <c r="AA46" i="12"/>
  <c r="X46" i="12"/>
  <c r="A46" i="12"/>
  <c r="H46" i="12" s="1"/>
  <c r="AA56" i="12"/>
  <c r="X56" i="12"/>
  <c r="A56" i="12"/>
  <c r="AA55" i="12"/>
  <c r="X55" i="12"/>
  <c r="A55" i="12"/>
  <c r="AA54" i="12"/>
  <c r="X54" i="12"/>
  <c r="A54" i="12"/>
  <c r="B54" i="12" s="1"/>
  <c r="AA53" i="12"/>
  <c r="X53" i="12"/>
  <c r="A53" i="12"/>
  <c r="AA52" i="12"/>
  <c r="X52" i="12"/>
  <c r="A52" i="12"/>
  <c r="AA51" i="12"/>
  <c r="X51" i="12"/>
  <c r="A51" i="12"/>
  <c r="I51" i="12" s="1"/>
  <c r="B51" i="12"/>
  <c r="AA50" i="12"/>
  <c r="X50" i="12"/>
  <c r="A50" i="12"/>
  <c r="W50" i="12"/>
  <c r="AA49" i="12"/>
  <c r="X49" i="12"/>
  <c r="A49" i="12"/>
  <c r="W49" i="12" s="1"/>
  <c r="AA48" i="12"/>
  <c r="X48" i="12"/>
  <c r="A48" i="12"/>
  <c r="AA47" i="12"/>
  <c r="X47" i="12"/>
  <c r="A47" i="12"/>
  <c r="B47" i="12"/>
  <c r="AA45" i="12"/>
  <c r="X45" i="12"/>
  <c r="A45" i="12"/>
  <c r="I45" i="12" s="1"/>
  <c r="AA44" i="12"/>
  <c r="X44" i="12"/>
  <c r="A44" i="12"/>
  <c r="B44" i="12" s="1"/>
  <c r="AA43" i="12"/>
  <c r="X43" i="12"/>
  <c r="A43" i="12"/>
  <c r="AA42" i="12"/>
  <c r="X42" i="12"/>
  <c r="A42" i="12"/>
  <c r="W42" i="12" s="1"/>
  <c r="AA41" i="12"/>
  <c r="X41" i="12"/>
  <c r="A41" i="12"/>
  <c r="B41" i="12" s="1"/>
  <c r="AA40" i="12"/>
  <c r="X40" i="12"/>
  <c r="A40" i="12"/>
  <c r="W40" i="12" s="1"/>
  <c r="AA39" i="12"/>
  <c r="X39" i="12"/>
  <c r="A39" i="12"/>
  <c r="I39" i="12" s="1"/>
  <c r="AA38" i="12"/>
  <c r="X38" i="12"/>
  <c r="A38" i="12"/>
  <c r="B38" i="12" s="1"/>
  <c r="AA37" i="12"/>
  <c r="X37" i="12"/>
  <c r="A37" i="12"/>
  <c r="AA36" i="12"/>
  <c r="X36" i="12"/>
  <c r="A36" i="12"/>
  <c r="H36" i="12" s="1"/>
  <c r="AA35" i="12"/>
  <c r="X35" i="12"/>
  <c r="A35" i="12"/>
  <c r="B35" i="12" s="1"/>
  <c r="AA34" i="12"/>
  <c r="X34" i="12"/>
  <c r="A34" i="12"/>
  <c r="W34" i="12" s="1"/>
  <c r="AA33" i="12"/>
  <c r="X33" i="12"/>
  <c r="Y33" i="12" s="1"/>
  <c r="P33" i="12" s="1"/>
  <c r="T33" i="12"/>
  <c r="A33" i="12"/>
  <c r="G33" i="12" s="1"/>
  <c r="G34" i="12" s="1"/>
  <c r="G35" i="12" s="1"/>
  <c r="AA31" i="12"/>
  <c r="X31" i="12"/>
  <c r="A31" i="12"/>
  <c r="AA30" i="12"/>
  <c r="X30" i="12"/>
  <c r="A30" i="12"/>
  <c r="I30" i="12" s="1"/>
  <c r="AA29" i="12"/>
  <c r="X29" i="12"/>
  <c r="A29" i="12"/>
  <c r="W29" i="12" s="1"/>
  <c r="AA28" i="12"/>
  <c r="X28" i="12"/>
  <c r="A28" i="12"/>
  <c r="W28" i="12" s="1"/>
  <c r="AA27" i="12"/>
  <c r="X27" i="12"/>
  <c r="A27" i="12"/>
  <c r="W27" i="12" s="1"/>
  <c r="AA26" i="12"/>
  <c r="X26" i="12"/>
  <c r="A26" i="12"/>
  <c r="AA25" i="12"/>
  <c r="X25" i="12"/>
  <c r="A25" i="12"/>
  <c r="B25" i="12" s="1"/>
  <c r="AA24" i="12"/>
  <c r="X24" i="12"/>
  <c r="A24" i="12"/>
  <c r="B24" i="12" s="1"/>
  <c r="AA23" i="12"/>
  <c r="X23" i="12"/>
  <c r="A23" i="12"/>
  <c r="I23" i="12" s="1"/>
  <c r="AA22" i="12"/>
  <c r="X22" i="12"/>
  <c r="A22" i="12"/>
  <c r="I22" i="12" s="1"/>
  <c r="AA21" i="12"/>
  <c r="X21" i="12"/>
  <c r="A21" i="12"/>
  <c r="I21" i="12" s="1"/>
  <c r="AA20" i="12"/>
  <c r="X20" i="12"/>
  <c r="A20" i="12"/>
  <c r="B20" i="12" s="1"/>
  <c r="AA19" i="12"/>
  <c r="X19" i="12"/>
  <c r="A19" i="12"/>
  <c r="H19" i="12" s="1"/>
  <c r="AA18" i="12"/>
  <c r="X18" i="12"/>
  <c r="A18" i="12"/>
  <c r="W18" i="12" s="1"/>
  <c r="AA17" i="12"/>
  <c r="X17" i="12"/>
  <c r="A17" i="12"/>
  <c r="B17" i="12" s="1"/>
  <c r="AA15" i="12"/>
  <c r="X15" i="12"/>
  <c r="A15" i="12"/>
  <c r="B105" i="12"/>
  <c r="B110" i="12"/>
  <c r="B130" i="12"/>
  <c r="B132" i="12"/>
  <c r="B127" i="12"/>
  <c r="B133" i="12"/>
  <c r="B136" i="12"/>
  <c r="B139" i="12"/>
  <c r="H133" i="12"/>
  <c r="B124" i="12"/>
  <c r="B128" i="12"/>
  <c r="B137" i="12"/>
  <c r="B140" i="12"/>
  <c r="H107" i="12"/>
  <c r="B114" i="12"/>
  <c r="H121" i="12"/>
  <c r="H128" i="12"/>
  <c r="B129" i="12"/>
  <c r="H129" i="12"/>
  <c r="W141" i="12"/>
  <c r="I140" i="12"/>
  <c r="I139" i="12"/>
  <c r="W139" i="12"/>
  <c r="W136" i="12"/>
  <c r="I134" i="12"/>
  <c r="W134" i="12"/>
  <c r="H134" i="12"/>
  <c r="I133" i="12"/>
  <c r="I132" i="12"/>
  <c r="I131" i="12"/>
  <c r="W131" i="12"/>
  <c r="B131" i="12"/>
  <c r="I130" i="12"/>
  <c r="W130" i="12"/>
  <c r="I129" i="12"/>
  <c r="I128" i="12"/>
  <c r="I127" i="12"/>
  <c r="I124" i="12"/>
  <c r="W124" i="12"/>
  <c r="B123" i="12"/>
  <c r="I123" i="12"/>
  <c r="H123" i="12"/>
  <c r="B120" i="12"/>
  <c r="W120" i="12"/>
  <c r="H120" i="12"/>
  <c r="W119" i="12"/>
  <c r="B119" i="12"/>
  <c r="I116" i="12"/>
  <c r="W116" i="12"/>
  <c r="B116" i="12"/>
  <c r="I114" i="12"/>
  <c r="W114" i="12"/>
  <c r="I111" i="12"/>
  <c r="W111" i="12"/>
  <c r="W110" i="12"/>
  <c r="I105" i="12"/>
  <c r="W105" i="12"/>
  <c r="I104" i="12"/>
  <c r="H104" i="12"/>
  <c r="W102" i="12"/>
  <c r="H102" i="12"/>
  <c r="W97" i="12"/>
  <c r="I96" i="12"/>
  <c r="I95" i="12"/>
  <c r="W95" i="12"/>
  <c r="W94" i="12"/>
  <c r="W92" i="12"/>
  <c r="W91" i="12"/>
  <c r="I91" i="12"/>
  <c r="B91" i="12"/>
  <c r="H91" i="12"/>
  <c r="B70" i="12"/>
  <c r="B81" i="12"/>
  <c r="B87" i="12"/>
  <c r="H70" i="12"/>
  <c r="H51" i="12"/>
  <c r="B82" i="12"/>
  <c r="H34" i="12"/>
  <c r="B58" i="12"/>
  <c r="B23" i="12"/>
  <c r="B50" i="12"/>
  <c r="H55" i="12"/>
  <c r="H73" i="12"/>
  <c r="F77" i="12"/>
  <c r="F78" i="12" s="1"/>
  <c r="F79" i="12" s="1"/>
  <c r="F80" i="12" s="1"/>
  <c r="F81" i="12" s="1"/>
  <c r="F82" i="12" s="1"/>
  <c r="F83" i="12" s="1"/>
  <c r="F84" i="12" s="1"/>
  <c r="F85" i="12" s="1"/>
  <c r="F86" i="12" s="1"/>
  <c r="F87" i="12" s="1"/>
  <c r="F88" i="12" s="1"/>
  <c r="H82" i="12"/>
  <c r="H50" i="12"/>
  <c r="H59" i="12"/>
  <c r="I87" i="12"/>
  <c r="I86" i="12"/>
  <c r="I85" i="12"/>
  <c r="B84" i="12"/>
  <c r="W84" i="12"/>
  <c r="H84" i="12"/>
  <c r="I82" i="12"/>
  <c r="I81" i="12"/>
  <c r="W81" i="12"/>
  <c r="W80" i="12"/>
  <c r="E77" i="12"/>
  <c r="I74" i="12"/>
  <c r="B74" i="12"/>
  <c r="W74" i="12"/>
  <c r="H74" i="12"/>
  <c r="I73" i="12"/>
  <c r="W71" i="12"/>
  <c r="B68" i="12"/>
  <c r="H68" i="12"/>
  <c r="I70" i="12"/>
  <c r="W66" i="12"/>
  <c r="F64" i="12"/>
  <c r="I62" i="12"/>
  <c r="I59" i="12"/>
  <c r="I57" i="12"/>
  <c r="I46" i="12"/>
  <c r="I55" i="12"/>
  <c r="W53" i="12"/>
  <c r="B52" i="12"/>
  <c r="H52" i="12"/>
  <c r="I50" i="12"/>
  <c r="I47" i="12"/>
  <c r="W47" i="12"/>
  <c r="H47" i="12"/>
  <c r="W39" i="12"/>
  <c r="B39" i="12"/>
  <c r="W38" i="12"/>
  <c r="I34" i="12"/>
  <c r="I24" i="12"/>
  <c r="AA14" i="12"/>
  <c r="X14" i="12"/>
  <c r="A14" i="12"/>
  <c r="W14" i="12" s="1"/>
  <c r="AA13" i="12"/>
  <c r="X13" i="12"/>
  <c r="Y13" i="12" s="1"/>
  <c r="T13" i="12"/>
  <c r="A13" i="12"/>
  <c r="C82" i="25"/>
  <c r="A82" i="25" s="1"/>
  <c r="C81" i="25"/>
  <c r="A81" i="25" s="1"/>
  <c r="C80" i="25"/>
  <c r="A80" i="25" s="1"/>
  <c r="C79" i="25"/>
  <c r="A79" i="25" s="1"/>
  <c r="C78" i="25"/>
  <c r="A78" i="25" s="1"/>
  <c r="C77" i="25"/>
  <c r="A77" i="25" s="1"/>
  <c r="C76" i="25"/>
  <c r="A76" i="25" s="1"/>
  <c r="C75" i="25"/>
  <c r="A75" i="25" s="1"/>
  <c r="C74" i="25"/>
  <c r="A74" i="25" s="1"/>
  <c r="C73" i="25"/>
  <c r="A73" i="25" s="1"/>
  <c r="C72" i="25"/>
  <c r="A72" i="25" s="1"/>
  <c r="C71" i="25"/>
  <c r="A71" i="25" s="1"/>
  <c r="C70" i="25"/>
  <c r="A70" i="25" s="1"/>
  <c r="C69" i="25"/>
  <c r="A69" i="25" s="1"/>
  <c r="C68" i="25"/>
  <c r="A68" i="25" s="1"/>
  <c r="C67" i="25"/>
  <c r="A67" i="25" s="1"/>
  <c r="C66" i="25"/>
  <c r="A66" i="25" s="1"/>
  <c r="C65" i="25"/>
  <c r="A65" i="25" s="1"/>
  <c r="C64" i="25"/>
  <c r="A64" i="25" s="1"/>
  <c r="C63" i="25"/>
  <c r="A63" i="25" s="1"/>
  <c r="C62" i="25"/>
  <c r="A62" i="25" s="1"/>
  <c r="C61" i="25"/>
  <c r="A61" i="25" s="1"/>
  <c r="C60" i="25"/>
  <c r="A60" i="25" s="1"/>
  <c r="C59" i="25"/>
  <c r="A59" i="25" s="1"/>
  <c r="C58" i="25"/>
  <c r="A58" i="25" s="1"/>
  <c r="C57" i="25"/>
  <c r="A57" i="25" s="1"/>
  <c r="C56" i="25"/>
  <c r="A56" i="25" s="1"/>
  <c r="C55" i="25"/>
  <c r="A55" i="25" s="1"/>
  <c r="C49" i="25"/>
  <c r="A49" i="25" s="1"/>
  <c r="C48" i="25"/>
  <c r="A48" i="25" s="1"/>
  <c r="C47" i="25"/>
  <c r="A47" i="25" s="1"/>
  <c r="C46" i="25"/>
  <c r="A46" i="25" s="1"/>
  <c r="C45" i="25"/>
  <c r="A45" i="25" s="1"/>
  <c r="C44" i="25"/>
  <c r="A44" i="25" s="1"/>
  <c r="C43" i="25"/>
  <c r="A43" i="25" s="1"/>
  <c r="C42" i="25"/>
  <c r="A42" i="25" s="1"/>
  <c r="C41" i="25"/>
  <c r="A41" i="25" s="1"/>
  <c r="C40" i="25"/>
  <c r="A40" i="25" s="1"/>
  <c r="C39" i="25"/>
  <c r="A39" i="25" s="1"/>
  <c r="C38" i="25"/>
  <c r="A38" i="25" s="1"/>
  <c r="C37" i="25"/>
  <c r="A37" i="25" s="1"/>
  <c r="C36" i="25"/>
  <c r="A36" i="25" s="1"/>
  <c r="C35" i="25"/>
  <c r="A35" i="25" s="1"/>
  <c r="C34" i="25"/>
  <c r="A34" i="25" s="1"/>
  <c r="C33" i="25"/>
  <c r="A33" i="25" s="1"/>
  <c r="C32" i="25"/>
  <c r="A32" i="25" s="1"/>
  <c r="C31" i="25"/>
  <c r="A31" i="25" s="1"/>
  <c r="C30" i="25"/>
  <c r="A30" i="25" s="1"/>
  <c r="C29" i="25"/>
  <c r="A29" i="25" s="1"/>
  <c r="C28" i="25"/>
  <c r="A28" i="25" s="1"/>
  <c r="C27" i="25"/>
  <c r="A27" i="25" s="1"/>
  <c r="C26" i="25"/>
  <c r="A26" i="25" s="1"/>
  <c r="C25" i="25"/>
  <c r="A25" i="25" s="1"/>
  <c r="C24" i="25"/>
  <c r="A24" i="25" s="1"/>
  <c r="C23" i="25"/>
  <c r="A23" i="25" s="1"/>
  <c r="C22" i="25"/>
  <c r="A22" i="25" s="1"/>
  <c r="C21" i="25"/>
  <c r="A21" i="25" s="1"/>
  <c r="C20" i="25"/>
  <c r="A20" i="25" s="1"/>
  <c r="C19" i="25"/>
  <c r="A19" i="25" s="1"/>
  <c r="C18" i="25"/>
  <c r="A18" i="25" s="1"/>
  <c r="C17" i="25"/>
  <c r="A17" i="25" s="1"/>
  <c r="C16" i="25"/>
  <c r="A16" i="25" s="1"/>
  <c r="I14" i="12"/>
  <c r="R13" i="12"/>
  <c r="G13" i="12"/>
  <c r="K377" i="12"/>
  <c r="L119" i="11" s="1"/>
  <c r="L116" i="11"/>
  <c r="H147" i="16"/>
  <c r="H146" i="16"/>
  <c r="B147" i="16"/>
  <c r="B146" i="16"/>
  <c r="C10" i="25"/>
  <c r="A10" i="25" s="1"/>
  <c r="Q21" i="26"/>
  <c r="C54" i="25"/>
  <c r="A54" i="25" s="1"/>
  <c r="C53" i="25"/>
  <c r="A53" i="25" s="1"/>
  <c r="C52" i="25"/>
  <c r="A52" i="25" s="1"/>
  <c r="C51" i="25"/>
  <c r="A51" i="25" s="1"/>
  <c r="C15" i="25"/>
  <c r="A15" i="25" s="1"/>
  <c r="C14" i="25"/>
  <c r="A14" i="25" s="1"/>
  <c r="C13" i="25"/>
  <c r="A13" i="25" s="1"/>
  <c r="C12" i="25"/>
  <c r="A12" i="25" s="1"/>
  <c r="C9" i="25"/>
  <c r="A9" i="25" s="1"/>
  <c r="C8" i="25"/>
  <c r="A8" i="25" s="1"/>
  <c r="C7" i="25"/>
  <c r="A7" i="25" s="1"/>
  <c r="O10" i="11"/>
  <c r="AA12" i="12"/>
  <c r="A9" i="26"/>
  <c r="J8" i="26"/>
  <c r="H8" i="26"/>
  <c r="H11" i="26"/>
  <c r="G8" i="26"/>
  <c r="F8" i="26"/>
  <c r="E8" i="26"/>
  <c r="D8" i="26"/>
  <c r="C8" i="26"/>
  <c r="B8" i="26"/>
  <c r="X12" i="12"/>
  <c r="Y12" i="12" s="1"/>
  <c r="P12" i="12" s="1"/>
  <c r="X10" i="12"/>
  <c r="Y10" i="12" s="1"/>
  <c r="C50" i="25"/>
  <c r="A50" i="25" s="1"/>
  <c r="C11" i="25"/>
  <c r="A11" i="25" s="1"/>
  <c r="C6" i="25"/>
  <c r="A6" i="25" s="1"/>
  <c r="C5" i="25"/>
  <c r="A5" i="25" s="1"/>
  <c r="A2" i="25"/>
  <c r="A3" i="25" s="1"/>
  <c r="A10" i="12"/>
  <c r="C10" i="12" s="1"/>
  <c r="A12" i="12"/>
  <c r="G12" i="12" s="1"/>
  <c r="A20" i="11"/>
  <c r="A23" i="11" s="1"/>
  <c r="A26" i="11" s="1"/>
  <c r="A29" i="11" s="1"/>
  <c r="A32" i="11" s="1"/>
  <c r="A35" i="11" s="1"/>
  <c r="A38" i="11" s="1"/>
  <c r="A41" i="11" s="1"/>
  <c r="A44" i="11" s="1"/>
  <c r="A47" i="11" s="1"/>
  <c r="A50" i="11" s="1"/>
  <c r="A53" i="11" s="1"/>
  <c r="A56" i="11" s="1"/>
  <c r="A59" i="11" s="1"/>
  <c r="A62" i="11" s="1"/>
  <c r="A65" i="11" s="1"/>
  <c r="A68" i="11" s="1"/>
  <c r="A71" i="11" s="1"/>
  <c r="A74" i="11" s="1"/>
  <c r="A77" i="11" s="1"/>
  <c r="A80" i="11" s="1"/>
  <c r="A83" i="11" s="1"/>
  <c r="A86" i="11" s="1"/>
  <c r="L8" i="26"/>
  <c r="A13" i="11"/>
  <c r="C13" i="11" s="1"/>
  <c r="G13" i="11" s="1"/>
  <c r="O9" i="11"/>
  <c r="P9" i="11"/>
  <c r="P10" i="11" s="1"/>
  <c r="D17" i="11"/>
  <c r="K374" i="12"/>
  <c r="N8" i="11"/>
  <c r="T12" i="12"/>
  <c r="K8" i="26"/>
  <c r="M8" i="26"/>
  <c r="AA10" i="12"/>
  <c r="K11" i="26"/>
  <c r="D11" i="26"/>
  <c r="E11" i="26"/>
  <c r="S11" i="26" s="1"/>
  <c r="M7" i="26" s="1"/>
  <c r="N7" i="26" s="1"/>
  <c r="J11" i="26"/>
  <c r="L11" i="26"/>
  <c r="F11" i="26"/>
  <c r="C11" i="26"/>
  <c r="G11" i="26"/>
  <c r="B11" i="26"/>
  <c r="M11" i="26"/>
  <c r="P125" i="12"/>
  <c r="L13" i="12"/>
  <c r="P13" i="12"/>
  <c r="I216" i="12"/>
  <c r="H216" i="12"/>
  <c r="H246" i="12"/>
  <c r="H260" i="12"/>
  <c r="W260" i="12"/>
  <c r="B260" i="12"/>
  <c r="H274" i="12"/>
  <c r="I274" i="12"/>
  <c r="H276" i="12"/>
  <c r="W276" i="12"/>
  <c r="I276" i="12"/>
  <c r="H278" i="12"/>
  <c r="W278" i="12"/>
  <c r="I278" i="12"/>
  <c r="H280" i="12"/>
  <c r="W280" i="12"/>
  <c r="I280" i="12"/>
  <c r="H282" i="12"/>
  <c r="W282" i="12"/>
  <c r="I282" i="12"/>
  <c r="E284" i="12"/>
  <c r="G284" i="12"/>
  <c r="D284" i="12"/>
  <c r="D285" i="12" s="1"/>
  <c r="D286" i="12" s="1"/>
  <c r="D287" i="12" s="1"/>
  <c r="D288" i="12" s="1"/>
  <c r="D289" i="12" s="1"/>
  <c r="D290" i="12" s="1"/>
  <c r="D291" i="12" s="1"/>
  <c r="D292" i="12" s="1"/>
  <c r="D293" i="12" s="1"/>
  <c r="D294" i="12" s="1"/>
  <c r="D295" i="12" s="1"/>
  <c r="D296" i="12" s="1"/>
  <c r="D297" i="12" s="1"/>
  <c r="I293" i="12"/>
  <c r="B293" i="12"/>
  <c r="W293" i="12"/>
  <c r="W299" i="12"/>
  <c r="B299" i="12"/>
  <c r="W301" i="12"/>
  <c r="B301" i="12"/>
  <c r="D308" i="12"/>
  <c r="D309" i="12" s="1"/>
  <c r="G308" i="12"/>
  <c r="I363" i="12"/>
  <c r="B363" i="12"/>
  <c r="H365" i="12"/>
  <c r="W365" i="12"/>
  <c r="B365" i="12"/>
  <c r="H16" i="12"/>
  <c r="W16" i="12"/>
  <c r="B241" i="12"/>
  <c r="W241" i="12"/>
  <c r="E126" i="12"/>
  <c r="E127" i="12" s="1"/>
  <c r="E128" i="12" s="1"/>
  <c r="E129" i="12" s="1"/>
  <c r="E130" i="12" s="1"/>
  <c r="E131" i="12" s="1"/>
  <c r="E132" i="12" s="1"/>
  <c r="E133" i="12" s="1"/>
  <c r="E134" i="12" s="1"/>
  <c r="E135" i="12" s="1"/>
  <c r="E136" i="12" s="1"/>
  <c r="E137" i="12" s="1"/>
  <c r="G126" i="12"/>
  <c r="G127" i="12" s="1"/>
  <c r="G128" i="12" s="1"/>
  <c r="G129" i="12" s="1"/>
  <c r="G130" i="12" s="1"/>
  <c r="G131" i="12" s="1"/>
  <c r="G132" i="12" s="1"/>
  <c r="G133" i="12" s="1"/>
  <c r="G134" i="12" s="1"/>
  <c r="G135" i="12" s="1"/>
  <c r="G136" i="12" s="1"/>
  <c r="G137" i="12" s="1"/>
  <c r="D272" i="12"/>
  <c r="D273" i="12" s="1"/>
  <c r="D274" i="12" s="1"/>
  <c r="D275" i="12" s="1"/>
  <c r="D276" i="12" s="1"/>
  <c r="D277" i="12" s="1"/>
  <c r="D278" i="12" s="1"/>
  <c r="D279" i="12" s="1"/>
  <c r="D280" i="12" s="1"/>
  <c r="D281" i="12" s="1"/>
  <c r="D282" i="12" s="1"/>
  <c r="D283" i="12" s="1"/>
  <c r="F272" i="12"/>
  <c r="E336" i="12"/>
  <c r="E337" i="12" s="1"/>
  <c r="E338" i="12" s="1"/>
  <c r="E339" i="12" s="1"/>
  <c r="E340" i="12" s="1"/>
  <c r="E341" i="12" s="1"/>
  <c r="G336" i="12"/>
  <c r="G337" i="12" s="1"/>
  <c r="G338" i="12" s="1"/>
  <c r="G339" i="12" s="1"/>
  <c r="G340" i="12" s="1"/>
  <c r="G341" i="12" s="1"/>
  <c r="W152" i="12"/>
  <c r="B152" i="12"/>
  <c r="B179" i="12"/>
  <c r="H179" i="12"/>
  <c r="W181" i="12"/>
  <c r="H183" i="12"/>
  <c r="H185" i="12"/>
  <c r="B227" i="12"/>
  <c r="W229" i="12"/>
  <c r="W231" i="12"/>
  <c r="W233" i="12"/>
  <c r="W235" i="12"/>
  <c r="B257" i="12"/>
  <c r="H257" i="12"/>
  <c r="W275" i="12"/>
  <c r="H275" i="12"/>
  <c r="H277" i="12"/>
  <c r="W277" i="12"/>
  <c r="H279" i="12"/>
  <c r="W279" i="12"/>
  <c r="H281" i="12"/>
  <c r="W281" i="12"/>
  <c r="H283" i="12"/>
  <c r="W283" i="12"/>
  <c r="H292" i="12"/>
  <c r="I292" i="12"/>
  <c r="B302" i="12"/>
  <c r="H302" i="12"/>
  <c r="W307" i="12"/>
  <c r="B307" i="12"/>
  <c r="W337" i="12"/>
  <c r="B337" i="12"/>
  <c r="W360" i="12"/>
  <c r="B360" i="12"/>
  <c r="H117" i="12"/>
  <c r="W117" i="12"/>
  <c r="I112" i="12"/>
  <c r="B112" i="12"/>
  <c r="W118" i="12"/>
  <c r="I118" i="12"/>
  <c r="I203" i="12"/>
  <c r="B203" i="12"/>
  <c r="I212" i="12"/>
  <c r="B212" i="12"/>
  <c r="I215" i="12"/>
  <c r="W215" i="12"/>
  <c r="I225" i="12"/>
  <c r="B225" i="12"/>
  <c r="B353" i="12"/>
  <c r="H353" i="12"/>
  <c r="H364" i="12"/>
  <c r="I364" i="12"/>
  <c r="H93" i="12"/>
  <c r="W93" i="12"/>
  <c r="G89" i="12"/>
  <c r="F89" i="12"/>
  <c r="E89" i="12"/>
  <c r="G273" i="12"/>
  <c r="G274" i="12" s="1"/>
  <c r="G275" i="12" s="1"/>
  <c r="G276" i="12" s="1"/>
  <c r="G277" i="12" s="1"/>
  <c r="G278" i="12" s="1"/>
  <c r="G279" i="12" s="1"/>
  <c r="G280" i="12" s="1"/>
  <c r="G281" i="12" s="1"/>
  <c r="G282" i="12" s="1"/>
  <c r="G283" i="12" s="1"/>
  <c r="E273" i="12"/>
  <c r="E274" i="12" s="1"/>
  <c r="E275" i="12" s="1"/>
  <c r="E276" i="12" s="1"/>
  <c r="E277" i="12" s="1"/>
  <c r="E278" i="12" s="1"/>
  <c r="E279" i="12" s="1"/>
  <c r="E280" i="12" s="1"/>
  <c r="E281" i="12" s="1"/>
  <c r="E282" i="12" s="1"/>
  <c r="E283" i="12" s="1"/>
  <c r="E297" i="12"/>
  <c r="E298" i="12" s="1"/>
  <c r="E299" i="12" s="1"/>
  <c r="E300" i="12" s="1"/>
  <c r="E301" i="12" s="1"/>
  <c r="E302" i="12" s="1"/>
  <c r="E303" i="12" s="1"/>
  <c r="E304" i="12" s="1"/>
  <c r="E305" i="12" s="1"/>
  <c r="E306" i="12" s="1"/>
  <c r="E307" i="12" s="1"/>
  <c r="G297" i="12"/>
  <c r="G298" i="12" s="1"/>
  <c r="G299" i="12" s="1"/>
  <c r="G300" i="12" s="1"/>
  <c r="G301" i="12" s="1"/>
  <c r="G302" i="12" s="1"/>
  <c r="G303" i="12" s="1"/>
  <c r="G304" i="12" s="1"/>
  <c r="G305" i="12" s="1"/>
  <c r="G306" i="12" s="1"/>
  <c r="G307" i="12" s="1"/>
  <c r="E357" i="12"/>
  <c r="E358" i="12" s="1"/>
  <c r="E359" i="12" s="1"/>
  <c r="E360" i="12" s="1"/>
  <c r="E361" i="12" s="1"/>
  <c r="E362" i="12" s="1"/>
  <c r="E363" i="12" s="1"/>
  <c r="E364" i="12" s="1"/>
  <c r="E365" i="12" s="1"/>
  <c r="E366" i="12" s="1"/>
  <c r="G357" i="12"/>
  <c r="G358" i="12" s="1"/>
  <c r="G359" i="12" s="1"/>
  <c r="G360" i="12" s="1"/>
  <c r="G361" i="12" s="1"/>
  <c r="G362" i="12" s="1"/>
  <c r="G363" i="12" s="1"/>
  <c r="G364" i="12" s="1"/>
  <c r="G365" i="12" s="1"/>
  <c r="G366" i="12" s="1"/>
  <c r="H363" i="12"/>
  <c r="I16" i="12"/>
  <c r="R12" i="12"/>
  <c r="R125" i="12"/>
  <c r="L125" i="12"/>
  <c r="L226" i="12"/>
  <c r="P226" i="12"/>
  <c r="I15" i="12"/>
  <c r="W48" i="12"/>
  <c r="H23" i="12"/>
  <c r="H26" i="12"/>
  <c r="B22" i="12"/>
  <c r="H29" i="12"/>
  <c r="H18" i="12"/>
  <c r="H15" i="12"/>
  <c r="W17" i="12"/>
  <c r="B18" i="12"/>
  <c r="W19" i="12"/>
  <c r="H20" i="12"/>
  <c r="W21" i="12"/>
  <c r="W22" i="12"/>
  <c r="W24" i="12"/>
  <c r="H27" i="12"/>
  <c r="B29" i="12"/>
  <c r="I40" i="12"/>
  <c r="B85" i="12"/>
  <c r="H85" i="12"/>
  <c r="B107" i="12"/>
  <c r="I107" i="12"/>
  <c r="B148" i="12"/>
  <c r="B117" i="12"/>
  <c r="I117" i="12"/>
  <c r="W364" i="12"/>
  <c r="B30" i="12"/>
  <c r="H30" i="12"/>
  <c r="E33" i="12"/>
  <c r="E34" i="12" s="1"/>
  <c r="E35" i="12" s="1"/>
  <c r="E36" i="12" s="1"/>
  <c r="E37" i="12" s="1"/>
  <c r="E38" i="12" s="1"/>
  <c r="E39" i="12" s="1"/>
  <c r="F33" i="12"/>
  <c r="F34" i="12" s="1"/>
  <c r="F35" i="12" s="1"/>
  <c r="F36" i="12" s="1"/>
  <c r="F37" i="12" s="1"/>
  <c r="F38" i="12" s="1"/>
  <c r="F39" i="12" s="1"/>
  <c r="F40" i="12" s="1"/>
  <c r="F41" i="12" s="1"/>
  <c r="F42" i="12" s="1"/>
  <c r="I49" i="12"/>
  <c r="H49" i="12"/>
  <c r="H78" i="12"/>
  <c r="W79" i="12"/>
  <c r="H81" i="12"/>
  <c r="H83" i="12"/>
  <c r="I84" i="12"/>
  <c r="B88" i="12"/>
  <c r="I88" i="12"/>
  <c r="H88" i="12"/>
  <c r="I136" i="12"/>
  <c r="H136" i="12"/>
  <c r="I141" i="12"/>
  <c r="H141" i="12"/>
  <c r="W257" i="12"/>
  <c r="I257" i="12"/>
  <c r="L342" i="12"/>
  <c r="I347" i="12"/>
  <c r="W347" i="12"/>
  <c r="H347" i="12"/>
  <c r="B347" i="12"/>
  <c r="W351" i="12"/>
  <c r="B351" i="12"/>
  <c r="I351" i="12"/>
  <c r="F356" i="12"/>
  <c r="D356" i="12"/>
  <c r="D357" i="12" s="1"/>
  <c r="G356" i="12"/>
  <c r="E356" i="12"/>
  <c r="W362" i="12"/>
  <c r="B362" i="12"/>
  <c r="H362" i="12"/>
  <c r="I362" i="12"/>
  <c r="W201" i="12"/>
  <c r="B201" i="12"/>
  <c r="I201" i="12"/>
  <c r="H201" i="12"/>
  <c r="E65" i="12"/>
  <c r="E66" i="12" s="1"/>
  <c r="E67" i="12" s="1"/>
  <c r="E68" i="12" s="1"/>
  <c r="E69" i="12" s="1"/>
  <c r="E70" i="12" s="1"/>
  <c r="E71" i="12" s="1"/>
  <c r="E72" i="12" s="1"/>
  <c r="E73" i="12" s="1"/>
  <c r="E74" i="12" s="1"/>
  <c r="E75" i="12" s="1"/>
  <c r="E76" i="12" s="1"/>
  <c r="H140" i="12"/>
  <c r="W140" i="12"/>
  <c r="W145" i="12"/>
  <c r="W166" i="12"/>
  <c r="W174" i="12"/>
  <c r="I174" i="12"/>
  <c r="B15" i="12"/>
  <c r="I19" i="12"/>
  <c r="B48" i="12"/>
  <c r="G65" i="12"/>
  <c r="G66" i="12" s="1"/>
  <c r="G67" i="12" s="1"/>
  <c r="G68" i="12" s="1"/>
  <c r="G69" i="12" s="1"/>
  <c r="G70" i="12" s="1"/>
  <c r="G71" i="12" s="1"/>
  <c r="G72" i="12" s="1"/>
  <c r="G73" i="12" s="1"/>
  <c r="G74" i="12" s="1"/>
  <c r="G75" i="12" s="1"/>
  <c r="G76" i="12" s="1"/>
  <c r="H67" i="12"/>
  <c r="I80" i="12"/>
  <c r="B27" i="12"/>
  <c r="H24" i="12"/>
  <c r="B49" i="12"/>
  <c r="B79" i="12"/>
  <c r="H41" i="12"/>
  <c r="W86" i="12"/>
  <c r="H86" i="12"/>
  <c r="W132" i="12"/>
  <c r="H139" i="12"/>
  <c r="B182" i="12"/>
  <c r="W182" i="12"/>
  <c r="H187" i="12"/>
  <c r="B187" i="12"/>
  <c r="I258" i="12"/>
  <c r="W258" i="12"/>
  <c r="H258" i="12"/>
  <c r="H262" i="12"/>
  <c r="B262" i="12"/>
  <c r="H266" i="12"/>
  <c r="B266" i="12"/>
  <c r="I266" i="12"/>
  <c r="B275" i="12"/>
  <c r="I275" i="12"/>
  <c r="B283" i="12"/>
  <c r="I283" i="12"/>
  <c r="H299" i="12"/>
  <c r="I299" i="12"/>
  <c r="I307" i="12"/>
  <c r="I344" i="12"/>
  <c r="F344" i="12"/>
  <c r="F345" i="12" s="1"/>
  <c r="F346" i="12" s="1"/>
  <c r="F347" i="12" s="1"/>
  <c r="F348" i="12" s="1"/>
  <c r="F349" i="12" s="1"/>
  <c r="F350" i="12" s="1"/>
  <c r="F351" i="12" s="1"/>
  <c r="F352" i="12" s="1"/>
  <c r="F353" i="12" s="1"/>
  <c r="F354" i="12" s="1"/>
  <c r="F355" i="12" s="1"/>
  <c r="W348" i="12"/>
  <c r="I348" i="12"/>
  <c r="W352" i="12"/>
  <c r="I352" i="12"/>
  <c r="H32" i="12"/>
  <c r="W32" i="12"/>
  <c r="H100" i="12"/>
  <c r="I100" i="12"/>
  <c r="B118" i="12"/>
  <c r="H118" i="12"/>
  <c r="W212" i="12"/>
  <c r="H212" i="12"/>
  <c r="H225" i="12"/>
  <c r="W225" i="12"/>
  <c r="R272" i="12"/>
  <c r="L272" i="12"/>
  <c r="B199" i="12"/>
  <c r="I93" i="12"/>
  <c r="B93" i="12"/>
  <c r="F138" i="12"/>
  <c r="F139" i="12" s="1"/>
  <c r="F140" i="12" s="1"/>
  <c r="F141" i="12" s="1"/>
  <c r="F142" i="12" s="1"/>
  <c r="F143" i="12" s="1"/>
  <c r="F144" i="12" s="1"/>
  <c r="F145" i="12" s="1"/>
  <c r="F146" i="12" s="1"/>
  <c r="F147" i="12" s="1"/>
  <c r="F148" i="12" s="1"/>
  <c r="F149" i="12" s="1"/>
  <c r="F150" i="12" s="1"/>
  <c r="F151" i="12" s="1"/>
  <c r="F152" i="12" s="1"/>
  <c r="F153" i="12" s="1"/>
  <c r="F154" i="12" s="1"/>
  <c r="F155" i="12" s="1"/>
  <c r="F156" i="12" s="1"/>
  <c r="F157" i="12" s="1"/>
  <c r="F158" i="12" s="1"/>
  <c r="F159" i="12" s="1"/>
  <c r="F160" i="12" s="1"/>
  <c r="F161" i="12" s="1"/>
  <c r="F162" i="12" s="1"/>
  <c r="F163" i="12" s="1"/>
  <c r="G138" i="12"/>
  <c r="G139" i="12" s="1"/>
  <c r="G140" i="12" s="1"/>
  <c r="G141" i="12" s="1"/>
  <c r="G142" i="12" s="1"/>
  <c r="G143" i="12" s="1"/>
  <c r="G144" i="12" s="1"/>
  <c r="G145" i="12" s="1"/>
  <c r="G146" i="12" s="1"/>
  <c r="G147" i="12" s="1"/>
  <c r="G148" i="12" s="1"/>
  <c r="G149" i="12" s="1"/>
  <c r="G150" i="12" s="1"/>
  <c r="G151" i="12" s="1"/>
  <c r="G152" i="12" s="1"/>
  <c r="G153" i="12" s="1"/>
  <c r="G154" i="12" s="1"/>
  <c r="G155" i="12" s="1"/>
  <c r="G156" i="12" s="1"/>
  <c r="G157" i="12" s="1"/>
  <c r="G158" i="12" s="1"/>
  <c r="G159" i="12" s="1"/>
  <c r="G160" i="12" s="1"/>
  <c r="G161" i="12" s="1"/>
  <c r="G162" i="12" s="1"/>
  <c r="G163" i="12" s="1"/>
  <c r="P285" i="12"/>
  <c r="L285" i="12"/>
  <c r="W108" i="12"/>
  <c r="B108" i="12"/>
  <c r="H108" i="12"/>
  <c r="I108" i="12"/>
  <c r="H199" i="12"/>
  <c r="I199" i="12"/>
  <c r="I99" i="12"/>
  <c r="W99" i="12"/>
  <c r="H99" i="12"/>
  <c r="B99" i="12"/>
  <c r="E138" i="12"/>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R89" i="12"/>
  <c r="G237" i="12"/>
  <c r="D237" i="12"/>
  <c r="D238" i="12" s="1"/>
  <c r="D239" i="12" s="1"/>
  <c r="D240" i="12" s="1"/>
  <c r="F237" i="12"/>
  <c r="W217" i="12"/>
  <c r="W259" i="12"/>
  <c r="I259" i="12"/>
  <c r="I263" i="12"/>
  <c r="H263" i="12"/>
  <c r="B294" i="12"/>
  <c r="W294" i="12"/>
  <c r="H294" i="12"/>
  <c r="E308" i="12"/>
  <c r="F308" i="12"/>
  <c r="G272" i="12"/>
  <c r="W340" i="12"/>
  <c r="G165" i="12"/>
  <c r="G166" i="12" s="1"/>
  <c r="G167" i="12" s="1"/>
  <c r="G168" i="12" s="1"/>
  <c r="G169" i="12" s="1"/>
  <c r="G170" i="12" s="1"/>
  <c r="G171" i="12" s="1"/>
  <c r="G172" i="12" s="1"/>
  <c r="G173" i="12" s="1"/>
  <c r="G174" i="12" s="1"/>
  <c r="G175" i="12" s="1"/>
  <c r="G176" i="12" s="1"/>
  <c r="E165" i="12"/>
  <c r="E166" i="12" s="1"/>
  <c r="E167" i="12" s="1"/>
  <c r="E168" i="12" s="1"/>
  <c r="E169" i="12" s="1"/>
  <c r="E170" i="12" s="1"/>
  <c r="E171" i="12" s="1"/>
  <c r="E172" i="12" s="1"/>
  <c r="E173" i="12" s="1"/>
  <c r="E174" i="12" s="1"/>
  <c r="E175" i="12" s="1"/>
  <c r="E176" i="12" s="1"/>
  <c r="F244" i="12"/>
  <c r="F245" i="12" s="1"/>
  <c r="F246" i="12" s="1"/>
  <c r="F247" i="12" s="1"/>
  <c r="F248" i="12" s="1"/>
  <c r="F249" i="12" s="1"/>
  <c r="F250" i="12" s="1"/>
  <c r="F251" i="12" s="1"/>
  <c r="F252" i="12" s="1"/>
  <c r="F253" i="12" s="1"/>
  <c r="F254" i="12" s="1"/>
  <c r="F255" i="12" s="1"/>
  <c r="F256" i="12" s="1"/>
  <c r="F257" i="12" s="1"/>
  <c r="F258" i="12" s="1"/>
  <c r="F259" i="12" s="1"/>
  <c r="F260" i="12" s="1"/>
  <c r="F261" i="12" s="1"/>
  <c r="F262" i="12" s="1"/>
  <c r="F263" i="12" s="1"/>
  <c r="F264" i="12" s="1"/>
  <c r="F265" i="12" s="1"/>
  <c r="F266" i="12" s="1"/>
  <c r="F267" i="12" s="1"/>
  <c r="F268" i="12" s="1"/>
  <c r="F269" i="12" s="1"/>
  <c r="F270" i="12" s="1"/>
  <c r="F271" i="12" s="1"/>
  <c r="H101" i="12"/>
  <c r="B101" i="12"/>
  <c r="H122" i="12"/>
  <c r="I122" i="12"/>
  <c r="H213" i="12"/>
  <c r="B213" i="12"/>
  <c r="I313" i="12"/>
  <c r="H313"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F90" i="12"/>
  <c r="F91" i="12" s="1"/>
  <c r="F92" i="12" s="1"/>
  <c r="F93" i="12" s="1"/>
  <c r="F94" i="12" s="1"/>
  <c r="F95" i="12" s="1"/>
  <c r="F96" i="12" s="1"/>
  <c r="F97" i="12" s="1"/>
  <c r="F98" i="12" s="1"/>
  <c r="F99" i="12" s="1"/>
  <c r="F100" i="12" s="1"/>
  <c r="F101" i="12" s="1"/>
  <c r="F102" i="12" s="1"/>
  <c r="F103" i="12" s="1"/>
  <c r="F104" i="12" s="1"/>
  <c r="F105" i="12" s="1"/>
  <c r="F106" i="12" s="1"/>
  <c r="F107" i="12" s="1"/>
  <c r="F108" i="12" s="1"/>
  <c r="F109" i="12" s="1"/>
  <c r="F110" i="12" s="1"/>
  <c r="F111" i="12" s="1"/>
  <c r="F112" i="12" s="1"/>
  <c r="F113" i="12" s="1"/>
  <c r="F114" i="12" s="1"/>
  <c r="F115" i="12" s="1"/>
  <c r="F116" i="12" s="1"/>
  <c r="F117" i="12" s="1"/>
  <c r="F118" i="12" s="1"/>
  <c r="F119" i="12" s="1"/>
  <c r="F120" i="12" s="1"/>
  <c r="F121" i="12" s="1"/>
  <c r="F122" i="12" s="1"/>
  <c r="F123" i="12" s="1"/>
  <c r="F124" i="12" s="1"/>
  <c r="F189" i="12"/>
  <c r="F190" i="12" s="1"/>
  <c r="F191" i="12" s="1"/>
  <c r="F192" i="12" s="1"/>
  <c r="F193" i="12" s="1"/>
  <c r="F194" i="12" s="1"/>
  <c r="F195" i="12" s="1"/>
  <c r="F196" i="12" s="1"/>
  <c r="F197" i="12" s="1"/>
  <c r="F198" i="12" s="1"/>
  <c r="F199" i="12" s="1"/>
  <c r="F200" i="12" s="1"/>
  <c r="F201" i="12" s="1"/>
  <c r="F202" i="12" s="1"/>
  <c r="F203" i="12" s="1"/>
  <c r="F204" i="12" s="1"/>
  <c r="F205" i="12" s="1"/>
  <c r="F206" i="12" s="1"/>
  <c r="F207" i="12" s="1"/>
  <c r="F208" i="12" s="1"/>
  <c r="F209" i="12" s="1"/>
  <c r="F210" i="12" s="1"/>
  <c r="F211" i="12" s="1"/>
  <c r="F212" i="12" s="1"/>
  <c r="F213" i="12" s="1"/>
  <c r="F214" i="12" s="1"/>
  <c r="F215" i="12" s="1"/>
  <c r="F216" i="12" s="1"/>
  <c r="F217" i="12" s="1"/>
  <c r="F218" i="12" s="1"/>
  <c r="F219" i="12" s="1"/>
  <c r="F220" i="12" s="1"/>
  <c r="F221" i="12" s="1"/>
  <c r="F222" i="12" s="1"/>
  <c r="F223" i="12" s="1"/>
  <c r="F224" i="12" s="1"/>
  <c r="F225" i="12" s="1"/>
  <c r="G189" i="12"/>
  <c r="G190" i="12" s="1"/>
  <c r="G191" i="12" s="1"/>
  <c r="G192" i="12" s="1"/>
  <c r="G193" i="12" s="1"/>
  <c r="G194" i="12" s="1"/>
  <c r="G195" i="12" s="1"/>
  <c r="G196" i="12" s="1"/>
  <c r="G197" i="12" s="1"/>
  <c r="G198" i="12" s="1"/>
  <c r="G199" i="12" s="1"/>
  <c r="G200" i="12" s="1"/>
  <c r="G201" i="12" s="1"/>
  <c r="G202" i="12" s="1"/>
  <c r="G203" i="12" s="1"/>
  <c r="G204" i="12" s="1"/>
  <c r="G205" i="12" s="1"/>
  <c r="G206" i="12" s="1"/>
  <c r="G207" i="12" s="1"/>
  <c r="G208" i="12" s="1"/>
  <c r="G209" i="12" s="1"/>
  <c r="G210" i="12" s="1"/>
  <c r="G211" i="12" s="1"/>
  <c r="G212" i="12" s="1"/>
  <c r="G213" i="12" s="1"/>
  <c r="G214" i="12" s="1"/>
  <c r="G215" i="12" s="1"/>
  <c r="G216" i="12" s="1"/>
  <c r="G217" i="12" s="1"/>
  <c r="G218" i="12" s="1"/>
  <c r="G219" i="12" s="1"/>
  <c r="G220" i="12" s="1"/>
  <c r="G221" i="12" s="1"/>
  <c r="G222" i="12" s="1"/>
  <c r="G223" i="12" s="1"/>
  <c r="G224" i="12" s="1"/>
  <c r="G225" i="12" s="1"/>
  <c r="B135" i="12"/>
  <c r="P89" i="12"/>
  <c r="P244" i="12"/>
  <c r="L244" i="12"/>
  <c r="L64" i="12"/>
  <c r="P64" i="12"/>
  <c r="P356" i="12"/>
  <c r="R356" i="12"/>
  <c r="L356" i="12"/>
  <c r="P273" i="12"/>
  <c r="R273" i="12"/>
  <c r="P357" i="12"/>
  <c r="L357" i="12"/>
  <c r="R357" i="12"/>
  <c r="L273" i="12"/>
  <c r="P342" i="12"/>
  <c r="L33" i="12"/>
  <c r="P11" i="26"/>
  <c r="I11" i="26" s="1"/>
  <c r="O11" i="26"/>
  <c r="I27" i="12"/>
  <c r="A5" i="12"/>
  <c r="W31" i="12"/>
  <c r="I31" i="12"/>
  <c r="B31" i="12"/>
  <c r="H31" i="12"/>
  <c r="B40" i="12"/>
  <c r="H40" i="12"/>
  <c r="R126" i="12"/>
  <c r="L126" i="12"/>
  <c r="I25" i="12"/>
  <c r="I28" i="12"/>
  <c r="H28" i="12"/>
  <c r="P284" i="12" l="1"/>
  <c r="L284" i="12"/>
  <c r="P237" i="12"/>
  <c r="L237" i="12"/>
  <c r="R237" i="12"/>
  <c r="I36" i="12"/>
  <c r="F9" i="26"/>
  <c r="I44" i="12"/>
  <c r="I18" i="12"/>
  <c r="B34" i="12"/>
  <c r="P309" i="12"/>
  <c r="Q11" i="26"/>
  <c r="P65" i="12"/>
  <c r="R309" i="12"/>
  <c r="E344" i="12"/>
  <c r="L65" i="12"/>
  <c r="R165" i="12"/>
  <c r="L165" i="12"/>
  <c r="P165" i="12"/>
  <c r="P188" i="12"/>
  <c r="R188" i="12"/>
  <c r="L188" i="12"/>
  <c r="P10" i="12"/>
  <c r="O10" i="12"/>
  <c r="L10" i="12"/>
  <c r="R297" i="12"/>
  <c r="L297" i="12"/>
  <c r="P297" i="12"/>
  <c r="P336" i="12"/>
  <c r="R336" i="12"/>
  <c r="L336" i="12"/>
  <c r="L177" i="12"/>
  <c r="P177" i="12"/>
  <c r="R177" i="12"/>
  <c r="R308" i="12"/>
  <c r="L308" i="12"/>
  <c r="P308" i="12"/>
  <c r="D12" i="12"/>
  <c r="D13" i="12" s="1"/>
  <c r="D14" i="12" s="1"/>
  <c r="D15" i="12" s="1"/>
  <c r="D16" i="12" s="1"/>
  <c r="D17" i="12" s="1"/>
  <c r="D18" i="12" s="1"/>
  <c r="D19" i="12" s="1"/>
  <c r="D20" i="12" s="1"/>
  <c r="D21" i="12" s="1"/>
  <c r="D22" i="12" s="1"/>
  <c r="D23" i="12" s="1"/>
  <c r="D24" i="12" s="1"/>
  <c r="D25" i="12" s="1"/>
  <c r="F12" i="12"/>
  <c r="H14" i="12"/>
  <c r="B42" i="12"/>
  <c r="H44" i="12"/>
  <c r="H39" i="12"/>
  <c r="W44" i="12"/>
  <c r="H35" i="12"/>
  <c r="H22" i="12"/>
  <c r="I29" i="12"/>
  <c r="E12" i="12"/>
  <c r="C12" i="12"/>
  <c r="C13" i="12" s="1"/>
  <c r="C14" i="12" s="1"/>
  <c r="C15" i="12" s="1"/>
  <c r="C16" i="12" s="1"/>
  <c r="C17" i="12" s="1"/>
  <c r="C18" i="12" s="1"/>
  <c r="C19" i="12" s="1"/>
  <c r="C20" i="12" s="1"/>
  <c r="C21" i="12" s="1"/>
  <c r="C22" i="12" s="1"/>
  <c r="C23" i="12" s="1"/>
  <c r="J13" i="11"/>
  <c r="F13" i="11"/>
  <c r="W20" i="12"/>
  <c r="R284" i="12"/>
  <c r="W12" i="12"/>
  <c r="C20" i="11" s="1"/>
  <c r="K13" i="11"/>
  <c r="N11" i="11" s="1"/>
  <c r="H42" i="12"/>
  <c r="I42" i="12"/>
  <c r="B28" i="12"/>
  <c r="W30" i="12"/>
  <c r="I38" i="12"/>
  <c r="L238" i="12"/>
  <c r="P238" i="12"/>
  <c r="R238" i="12"/>
  <c r="L164" i="12"/>
  <c r="R164" i="12"/>
  <c r="P164" i="12"/>
  <c r="L90" i="12"/>
  <c r="P90" i="12"/>
  <c r="R90" i="12"/>
  <c r="P138" i="12"/>
  <c r="R138" i="12"/>
  <c r="L138" i="12"/>
  <c r="R189" i="12"/>
  <c r="P189" i="12"/>
  <c r="L189" i="12"/>
  <c r="L77" i="12"/>
  <c r="P77" i="12"/>
  <c r="R77" i="12"/>
  <c r="E10" i="12"/>
  <c r="H10" i="12"/>
  <c r="F166" i="12"/>
  <c r="F337" i="12"/>
  <c r="F338" i="12" s="1"/>
  <c r="F339" i="12" s="1"/>
  <c r="F340" i="12" s="1"/>
  <c r="F341" i="12" s="1"/>
  <c r="I361" i="12"/>
  <c r="E227" i="12"/>
  <c r="E228" i="12" s="1"/>
  <c r="E229" i="12" s="1"/>
  <c r="E230" i="12" s="1"/>
  <c r="E231" i="12" s="1"/>
  <c r="E232" i="12" s="1"/>
  <c r="E233" i="12" s="1"/>
  <c r="E234" i="12" s="1"/>
  <c r="E235" i="12" s="1"/>
  <c r="E236" i="12" s="1"/>
  <c r="W10" i="12"/>
  <c r="W68" i="12"/>
  <c r="H38" i="12"/>
  <c r="W98" i="12"/>
  <c r="W143" i="12"/>
  <c r="D166" i="12"/>
  <c r="D167" i="12" s="1"/>
  <c r="D168" i="12" s="1"/>
  <c r="D169" i="12" s="1"/>
  <c r="D170" i="12" s="1"/>
  <c r="D171" i="12" s="1"/>
  <c r="D172" i="12" s="1"/>
  <c r="D173" i="12" s="1"/>
  <c r="D174" i="12" s="1"/>
  <c r="D175" i="12" s="1"/>
  <c r="D176" i="12" s="1"/>
  <c r="D177" i="12" s="1"/>
  <c r="D178" i="12" s="1"/>
  <c r="D179" i="12" s="1"/>
  <c r="D180" i="12" s="1"/>
  <c r="D181" i="12" s="1"/>
  <c r="D182" i="12" s="1"/>
  <c r="D183" i="12" s="1"/>
  <c r="D184" i="12" s="1"/>
  <c r="D185" i="12" s="1"/>
  <c r="D186" i="12" s="1"/>
  <c r="D187" i="12" s="1"/>
  <c r="W186" i="12"/>
  <c r="W194" i="12"/>
  <c r="I194" i="12"/>
  <c r="H219" i="12"/>
  <c r="W265" i="12"/>
  <c r="I270" i="12"/>
  <c r="H248" i="12"/>
  <c r="W250" i="12"/>
  <c r="W287" i="12"/>
  <c r="W230" i="12"/>
  <c r="W227" i="12"/>
  <c r="H103" i="12"/>
  <c r="H361" i="12"/>
  <c r="I83" i="12"/>
  <c r="H58" i="12"/>
  <c r="I98" i="12"/>
  <c r="H115" i="12"/>
  <c r="I143" i="12"/>
  <c r="W158" i="12"/>
  <c r="W162" i="12"/>
  <c r="W171" i="12"/>
  <c r="W153" i="12"/>
  <c r="H192" i="12"/>
  <c r="I219" i="12"/>
  <c r="I265" i="12"/>
  <c r="B248" i="12"/>
  <c r="I248" i="12"/>
  <c r="I301" i="12"/>
  <c r="I287" i="12"/>
  <c r="I328" i="12"/>
  <c r="I349" i="12"/>
  <c r="B344" i="12"/>
  <c r="I337" i="12"/>
  <c r="H253" i="12"/>
  <c r="H325" i="12"/>
  <c r="B352" i="12"/>
  <c r="B103" i="12"/>
  <c r="H204" i="12"/>
  <c r="W76" i="12"/>
  <c r="B60" i="12"/>
  <c r="I106" i="12"/>
  <c r="G125" i="12"/>
  <c r="B121" i="12"/>
  <c r="B111" i="12"/>
  <c r="I158" i="12"/>
  <c r="I162" i="12"/>
  <c r="H166" i="12"/>
  <c r="I171" i="12"/>
  <c r="B171" i="12"/>
  <c r="W221" i="12"/>
  <c r="W208" i="12"/>
  <c r="B211" i="12"/>
  <c r="I230" i="12"/>
  <c r="H243" i="12"/>
  <c r="W253" i="12"/>
  <c r="H287" i="12"/>
  <c r="I277" i="12"/>
  <c r="B274" i="12"/>
  <c r="H346" i="12"/>
  <c r="H349" i="12"/>
  <c r="B340" i="12"/>
  <c r="B325" i="12"/>
  <c r="W103" i="12"/>
  <c r="B204" i="12"/>
  <c r="R10" i="12"/>
  <c r="T10" i="12" s="1"/>
  <c r="U10" i="12" s="1"/>
  <c r="E40" i="12"/>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W23" i="12"/>
  <c r="H21" i="12"/>
  <c r="W41" i="12"/>
  <c r="W51" i="12"/>
  <c r="I58" i="12"/>
  <c r="I66" i="12"/>
  <c r="I71" i="12"/>
  <c r="E78" i="12"/>
  <c r="E79" i="12" s="1"/>
  <c r="E80" i="12" s="1"/>
  <c r="E81" i="12" s="1"/>
  <c r="E82" i="12" s="1"/>
  <c r="E83" i="12" s="1"/>
  <c r="E84" i="12" s="1"/>
  <c r="E85" i="12" s="1"/>
  <c r="E86" i="12" s="1"/>
  <c r="E87" i="12" s="1"/>
  <c r="E88" i="12" s="1"/>
  <c r="I94" i="12"/>
  <c r="I102" i="12"/>
  <c r="W109" i="12"/>
  <c r="E125" i="12"/>
  <c r="W137" i="12"/>
  <c r="B72" i="12"/>
  <c r="H96" i="12"/>
  <c r="W169" i="12"/>
  <c r="W184" i="12"/>
  <c r="B158" i="12"/>
  <c r="B181" i="12"/>
  <c r="B192" i="12"/>
  <c r="I221" i="12"/>
  <c r="H211" i="12"/>
  <c r="B243" i="12"/>
  <c r="I295" i="12"/>
  <c r="H315" i="12"/>
  <c r="B228" i="12"/>
  <c r="H304" i="12"/>
  <c r="I250" i="12"/>
  <c r="B200" i="12"/>
  <c r="W310" i="12"/>
  <c r="G244" i="12"/>
  <c r="G245" i="12" s="1"/>
  <c r="G246" i="12" s="1"/>
  <c r="G247" i="12" s="1"/>
  <c r="G248" i="12" s="1"/>
  <c r="G249" i="12" s="1"/>
  <c r="G250" i="12" s="1"/>
  <c r="G251" i="12" s="1"/>
  <c r="G252" i="12" s="1"/>
  <c r="G253" i="12" s="1"/>
  <c r="G254" i="12" s="1"/>
  <c r="G255" i="12" s="1"/>
  <c r="G256" i="12" s="1"/>
  <c r="G257" i="12" s="1"/>
  <c r="G258" i="12" s="1"/>
  <c r="G259" i="12" s="1"/>
  <c r="G260" i="12" s="1"/>
  <c r="G261" i="12" s="1"/>
  <c r="G262" i="12" s="1"/>
  <c r="G263" i="12" s="1"/>
  <c r="G264" i="12" s="1"/>
  <c r="G265" i="12" s="1"/>
  <c r="G266" i="12" s="1"/>
  <c r="G267" i="12" s="1"/>
  <c r="G268" i="12" s="1"/>
  <c r="G269" i="12" s="1"/>
  <c r="G270" i="12" s="1"/>
  <c r="G271" i="12" s="1"/>
  <c r="N11" i="26"/>
  <c r="R11" i="26" s="1"/>
  <c r="Q8" i="26" s="1"/>
  <c r="F10" i="12"/>
  <c r="I20" i="12"/>
  <c r="I41" i="12"/>
  <c r="W45" i="12"/>
  <c r="I72" i="12"/>
  <c r="B21" i="12"/>
  <c r="I109" i="12"/>
  <c r="I121" i="12"/>
  <c r="D125" i="12"/>
  <c r="D126" i="12" s="1"/>
  <c r="D127" i="12" s="1"/>
  <c r="D128" i="12" s="1"/>
  <c r="D129" i="12" s="1"/>
  <c r="D130" i="12" s="1"/>
  <c r="D131" i="12" s="1"/>
  <c r="D132" i="12" s="1"/>
  <c r="D133" i="12" s="1"/>
  <c r="D134" i="12" s="1"/>
  <c r="D135" i="12" s="1"/>
  <c r="D136" i="12" s="1"/>
  <c r="D137" i="12" s="1"/>
  <c r="D138" i="12" s="1"/>
  <c r="I137" i="12"/>
  <c r="H66" i="12"/>
  <c r="H72" i="12"/>
  <c r="B19" i="12"/>
  <c r="H150" i="12"/>
  <c r="I169" i="12"/>
  <c r="W223" i="12"/>
  <c r="I236" i="12"/>
  <c r="I228" i="12"/>
  <c r="W243" i="12"/>
  <c r="I306" i="12"/>
  <c r="I325" i="12"/>
  <c r="H306" i="12"/>
  <c r="W358" i="12"/>
  <c r="W344" i="12"/>
  <c r="W75" i="12"/>
  <c r="B75" i="12"/>
  <c r="E240" i="12"/>
  <c r="E241" i="12" s="1"/>
  <c r="E242" i="12" s="1"/>
  <c r="E243" i="12" s="1"/>
  <c r="E286" i="12"/>
  <c r="H206" i="12"/>
  <c r="W202" i="12"/>
  <c r="B341" i="12"/>
  <c r="W319" i="12"/>
  <c r="G10" i="12"/>
  <c r="F127" i="12"/>
  <c r="I155" i="12"/>
  <c r="W160" i="12"/>
  <c r="I166" i="12"/>
  <c r="H145" i="12"/>
  <c r="W268" i="12"/>
  <c r="W306" i="12"/>
  <c r="I358" i="12"/>
  <c r="I75" i="12"/>
  <c r="W206" i="12"/>
  <c r="H341" i="12"/>
  <c r="I13" i="11"/>
  <c r="E13" i="11"/>
  <c r="R33" i="12"/>
  <c r="E190" i="12"/>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F20" i="11"/>
  <c r="H20" i="11"/>
  <c r="W13" i="12"/>
  <c r="M21" i="11" s="1"/>
  <c r="D358" i="12"/>
  <c r="Y192" i="12"/>
  <c r="Y287" i="12"/>
  <c r="P287" i="12" s="1"/>
  <c r="Y166" i="12"/>
  <c r="O166" i="12" s="1"/>
  <c r="Y232" i="12"/>
  <c r="P232" i="12" s="1"/>
  <c r="Y127" i="12"/>
  <c r="Y290" i="12"/>
  <c r="Y174" i="12"/>
  <c r="Y171" i="12"/>
  <c r="R171" i="12" s="1"/>
  <c r="T171" i="12" s="1"/>
  <c r="U171" i="12" s="1"/>
  <c r="Y183" i="12"/>
  <c r="R183" i="12" s="1"/>
  <c r="T183" i="12" s="1"/>
  <c r="U183" i="12" s="1"/>
  <c r="Y91" i="12"/>
  <c r="R91" i="12" s="1"/>
  <c r="T91" i="12" s="1"/>
  <c r="U91" i="12" s="1"/>
  <c r="Y96" i="12"/>
  <c r="Y345" i="12"/>
  <c r="Y231" i="12"/>
  <c r="Y172" i="12"/>
  <c r="Y350" i="12"/>
  <c r="Y79" i="12"/>
  <c r="R79" i="12" s="1"/>
  <c r="T79" i="12" s="1"/>
  <c r="U79" i="12" s="1"/>
  <c r="Y195" i="12"/>
  <c r="R195" i="12" s="1"/>
  <c r="T195" i="12" s="1"/>
  <c r="U195" i="12" s="1"/>
  <c r="Y66" i="12"/>
  <c r="P66" i="12" s="1"/>
  <c r="Y190" i="12"/>
  <c r="O190" i="12" s="1"/>
  <c r="Y141" i="12"/>
  <c r="O141" i="12" s="1"/>
  <c r="Y240" i="12"/>
  <c r="Y34" i="12"/>
  <c r="Y71" i="12"/>
  <c r="P71" i="12" s="1"/>
  <c r="Y142" i="12"/>
  <c r="L142" i="12" s="1"/>
  <c r="Y40" i="12"/>
  <c r="L40" i="12" s="1"/>
  <c r="Y15" i="12"/>
  <c r="Y302" i="12"/>
  <c r="O302" i="12" s="1"/>
  <c r="Y191" i="12"/>
  <c r="Y145" i="12"/>
  <c r="Y198" i="12"/>
  <c r="Y274" i="12"/>
  <c r="Y20" i="12"/>
  <c r="Y314" i="12"/>
  <c r="O314" i="12" s="1"/>
  <c r="Y318" i="12"/>
  <c r="R318" i="12" s="1"/>
  <c r="T318" i="12" s="1"/>
  <c r="U318" i="12" s="1"/>
  <c r="Y347" i="12"/>
  <c r="L347" i="12" s="1"/>
  <c r="Y68" i="12"/>
  <c r="R68" i="12" s="1"/>
  <c r="T68" i="12" s="1"/>
  <c r="U68" i="12" s="1"/>
  <c r="D310" i="12"/>
  <c r="D311" i="12" s="1"/>
  <c r="D312" i="12" s="1"/>
  <c r="D313" i="12" s="1"/>
  <c r="D314" i="12" s="1"/>
  <c r="D315" i="12" s="1"/>
  <c r="D316" i="12" s="1"/>
  <c r="D317" i="12" s="1"/>
  <c r="D318" i="12" s="1"/>
  <c r="D319" i="12" s="1"/>
  <c r="D320" i="12" s="1"/>
  <c r="D321" i="12" s="1"/>
  <c r="D322" i="12" s="1"/>
  <c r="D323" i="12" s="1"/>
  <c r="D324" i="12" s="1"/>
  <c r="D325" i="12" s="1"/>
  <c r="D326" i="12" s="1"/>
  <c r="D327" i="12" s="1"/>
  <c r="D328" i="12" s="1"/>
  <c r="D329" i="12" s="1"/>
  <c r="D330" i="12" s="1"/>
  <c r="D331" i="12" s="1"/>
  <c r="D332" i="12" s="1"/>
  <c r="D333" i="12" s="1"/>
  <c r="D334" i="12" s="1"/>
  <c r="D335" i="12" s="1"/>
  <c r="D336" i="12" s="1"/>
  <c r="D337" i="12" s="1"/>
  <c r="D338" i="12" s="1"/>
  <c r="D339" i="12" s="1"/>
  <c r="Y74" i="12"/>
  <c r="R74" i="12" s="1"/>
  <c r="T74" i="12" s="1"/>
  <c r="U74" i="12" s="1"/>
  <c r="H13" i="11"/>
  <c r="Y360" i="12"/>
  <c r="Y143" i="12"/>
  <c r="R143" i="12" s="1"/>
  <c r="T143" i="12" s="1"/>
  <c r="U143" i="12" s="1"/>
  <c r="Y239" i="12"/>
  <c r="Y78" i="12"/>
  <c r="P78" i="12" s="1"/>
  <c r="Y288" i="12"/>
  <c r="O288" i="12" s="1"/>
  <c r="Y313" i="12"/>
  <c r="P313" i="12" s="1"/>
  <c r="Y140" i="12"/>
  <c r="L140" i="12" s="1"/>
  <c r="Y315" i="12"/>
  <c r="O315" i="12" s="1"/>
  <c r="F358" i="12"/>
  <c r="F359" i="12" s="1"/>
  <c r="F360" i="12" s="1"/>
  <c r="F361" i="12" s="1"/>
  <c r="F362" i="12" s="1"/>
  <c r="F363" i="12" s="1"/>
  <c r="F364" i="12" s="1"/>
  <c r="F365" i="12" s="1"/>
  <c r="F366" i="12" s="1"/>
  <c r="K13" i="12"/>
  <c r="Y346" i="12"/>
  <c r="M11" i="11"/>
  <c r="Y301" i="12"/>
  <c r="Y359" i="12"/>
  <c r="Y67" i="12"/>
  <c r="O67" i="12" s="1"/>
  <c r="Y35" i="12"/>
  <c r="O35" i="12" s="1"/>
  <c r="Y84" i="12"/>
  <c r="L84" i="12" s="1"/>
  <c r="Y98" i="12"/>
  <c r="Y299" i="12"/>
  <c r="Y250" i="12"/>
  <c r="E245" i="12"/>
  <c r="T11" i="26"/>
  <c r="B13" i="11"/>
  <c r="S13" i="11" s="1"/>
  <c r="K12" i="12"/>
  <c r="L18" i="11" s="1"/>
  <c r="Y279" i="12"/>
  <c r="L11" i="11"/>
  <c r="L12" i="12"/>
  <c r="Y230" i="12"/>
  <c r="Y298" i="12"/>
  <c r="Y213" i="12"/>
  <c r="O213" i="12" s="1"/>
  <c r="Y229" i="12"/>
  <c r="R229" i="12" s="1"/>
  <c r="T229" i="12" s="1"/>
  <c r="U229" i="12" s="1"/>
  <c r="Y252" i="12"/>
  <c r="P252" i="12" s="1"/>
  <c r="Y319" i="12"/>
  <c r="L319" i="12" s="1"/>
  <c r="Y73" i="12"/>
  <c r="R73" i="12" s="1"/>
  <c r="T73" i="12" s="1"/>
  <c r="U73" i="12" s="1"/>
  <c r="H273" i="12"/>
  <c r="Y178" i="12"/>
  <c r="Y14" i="12"/>
  <c r="P14" i="12" s="1"/>
  <c r="Y128" i="12"/>
  <c r="O128" i="12" s="1"/>
  <c r="Y348" i="12"/>
  <c r="Y242" i="12"/>
  <c r="Y275" i="12"/>
  <c r="Y351" i="12"/>
  <c r="O351" i="12" s="1"/>
  <c r="Y249" i="12"/>
  <c r="P249" i="12" s="1"/>
  <c r="Y291" i="12"/>
  <c r="Y38" i="12"/>
  <c r="P38" i="12" s="1"/>
  <c r="Y109" i="12"/>
  <c r="Y269" i="12"/>
  <c r="Y327" i="12"/>
  <c r="O327" i="12" s="1"/>
  <c r="Y117" i="12"/>
  <c r="Y54" i="12"/>
  <c r="L74" i="12"/>
  <c r="Y70" i="12"/>
  <c r="Y50" i="12"/>
  <c r="Y47" i="12"/>
  <c r="Y86" i="12"/>
  <c r="Y218" i="12"/>
  <c r="P218" i="12" s="1"/>
  <c r="Y52" i="12"/>
  <c r="Y235" i="12"/>
  <c r="Y56" i="12"/>
  <c r="Y147" i="12"/>
  <c r="Y110" i="12"/>
  <c r="P110" i="12" s="1"/>
  <c r="Y214" i="12"/>
  <c r="Y202" i="12"/>
  <c r="Y366" i="12"/>
  <c r="Y261" i="12"/>
  <c r="U13" i="11"/>
  <c r="L229" i="12"/>
  <c r="O143" i="12"/>
  <c r="L240" i="12"/>
  <c r="R240" i="12"/>
  <c r="T240" i="12" s="1"/>
  <c r="U240" i="12" s="1"/>
  <c r="AE13" i="11"/>
  <c r="V11" i="11"/>
  <c r="Y267" i="12"/>
  <c r="Y170" i="12"/>
  <c r="X11" i="11"/>
  <c r="M18" i="11"/>
  <c r="O127" i="12"/>
  <c r="P127" i="12"/>
  <c r="Y326" i="12"/>
  <c r="P74" i="12"/>
  <c r="L67" i="12"/>
  <c r="Y163" i="12"/>
  <c r="O178" i="12"/>
  <c r="P178" i="12"/>
  <c r="R140" i="12"/>
  <c r="T140" i="12" s="1"/>
  <c r="U140" i="12" s="1"/>
  <c r="P230" i="12"/>
  <c r="R230" i="12"/>
  <c r="T230" i="12" s="1"/>
  <c r="U230" i="12" s="1"/>
  <c r="R78" i="12"/>
  <c r="T78" i="12" s="1"/>
  <c r="U78" i="12" s="1"/>
  <c r="L78" i="12"/>
  <c r="O78" i="12"/>
  <c r="Y139" i="12"/>
  <c r="Y358" i="12"/>
  <c r="Y280" i="12"/>
  <c r="Y247" i="12"/>
  <c r="P247" i="12" s="1"/>
  <c r="Y220" i="12"/>
  <c r="Y132" i="12"/>
  <c r="Y72" i="12"/>
  <c r="Y16" i="12"/>
  <c r="Y196" i="12"/>
  <c r="Y245" i="12"/>
  <c r="Y19" i="12"/>
  <c r="Y173" i="12"/>
  <c r="Y39" i="12"/>
  <c r="Y286" i="12"/>
  <c r="Y197" i="12"/>
  <c r="Y129" i="12"/>
  <c r="Y181" i="12"/>
  <c r="Y134" i="12"/>
  <c r="Y113" i="12"/>
  <c r="Y146" i="12"/>
  <c r="Y94" i="12"/>
  <c r="Y80" i="12"/>
  <c r="Y362" i="12"/>
  <c r="Y187" i="12"/>
  <c r="Y365" i="12"/>
  <c r="Y81" i="12"/>
  <c r="Y339" i="12"/>
  <c r="Y83" i="12"/>
  <c r="Y93" i="12"/>
  <c r="Y130" i="12"/>
  <c r="L130" i="12" s="1"/>
  <c r="Y162" i="12"/>
  <c r="L162" i="12" s="1"/>
  <c r="Y337" i="12"/>
  <c r="Y361" i="12"/>
  <c r="Y199" i="12"/>
  <c r="Y276" i="12"/>
  <c r="Y349" i="12"/>
  <c r="Y255" i="12"/>
  <c r="Y295" i="12"/>
  <c r="Y82" i="12"/>
  <c r="Y75" i="12"/>
  <c r="Y22" i="12"/>
  <c r="Y37" i="12"/>
  <c r="Y92" i="12"/>
  <c r="Y248" i="12"/>
  <c r="Y251" i="12"/>
  <c r="Y289" i="12"/>
  <c r="Y363" i="12"/>
  <c r="Y246" i="12"/>
  <c r="Y317" i="12"/>
  <c r="Y311" i="12"/>
  <c r="Y18" i="12"/>
  <c r="Y338" i="12"/>
  <c r="Y180" i="12"/>
  <c r="Y24" i="12"/>
  <c r="O24" i="12" s="1"/>
  <c r="Y131" i="12"/>
  <c r="Y310" i="12"/>
  <c r="Y168" i="12"/>
  <c r="Y36" i="12"/>
  <c r="Y364" i="12"/>
  <c r="Y179" i="12"/>
  <c r="Y233" i="12"/>
  <c r="Y41" i="12"/>
  <c r="Y97" i="12"/>
  <c r="Y312" i="12"/>
  <c r="Y62" i="12"/>
  <c r="Y253" i="12"/>
  <c r="Y292" i="12"/>
  <c r="Y193" i="12"/>
  <c r="Y243" i="12"/>
  <c r="Y95" i="12"/>
  <c r="Y277" i="12"/>
  <c r="Y184" i="12"/>
  <c r="Y316" i="12"/>
  <c r="Y303" i="12"/>
  <c r="Y209" i="12"/>
  <c r="Y144" i="12"/>
  <c r="Y182" i="12"/>
  <c r="L250" i="12"/>
  <c r="Y121" i="12"/>
  <c r="Y344" i="12"/>
  <c r="Y228" i="12"/>
  <c r="Y241" i="12"/>
  <c r="O241" i="12" s="1"/>
  <c r="Y227" i="12"/>
  <c r="Y137" i="12"/>
  <c r="R137" i="12" s="1"/>
  <c r="T137" i="12" s="1"/>
  <c r="U137" i="12" s="1"/>
  <c r="Y167" i="12"/>
  <c r="O167" i="12" s="1"/>
  <c r="Y300" i="12"/>
  <c r="Y224" i="12"/>
  <c r="Y133" i="12"/>
  <c r="Y194" i="12"/>
  <c r="Y304" i="12"/>
  <c r="Y278" i="12"/>
  <c r="P278" i="12" s="1"/>
  <c r="E287" i="12"/>
  <c r="E288" i="12" s="1"/>
  <c r="E289" i="12" s="1"/>
  <c r="E290" i="12" s="1"/>
  <c r="E291" i="12" s="1"/>
  <c r="E292" i="12" s="1"/>
  <c r="E293" i="12" s="1"/>
  <c r="E294" i="12" s="1"/>
  <c r="E295" i="12" s="1"/>
  <c r="E296" i="12" s="1"/>
  <c r="Y101" i="12"/>
  <c r="Q9" i="11"/>
  <c r="R9" i="11" s="1"/>
  <c r="S9" i="11" s="1"/>
  <c r="T9" i="11" s="1"/>
  <c r="U9" i="11" s="1"/>
  <c r="V9" i="11" s="1"/>
  <c r="W9" i="11" s="1"/>
  <c r="X9" i="11" s="1"/>
  <c r="Y9" i="11" s="1"/>
  <c r="Z9" i="11" s="1"/>
  <c r="AA9" i="11" s="1"/>
  <c r="AB9" i="11" s="1"/>
  <c r="AC9" i="11" s="1"/>
  <c r="AD9" i="11" s="1"/>
  <c r="AE9" i="11" s="1"/>
  <c r="AF9" i="11" s="1"/>
  <c r="AG9" i="11" s="1"/>
  <c r="AH9" i="11" s="1"/>
  <c r="AI9" i="11" s="1"/>
  <c r="AJ9" i="11" s="1"/>
  <c r="AK9" i="11" s="1"/>
  <c r="AL9" i="11" s="1"/>
  <c r="AM9" i="11" s="1"/>
  <c r="A89" i="11"/>
  <c r="D340" i="12"/>
  <c r="D341" i="12" s="1"/>
  <c r="C24" i="12"/>
  <c r="I126" i="12"/>
  <c r="D139" i="12"/>
  <c r="D236" i="12"/>
  <c r="H189" i="12" s="1"/>
  <c r="D298" i="12"/>
  <c r="I285" i="12"/>
  <c r="I273" i="12"/>
  <c r="Y58" i="12"/>
  <c r="Y53" i="12"/>
  <c r="Y60" i="12"/>
  <c r="R113" i="12"/>
  <c r="T113" i="12" s="1"/>
  <c r="U113" i="12" s="1"/>
  <c r="I189" i="12"/>
  <c r="Y222" i="12"/>
  <c r="Y321" i="12"/>
  <c r="Y119" i="12"/>
  <c r="Y135" i="12"/>
  <c r="Y28" i="12"/>
  <c r="Y153" i="12"/>
  <c r="Y99" i="12"/>
  <c r="Y51" i="12"/>
  <c r="D93" i="12"/>
  <c r="D241" i="12"/>
  <c r="Y296" i="12"/>
  <c r="Y341" i="12"/>
  <c r="Y204" i="12"/>
  <c r="Y118" i="12"/>
  <c r="Y260" i="12"/>
  <c r="Y221" i="12"/>
  <c r="Y212" i="12"/>
  <c r="Y42" i="12"/>
  <c r="Y123" i="12"/>
  <c r="Y112" i="12"/>
  <c r="Y331" i="12"/>
  <c r="Y87" i="12"/>
  <c r="Y330" i="12"/>
  <c r="Y32" i="12"/>
  <c r="Y148" i="12"/>
  <c r="Y157" i="12"/>
  <c r="Y61" i="12"/>
  <c r="Y223" i="12"/>
  <c r="Y136" i="12"/>
  <c r="Y307" i="12"/>
  <c r="Y88" i="12"/>
  <c r="Y31" i="12"/>
  <c r="Y355" i="12"/>
  <c r="Y282" i="12"/>
  <c r="Y55" i="12"/>
  <c r="Y30" i="12"/>
  <c r="Y201" i="12"/>
  <c r="Y160" i="12"/>
  <c r="Y49" i="12"/>
  <c r="Y150" i="12"/>
  <c r="Y354" i="12"/>
  <c r="Y268" i="12"/>
  <c r="Y116" i="12"/>
  <c r="Y322" i="12"/>
  <c r="Y111" i="12"/>
  <c r="Y29" i="12"/>
  <c r="Y43" i="12"/>
  <c r="Y257" i="12"/>
  <c r="Y206" i="12"/>
  <c r="Y122" i="12"/>
  <c r="Y21" i="12"/>
  <c r="Y169" i="12"/>
  <c r="Y107" i="12"/>
  <c r="Y151" i="12"/>
  <c r="Y108" i="12"/>
  <c r="Y76" i="12"/>
  <c r="Y175" i="12"/>
  <c r="Y85" i="12"/>
  <c r="Y323" i="12"/>
  <c r="Y103" i="12"/>
  <c r="Y124" i="12"/>
  <c r="Y264" i="12"/>
  <c r="Y210" i="12"/>
  <c r="Y69" i="12"/>
  <c r="Y59" i="12"/>
  <c r="Y211" i="12"/>
  <c r="Y306" i="12"/>
  <c r="Y352" i="12"/>
  <c r="Y335" i="12"/>
  <c r="Y324" i="12"/>
  <c r="Y215" i="12"/>
  <c r="Y208" i="12"/>
  <c r="Y283" i="12"/>
  <c r="Y154" i="12"/>
  <c r="Y104" i="12"/>
  <c r="Y120" i="12"/>
  <c r="Y262" i="12"/>
  <c r="Y149" i="12"/>
  <c r="Y158" i="12"/>
  <c r="Y234" i="12"/>
  <c r="Y25" i="12"/>
  <c r="Y320" i="12"/>
  <c r="Y217" i="12"/>
  <c r="Y185" i="12"/>
  <c r="Y329" i="12"/>
  <c r="Y325" i="12"/>
  <c r="Y271" i="12"/>
  <c r="Y152" i="12"/>
  <c r="Y263" i="12"/>
  <c r="Y219" i="12"/>
  <c r="Y258" i="12"/>
  <c r="Y57" i="12"/>
  <c r="Y105" i="12"/>
  <c r="Y333" i="12"/>
  <c r="Y207" i="12"/>
  <c r="Y102" i="12"/>
  <c r="Y27" i="12"/>
  <c r="Y161" i="12"/>
  <c r="Y266" i="12"/>
  <c r="Y23" i="12"/>
  <c r="Y265" i="12"/>
  <c r="Y294" i="12"/>
  <c r="Y63" i="12"/>
  <c r="Y236" i="12"/>
  <c r="Y100" i="12"/>
  <c r="Y106" i="12"/>
  <c r="Y114" i="12"/>
  <c r="Y256" i="12"/>
  <c r="Y115" i="12"/>
  <c r="Y259" i="12"/>
  <c r="Y334" i="12"/>
  <c r="Y353" i="12"/>
  <c r="Y44" i="12"/>
  <c r="Y46" i="12"/>
  <c r="Y332" i="12"/>
  <c r="Y186" i="12"/>
  <c r="Y205" i="12"/>
  <c r="Y159" i="12"/>
  <c r="Y26" i="12"/>
  <c r="Y216" i="12"/>
  <c r="Y203" i="12"/>
  <c r="Y156" i="12"/>
  <c r="Y200" i="12"/>
  <c r="Y305" i="12"/>
  <c r="Y270" i="12"/>
  <c r="Y45" i="12"/>
  <c r="Y48" i="12"/>
  <c r="Y328" i="12"/>
  <c r="P163" i="12"/>
  <c r="L71" i="12"/>
  <c r="O250" i="12"/>
  <c r="Y176" i="12"/>
  <c r="Y281" i="12"/>
  <c r="R71" i="12"/>
  <c r="T71" i="12" s="1"/>
  <c r="U71" i="12" s="1"/>
  <c r="Y340" i="12"/>
  <c r="Y254" i="12"/>
  <c r="Y155" i="12"/>
  <c r="R141" i="12"/>
  <c r="T141" i="12" s="1"/>
  <c r="U141" i="12" s="1"/>
  <c r="H43" i="12"/>
  <c r="B43" i="12"/>
  <c r="I43" i="12"/>
  <c r="W43" i="12"/>
  <c r="H56" i="12"/>
  <c r="I56" i="12"/>
  <c r="B56" i="12"/>
  <c r="W56" i="12"/>
  <c r="H63" i="12"/>
  <c r="B63" i="12"/>
  <c r="I63" i="12"/>
  <c r="W63" i="12"/>
  <c r="R178" i="12"/>
  <c r="T178" i="12" s="1"/>
  <c r="U178" i="12" s="1"/>
  <c r="B9" i="26"/>
  <c r="J9" i="26"/>
  <c r="E9" i="26"/>
  <c r="S9" i="26" s="1"/>
  <c r="M9" i="26"/>
  <c r="H9" i="26"/>
  <c r="D9" i="26"/>
  <c r="K9" i="26"/>
  <c r="C9" i="26"/>
  <c r="L9" i="26"/>
  <c r="W26" i="12"/>
  <c r="D26" i="12"/>
  <c r="I26" i="12"/>
  <c r="I113" i="12"/>
  <c r="W113" i="12"/>
  <c r="H113" i="12"/>
  <c r="B113" i="12"/>
  <c r="B26" i="12"/>
  <c r="L128" i="12"/>
  <c r="G9" i="26"/>
  <c r="R280" i="12"/>
  <c r="T280" i="12" s="1"/>
  <c r="U280" i="12" s="1"/>
  <c r="L280" i="12"/>
  <c r="F43" i="12"/>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Y293" i="12"/>
  <c r="Y17" i="12"/>
  <c r="Y225" i="12"/>
  <c r="L178" i="12"/>
  <c r="D10" i="12"/>
  <c r="K10" i="12" s="1"/>
  <c r="B14" i="12"/>
  <c r="W15" i="12"/>
  <c r="B36" i="12"/>
  <c r="G36" i="12"/>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W36" i="12"/>
  <c r="H76" i="12"/>
  <c r="I76" i="12"/>
  <c r="H80" i="12"/>
  <c r="B80" i="12"/>
  <c r="H97" i="12"/>
  <c r="I97" i="12"/>
  <c r="B97" i="12"/>
  <c r="B61" i="12"/>
  <c r="W61" i="12"/>
  <c r="W69" i="12"/>
  <c r="B69" i="12"/>
  <c r="B95" i="12"/>
  <c r="H95" i="12"/>
  <c r="W46" i="12"/>
  <c r="B46" i="12"/>
  <c r="D64" i="12"/>
  <c r="D65" i="12" s="1"/>
  <c r="E64" i="12"/>
  <c r="G64" i="12"/>
  <c r="G92" i="12"/>
  <c r="G93" i="12" s="1"/>
  <c r="G94" i="12" s="1"/>
  <c r="G95" i="12" s="1"/>
  <c r="G96" i="12" s="1"/>
  <c r="G97" i="12" s="1"/>
  <c r="G98" i="12" s="1"/>
  <c r="G99" i="12" s="1"/>
  <c r="G100" i="12" s="1"/>
  <c r="G101" i="12" s="1"/>
  <c r="G102" i="12" s="1"/>
  <c r="G103" i="12" s="1"/>
  <c r="G104" i="12" s="1"/>
  <c r="G105" i="12" s="1"/>
  <c r="G106" i="12" s="1"/>
  <c r="G107" i="12" s="1"/>
  <c r="G108" i="12" s="1"/>
  <c r="G109" i="12" s="1"/>
  <c r="G110" i="12" s="1"/>
  <c r="G111" i="12" s="1"/>
  <c r="G112" i="12" s="1"/>
  <c r="G113" i="12" s="1"/>
  <c r="G114" i="12" s="1"/>
  <c r="G115" i="12" s="1"/>
  <c r="G116" i="12" s="1"/>
  <c r="G117" i="12" s="1"/>
  <c r="G118" i="12" s="1"/>
  <c r="G119" i="12" s="1"/>
  <c r="G120" i="12" s="1"/>
  <c r="G121" i="12" s="1"/>
  <c r="G122" i="12" s="1"/>
  <c r="G123" i="12" s="1"/>
  <c r="G124" i="12" s="1"/>
  <c r="H92" i="12"/>
  <c r="I92" i="12"/>
  <c r="F13" i="12"/>
  <c r="F14" i="12" s="1"/>
  <c r="F15" i="12" s="1"/>
  <c r="F16" i="12" s="1"/>
  <c r="F17" i="12" s="1"/>
  <c r="F18" i="12" s="1"/>
  <c r="F19" i="12" s="1"/>
  <c r="F20" i="12" s="1"/>
  <c r="F21" i="12" s="1"/>
  <c r="F22" i="12" s="1"/>
  <c r="F23" i="12" s="1"/>
  <c r="F24" i="12" s="1"/>
  <c r="F25" i="12" s="1"/>
  <c r="F26" i="12" s="1"/>
  <c r="F27" i="12" s="1"/>
  <c r="F28" i="12" s="1"/>
  <c r="F29" i="12" s="1"/>
  <c r="F30" i="12" s="1"/>
  <c r="F31" i="12" s="1"/>
  <c r="F32" i="12" s="1"/>
  <c r="E13" i="12"/>
  <c r="E14" i="12" s="1"/>
  <c r="E15" i="12" s="1"/>
  <c r="E16" i="12" s="1"/>
  <c r="E17" i="12" s="1"/>
  <c r="E18" i="12" s="1"/>
  <c r="E19" i="12" s="1"/>
  <c r="E20" i="12" s="1"/>
  <c r="E21" i="12" s="1"/>
  <c r="E22" i="12" s="1"/>
  <c r="E23" i="12" s="1"/>
  <c r="E24" i="12" s="1"/>
  <c r="E25" i="12" s="1"/>
  <c r="E26" i="12" s="1"/>
  <c r="E27" i="12" s="1"/>
  <c r="E28" i="12" s="1"/>
  <c r="E29" i="12" s="1"/>
  <c r="E30" i="12" s="1"/>
  <c r="E31" i="12" s="1"/>
  <c r="E32" i="12" s="1"/>
  <c r="B37" i="12"/>
  <c r="I37" i="12"/>
  <c r="H37" i="12"/>
  <c r="W37" i="12"/>
  <c r="I52" i="12"/>
  <c r="W52" i="12"/>
  <c r="B59" i="12"/>
  <c r="W59" i="12"/>
  <c r="B10" i="12"/>
  <c r="I10" i="12"/>
  <c r="H61" i="12"/>
  <c r="I17" i="12"/>
  <c r="H17" i="12"/>
  <c r="H25" i="12"/>
  <c r="W25" i="12"/>
  <c r="W55" i="12"/>
  <c r="B55" i="12"/>
  <c r="W62" i="12"/>
  <c r="H62" i="12"/>
  <c r="B62" i="12"/>
  <c r="W70" i="12"/>
  <c r="W54" i="12"/>
  <c r="W35" i="12"/>
  <c r="I35" i="12"/>
  <c r="I48" i="12"/>
  <c r="H48" i="12"/>
  <c r="B57" i="12"/>
  <c r="W57" i="12"/>
  <c r="H57" i="12"/>
  <c r="I119" i="12"/>
  <c r="G14" i="12"/>
  <c r="I54" i="12"/>
  <c r="I61" i="12"/>
  <c r="I69" i="12"/>
  <c r="H54" i="12"/>
  <c r="H45" i="12"/>
  <c r="B45" i="12"/>
  <c r="I53" i="12"/>
  <c r="H53" i="12"/>
  <c r="B53" i="12"/>
  <c r="I60" i="12"/>
  <c r="H60" i="12"/>
  <c r="F67" i="12"/>
  <c r="F68" i="12" s="1"/>
  <c r="F69" i="12" s="1"/>
  <c r="F70" i="12" s="1"/>
  <c r="F71" i="12" s="1"/>
  <c r="F72" i="12" s="1"/>
  <c r="F73" i="12" s="1"/>
  <c r="F74" i="12" s="1"/>
  <c r="F75" i="12" s="1"/>
  <c r="F76" i="12" s="1"/>
  <c r="I67" i="12"/>
  <c r="W67" i="12"/>
  <c r="B67" i="12"/>
  <c r="B86" i="12"/>
  <c r="H186" i="12"/>
  <c r="B298" i="12"/>
  <c r="H298" i="12"/>
  <c r="F298" i="12"/>
  <c r="F299" i="12" s="1"/>
  <c r="F300" i="12" s="1"/>
  <c r="F301" i="12" s="1"/>
  <c r="F302" i="12" s="1"/>
  <c r="F303" i="12" s="1"/>
  <c r="F304" i="12" s="1"/>
  <c r="F305" i="12" s="1"/>
  <c r="F306" i="12" s="1"/>
  <c r="F307" i="12" s="1"/>
  <c r="B145" i="12"/>
  <c r="H205" i="12"/>
  <c r="B233" i="12"/>
  <c r="B292" i="12"/>
  <c r="W292" i="12"/>
  <c r="H271" i="12"/>
  <c r="W271" i="12"/>
  <c r="B271" i="12"/>
  <c r="I271" i="12"/>
  <c r="I186" i="12"/>
  <c r="F167" i="12"/>
  <c r="F168" i="12" s="1"/>
  <c r="F169" i="12" s="1"/>
  <c r="F170" i="12" s="1"/>
  <c r="F171" i="12" s="1"/>
  <c r="F172" i="12" s="1"/>
  <c r="F173" i="12" s="1"/>
  <c r="F174" i="12" s="1"/>
  <c r="F175" i="12" s="1"/>
  <c r="F176" i="12" s="1"/>
  <c r="W198" i="12"/>
  <c r="H198" i="12"/>
  <c r="H231" i="12"/>
  <c r="W78" i="12"/>
  <c r="I115" i="12"/>
  <c r="H127" i="12"/>
  <c r="I260" i="12"/>
  <c r="I264" i="12"/>
  <c r="H264" i="12"/>
  <c r="H269" i="12"/>
  <c r="W269" i="12"/>
  <c r="E345" i="12"/>
  <c r="E346" i="12" s="1"/>
  <c r="E347" i="12" s="1"/>
  <c r="E348" i="12" s="1"/>
  <c r="E349" i="12" s="1"/>
  <c r="E350" i="12" s="1"/>
  <c r="E351" i="12" s="1"/>
  <c r="E352" i="12" s="1"/>
  <c r="E353" i="12" s="1"/>
  <c r="E354" i="12" s="1"/>
  <c r="E355" i="12" s="1"/>
  <c r="I78" i="12"/>
  <c r="H79" i="12"/>
  <c r="H106" i="12"/>
  <c r="B106" i="12"/>
  <c r="G78" i="12"/>
  <c r="G79" i="12" s="1"/>
  <c r="G80" i="12" s="1"/>
  <c r="G81" i="12" s="1"/>
  <c r="G82" i="12" s="1"/>
  <c r="G83" i="12" s="1"/>
  <c r="G84" i="12" s="1"/>
  <c r="G85" i="12" s="1"/>
  <c r="G86" i="12" s="1"/>
  <c r="G87" i="12" s="1"/>
  <c r="G88" i="12" s="1"/>
  <c r="W87" i="12"/>
  <c r="H197" i="12"/>
  <c r="I298" i="12"/>
  <c r="W298" i="12"/>
  <c r="B198" i="12"/>
  <c r="I210" i="12"/>
  <c r="E246" i="12"/>
  <c r="E247" i="12" s="1"/>
  <c r="E248" i="12" s="1"/>
  <c r="E249" i="12" s="1"/>
  <c r="E250" i="12" s="1"/>
  <c r="E251" i="12" s="1"/>
  <c r="E252" i="12" s="1"/>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W197" i="12"/>
  <c r="H178" i="12"/>
  <c r="E178" i="12"/>
  <c r="E179" i="12" s="1"/>
  <c r="E180" i="12" s="1"/>
  <c r="E181" i="12" s="1"/>
  <c r="E182" i="12" s="1"/>
  <c r="E183" i="12" s="1"/>
  <c r="E184" i="12" s="1"/>
  <c r="E185" i="12" s="1"/>
  <c r="E186" i="12" s="1"/>
  <c r="E187" i="12" s="1"/>
  <c r="F178" i="12"/>
  <c r="F179" i="12" s="1"/>
  <c r="F180" i="12" s="1"/>
  <c r="F181" i="12" s="1"/>
  <c r="F182" i="12" s="1"/>
  <c r="F183" i="12" s="1"/>
  <c r="F184" i="12" s="1"/>
  <c r="F185" i="12" s="1"/>
  <c r="F186" i="12" s="1"/>
  <c r="F187" i="12" s="1"/>
  <c r="G178" i="12"/>
  <c r="G179" i="12" s="1"/>
  <c r="G180" i="12" s="1"/>
  <c r="G181" i="12" s="1"/>
  <c r="G182" i="12" s="1"/>
  <c r="G183" i="12" s="1"/>
  <c r="G184" i="12" s="1"/>
  <c r="G185" i="12" s="1"/>
  <c r="G186" i="12" s="1"/>
  <c r="G187" i="12" s="1"/>
  <c r="W267" i="12"/>
  <c r="H300" i="12"/>
  <c r="W300" i="12"/>
  <c r="W104" i="12"/>
  <c r="H110" i="12"/>
  <c r="F128" i="12"/>
  <c r="F129" i="12" s="1"/>
  <c r="F130" i="12" s="1"/>
  <c r="F131" i="12" s="1"/>
  <c r="F132" i="12" s="1"/>
  <c r="F133" i="12" s="1"/>
  <c r="F134" i="12" s="1"/>
  <c r="F135" i="12" s="1"/>
  <c r="F136" i="12" s="1"/>
  <c r="F137" i="12" s="1"/>
  <c r="I197" i="12"/>
  <c r="H208" i="12"/>
  <c r="G227" i="12"/>
  <c r="G228" i="12" s="1"/>
  <c r="G229" i="12" s="1"/>
  <c r="G230" i="12" s="1"/>
  <c r="G231" i="12" s="1"/>
  <c r="G232" i="12" s="1"/>
  <c r="G233" i="12" s="1"/>
  <c r="G234" i="12" s="1"/>
  <c r="G235" i="12" s="1"/>
  <c r="G236" i="12" s="1"/>
  <c r="R343" i="12"/>
  <c r="L343" i="12"/>
  <c r="H112" i="12"/>
  <c r="H203" i="12"/>
  <c r="H215" i="12"/>
  <c r="G344" i="12"/>
  <c r="G345" i="12" s="1"/>
  <c r="G346" i="12" s="1"/>
  <c r="G347" i="12" s="1"/>
  <c r="G348" i="12" s="1"/>
  <c r="G349" i="12" s="1"/>
  <c r="G350" i="12" s="1"/>
  <c r="G351" i="12" s="1"/>
  <c r="G352" i="12" s="1"/>
  <c r="G353" i="12" s="1"/>
  <c r="G354" i="12" s="1"/>
  <c r="G355" i="12" s="1"/>
  <c r="I181" i="12"/>
  <c r="W239" i="12"/>
  <c r="W242" i="12"/>
  <c r="B249" i="12"/>
  <c r="H358" i="12"/>
  <c r="W112" i="12"/>
  <c r="W203" i="12"/>
  <c r="B215" i="12"/>
  <c r="E309" i="12"/>
  <c r="E310" i="12" s="1"/>
  <c r="E311" i="12" s="1"/>
  <c r="E312" i="12" s="1"/>
  <c r="E313" i="12" s="1"/>
  <c r="E314" i="12" s="1"/>
  <c r="E315" i="12" s="1"/>
  <c r="E316" i="12" s="1"/>
  <c r="E317" i="12" s="1"/>
  <c r="E318" i="12" s="1"/>
  <c r="E319" i="12" s="1"/>
  <c r="E320" i="12" s="1"/>
  <c r="E321" i="12" s="1"/>
  <c r="E322" i="12" s="1"/>
  <c r="E323" i="12" s="1"/>
  <c r="E324" i="12" s="1"/>
  <c r="E325" i="12" s="1"/>
  <c r="E326" i="12" s="1"/>
  <c r="E327" i="12" s="1"/>
  <c r="E328" i="12" s="1"/>
  <c r="E329" i="12" s="1"/>
  <c r="E330" i="12" s="1"/>
  <c r="E331" i="12" s="1"/>
  <c r="E332" i="12" s="1"/>
  <c r="E333" i="12" s="1"/>
  <c r="E334" i="12" s="1"/>
  <c r="E335" i="12" s="1"/>
  <c r="H200" i="12"/>
  <c r="H209" i="12"/>
  <c r="W211" i="12"/>
  <c r="H270" i="12"/>
  <c r="I247" i="12"/>
  <c r="W350" i="12"/>
  <c r="F239" i="12"/>
  <c r="F240" i="12" s="1"/>
  <c r="F241" i="12" s="1"/>
  <c r="F242" i="12" s="1"/>
  <c r="F243" i="12" s="1"/>
  <c r="F286" i="12"/>
  <c r="F287" i="12" s="1"/>
  <c r="F288" i="12" s="1"/>
  <c r="F289" i="12" s="1"/>
  <c r="F290" i="12" s="1"/>
  <c r="F291" i="12" s="1"/>
  <c r="F292" i="12" s="1"/>
  <c r="F293" i="12" s="1"/>
  <c r="F294" i="12" s="1"/>
  <c r="F295" i="12" s="1"/>
  <c r="F296" i="12" s="1"/>
  <c r="G310" i="12"/>
  <c r="G311" i="12" s="1"/>
  <c r="G312" i="12" s="1"/>
  <c r="G313" i="12" s="1"/>
  <c r="G314" i="12" s="1"/>
  <c r="G315" i="12" s="1"/>
  <c r="G316" i="12" s="1"/>
  <c r="G317" i="12" s="1"/>
  <c r="G318" i="12" s="1"/>
  <c r="G319" i="12" s="1"/>
  <c r="G320" i="12" s="1"/>
  <c r="G321" i="12" s="1"/>
  <c r="G322" i="12" s="1"/>
  <c r="G323" i="12" s="1"/>
  <c r="G324" i="12" s="1"/>
  <c r="G325" i="12" s="1"/>
  <c r="G326" i="12" s="1"/>
  <c r="G327" i="12" s="1"/>
  <c r="G328" i="12" s="1"/>
  <c r="G329" i="12" s="1"/>
  <c r="G330" i="12" s="1"/>
  <c r="G331" i="12" s="1"/>
  <c r="G332" i="12" s="1"/>
  <c r="G333" i="12" s="1"/>
  <c r="G334" i="12" s="1"/>
  <c r="G335" i="12" s="1"/>
  <c r="F226" i="12"/>
  <c r="F227" i="12" s="1"/>
  <c r="F228" i="12" s="1"/>
  <c r="F229" i="12" s="1"/>
  <c r="F230" i="12" s="1"/>
  <c r="F231" i="12" s="1"/>
  <c r="F232" i="12" s="1"/>
  <c r="F233" i="12" s="1"/>
  <c r="F234" i="12" s="1"/>
  <c r="F235" i="12" s="1"/>
  <c r="F236" i="12" s="1"/>
  <c r="B319" i="12"/>
  <c r="W353" i="12"/>
  <c r="B235" i="12"/>
  <c r="D342" i="12"/>
  <c r="D343" i="12" s="1"/>
  <c r="W311" i="12"/>
  <c r="W315" i="12"/>
  <c r="W317" i="12"/>
  <c r="W320" i="12"/>
  <c r="W322" i="12"/>
  <c r="W324" i="12"/>
  <c r="W326" i="12"/>
  <c r="W328" i="12"/>
  <c r="W330" i="12"/>
  <c r="W332" i="12"/>
  <c r="W334" i="12"/>
  <c r="W312" i="12"/>
  <c r="I346" i="12"/>
  <c r="W354" i="12"/>
  <c r="W204" i="12"/>
  <c r="I353" i="12"/>
  <c r="G239" i="12"/>
  <c r="G240" i="12" s="1"/>
  <c r="G241" i="12" s="1"/>
  <c r="G242" i="12" s="1"/>
  <c r="G243" i="12" s="1"/>
  <c r="F311" i="12"/>
  <c r="F312" i="12" s="1"/>
  <c r="F313" i="12" s="1"/>
  <c r="F314" i="12" s="1"/>
  <c r="F315" i="12" s="1"/>
  <c r="F316" i="12" s="1"/>
  <c r="F317" i="12" s="1"/>
  <c r="F318" i="12" s="1"/>
  <c r="F319" i="12" s="1"/>
  <c r="F320" i="12" s="1"/>
  <c r="F321" i="12" s="1"/>
  <c r="F322" i="12" s="1"/>
  <c r="F323" i="12" s="1"/>
  <c r="F324" i="12" s="1"/>
  <c r="F325" i="12" s="1"/>
  <c r="F326" i="12" s="1"/>
  <c r="F327" i="12" s="1"/>
  <c r="F328" i="12" s="1"/>
  <c r="F329" i="12" s="1"/>
  <c r="F330" i="12" s="1"/>
  <c r="F331" i="12" s="1"/>
  <c r="F332" i="12" s="1"/>
  <c r="F333" i="12" s="1"/>
  <c r="F334" i="12" s="1"/>
  <c r="F335" i="12" s="1"/>
  <c r="I319" i="12"/>
  <c r="B100" i="12"/>
  <c r="H202" i="12"/>
  <c r="G286" i="12"/>
  <c r="G287" i="12" s="1"/>
  <c r="G288" i="12" s="1"/>
  <c r="G289" i="12" s="1"/>
  <c r="G290" i="12" s="1"/>
  <c r="G291" i="12" s="1"/>
  <c r="G292" i="12" s="1"/>
  <c r="G293" i="12" s="1"/>
  <c r="G294" i="12" s="1"/>
  <c r="G295" i="12" s="1"/>
  <c r="G296" i="12" s="1"/>
  <c r="R278" i="12" l="1"/>
  <c r="T278" i="12" s="1"/>
  <c r="U278" i="12" s="1"/>
  <c r="L278" i="12"/>
  <c r="R247" i="12"/>
  <c r="T247" i="12" s="1"/>
  <c r="U247" i="12" s="1"/>
  <c r="P327" i="12"/>
  <c r="O142" i="12"/>
  <c r="P142" i="12"/>
  <c r="R35" i="12"/>
  <c r="T35" i="12" s="1"/>
  <c r="U35" i="12" s="1"/>
  <c r="L21" i="11"/>
  <c r="R130" i="12"/>
  <c r="T130" i="12" s="1"/>
  <c r="U130" i="12" s="1"/>
  <c r="O130" i="12"/>
  <c r="D13" i="11"/>
  <c r="O232" i="12"/>
  <c r="O278" i="12"/>
  <c r="L68" i="12"/>
  <c r="O84" i="12"/>
  <c r="P347" i="12"/>
  <c r="B273" i="12"/>
  <c r="P190" i="12"/>
  <c r="R347" i="12"/>
  <c r="T347" i="12" s="1"/>
  <c r="U347" i="12" s="1"/>
  <c r="P167" i="12"/>
  <c r="R302" i="12"/>
  <c r="T302" i="12" s="1"/>
  <c r="U302" i="12" s="1"/>
  <c r="L166" i="12"/>
  <c r="O91" i="12"/>
  <c r="R167" i="12"/>
  <c r="T167" i="12" s="1"/>
  <c r="U167" i="12" s="1"/>
  <c r="AG12" i="11"/>
  <c r="O347" i="12"/>
  <c r="P166" i="12"/>
  <c r="L167" i="12"/>
  <c r="L318" i="12"/>
  <c r="P128" i="12"/>
  <c r="R166" i="12"/>
  <c r="T166" i="12" s="1"/>
  <c r="U166" i="12" s="1"/>
  <c r="C23" i="11"/>
  <c r="G20" i="11"/>
  <c r="E20" i="11"/>
  <c r="P318" i="12"/>
  <c r="P143" i="12"/>
  <c r="P130" i="12"/>
  <c r="O218" i="12"/>
  <c r="O318" i="12"/>
  <c r="L302" i="12"/>
  <c r="L143" i="12"/>
  <c r="O74" i="12"/>
  <c r="R249" i="12"/>
  <c r="T249" i="12" s="1"/>
  <c r="U249" i="12" s="1"/>
  <c r="R13" i="11"/>
  <c r="P302" i="12"/>
  <c r="P91" i="12"/>
  <c r="L91" i="12"/>
  <c r="AJ12" i="11"/>
  <c r="AF13" i="11"/>
  <c r="AH13" i="11"/>
  <c r="AH12" i="11"/>
  <c r="P195" i="12"/>
  <c r="L35" i="12"/>
  <c r="L327" i="12"/>
  <c r="P40" i="12"/>
  <c r="O79" i="12"/>
  <c r="AB13" i="11"/>
  <c r="W12" i="11"/>
  <c r="P171" i="12"/>
  <c r="L252" i="12"/>
  <c r="AI13" i="11"/>
  <c r="W11" i="11"/>
  <c r="L314" i="12"/>
  <c r="O195" i="12"/>
  <c r="P35" i="12"/>
  <c r="R252" i="12"/>
  <c r="T252" i="12" s="1"/>
  <c r="U252" i="12" s="1"/>
  <c r="AI12" i="11"/>
  <c r="AL13" i="11"/>
  <c r="O252" i="12"/>
  <c r="P11" i="11"/>
  <c r="AD12" i="11"/>
  <c r="R314" i="12"/>
  <c r="T314" i="12" s="1"/>
  <c r="U314" i="12" s="1"/>
  <c r="P13" i="11"/>
  <c r="O313" i="12"/>
  <c r="L195" i="12"/>
  <c r="P183" i="12"/>
  <c r="R213" i="12"/>
  <c r="T213" i="12" s="1"/>
  <c r="U213" i="12" s="1"/>
  <c r="AB12" i="11"/>
  <c r="T11" i="11"/>
  <c r="O71" i="12"/>
  <c r="AJ13" i="11"/>
  <c r="Z11" i="11"/>
  <c r="AB11" i="11"/>
  <c r="R313" i="12"/>
  <c r="T313" i="12" s="1"/>
  <c r="U313" i="12" s="1"/>
  <c r="L183" i="12"/>
  <c r="R327" i="12"/>
  <c r="T327" i="12" s="1"/>
  <c r="U327" i="12" s="1"/>
  <c r="R142" i="12"/>
  <c r="T142" i="12" s="1"/>
  <c r="U142" i="12" s="1"/>
  <c r="T13" i="11"/>
  <c r="X12" i="11"/>
  <c r="R128" i="12"/>
  <c r="T128" i="12" s="1"/>
  <c r="U128" i="12" s="1"/>
  <c r="AC13" i="11"/>
  <c r="R11" i="11"/>
  <c r="O183" i="12"/>
  <c r="S12" i="11"/>
  <c r="U12" i="11"/>
  <c r="P314" i="12"/>
  <c r="L249" i="12"/>
  <c r="H226" i="12"/>
  <c r="P241" i="12"/>
  <c r="L38" i="12"/>
  <c r="L313" i="12"/>
  <c r="P351" i="12"/>
  <c r="L351" i="12"/>
  <c r="P346" i="12"/>
  <c r="O346" i="12"/>
  <c r="L346" i="12"/>
  <c r="R346" i="12"/>
  <c r="T346" i="12" s="1"/>
  <c r="U346" i="12" s="1"/>
  <c r="L141" i="12"/>
  <c r="R351" i="12"/>
  <c r="T351" i="12" s="1"/>
  <c r="U351" i="12" s="1"/>
  <c r="P68" i="12"/>
  <c r="P73" i="12"/>
  <c r="P275" i="12"/>
  <c r="O275" i="12"/>
  <c r="R275" i="12"/>
  <c r="T275" i="12" s="1"/>
  <c r="U275" i="12" s="1"/>
  <c r="L275" i="12"/>
  <c r="R319" i="12"/>
  <c r="T319" i="12" s="1"/>
  <c r="U319" i="12" s="1"/>
  <c r="O319" i="12"/>
  <c r="P319" i="12"/>
  <c r="L279" i="12"/>
  <c r="P279" i="12"/>
  <c r="R279" i="12"/>
  <c r="T279" i="12" s="1"/>
  <c r="U279" i="12" s="1"/>
  <c r="O279" i="12"/>
  <c r="L98" i="12"/>
  <c r="R98" i="12"/>
  <c r="T98" i="12" s="1"/>
  <c r="U98" i="12" s="1"/>
  <c r="P98" i="12"/>
  <c r="O98" i="12"/>
  <c r="R190" i="12"/>
  <c r="T190" i="12" s="1"/>
  <c r="U190" i="12" s="1"/>
  <c r="L190" i="12"/>
  <c r="O96" i="12"/>
  <c r="P96" i="12"/>
  <c r="R96" i="12"/>
  <c r="T96" i="12" s="1"/>
  <c r="U96" i="12" s="1"/>
  <c r="L96" i="12"/>
  <c r="P191" i="12"/>
  <c r="R191" i="12"/>
  <c r="T191" i="12" s="1"/>
  <c r="U191" i="12" s="1"/>
  <c r="L191" i="12"/>
  <c r="O191" i="12"/>
  <c r="P141" i="12"/>
  <c r="L242" i="12"/>
  <c r="R242" i="12"/>
  <c r="T242" i="12" s="1"/>
  <c r="U242" i="12" s="1"/>
  <c r="P242" i="12"/>
  <c r="O242" i="12"/>
  <c r="P84" i="12"/>
  <c r="R84" i="12"/>
  <c r="T84" i="12" s="1"/>
  <c r="U84" i="12" s="1"/>
  <c r="P360" i="12"/>
  <c r="R360" i="12"/>
  <c r="T360" i="12" s="1"/>
  <c r="U360" i="12" s="1"/>
  <c r="L360" i="12"/>
  <c r="O360" i="12"/>
  <c r="L15" i="12"/>
  <c r="R15" i="12"/>
  <c r="T15" i="12" s="1"/>
  <c r="U15" i="12" s="1"/>
  <c r="O15" i="12"/>
  <c r="P15" i="12"/>
  <c r="O66" i="12"/>
  <c r="R66" i="12"/>
  <c r="T66" i="12" s="1"/>
  <c r="U66" i="12" s="1"/>
  <c r="L66" i="12"/>
  <c r="L287" i="12"/>
  <c r="R287" i="12"/>
  <c r="T287" i="12" s="1"/>
  <c r="U287" i="12" s="1"/>
  <c r="O287" i="12"/>
  <c r="R232" i="12"/>
  <c r="T232" i="12" s="1"/>
  <c r="U232" i="12" s="1"/>
  <c r="O348" i="12"/>
  <c r="P348" i="12"/>
  <c r="R348" i="12"/>
  <c r="T348" i="12" s="1"/>
  <c r="U348" i="12" s="1"/>
  <c r="L348" i="12"/>
  <c r="P229" i="12"/>
  <c r="O229" i="12"/>
  <c r="AC12" i="11"/>
  <c r="AC11" i="11"/>
  <c r="X13" i="11"/>
  <c r="AD13" i="11"/>
  <c r="AA13" i="11"/>
  <c r="AK12" i="11"/>
  <c r="Y13" i="11"/>
  <c r="AA12" i="11"/>
  <c r="AA11" i="11"/>
  <c r="Q11" i="11"/>
  <c r="AF12" i="11"/>
  <c r="P12" i="11"/>
  <c r="V13" i="11"/>
  <c r="AK13" i="11"/>
  <c r="AM11" i="11"/>
  <c r="AJ11" i="11"/>
  <c r="S11" i="11"/>
  <c r="AE12" i="11"/>
  <c r="AE11" i="11"/>
  <c r="AG11" i="11"/>
  <c r="Q12" i="11"/>
  <c r="Z13" i="11"/>
  <c r="AK11" i="11"/>
  <c r="AL11" i="11"/>
  <c r="V12" i="11"/>
  <c r="AH11" i="11"/>
  <c r="AM12" i="11"/>
  <c r="Z12" i="11"/>
  <c r="AM13" i="11"/>
  <c r="AI11" i="11"/>
  <c r="AD11" i="11"/>
  <c r="AL12" i="11"/>
  <c r="Y11" i="11"/>
  <c r="U11" i="11"/>
  <c r="W13" i="11"/>
  <c r="R12" i="11"/>
  <c r="AG13" i="11"/>
  <c r="T12" i="11"/>
  <c r="Y12" i="11"/>
  <c r="Q13" i="11"/>
  <c r="AF11" i="11"/>
  <c r="R315" i="12"/>
  <c r="T315" i="12" s="1"/>
  <c r="U315" i="12" s="1"/>
  <c r="P315" i="12"/>
  <c r="L315" i="12"/>
  <c r="R40" i="12"/>
  <c r="T40" i="12" s="1"/>
  <c r="U40" i="12" s="1"/>
  <c r="O40" i="12"/>
  <c r="L192" i="12"/>
  <c r="P192" i="12"/>
  <c r="O192" i="12"/>
  <c r="R192" i="12"/>
  <c r="T192" i="12" s="1"/>
  <c r="U192" i="12" s="1"/>
  <c r="O249" i="12"/>
  <c r="P213" i="12"/>
  <c r="L213" i="12"/>
  <c r="P67" i="12"/>
  <c r="R67" i="12"/>
  <c r="T67" i="12" s="1"/>
  <c r="U67" i="12" s="1"/>
  <c r="O140" i="12"/>
  <c r="P140" i="12"/>
  <c r="O20" i="12"/>
  <c r="P20" i="12"/>
  <c r="R20" i="12"/>
  <c r="T20" i="12" s="1"/>
  <c r="U20" i="12" s="1"/>
  <c r="L20" i="12"/>
  <c r="L79" i="12"/>
  <c r="P79" i="12"/>
  <c r="L171" i="12"/>
  <c r="O171" i="12"/>
  <c r="I165" i="12"/>
  <c r="L73" i="12"/>
  <c r="O73" i="12"/>
  <c r="O299" i="12"/>
  <c r="P299" i="12"/>
  <c r="L299" i="12"/>
  <c r="R299" i="12"/>
  <c r="T299" i="12" s="1"/>
  <c r="U299" i="12" s="1"/>
  <c r="P239" i="12"/>
  <c r="R239" i="12"/>
  <c r="T239" i="12" s="1"/>
  <c r="U239" i="12" s="1"/>
  <c r="O239" i="12"/>
  <c r="L239" i="12"/>
  <c r="R345" i="12"/>
  <c r="T345" i="12" s="1"/>
  <c r="U345" i="12" s="1"/>
  <c r="P345" i="12"/>
  <c r="L345" i="12"/>
  <c r="O345" i="12"/>
  <c r="O38" i="12"/>
  <c r="R38" i="12"/>
  <c r="T38" i="12" s="1"/>
  <c r="U38" i="12" s="1"/>
  <c r="R14" i="12"/>
  <c r="T14" i="12" s="1"/>
  <c r="U14" i="12" s="1"/>
  <c r="O14" i="12"/>
  <c r="L14" i="12"/>
  <c r="P298" i="12"/>
  <c r="R298" i="12"/>
  <c r="T298" i="12" s="1"/>
  <c r="U298" i="12" s="1"/>
  <c r="O298" i="12"/>
  <c r="L298" i="12"/>
  <c r="P359" i="12"/>
  <c r="L359" i="12"/>
  <c r="O359" i="12"/>
  <c r="R359" i="12"/>
  <c r="T359" i="12" s="1"/>
  <c r="U359" i="12" s="1"/>
  <c r="O274" i="12"/>
  <c r="P274" i="12"/>
  <c r="R274" i="12"/>
  <c r="T274" i="12" s="1"/>
  <c r="U274" i="12" s="1"/>
  <c r="L274" i="12"/>
  <c r="O350" i="12"/>
  <c r="L350" i="12"/>
  <c r="R350" i="12"/>
  <c r="T350" i="12" s="1"/>
  <c r="U350" i="12" s="1"/>
  <c r="P350" i="12"/>
  <c r="R174" i="12"/>
  <c r="T174" i="12" s="1"/>
  <c r="U174" i="12" s="1"/>
  <c r="O174" i="12"/>
  <c r="L174" i="12"/>
  <c r="P174" i="12"/>
  <c r="O291" i="12"/>
  <c r="P291" i="12"/>
  <c r="L291" i="12"/>
  <c r="R291" i="12"/>
  <c r="T291" i="12" s="1"/>
  <c r="U291" i="12" s="1"/>
  <c r="O230" i="12"/>
  <c r="L230" i="12"/>
  <c r="L301" i="12"/>
  <c r="R301" i="12"/>
  <c r="T301" i="12" s="1"/>
  <c r="U301" i="12" s="1"/>
  <c r="P301" i="12"/>
  <c r="O301" i="12"/>
  <c r="P288" i="12"/>
  <c r="R288" i="12"/>
  <c r="T288" i="12" s="1"/>
  <c r="U288" i="12" s="1"/>
  <c r="L288" i="12"/>
  <c r="I309" i="12"/>
  <c r="O198" i="12"/>
  <c r="L198" i="12"/>
  <c r="P198" i="12"/>
  <c r="R198" i="12"/>
  <c r="T198" i="12" s="1"/>
  <c r="U198" i="12" s="1"/>
  <c r="P34" i="12"/>
  <c r="R34" i="12"/>
  <c r="T34" i="12" s="1"/>
  <c r="U34" i="12" s="1"/>
  <c r="L34" i="12"/>
  <c r="O34" i="12"/>
  <c r="L172" i="12"/>
  <c r="P172" i="12"/>
  <c r="R172" i="12"/>
  <c r="T172" i="12" s="1"/>
  <c r="U172" i="12" s="1"/>
  <c r="O172" i="12"/>
  <c r="R290" i="12"/>
  <c r="T290" i="12" s="1"/>
  <c r="U290" i="12" s="1"/>
  <c r="P290" i="12"/>
  <c r="O290" i="12"/>
  <c r="L290" i="12"/>
  <c r="R10" i="11"/>
  <c r="T10" i="11" s="1"/>
  <c r="V10" i="11" s="1"/>
  <c r="X10" i="11" s="1"/>
  <c r="Z10" i="11" s="1"/>
  <c r="AB10" i="11" s="1"/>
  <c r="AD10" i="11" s="1"/>
  <c r="AF10" i="11" s="1"/>
  <c r="AH10" i="11" s="1"/>
  <c r="AJ10" i="11" s="1"/>
  <c r="AL10" i="11" s="1"/>
  <c r="O68" i="12"/>
  <c r="L232" i="12"/>
  <c r="R250" i="12"/>
  <c r="T250" i="12" s="1"/>
  <c r="U250" i="12" s="1"/>
  <c r="P250" i="12"/>
  <c r="P145" i="12"/>
  <c r="R145" i="12"/>
  <c r="T145" i="12" s="1"/>
  <c r="U145" i="12" s="1"/>
  <c r="L145" i="12"/>
  <c r="O145" i="12"/>
  <c r="P240" i="12"/>
  <c r="O240" i="12"/>
  <c r="R231" i="12"/>
  <c r="T231" i="12" s="1"/>
  <c r="U231" i="12" s="1"/>
  <c r="P231" i="12"/>
  <c r="L231" i="12"/>
  <c r="O231" i="12"/>
  <c r="L127" i="12"/>
  <c r="R127" i="12"/>
  <c r="T127" i="12" s="1"/>
  <c r="U127" i="12" s="1"/>
  <c r="D359" i="12"/>
  <c r="L194" i="12"/>
  <c r="R194" i="12"/>
  <c r="T194" i="12" s="1"/>
  <c r="U194" i="12" s="1"/>
  <c r="P194" i="12"/>
  <c r="O194" i="12"/>
  <c r="O316" i="12"/>
  <c r="R316" i="12"/>
  <c r="T316" i="12" s="1"/>
  <c r="U316" i="12" s="1"/>
  <c r="L316" i="12"/>
  <c r="P316" i="12"/>
  <c r="R22" i="12"/>
  <c r="T22" i="12" s="1"/>
  <c r="U22" i="12" s="1"/>
  <c r="O22" i="12"/>
  <c r="P22" i="12"/>
  <c r="L22" i="12"/>
  <c r="R181" i="12"/>
  <c r="T181" i="12" s="1"/>
  <c r="U181" i="12" s="1"/>
  <c r="L181" i="12"/>
  <c r="P181" i="12"/>
  <c r="O181" i="12"/>
  <c r="L139" i="12"/>
  <c r="P139" i="12"/>
  <c r="O139" i="12"/>
  <c r="R139" i="12"/>
  <c r="T139" i="12" s="1"/>
  <c r="U139" i="12" s="1"/>
  <c r="P133" i="12"/>
  <c r="R133" i="12"/>
  <c r="T133" i="12" s="1"/>
  <c r="U133" i="12" s="1"/>
  <c r="O133" i="12"/>
  <c r="L133" i="12"/>
  <c r="P344" i="12"/>
  <c r="R344" i="12"/>
  <c r="T344" i="12" s="1"/>
  <c r="U344" i="12" s="1"/>
  <c r="L344" i="12"/>
  <c r="O344" i="12"/>
  <c r="R184" i="12"/>
  <c r="T184" i="12" s="1"/>
  <c r="U184" i="12" s="1"/>
  <c r="L184" i="12"/>
  <c r="O184" i="12"/>
  <c r="P184" i="12"/>
  <c r="P312" i="12"/>
  <c r="L312" i="12"/>
  <c r="O312" i="12"/>
  <c r="R312" i="12"/>
  <c r="T312" i="12" s="1"/>
  <c r="U312" i="12" s="1"/>
  <c r="L310" i="12"/>
  <c r="P310" i="12"/>
  <c r="O310" i="12"/>
  <c r="R310" i="12"/>
  <c r="T310" i="12" s="1"/>
  <c r="U310" i="12" s="1"/>
  <c r="R246" i="12"/>
  <c r="T246" i="12" s="1"/>
  <c r="U246" i="12" s="1"/>
  <c r="O246" i="12"/>
  <c r="P246" i="12"/>
  <c r="L246" i="12"/>
  <c r="P75" i="12"/>
  <c r="R75" i="12"/>
  <c r="T75" i="12" s="1"/>
  <c r="U75" i="12" s="1"/>
  <c r="O75" i="12"/>
  <c r="L75" i="12"/>
  <c r="L337" i="12"/>
  <c r="R337" i="12"/>
  <c r="T337" i="12" s="1"/>
  <c r="U337" i="12" s="1"/>
  <c r="P337" i="12"/>
  <c r="O337" i="12"/>
  <c r="R187" i="12"/>
  <c r="T187" i="12" s="1"/>
  <c r="U187" i="12" s="1"/>
  <c r="P187" i="12"/>
  <c r="O129" i="12"/>
  <c r="R129" i="12"/>
  <c r="T129" i="12" s="1"/>
  <c r="U129" i="12" s="1"/>
  <c r="L129" i="12"/>
  <c r="P129" i="12"/>
  <c r="O16" i="12"/>
  <c r="L16" i="12"/>
  <c r="P16" i="12"/>
  <c r="R16" i="12"/>
  <c r="T16" i="12" s="1"/>
  <c r="U16" i="12" s="1"/>
  <c r="R326" i="12"/>
  <c r="T326" i="12" s="1"/>
  <c r="U326" i="12" s="1"/>
  <c r="P326" i="12"/>
  <c r="O326" i="12"/>
  <c r="L326" i="12"/>
  <c r="O147" i="12"/>
  <c r="L147" i="12"/>
  <c r="R147" i="12"/>
  <c r="T147" i="12" s="1"/>
  <c r="U147" i="12" s="1"/>
  <c r="P147" i="12"/>
  <c r="R224" i="12"/>
  <c r="T224" i="12" s="1"/>
  <c r="U224" i="12" s="1"/>
  <c r="L224" i="12"/>
  <c r="O224" i="12"/>
  <c r="P224" i="12"/>
  <c r="L121" i="12"/>
  <c r="O121" i="12"/>
  <c r="P121" i="12"/>
  <c r="R121" i="12"/>
  <c r="T121" i="12" s="1"/>
  <c r="U121" i="12" s="1"/>
  <c r="P277" i="12"/>
  <c r="R277" i="12"/>
  <c r="T277" i="12" s="1"/>
  <c r="U277" i="12" s="1"/>
  <c r="L277" i="12"/>
  <c r="O277" i="12"/>
  <c r="L97" i="12"/>
  <c r="P97" i="12"/>
  <c r="R97" i="12"/>
  <c r="T97" i="12" s="1"/>
  <c r="U97" i="12" s="1"/>
  <c r="O97" i="12"/>
  <c r="L131" i="12"/>
  <c r="R131" i="12"/>
  <c r="T131" i="12" s="1"/>
  <c r="U131" i="12" s="1"/>
  <c r="P131" i="12"/>
  <c r="O131" i="12"/>
  <c r="L363" i="12"/>
  <c r="R363" i="12"/>
  <c r="T363" i="12" s="1"/>
  <c r="U363" i="12" s="1"/>
  <c r="O363" i="12"/>
  <c r="P363" i="12"/>
  <c r="O82" i="12"/>
  <c r="L82" i="12"/>
  <c r="P82" i="12"/>
  <c r="R82" i="12"/>
  <c r="T82" i="12" s="1"/>
  <c r="U82" i="12" s="1"/>
  <c r="R162" i="12"/>
  <c r="T162" i="12" s="1"/>
  <c r="U162" i="12" s="1"/>
  <c r="O162" i="12"/>
  <c r="P162" i="12"/>
  <c r="L362" i="12"/>
  <c r="P362" i="12"/>
  <c r="R362" i="12"/>
  <c r="T362" i="12" s="1"/>
  <c r="U362" i="12" s="1"/>
  <c r="O362" i="12"/>
  <c r="L197" i="12"/>
  <c r="R197" i="12"/>
  <c r="T197" i="12" s="1"/>
  <c r="U197" i="12" s="1"/>
  <c r="P197" i="12"/>
  <c r="O197" i="12"/>
  <c r="O72" i="12"/>
  <c r="P72" i="12"/>
  <c r="L72" i="12"/>
  <c r="R72" i="12"/>
  <c r="T72" i="12" s="1"/>
  <c r="U72" i="12" s="1"/>
  <c r="L56" i="12"/>
  <c r="P56" i="12"/>
  <c r="O56" i="12"/>
  <c r="R56" i="12"/>
  <c r="T56" i="12" s="1"/>
  <c r="U56" i="12" s="1"/>
  <c r="P101" i="12"/>
  <c r="R101" i="12"/>
  <c r="T101" i="12" s="1"/>
  <c r="U101" i="12" s="1"/>
  <c r="L101" i="12"/>
  <c r="O101" i="12"/>
  <c r="L300" i="12"/>
  <c r="P300" i="12"/>
  <c r="R300" i="12"/>
  <c r="T300" i="12" s="1"/>
  <c r="U300" i="12" s="1"/>
  <c r="O300" i="12"/>
  <c r="R95" i="12"/>
  <c r="T95" i="12" s="1"/>
  <c r="U95" i="12" s="1"/>
  <c r="O95" i="12"/>
  <c r="L95" i="12"/>
  <c r="P95" i="12"/>
  <c r="O41" i="12"/>
  <c r="R41" i="12"/>
  <c r="T41" i="12" s="1"/>
  <c r="U41" i="12" s="1"/>
  <c r="L41" i="12"/>
  <c r="P41" i="12"/>
  <c r="L24" i="12"/>
  <c r="R24" i="12"/>
  <c r="T24" i="12" s="1"/>
  <c r="U24" i="12" s="1"/>
  <c r="P24" i="12"/>
  <c r="R289" i="12"/>
  <c r="T289" i="12" s="1"/>
  <c r="U289" i="12" s="1"/>
  <c r="O289" i="12"/>
  <c r="L289" i="12"/>
  <c r="P289" i="12"/>
  <c r="P295" i="12"/>
  <c r="O295" i="12"/>
  <c r="R295" i="12"/>
  <c r="T295" i="12" s="1"/>
  <c r="U295" i="12" s="1"/>
  <c r="L295" i="12"/>
  <c r="O80" i="12"/>
  <c r="L80" i="12"/>
  <c r="P80" i="12"/>
  <c r="R80" i="12"/>
  <c r="T80" i="12" s="1"/>
  <c r="U80" i="12" s="1"/>
  <c r="O286" i="12"/>
  <c r="P286" i="12"/>
  <c r="L286" i="12"/>
  <c r="R286" i="12"/>
  <c r="T286" i="12" s="1"/>
  <c r="U286" i="12" s="1"/>
  <c r="R132" i="12"/>
  <c r="T132" i="12" s="1"/>
  <c r="U132" i="12" s="1"/>
  <c r="O132" i="12"/>
  <c r="P132" i="12"/>
  <c r="L132" i="12"/>
  <c r="L235" i="12"/>
  <c r="R235" i="12"/>
  <c r="T235" i="12" s="1"/>
  <c r="U235" i="12" s="1"/>
  <c r="P235" i="12"/>
  <c r="O235" i="12"/>
  <c r="R62" i="12"/>
  <c r="T62" i="12" s="1"/>
  <c r="U62" i="12" s="1"/>
  <c r="L62" i="12"/>
  <c r="O62" i="12"/>
  <c r="P62" i="12"/>
  <c r="O317" i="12"/>
  <c r="L317" i="12"/>
  <c r="P317" i="12"/>
  <c r="R317" i="12"/>
  <c r="T317" i="12" s="1"/>
  <c r="U317" i="12" s="1"/>
  <c r="L365" i="12"/>
  <c r="P365" i="12"/>
  <c r="R365" i="12"/>
  <c r="T365" i="12" s="1"/>
  <c r="U365" i="12" s="1"/>
  <c r="O365" i="12"/>
  <c r="P196" i="12"/>
  <c r="R196" i="12"/>
  <c r="T196" i="12" s="1"/>
  <c r="U196" i="12" s="1"/>
  <c r="L196" i="12"/>
  <c r="O196" i="12"/>
  <c r="R110" i="12"/>
  <c r="T110" i="12" s="1"/>
  <c r="U110" i="12" s="1"/>
  <c r="L110" i="12"/>
  <c r="O110" i="12"/>
  <c r="L187" i="12"/>
  <c r="O182" i="12"/>
  <c r="P182" i="12"/>
  <c r="L182" i="12"/>
  <c r="R182" i="12"/>
  <c r="T182" i="12" s="1"/>
  <c r="U182" i="12" s="1"/>
  <c r="O243" i="12"/>
  <c r="R243" i="12"/>
  <c r="T243" i="12" s="1"/>
  <c r="U243" i="12" s="1"/>
  <c r="P243" i="12"/>
  <c r="L243" i="12"/>
  <c r="R233" i="12"/>
  <c r="T233" i="12" s="1"/>
  <c r="U233" i="12" s="1"/>
  <c r="L233" i="12"/>
  <c r="O233" i="12"/>
  <c r="P233" i="12"/>
  <c r="O180" i="12"/>
  <c r="L180" i="12"/>
  <c r="R180" i="12"/>
  <c r="T180" i="12" s="1"/>
  <c r="U180" i="12" s="1"/>
  <c r="P180" i="12"/>
  <c r="O251" i="12"/>
  <c r="R251" i="12"/>
  <c r="T251" i="12" s="1"/>
  <c r="U251" i="12" s="1"/>
  <c r="L251" i="12"/>
  <c r="P251" i="12"/>
  <c r="R255" i="12"/>
  <c r="T255" i="12" s="1"/>
  <c r="U255" i="12" s="1"/>
  <c r="O255" i="12"/>
  <c r="L255" i="12"/>
  <c r="P255" i="12"/>
  <c r="L93" i="12"/>
  <c r="P93" i="12"/>
  <c r="R93" i="12"/>
  <c r="T93" i="12" s="1"/>
  <c r="U93" i="12" s="1"/>
  <c r="O93" i="12"/>
  <c r="P94" i="12"/>
  <c r="R94" i="12"/>
  <c r="T94" i="12" s="1"/>
  <c r="U94" i="12" s="1"/>
  <c r="O94" i="12"/>
  <c r="L94" i="12"/>
  <c r="R39" i="12"/>
  <c r="T39" i="12" s="1"/>
  <c r="U39" i="12" s="1"/>
  <c r="P39" i="12"/>
  <c r="L39" i="12"/>
  <c r="O39" i="12"/>
  <c r="O220" i="12"/>
  <c r="R220" i="12"/>
  <c r="T220" i="12" s="1"/>
  <c r="U220" i="12" s="1"/>
  <c r="L220" i="12"/>
  <c r="P220" i="12"/>
  <c r="P261" i="12"/>
  <c r="L261" i="12"/>
  <c r="O261" i="12"/>
  <c r="R261" i="12"/>
  <c r="T261" i="12" s="1"/>
  <c r="U261" i="12" s="1"/>
  <c r="L52" i="12"/>
  <c r="O52" i="12"/>
  <c r="R52" i="12"/>
  <c r="T52" i="12" s="1"/>
  <c r="U52" i="12" s="1"/>
  <c r="P52" i="12"/>
  <c r="O117" i="12"/>
  <c r="P117" i="12"/>
  <c r="R117" i="12"/>
  <c r="T117" i="12" s="1"/>
  <c r="U117" i="12" s="1"/>
  <c r="L117" i="12"/>
  <c r="R228" i="12"/>
  <c r="T228" i="12" s="1"/>
  <c r="U228" i="12" s="1"/>
  <c r="P228" i="12"/>
  <c r="L228" i="12"/>
  <c r="O228" i="12"/>
  <c r="L168" i="12"/>
  <c r="R168" i="12"/>
  <c r="T168" i="12" s="1"/>
  <c r="U168" i="12" s="1"/>
  <c r="P168" i="12"/>
  <c r="O168" i="12"/>
  <c r="P361" i="12"/>
  <c r="L361" i="12"/>
  <c r="O361" i="12"/>
  <c r="R361" i="12"/>
  <c r="T361" i="12" s="1"/>
  <c r="U361" i="12" s="1"/>
  <c r="R163" i="12"/>
  <c r="T163" i="12" s="1"/>
  <c r="U163" i="12" s="1"/>
  <c r="L163" i="12"/>
  <c r="O163" i="12"/>
  <c r="O50" i="12"/>
  <c r="P50" i="12"/>
  <c r="R50" i="12"/>
  <c r="T50" i="12" s="1"/>
  <c r="U50" i="12" s="1"/>
  <c r="L50" i="12"/>
  <c r="O187" i="12"/>
  <c r="Q10" i="11"/>
  <c r="S10" i="11" s="1"/>
  <c r="U10" i="11" s="1"/>
  <c r="W10" i="11" s="1"/>
  <c r="Y10" i="11" s="1"/>
  <c r="AA10" i="11" s="1"/>
  <c r="AC10" i="11" s="1"/>
  <c r="AE10" i="11" s="1"/>
  <c r="AG10" i="11" s="1"/>
  <c r="AI10" i="11" s="1"/>
  <c r="AK10" i="11" s="1"/>
  <c r="AM10" i="11" s="1"/>
  <c r="P137" i="12"/>
  <c r="O137" i="12"/>
  <c r="L137" i="12"/>
  <c r="O144" i="12"/>
  <c r="L144" i="12"/>
  <c r="R144" i="12"/>
  <c r="T144" i="12" s="1"/>
  <c r="U144" i="12" s="1"/>
  <c r="P144" i="12"/>
  <c r="R193" i="12"/>
  <c r="T193" i="12" s="1"/>
  <c r="U193" i="12" s="1"/>
  <c r="L193" i="12"/>
  <c r="P193" i="12"/>
  <c r="O193" i="12"/>
  <c r="R179" i="12"/>
  <c r="T179" i="12" s="1"/>
  <c r="U179" i="12" s="1"/>
  <c r="O179" i="12"/>
  <c r="L179" i="12"/>
  <c r="P179" i="12"/>
  <c r="O338" i="12"/>
  <c r="P338" i="12"/>
  <c r="L338" i="12"/>
  <c r="R338" i="12"/>
  <c r="T338" i="12" s="1"/>
  <c r="U338" i="12" s="1"/>
  <c r="P248" i="12"/>
  <c r="R248" i="12"/>
  <c r="T248" i="12" s="1"/>
  <c r="U248" i="12" s="1"/>
  <c r="L248" i="12"/>
  <c r="O248" i="12"/>
  <c r="P349" i="12"/>
  <c r="L349" i="12"/>
  <c r="O349" i="12"/>
  <c r="R349" i="12"/>
  <c r="T349" i="12" s="1"/>
  <c r="U349" i="12" s="1"/>
  <c r="O83" i="12"/>
  <c r="P83" i="12"/>
  <c r="L83" i="12"/>
  <c r="R83" i="12"/>
  <c r="T83" i="12" s="1"/>
  <c r="U83" i="12" s="1"/>
  <c r="P146" i="12"/>
  <c r="O146" i="12"/>
  <c r="R146" i="12"/>
  <c r="T146" i="12" s="1"/>
  <c r="U146" i="12" s="1"/>
  <c r="L146" i="12"/>
  <c r="L173" i="12"/>
  <c r="R173" i="12"/>
  <c r="T173" i="12" s="1"/>
  <c r="U173" i="12" s="1"/>
  <c r="O173" i="12"/>
  <c r="P173" i="12"/>
  <c r="O247" i="12"/>
  <c r="L247" i="12"/>
  <c r="O170" i="12"/>
  <c r="L170" i="12"/>
  <c r="R170" i="12"/>
  <c r="T170" i="12" s="1"/>
  <c r="U170" i="12" s="1"/>
  <c r="P170" i="12"/>
  <c r="O366" i="12"/>
  <c r="L366" i="12"/>
  <c r="R366" i="12"/>
  <c r="T366" i="12" s="1"/>
  <c r="U366" i="12" s="1"/>
  <c r="P366" i="12"/>
  <c r="R218" i="12"/>
  <c r="T218" i="12" s="1"/>
  <c r="U218" i="12" s="1"/>
  <c r="L218" i="12"/>
  <c r="R227" i="12"/>
  <c r="T227" i="12" s="1"/>
  <c r="U227" i="12" s="1"/>
  <c r="P227" i="12"/>
  <c r="L227" i="12"/>
  <c r="O227" i="12"/>
  <c r="O209" i="12"/>
  <c r="P209" i="12"/>
  <c r="R209" i="12"/>
  <c r="T209" i="12" s="1"/>
  <c r="U209" i="12" s="1"/>
  <c r="L209" i="12"/>
  <c r="R292" i="12"/>
  <c r="T292" i="12" s="1"/>
  <c r="U292" i="12" s="1"/>
  <c r="O292" i="12"/>
  <c r="P292" i="12"/>
  <c r="L292" i="12"/>
  <c r="R364" i="12"/>
  <c r="T364" i="12" s="1"/>
  <c r="U364" i="12" s="1"/>
  <c r="O364" i="12"/>
  <c r="L364" i="12"/>
  <c r="P364" i="12"/>
  <c r="P18" i="12"/>
  <c r="O18" i="12"/>
  <c r="L18" i="12"/>
  <c r="R18" i="12"/>
  <c r="T18" i="12" s="1"/>
  <c r="U18" i="12" s="1"/>
  <c r="L92" i="12"/>
  <c r="O92" i="12"/>
  <c r="P92" i="12"/>
  <c r="R92" i="12"/>
  <c r="T92" i="12" s="1"/>
  <c r="U92" i="12" s="1"/>
  <c r="P276" i="12"/>
  <c r="O276" i="12"/>
  <c r="L276" i="12"/>
  <c r="R276" i="12"/>
  <c r="T276" i="12" s="1"/>
  <c r="U276" i="12" s="1"/>
  <c r="R339" i="12"/>
  <c r="T339" i="12" s="1"/>
  <c r="U339" i="12" s="1"/>
  <c r="P339" i="12"/>
  <c r="O339" i="12"/>
  <c r="L339" i="12"/>
  <c r="P113" i="12"/>
  <c r="L113" i="12"/>
  <c r="O113" i="12"/>
  <c r="L19" i="12"/>
  <c r="P19" i="12"/>
  <c r="R19" i="12"/>
  <c r="T19" i="12" s="1"/>
  <c r="U19" i="12" s="1"/>
  <c r="O19" i="12"/>
  <c r="P280" i="12"/>
  <c r="O280" i="12"/>
  <c r="P267" i="12"/>
  <c r="O267" i="12"/>
  <c r="L267" i="12"/>
  <c r="R267" i="12"/>
  <c r="T267" i="12" s="1"/>
  <c r="U267" i="12" s="1"/>
  <c r="O202" i="12"/>
  <c r="L202" i="12"/>
  <c r="P202" i="12"/>
  <c r="R202" i="12"/>
  <c r="T202" i="12" s="1"/>
  <c r="U202" i="12" s="1"/>
  <c r="P86" i="12"/>
  <c r="L86" i="12"/>
  <c r="R86" i="12"/>
  <c r="T86" i="12" s="1"/>
  <c r="U86" i="12" s="1"/>
  <c r="O86" i="12"/>
  <c r="O70" i="12"/>
  <c r="L70" i="12"/>
  <c r="R70" i="12"/>
  <c r="T70" i="12" s="1"/>
  <c r="U70" i="12" s="1"/>
  <c r="P70" i="12"/>
  <c r="O269" i="12"/>
  <c r="R269" i="12"/>
  <c r="T269" i="12" s="1"/>
  <c r="U269" i="12" s="1"/>
  <c r="L269" i="12"/>
  <c r="P269" i="12"/>
  <c r="B189" i="12"/>
  <c r="P304" i="12"/>
  <c r="L304" i="12"/>
  <c r="R304" i="12"/>
  <c r="T304" i="12" s="1"/>
  <c r="U304" i="12" s="1"/>
  <c r="O304" i="12"/>
  <c r="R241" i="12"/>
  <c r="T241" i="12" s="1"/>
  <c r="U241" i="12" s="1"/>
  <c r="L241" i="12"/>
  <c r="P303" i="12"/>
  <c r="R303" i="12"/>
  <c r="T303" i="12" s="1"/>
  <c r="U303" i="12" s="1"/>
  <c r="L303" i="12"/>
  <c r="O303" i="12"/>
  <c r="P253" i="12"/>
  <c r="R253" i="12"/>
  <c r="T253" i="12" s="1"/>
  <c r="U253" i="12" s="1"/>
  <c r="L253" i="12"/>
  <c r="O253" i="12"/>
  <c r="O36" i="12"/>
  <c r="P36" i="12"/>
  <c r="L36" i="12"/>
  <c r="R36" i="12"/>
  <c r="T36" i="12" s="1"/>
  <c r="U36" i="12" s="1"/>
  <c r="L311" i="12"/>
  <c r="P311" i="12"/>
  <c r="O311" i="12"/>
  <c r="R311" i="12"/>
  <c r="T311" i="12" s="1"/>
  <c r="U311" i="12" s="1"/>
  <c r="R37" i="12"/>
  <c r="T37" i="12" s="1"/>
  <c r="U37" i="12" s="1"/>
  <c r="O37" i="12"/>
  <c r="P37" i="12"/>
  <c r="L37" i="12"/>
  <c r="P199" i="12"/>
  <c r="L199" i="12"/>
  <c r="O199" i="12"/>
  <c r="R199" i="12"/>
  <c r="T199" i="12" s="1"/>
  <c r="U199" i="12" s="1"/>
  <c r="L81" i="12"/>
  <c r="O81" i="12"/>
  <c r="P81" i="12"/>
  <c r="R81" i="12"/>
  <c r="T81" i="12" s="1"/>
  <c r="U81" i="12" s="1"/>
  <c r="O134" i="12"/>
  <c r="L134" i="12"/>
  <c r="R134" i="12"/>
  <c r="T134" i="12" s="1"/>
  <c r="U134" i="12" s="1"/>
  <c r="P134" i="12"/>
  <c r="O245" i="12"/>
  <c r="P245" i="12"/>
  <c r="L245" i="12"/>
  <c r="R245" i="12"/>
  <c r="T245" i="12" s="1"/>
  <c r="U245" i="12" s="1"/>
  <c r="R358" i="12"/>
  <c r="T358" i="12" s="1"/>
  <c r="U358" i="12" s="1"/>
  <c r="L358" i="12"/>
  <c r="P358" i="12"/>
  <c r="O358" i="12"/>
  <c r="R214" i="12"/>
  <c r="T214" i="12" s="1"/>
  <c r="U214" i="12" s="1"/>
  <c r="O214" i="12"/>
  <c r="L214" i="12"/>
  <c r="P214" i="12"/>
  <c r="P47" i="12"/>
  <c r="O47" i="12"/>
  <c r="R47" i="12"/>
  <c r="T47" i="12" s="1"/>
  <c r="U47" i="12" s="1"/>
  <c r="L47" i="12"/>
  <c r="P54" i="12"/>
  <c r="L54" i="12"/>
  <c r="O54" i="12"/>
  <c r="R54" i="12"/>
  <c r="T54" i="12" s="1"/>
  <c r="U54" i="12" s="1"/>
  <c r="L109" i="12"/>
  <c r="O109" i="12"/>
  <c r="P109" i="12"/>
  <c r="R109" i="12"/>
  <c r="T109" i="12" s="1"/>
  <c r="U109" i="12" s="1"/>
  <c r="D66" i="12"/>
  <c r="P254" i="12"/>
  <c r="L254" i="12"/>
  <c r="O254" i="12"/>
  <c r="R254" i="12"/>
  <c r="T254" i="12" s="1"/>
  <c r="U254" i="12" s="1"/>
  <c r="P281" i="12"/>
  <c r="L281" i="12"/>
  <c r="O281" i="12"/>
  <c r="R281" i="12"/>
  <c r="T281" i="12" s="1"/>
  <c r="U281" i="12" s="1"/>
  <c r="O156" i="12"/>
  <c r="R156" i="12"/>
  <c r="T156" i="12" s="1"/>
  <c r="U156" i="12" s="1"/>
  <c r="P156" i="12"/>
  <c r="L156" i="12"/>
  <c r="L46" i="12"/>
  <c r="R46" i="12"/>
  <c r="T46" i="12" s="1"/>
  <c r="U46" i="12" s="1"/>
  <c r="P46" i="12"/>
  <c r="O46" i="12"/>
  <c r="O106" i="12"/>
  <c r="L106" i="12"/>
  <c r="R106" i="12"/>
  <c r="T106" i="12" s="1"/>
  <c r="U106" i="12" s="1"/>
  <c r="P106" i="12"/>
  <c r="R161" i="12"/>
  <c r="T161" i="12" s="1"/>
  <c r="U161" i="12" s="1"/>
  <c r="P161" i="12"/>
  <c r="L161" i="12"/>
  <c r="O161" i="12"/>
  <c r="R219" i="12"/>
  <c r="T219" i="12" s="1"/>
  <c r="U219" i="12" s="1"/>
  <c r="O219" i="12"/>
  <c r="L219" i="12"/>
  <c r="P219" i="12"/>
  <c r="L320" i="12"/>
  <c r="P320" i="12"/>
  <c r="O320" i="12"/>
  <c r="R320" i="12"/>
  <c r="T320" i="12" s="1"/>
  <c r="U320" i="12" s="1"/>
  <c r="O154" i="12"/>
  <c r="P154" i="12"/>
  <c r="R154" i="12"/>
  <c r="T154" i="12" s="1"/>
  <c r="U154" i="12" s="1"/>
  <c r="L154" i="12"/>
  <c r="P211" i="12"/>
  <c r="R211" i="12"/>
  <c r="T211" i="12" s="1"/>
  <c r="U211" i="12" s="1"/>
  <c r="L211" i="12"/>
  <c r="O211" i="12"/>
  <c r="R85" i="12"/>
  <c r="T85" i="12" s="1"/>
  <c r="U85" i="12" s="1"/>
  <c r="L85" i="12"/>
  <c r="O85" i="12"/>
  <c r="P85" i="12"/>
  <c r="O122" i="12"/>
  <c r="P122" i="12"/>
  <c r="R122" i="12"/>
  <c r="T122" i="12" s="1"/>
  <c r="U122" i="12" s="1"/>
  <c r="L122" i="12"/>
  <c r="R268" i="12"/>
  <c r="T268" i="12" s="1"/>
  <c r="U268" i="12" s="1"/>
  <c r="P268" i="12"/>
  <c r="O268" i="12"/>
  <c r="L268" i="12"/>
  <c r="P282" i="12"/>
  <c r="R282" i="12"/>
  <c r="T282" i="12" s="1"/>
  <c r="U282" i="12" s="1"/>
  <c r="O282" i="12"/>
  <c r="L282" i="12"/>
  <c r="L157" i="12"/>
  <c r="P157" i="12"/>
  <c r="O157" i="12"/>
  <c r="R157" i="12"/>
  <c r="T157" i="12" s="1"/>
  <c r="U157" i="12" s="1"/>
  <c r="O42" i="12"/>
  <c r="R42" i="12"/>
  <c r="T42" i="12" s="1"/>
  <c r="U42" i="12" s="1"/>
  <c r="P42" i="12"/>
  <c r="L42" i="12"/>
  <c r="O99" i="12"/>
  <c r="L99" i="12"/>
  <c r="P99" i="12"/>
  <c r="R99" i="12"/>
  <c r="T99" i="12" s="1"/>
  <c r="U99" i="12" s="1"/>
  <c r="P58" i="12"/>
  <c r="O58" i="12"/>
  <c r="L58" i="12"/>
  <c r="R58" i="12"/>
  <c r="T58" i="12" s="1"/>
  <c r="U58" i="12" s="1"/>
  <c r="H336" i="12"/>
  <c r="R340" i="12"/>
  <c r="T340" i="12" s="1"/>
  <c r="U340" i="12" s="1"/>
  <c r="P340" i="12"/>
  <c r="O340" i="12"/>
  <c r="L340" i="12"/>
  <c r="P176" i="12"/>
  <c r="O176" i="12"/>
  <c r="R176" i="12"/>
  <c r="T176" i="12" s="1"/>
  <c r="U176" i="12" s="1"/>
  <c r="L176" i="12"/>
  <c r="O203" i="12"/>
  <c r="L203" i="12"/>
  <c r="R203" i="12"/>
  <c r="T203" i="12" s="1"/>
  <c r="U203" i="12" s="1"/>
  <c r="P203" i="12"/>
  <c r="P44" i="12"/>
  <c r="R44" i="12"/>
  <c r="T44" i="12" s="1"/>
  <c r="U44" i="12" s="1"/>
  <c r="L44" i="12"/>
  <c r="O44" i="12"/>
  <c r="L100" i="12"/>
  <c r="P100" i="12"/>
  <c r="R100" i="12"/>
  <c r="T100" i="12" s="1"/>
  <c r="U100" i="12" s="1"/>
  <c r="O100" i="12"/>
  <c r="P27" i="12"/>
  <c r="R27" i="12"/>
  <c r="T27" i="12" s="1"/>
  <c r="U27" i="12" s="1"/>
  <c r="O27" i="12"/>
  <c r="L27" i="12"/>
  <c r="O263" i="12"/>
  <c r="P263" i="12"/>
  <c r="L263" i="12"/>
  <c r="R263" i="12"/>
  <c r="T263" i="12" s="1"/>
  <c r="U263" i="12" s="1"/>
  <c r="O25" i="12"/>
  <c r="R25" i="12"/>
  <c r="T25" i="12" s="1"/>
  <c r="U25" i="12" s="1"/>
  <c r="P25" i="12"/>
  <c r="L25" i="12"/>
  <c r="L283" i="12"/>
  <c r="R283" i="12"/>
  <c r="T283" i="12" s="1"/>
  <c r="U283" i="12" s="1"/>
  <c r="O283" i="12"/>
  <c r="P283" i="12"/>
  <c r="O59" i="12"/>
  <c r="L59" i="12"/>
  <c r="P59" i="12"/>
  <c r="R59" i="12"/>
  <c r="T59" i="12" s="1"/>
  <c r="U59" i="12" s="1"/>
  <c r="R175" i="12"/>
  <c r="T175" i="12" s="1"/>
  <c r="U175" i="12" s="1"/>
  <c r="P175" i="12"/>
  <c r="L175" i="12"/>
  <c r="O175" i="12"/>
  <c r="L206" i="12"/>
  <c r="R206" i="12"/>
  <c r="T206" i="12" s="1"/>
  <c r="U206" i="12" s="1"/>
  <c r="O206" i="12"/>
  <c r="P206" i="12"/>
  <c r="L354" i="12"/>
  <c r="O354" i="12"/>
  <c r="R354" i="12"/>
  <c r="T354" i="12" s="1"/>
  <c r="U354" i="12" s="1"/>
  <c r="P354" i="12"/>
  <c r="P355" i="12"/>
  <c r="L355" i="12"/>
  <c r="R355" i="12"/>
  <c r="T355" i="12" s="1"/>
  <c r="U355" i="12" s="1"/>
  <c r="O355" i="12"/>
  <c r="O148" i="12"/>
  <c r="R148" i="12"/>
  <c r="T148" i="12" s="1"/>
  <c r="U148" i="12" s="1"/>
  <c r="P148" i="12"/>
  <c r="L148" i="12"/>
  <c r="R212" i="12"/>
  <c r="T212" i="12" s="1"/>
  <c r="U212" i="12" s="1"/>
  <c r="L212" i="12"/>
  <c r="O212" i="12"/>
  <c r="P212" i="12"/>
  <c r="D242" i="12"/>
  <c r="D243" i="12" s="1"/>
  <c r="D244" i="12" s="1"/>
  <c r="P153" i="12"/>
  <c r="R153" i="12"/>
  <c r="T153" i="12" s="1"/>
  <c r="U153" i="12" s="1"/>
  <c r="O153" i="12"/>
  <c r="L153" i="12"/>
  <c r="D299" i="12"/>
  <c r="D300" i="12" s="1"/>
  <c r="D301" i="12" s="1"/>
  <c r="D302" i="12" s="1"/>
  <c r="D303" i="12" s="1"/>
  <c r="D304" i="12" s="1"/>
  <c r="D305" i="12" s="1"/>
  <c r="D306" i="12" s="1"/>
  <c r="D307" i="12" s="1"/>
  <c r="D140" i="12"/>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O353" i="12"/>
  <c r="R353" i="12"/>
  <c r="T353" i="12" s="1"/>
  <c r="U353" i="12" s="1"/>
  <c r="L353" i="12"/>
  <c r="P353" i="12"/>
  <c r="P236" i="12"/>
  <c r="L236" i="12"/>
  <c r="R236" i="12"/>
  <c r="T236" i="12" s="1"/>
  <c r="U236" i="12" s="1"/>
  <c r="O236" i="12"/>
  <c r="P102" i="12"/>
  <c r="L102" i="12"/>
  <c r="O102" i="12"/>
  <c r="R102" i="12"/>
  <c r="T102" i="12" s="1"/>
  <c r="U102" i="12" s="1"/>
  <c r="R152" i="12"/>
  <c r="T152" i="12" s="1"/>
  <c r="U152" i="12" s="1"/>
  <c r="P152" i="12"/>
  <c r="L152" i="12"/>
  <c r="O152" i="12"/>
  <c r="L234" i="12"/>
  <c r="R234" i="12"/>
  <c r="T234" i="12" s="1"/>
  <c r="U234" i="12" s="1"/>
  <c r="O234" i="12"/>
  <c r="P234" i="12"/>
  <c r="O208" i="12"/>
  <c r="R208" i="12"/>
  <c r="T208" i="12" s="1"/>
  <c r="U208" i="12" s="1"/>
  <c r="P208" i="12"/>
  <c r="L208" i="12"/>
  <c r="R69" i="12"/>
  <c r="T69" i="12" s="1"/>
  <c r="U69" i="12" s="1"/>
  <c r="L69" i="12"/>
  <c r="P69" i="12"/>
  <c r="O69" i="12"/>
  <c r="O76" i="12"/>
  <c r="P76" i="12"/>
  <c r="R76" i="12"/>
  <c r="T76" i="12" s="1"/>
  <c r="U76" i="12" s="1"/>
  <c r="L76" i="12"/>
  <c r="P257" i="12"/>
  <c r="L257" i="12"/>
  <c r="O257" i="12"/>
  <c r="R257" i="12"/>
  <c r="T257" i="12" s="1"/>
  <c r="U257" i="12" s="1"/>
  <c r="O150" i="12"/>
  <c r="L150" i="12"/>
  <c r="P150" i="12"/>
  <c r="R150" i="12"/>
  <c r="T150" i="12" s="1"/>
  <c r="U150" i="12" s="1"/>
  <c r="P31" i="12"/>
  <c r="O31" i="12"/>
  <c r="R31" i="12"/>
  <c r="T31" i="12" s="1"/>
  <c r="U31" i="12" s="1"/>
  <c r="L31" i="12"/>
  <c r="O32" i="12"/>
  <c r="R32" i="12"/>
  <c r="T32" i="12" s="1"/>
  <c r="U32" i="12" s="1"/>
  <c r="P32" i="12"/>
  <c r="L32" i="12"/>
  <c r="R221" i="12"/>
  <c r="T221" i="12" s="1"/>
  <c r="U221" i="12" s="1"/>
  <c r="O221" i="12"/>
  <c r="L221" i="12"/>
  <c r="P221" i="12"/>
  <c r="P28" i="12"/>
  <c r="R28" i="12"/>
  <c r="T28" i="12" s="1"/>
  <c r="U28" i="12" s="1"/>
  <c r="L28" i="12"/>
  <c r="O28" i="12"/>
  <c r="H309" i="12"/>
  <c r="B309" i="12" s="1"/>
  <c r="R225" i="12"/>
  <c r="T225" i="12" s="1"/>
  <c r="U225" i="12" s="1"/>
  <c r="P225" i="12"/>
  <c r="L225" i="12"/>
  <c r="O225" i="12"/>
  <c r="R48" i="12"/>
  <c r="T48" i="12" s="1"/>
  <c r="U48" i="12" s="1"/>
  <c r="O48" i="12"/>
  <c r="L48" i="12"/>
  <c r="P48" i="12"/>
  <c r="R26" i="12"/>
  <c r="T26" i="12" s="1"/>
  <c r="U26" i="12" s="1"/>
  <c r="O26" i="12"/>
  <c r="L26" i="12"/>
  <c r="P26" i="12"/>
  <c r="R334" i="12"/>
  <c r="T334" i="12" s="1"/>
  <c r="U334" i="12" s="1"/>
  <c r="P334" i="12"/>
  <c r="L334" i="12"/>
  <c r="O334" i="12"/>
  <c r="R63" i="12"/>
  <c r="T63" i="12" s="1"/>
  <c r="U63" i="12" s="1"/>
  <c r="P63" i="12"/>
  <c r="O63" i="12"/>
  <c r="L63" i="12"/>
  <c r="P207" i="12"/>
  <c r="L207" i="12"/>
  <c r="R207" i="12"/>
  <c r="T207" i="12" s="1"/>
  <c r="U207" i="12" s="1"/>
  <c r="O207" i="12"/>
  <c r="P271" i="12"/>
  <c r="R271" i="12"/>
  <c r="T271" i="12" s="1"/>
  <c r="U271" i="12" s="1"/>
  <c r="L271" i="12"/>
  <c r="O271" i="12"/>
  <c r="L158" i="12"/>
  <c r="O158" i="12"/>
  <c r="R158" i="12"/>
  <c r="T158" i="12" s="1"/>
  <c r="U158" i="12" s="1"/>
  <c r="P158" i="12"/>
  <c r="P215" i="12"/>
  <c r="O215" i="12"/>
  <c r="R215" i="12"/>
  <c r="T215" i="12" s="1"/>
  <c r="U215" i="12" s="1"/>
  <c r="L215" i="12"/>
  <c r="P210" i="12"/>
  <c r="L210" i="12"/>
  <c r="R210" i="12"/>
  <c r="T210" i="12" s="1"/>
  <c r="U210" i="12" s="1"/>
  <c r="O210" i="12"/>
  <c r="O108" i="12"/>
  <c r="R108" i="12"/>
  <c r="T108" i="12" s="1"/>
  <c r="U108" i="12" s="1"/>
  <c r="P108" i="12"/>
  <c r="L108" i="12"/>
  <c r="R43" i="12"/>
  <c r="T43" i="12" s="1"/>
  <c r="U43" i="12" s="1"/>
  <c r="P43" i="12"/>
  <c r="O43" i="12"/>
  <c r="L43" i="12"/>
  <c r="R49" i="12"/>
  <c r="T49" i="12" s="1"/>
  <c r="U49" i="12" s="1"/>
  <c r="L49" i="12"/>
  <c r="O49" i="12"/>
  <c r="P49" i="12"/>
  <c r="L88" i="12"/>
  <c r="O88" i="12"/>
  <c r="R88" i="12"/>
  <c r="T88" i="12" s="1"/>
  <c r="U88" i="12" s="1"/>
  <c r="P88" i="12"/>
  <c r="O330" i="12"/>
  <c r="R330" i="12"/>
  <c r="T330" i="12" s="1"/>
  <c r="U330" i="12" s="1"/>
  <c r="L330" i="12"/>
  <c r="P330" i="12"/>
  <c r="L260" i="12"/>
  <c r="P260" i="12"/>
  <c r="R260" i="12"/>
  <c r="T260" i="12" s="1"/>
  <c r="U260" i="12" s="1"/>
  <c r="O260" i="12"/>
  <c r="L135" i="12"/>
  <c r="O135" i="12"/>
  <c r="R135" i="12"/>
  <c r="T135" i="12" s="1"/>
  <c r="U135" i="12" s="1"/>
  <c r="P135" i="12"/>
  <c r="W33" i="12"/>
  <c r="W64" i="12" s="1"/>
  <c r="H177" i="12"/>
  <c r="P17" i="12"/>
  <c r="L17" i="12"/>
  <c r="R17" i="12"/>
  <c r="T17" i="12" s="1"/>
  <c r="U17" i="12" s="1"/>
  <c r="O17" i="12"/>
  <c r="L45" i="12"/>
  <c r="R45" i="12"/>
  <c r="T45" i="12" s="1"/>
  <c r="U45" i="12" s="1"/>
  <c r="O45" i="12"/>
  <c r="P45" i="12"/>
  <c r="L159" i="12"/>
  <c r="R159" i="12"/>
  <c r="T159" i="12" s="1"/>
  <c r="U159" i="12" s="1"/>
  <c r="O159" i="12"/>
  <c r="P159" i="12"/>
  <c r="O259" i="12"/>
  <c r="P259" i="12"/>
  <c r="L259" i="12"/>
  <c r="R259" i="12"/>
  <c r="T259" i="12" s="1"/>
  <c r="U259" i="12" s="1"/>
  <c r="R294" i="12"/>
  <c r="T294" i="12" s="1"/>
  <c r="U294" i="12" s="1"/>
  <c r="L294" i="12"/>
  <c r="P294" i="12"/>
  <c r="O294" i="12"/>
  <c r="P333" i="12"/>
  <c r="O333" i="12"/>
  <c r="R333" i="12"/>
  <c r="T333" i="12" s="1"/>
  <c r="U333" i="12" s="1"/>
  <c r="L333" i="12"/>
  <c r="L325" i="12"/>
  <c r="O325" i="12"/>
  <c r="R325" i="12"/>
  <c r="T325" i="12" s="1"/>
  <c r="U325" i="12" s="1"/>
  <c r="P325" i="12"/>
  <c r="O149" i="12"/>
  <c r="P149" i="12"/>
  <c r="L149" i="12"/>
  <c r="R149" i="12"/>
  <c r="T149" i="12" s="1"/>
  <c r="U149" i="12" s="1"/>
  <c r="O324" i="12"/>
  <c r="P324" i="12"/>
  <c r="R324" i="12"/>
  <c r="T324" i="12" s="1"/>
  <c r="U324" i="12" s="1"/>
  <c r="L324" i="12"/>
  <c r="O264" i="12"/>
  <c r="L264" i="12"/>
  <c r="P264" i="12"/>
  <c r="R264" i="12"/>
  <c r="T264" i="12" s="1"/>
  <c r="U264" i="12" s="1"/>
  <c r="R151" i="12"/>
  <c r="T151" i="12" s="1"/>
  <c r="U151" i="12" s="1"/>
  <c r="O151" i="12"/>
  <c r="L151" i="12"/>
  <c r="P151" i="12"/>
  <c r="L29" i="12"/>
  <c r="P29" i="12"/>
  <c r="O29" i="12"/>
  <c r="R29" i="12"/>
  <c r="T29" i="12" s="1"/>
  <c r="U29" i="12" s="1"/>
  <c r="O160" i="12"/>
  <c r="P160" i="12"/>
  <c r="L160" i="12"/>
  <c r="R160" i="12"/>
  <c r="T160" i="12" s="1"/>
  <c r="U160" i="12" s="1"/>
  <c r="O307" i="12"/>
  <c r="L307" i="12"/>
  <c r="P307" i="12"/>
  <c r="R307" i="12"/>
  <c r="T307" i="12" s="1"/>
  <c r="U307" i="12" s="1"/>
  <c r="P87" i="12"/>
  <c r="L87" i="12"/>
  <c r="O87" i="12"/>
  <c r="R87" i="12"/>
  <c r="T87" i="12" s="1"/>
  <c r="U87" i="12" s="1"/>
  <c r="L118" i="12"/>
  <c r="O118" i="12"/>
  <c r="R118" i="12"/>
  <c r="T118" i="12" s="1"/>
  <c r="U118" i="12" s="1"/>
  <c r="P118" i="12"/>
  <c r="R119" i="12"/>
  <c r="T119" i="12" s="1"/>
  <c r="U119" i="12" s="1"/>
  <c r="P119" i="12"/>
  <c r="O119" i="12"/>
  <c r="L119" i="12"/>
  <c r="H165" i="12"/>
  <c r="B165" i="12" s="1"/>
  <c r="P328" i="12"/>
  <c r="R328" i="12"/>
  <c r="T328" i="12" s="1"/>
  <c r="U328" i="12" s="1"/>
  <c r="O328" i="12"/>
  <c r="L328" i="12"/>
  <c r="D344" i="12"/>
  <c r="L293" i="12"/>
  <c r="R293" i="12"/>
  <c r="T293" i="12" s="1"/>
  <c r="U293" i="12" s="1"/>
  <c r="O293" i="12"/>
  <c r="P293" i="12"/>
  <c r="L270" i="12"/>
  <c r="O270" i="12"/>
  <c r="P270" i="12"/>
  <c r="R270" i="12"/>
  <c r="T270" i="12" s="1"/>
  <c r="U270" i="12" s="1"/>
  <c r="O205" i="12"/>
  <c r="L205" i="12"/>
  <c r="P205" i="12"/>
  <c r="R205" i="12"/>
  <c r="T205" i="12" s="1"/>
  <c r="U205" i="12" s="1"/>
  <c r="R115" i="12"/>
  <c r="T115" i="12" s="1"/>
  <c r="U115" i="12" s="1"/>
  <c r="P115" i="12"/>
  <c r="O115" i="12"/>
  <c r="L115" i="12"/>
  <c r="R265" i="12"/>
  <c r="T265" i="12" s="1"/>
  <c r="U265" i="12" s="1"/>
  <c r="P265" i="12"/>
  <c r="O265" i="12"/>
  <c r="L265" i="12"/>
  <c r="P105" i="12"/>
  <c r="O105" i="12"/>
  <c r="R105" i="12"/>
  <c r="T105" i="12" s="1"/>
  <c r="U105" i="12" s="1"/>
  <c r="L105" i="12"/>
  <c r="P329" i="12"/>
  <c r="L329" i="12"/>
  <c r="O329" i="12"/>
  <c r="R329" i="12"/>
  <c r="T329" i="12" s="1"/>
  <c r="U329" i="12" s="1"/>
  <c r="O262" i="12"/>
  <c r="P262" i="12"/>
  <c r="R262" i="12"/>
  <c r="T262" i="12" s="1"/>
  <c r="U262" i="12" s="1"/>
  <c r="L262" i="12"/>
  <c r="L335" i="12"/>
  <c r="P335" i="12"/>
  <c r="R335" i="12"/>
  <c r="T335" i="12" s="1"/>
  <c r="U335" i="12" s="1"/>
  <c r="O335" i="12"/>
  <c r="P124" i="12"/>
  <c r="L124" i="12"/>
  <c r="R124" i="12"/>
  <c r="T124" i="12" s="1"/>
  <c r="U124" i="12" s="1"/>
  <c r="O124" i="12"/>
  <c r="P107" i="12"/>
  <c r="O107" i="12"/>
  <c r="L107" i="12"/>
  <c r="R107" i="12"/>
  <c r="T107" i="12" s="1"/>
  <c r="U107" i="12" s="1"/>
  <c r="R111" i="12"/>
  <c r="T111" i="12" s="1"/>
  <c r="U111" i="12" s="1"/>
  <c r="O111" i="12"/>
  <c r="L111" i="12"/>
  <c r="P111" i="12"/>
  <c r="L201" i="12"/>
  <c r="R201" i="12"/>
  <c r="T201" i="12" s="1"/>
  <c r="U201" i="12" s="1"/>
  <c r="O201" i="12"/>
  <c r="P201" i="12"/>
  <c r="O136" i="12"/>
  <c r="P136" i="12"/>
  <c r="R136" i="12"/>
  <c r="T136" i="12" s="1"/>
  <c r="U136" i="12" s="1"/>
  <c r="L136" i="12"/>
  <c r="L331" i="12"/>
  <c r="R331" i="12"/>
  <c r="T331" i="12" s="1"/>
  <c r="U331" i="12" s="1"/>
  <c r="P331" i="12"/>
  <c r="O331" i="12"/>
  <c r="R204" i="12"/>
  <c r="T204" i="12" s="1"/>
  <c r="U204" i="12" s="1"/>
  <c r="L204" i="12"/>
  <c r="O204" i="12"/>
  <c r="P204" i="12"/>
  <c r="D94" i="12"/>
  <c r="D95" i="12" s="1"/>
  <c r="D96" i="12" s="1"/>
  <c r="D97" i="12" s="1"/>
  <c r="D98" i="12" s="1"/>
  <c r="D99" i="12" s="1"/>
  <c r="D100" i="12" s="1"/>
  <c r="D101" i="12" s="1"/>
  <c r="D102" i="12" s="1"/>
  <c r="D103" i="12" s="1"/>
  <c r="D104" i="12" s="1"/>
  <c r="D105" i="12" s="1"/>
  <c r="D106" i="12" s="1"/>
  <c r="D107" i="12" s="1"/>
  <c r="D108" i="12" s="1"/>
  <c r="D109" i="12" s="1"/>
  <c r="D110" i="12" s="1"/>
  <c r="D111" i="12" s="1"/>
  <c r="D112" i="12" s="1"/>
  <c r="D113" i="12" s="1"/>
  <c r="D114" i="12" s="1"/>
  <c r="D115" i="12" s="1"/>
  <c r="D116" i="12" s="1"/>
  <c r="D117" i="12" s="1"/>
  <c r="D118" i="12" s="1"/>
  <c r="D119" i="12" s="1"/>
  <c r="D120" i="12" s="1"/>
  <c r="D121" i="12" s="1"/>
  <c r="D122" i="12" s="1"/>
  <c r="D123" i="12" s="1"/>
  <c r="D124" i="12" s="1"/>
  <c r="P321" i="12"/>
  <c r="O321" i="12"/>
  <c r="L321" i="12"/>
  <c r="R321" i="12"/>
  <c r="T321" i="12" s="1"/>
  <c r="U321" i="12" s="1"/>
  <c r="L216" i="12"/>
  <c r="O216" i="12"/>
  <c r="P216" i="12"/>
  <c r="R216" i="12"/>
  <c r="T216" i="12" s="1"/>
  <c r="U216" i="12" s="1"/>
  <c r="D27" i="12"/>
  <c r="D28" i="12" s="1"/>
  <c r="D29" i="12" s="1"/>
  <c r="D30" i="12" s="1"/>
  <c r="D31" i="12" s="1"/>
  <c r="D32" i="12" s="1"/>
  <c r="D33" i="12" s="1"/>
  <c r="P305" i="12"/>
  <c r="O305" i="12"/>
  <c r="L305" i="12"/>
  <c r="R305" i="12"/>
  <c r="T305" i="12" s="1"/>
  <c r="U305" i="12" s="1"/>
  <c r="L186" i="12"/>
  <c r="O186" i="12"/>
  <c r="P186" i="12"/>
  <c r="R186" i="12"/>
  <c r="T186" i="12" s="1"/>
  <c r="U186" i="12" s="1"/>
  <c r="P256" i="12"/>
  <c r="L256" i="12"/>
  <c r="O256" i="12"/>
  <c r="R256" i="12"/>
  <c r="T256" i="12" s="1"/>
  <c r="U256" i="12" s="1"/>
  <c r="P23" i="12"/>
  <c r="R23" i="12"/>
  <c r="T23" i="12" s="1"/>
  <c r="U23" i="12" s="1"/>
  <c r="L23" i="12"/>
  <c r="O23" i="12"/>
  <c r="O57" i="12"/>
  <c r="P57" i="12"/>
  <c r="L57" i="12"/>
  <c r="R57" i="12"/>
  <c r="T57" i="12" s="1"/>
  <c r="U57" i="12" s="1"/>
  <c r="O185" i="12"/>
  <c r="L185" i="12"/>
  <c r="P185" i="12"/>
  <c r="R185" i="12"/>
  <c r="T185" i="12" s="1"/>
  <c r="U185" i="12" s="1"/>
  <c r="O120" i="12"/>
  <c r="P120" i="12"/>
  <c r="L120" i="12"/>
  <c r="R120" i="12"/>
  <c r="T120" i="12" s="1"/>
  <c r="U120" i="12" s="1"/>
  <c r="L352" i="12"/>
  <c r="P352" i="12"/>
  <c r="O352" i="12"/>
  <c r="R352" i="12"/>
  <c r="T352" i="12" s="1"/>
  <c r="U352" i="12" s="1"/>
  <c r="P103" i="12"/>
  <c r="L103" i="12"/>
  <c r="R103" i="12"/>
  <c r="T103" i="12" s="1"/>
  <c r="U103" i="12" s="1"/>
  <c r="O103" i="12"/>
  <c r="L169" i="12"/>
  <c r="O169" i="12"/>
  <c r="P169" i="12"/>
  <c r="R169" i="12"/>
  <c r="T169" i="12" s="1"/>
  <c r="U169" i="12" s="1"/>
  <c r="P322" i="12"/>
  <c r="L322" i="12"/>
  <c r="R322" i="12"/>
  <c r="T322" i="12" s="1"/>
  <c r="U322" i="12" s="1"/>
  <c r="O322" i="12"/>
  <c r="P30" i="12"/>
  <c r="R30" i="12"/>
  <c r="T30" i="12" s="1"/>
  <c r="U30" i="12" s="1"/>
  <c r="L30" i="12"/>
  <c r="O30" i="12"/>
  <c r="L223" i="12"/>
  <c r="O223" i="12"/>
  <c r="P223" i="12"/>
  <c r="R223" i="12"/>
  <c r="T223" i="12" s="1"/>
  <c r="U223" i="12" s="1"/>
  <c r="O112" i="12"/>
  <c r="L112" i="12"/>
  <c r="P112" i="12"/>
  <c r="R112" i="12"/>
  <c r="T112" i="12" s="1"/>
  <c r="U112" i="12" s="1"/>
  <c r="L341" i="12"/>
  <c r="O341" i="12"/>
  <c r="P341" i="12"/>
  <c r="R341" i="12"/>
  <c r="T341" i="12" s="1"/>
  <c r="U341" i="12" s="1"/>
  <c r="R222" i="12"/>
  <c r="T222" i="12" s="1"/>
  <c r="U222" i="12" s="1"/>
  <c r="L222" i="12"/>
  <c r="P222" i="12"/>
  <c r="O222" i="12"/>
  <c r="O60" i="12"/>
  <c r="P60" i="12"/>
  <c r="L60" i="12"/>
  <c r="R60" i="12"/>
  <c r="T60" i="12" s="1"/>
  <c r="U60" i="12" s="1"/>
  <c r="C25" i="12"/>
  <c r="A92" i="11"/>
  <c r="G15" i="12"/>
  <c r="K14" i="12"/>
  <c r="P9" i="26"/>
  <c r="O9" i="26"/>
  <c r="O155" i="12"/>
  <c r="L155" i="12"/>
  <c r="R155" i="12"/>
  <c r="T155" i="12" s="1"/>
  <c r="U155" i="12" s="1"/>
  <c r="P155" i="12"/>
  <c r="R200" i="12"/>
  <c r="T200" i="12" s="1"/>
  <c r="U200" i="12" s="1"/>
  <c r="O200" i="12"/>
  <c r="P200" i="12"/>
  <c r="L200" i="12"/>
  <c r="R332" i="12"/>
  <c r="T332" i="12" s="1"/>
  <c r="U332" i="12" s="1"/>
  <c r="P332" i="12"/>
  <c r="L332" i="12"/>
  <c r="O332" i="12"/>
  <c r="L114" i="12"/>
  <c r="O114" i="12"/>
  <c r="P114" i="12"/>
  <c r="R114" i="12"/>
  <c r="T114" i="12" s="1"/>
  <c r="U114" i="12" s="1"/>
  <c r="L266" i="12"/>
  <c r="P266" i="12"/>
  <c r="O266" i="12"/>
  <c r="R266" i="12"/>
  <c r="T266" i="12" s="1"/>
  <c r="U266" i="12" s="1"/>
  <c r="L258" i="12"/>
  <c r="R258" i="12"/>
  <c r="T258" i="12" s="1"/>
  <c r="U258" i="12" s="1"/>
  <c r="O258" i="12"/>
  <c r="P258" i="12"/>
  <c r="P217" i="12"/>
  <c r="L217" i="12"/>
  <c r="R217" i="12"/>
  <c r="T217" i="12" s="1"/>
  <c r="U217" i="12" s="1"/>
  <c r="O217" i="12"/>
  <c r="O104" i="12"/>
  <c r="R104" i="12"/>
  <c r="T104" i="12" s="1"/>
  <c r="U104" i="12" s="1"/>
  <c r="P104" i="12"/>
  <c r="L104" i="12"/>
  <c r="O306" i="12"/>
  <c r="R306" i="12"/>
  <c r="T306" i="12" s="1"/>
  <c r="U306" i="12" s="1"/>
  <c r="L306" i="12"/>
  <c r="P306" i="12"/>
  <c r="P323" i="12"/>
  <c r="O323" i="12"/>
  <c r="L323" i="12"/>
  <c r="R323" i="12"/>
  <c r="T323" i="12" s="1"/>
  <c r="U323" i="12" s="1"/>
  <c r="R21" i="12"/>
  <c r="T21" i="12" s="1"/>
  <c r="U21" i="12" s="1"/>
  <c r="P21" i="12"/>
  <c r="L21" i="12"/>
  <c r="O21" i="12"/>
  <c r="P116" i="12"/>
  <c r="O116" i="12"/>
  <c r="L116" i="12"/>
  <c r="R116" i="12"/>
  <c r="T116" i="12" s="1"/>
  <c r="U116" i="12" s="1"/>
  <c r="L55" i="12"/>
  <c r="P55" i="12"/>
  <c r="O55" i="12"/>
  <c r="R55" i="12"/>
  <c r="T55" i="12" s="1"/>
  <c r="U55" i="12" s="1"/>
  <c r="O61" i="12"/>
  <c r="L61" i="12"/>
  <c r="P61" i="12"/>
  <c r="R61" i="12"/>
  <c r="T61" i="12" s="1"/>
  <c r="U61" i="12" s="1"/>
  <c r="O123" i="12"/>
  <c r="P123" i="12"/>
  <c r="R123" i="12"/>
  <c r="T123" i="12" s="1"/>
  <c r="U123" i="12" s="1"/>
  <c r="L123" i="12"/>
  <c r="R296" i="12"/>
  <c r="T296" i="12" s="1"/>
  <c r="U296" i="12" s="1"/>
  <c r="O296" i="12"/>
  <c r="P296" i="12"/>
  <c r="L296" i="12"/>
  <c r="L51" i="12"/>
  <c r="R51" i="12"/>
  <c r="T51" i="12" s="1"/>
  <c r="U51" i="12" s="1"/>
  <c r="P51" i="12"/>
  <c r="O51" i="12"/>
  <c r="P53" i="12"/>
  <c r="R53" i="12"/>
  <c r="T53" i="12" s="1"/>
  <c r="U53" i="12" s="1"/>
  <c r="O53" i="12"/>
  <c r="L53" i="12"/>
  <c r="C26" i="11" l="1"/>
  <c r="M24" i="11"/>
  <c r="E23" i="11"/>
  <c r="B20" i="11"/>
  <c r="G23" i="11"/>
  <c r="H23" i="11"/>
  <c r="F23" i="11"/>
  <c r="F26" i="11" s="1"/>
  <c r="H126" i="12"/>
  <c r="B126" i="12" s="1"/>
  <c r="U126" i="12" s="1"/>
  <c r="C29" i="11"/>
  <c r="F29" i="11" s="1"/>
  <c r="I26" i="11" s="1"/>
  <c r="I90" i="12"/>
  <c r="U273" i="12"/>
  <c r="D360" i="12"/>
  <c r="H297" i="12"/>
  <c r="H285" i="12"/>
  <c r="B285" i="12" s="1"/>
  <c r="U285" i="12" s="1"/>
  <c r="M27" i="11"/>
  <c r="U189" i="12"/>
  <c r="H90" i="12"/>
  <c r="C26" i="12"/>
  <c r="I13" i="12"/>
  <c r="D245" i="12"/>
  <c r="D34" i="12"/>
  <c r="U309" i="12"/>
  <c r="U165" i="12"/>
  <c r="Q9" i="26"/>
  <c r="T9" i="26"/>
  <c r="I9" i="26"/>
  <c r="N9" i="26"/>
  <c r="R9" i="26" s="1"/>
  <c r="W65" i="12"/>
  <c r="A95" i="11"/>
  <c r="H138" i="12"/>
  <c r="D67" i="12"/>
  <c r="H26" i="11"/>
  <c r="E26" i="11"/>
  <c r="G26" i="11"/>
  <c r="B23" i="11"/>
  <c r="U11" i="12"/>
  <c r="N14" i="11" s="1"/>
  <c r="I238" i="12"/>
  <c r="G16" i="12"/>
  <c r="K15" i="12"/>
  <c r="D345" i="12"/>
  <c r="B90" i="12" l="1"/>
  <c r="U90" i="12" s="1"/>
  <c r="B26" i="11"/>
  <c r="AE24" i="11" s="1"/>
  <c r="G29" i="11"/>
  <c r="H29" i="11"/>
  <c r="D361" i="12"/>
  <c r="AC24" i="11"/>
  <c r="AM24" i="11"/>
  <c r="Z24" i="11"/>
  <c r="AD24" i="11"/>
  <c r="AK24" i="11"/>
  <c r="U24" i="11"/>
  <c r="T24" i="11"/>
  <c r="AI24" i="11"/>
  <c r="AL24" i="11"/>
  <c r="V24" i="11"/>
  <c r="R24" i="11"/>
  <c r="AG24" i="11"/>
  <c r="AA24" i="11"/>
  <c r="Q24" i="11"/>
  <c r="W24" i="11"/>
  <c r="AB24" i="11"/>
  <c r="J23" i="11"/>
  <c r="I23" i="11"/>
  <c r="E29" i="11"/>
  <c r="J20" i="11" s="1"/>
  <c r="W77" i="12"/>
  <c r="C35" i="11" s="1"/>
  <c r="D346" i="12"/>
  <c r="G17" i="12"/>
  <c r="K16" i="12"/>
  <c r="C32" i="11"/>
  <c r="A98" i="11"/>
  <c r="M30" i="11"/>
  <c r="D246" i="12"/>
  <c r="D68" i="12"/>
  <c r="C27" i="12"/>
  <c r="D35" i="12"/>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AI21" i="11"/>
  <c r="U21" i="11"/>
  <c r="AK21" i="11"/>
  <c r="T21" i="11"/>
  <c r="P22" i="11"/>
  <c r="AG21" i="11"/>
  <c r="AA21" i="11"/>
  <c r="AC21" i="11"/>
  <c r="AJ21" i="11"/>
  <c r="AM21" i="11"/>
  <c r="Z21" i="11"/>
  <c r="S21" i="11"/>
  <c r="Q21" i="11"/>
  <c r="AL21" i="11"/>
  <c r="AD21" i="11"/>
  <c r="R21" i="11"/>
  <c r="Y21" i="11"/>
  <c r="V21" i="11"/>
  <c r="AE21" i="11"/>
  <c r="AB21" i="11"/>
  <c r="W21" i="11"/>
  <c r="AH21" i="11"/>
  <c r="P25" i="11" l="1"/>
  <c r="AH24" i="11"/>
  <c r="Y24" i="11"/>
  <c r="AJ24" i="11"/>
  <c r="S24" i="11"/>
  <c r="Q25" i="11"/>
  <c r="R25" i="11" s="1"/>
  <c r="Q22" i="11"/>
  <c r="R22" i="11" s="1"/>
  <c r="S22" i="11" s="1"/>
  <c r="T22" i="11" s="1"/>
  <c r="U22" i="11" s="1"/>
  <c r="D362" i="12"/>
  <c r="D23" i="11"/>
  <c r="D247" i="12"/>
  <c r="A101" i="11"/>
  <c r="D347" i="12"/>
  <c r="C28" i="12"/>
  <c r="H32" i="11"/>
  <c r="E32" i="11"/>
  <c r="E35" i="11" s="1"/>
  <c r="F32" i="11"/>
  <c r="F35" i="11" s="1"/>
  <c r="B32" i="11"/>
  <c r="G32" i="11"/>
  <c r="B29" i="11"/>
  <c r="M33" i="11"/>
  <c r="H13" i="12"/>
  <c r="B13" i="12" s="1"/>
  <c r="U13" i="12" s="1"/>
  <c r="K23" i="11" s="1"/>
  <c r="N21" i="11" s="1"/>
  <c r="H33" i="12"/>
  <c r="H35" i="11"/>
  <c r="G35" i="11"/>
  <c r="D69" i="12"/>
  <c r="D70" i="12" s="1"/>
  <c r="D71" i="12" s="1"/>
  <c r="D72" i="12" s="1"/>
  <c r="D73" i="12" s="1"/>
  <c r="D74" i="12" s="1"/>
  <c r="D75" i="12" s="1"/>
  <c r="D76" i="12" s="1"/>
  <c r="D77" i="12" s="1"/>
  <c r="G18" i="12"/>
  <c r="K17" i="12"/>
  <c r="W89" i="12"/>
  <c r="D363" i="12" l="1"/>
  <c r="J32" i="11"/>
  <c r="U23" i="11"/>
  <c r="V22" i="11"/>
  <c r="D348" i="12"/>
  <c r="D349" i="12" s="1"/>
  <c r="D350" i="12" s="1"/>
  <c r="D351" i="12" s="1"/>
  <c r="D352" i="12" s="1"/>
  <c r="D353" i="12" s="1"/>
  <c r="D354" i="12" s="1"/>
  <c r="D355" i="12" s="1"/>
  <c r="C38" i="11"/>
  <c r="M36" i="11"/>
  <c r="G19" i="12"/>
  <c r="K18" i="12"/>
  <c r="I65" i="12"/>
  <c r="D78" i="12"/>
  <c r="A104" i="11"/>
  <c r="T30" i="11"/>
  <c r="AD30" i="11"/>
  <c r="AE30" i="11"/>
  <c r="AA30" i="11"/>
  <c r="AL30" i="11"/>
  <c r="AF30" i="11"/>
  <c r="V30" i="11"/>
  <c r="S30" i="11"/>
  <c r="AB30" i="11"/>
  <c r="R30" i="11"/>
  <c r="W30" i="11"/>
  <c r="AK30" i="11"/>
  <c r="X30" i="11"/>
  <c r="AJ30" i="11"/>
  <c r="AM30" i="11"/>
  <c r="AI30" i="11"/>
  <c r="AH30" i="11"/>
  <c r="AC30" i="11"/>
  <c r="P30" i="11"/>
  <c r="P31" i="11" s="1"/>
  <c r="U30" i="11"/>
  <c r="Z30" i="11"/>
  <c r="W90" i="12"/>
  <c r="W125" i="12" s="1"/>
  <c r="C29" i="12"/>
  <c r="S25" i="11"/>
  <c r="T23" i="11"/>
  <c r="P23" i="11"/>
  <c r="R23" i="11"/>
  <c r="Q23" i="11"/>
  <c r="D248" i="12"/>
  <c r="S23" i="11"/>
  <c r="H343" i="12" l="1"/>
  <c r="D364" i="12"/>
  <c r="W126" i="12"/>
  <c r="M45" i="11" s="1"/>
  <c r="Q31" i="11"/>
  <c r="T25" i="11"/>
  <c r="K41" i="11"/>
  <c r="N39" i="11" s="1"/>
  <c r="A107" i="11"/>
  <c r="G20" i="12"/>
  <c r="K19" i="12"/>
  <c r="M39" i="11"/>
  <c r="C44" i="11"/>
  <c r="E38" i="11"/>
  <c r="G38" i="11"/>
  <c r="H38" i="11"/>
  <c r="F38" i="11"/>
  <c r="B35" i="11"/>
  <c r="W138" i="12"/>
  <c r="C30" i="12"/>
  <c r="M42" i="11"/>
  <c r="K47" i="11"/>
  <c r="N45" i="11" s="1"/>
  <c r="D79" i="12"/>
  <c r="D80" i="12" s="1"/>
  <c r="D81" i="12" s="1"/>
  <c r="D82" i="12" s="1"/>
  <c r="D83" i="12" s="1"/>
  <c r="D84" i="12" s="1"/>
  <c r="D85" i="12" s="1"/>
  <c r="D86" i="12" s="1"/>
  <c r="D87" i="12" s="1"/>
  <c r="D88" i="12" s="1"/>
  <c r="D249" i="12"/>
  <c r="C47" i="11"/>
  <c r="W22" i="11"/>
  <c r="V23" i="11"/>
  <c r="D365" i="12" l="1"/>
  <c r="X33" i="11"/>
  <c r="AF33" i="11"/>
  <c r="AC33" i="11"/>
  <c r="AK33" i="11"/>
  <c r="AA33" i="11"/>
  <c r="AJ33" i="11"/>
  <c r="AE33" i="11"/>
  <c r="R33" i="11"/>
  <c r="W33" i="11"/>
  <c r="AB33" i="11"/>
  <c r="U33" i="11"/>
  <c r="P33" i="11"/>
  <c r="P34" i="11" s="1"/>
  <c r="V33" i="11"/>
  <c r="Z33" i="11"/>
  <c r="AH33" i="11"/>
  <c r="AM33" i="11"/>
  <c r="S33" i="11"/>
  <c r="AL33" i="11"/>
  <c r="AD33" i="11"/>
  <c r="T33" i="11"/>
  <c r="AI33" i="11"/>
  <c r="B44" i="11"/>
  <c r="G44" i="11"/>
  <c r="H44" i="11"/>
  <c r="F44" i="11"/>
  <c r="A110" i="11"/>
  <c r="H77" i="12"/>
  <c r="I35" i="11"/>
  <c r="I32" i="11"/>
  <c r="D32" i="11" s="1"/>
  <c r="W164" i="12"/>
  <c r="C31" i="12"/>
  <c r="G21" i="12"/>
  <c r="K20" i="12"/>
  <c r="R31" i="11"/>
  <c r="G47" i="11"/>
  <c r="H47" i="11"/>
  <c r="F47" i="11"/>
  <c r="U25" i="11"/>
  <c r="X22" i="11"/>
  <c r="W23" i="11"/>
  <c r="D250" i="12"/>
  <c r="D251" i="12" s="1"/>
  <c r="D252" i="12" s="1"/>
  <c r="D253" i="12" s="1"/>
  <c r="D254" i="12" s="1"/>
  <c r="D255" i="12" s="1"/>
  <c r="D256" i="12" s="1"/>
  <c r="D257" i="12" s="1"/>
  <c r="D258" i="12" s="1"/>
  <c r="D259" i="12" s="1"/>
  <c r="D260" i="12" s="1"/>
  <c r="D261" i="12" s="1"/>
  <c r="D262" i="12" s="1"/>
  <c r="D263" i="12" s="1"/>
  <c r="D264" i="12" s="1"/>
  <c r="D265" i="12" s="1"/>
  <c r="D266" i="12" s="1"/>
  <c r="D267" i="12" s="1"/>
  <c r="D268" i="12" s="1"/>
  <c r="D269" i="12" s="1"/>
  <c r="D270" i="12" s="1"/>
  <c r="D271" i="12" s="1"/>
  <c r="D366" i="12" l="1"/>
  <c r="I297" i="12" s="1"/>
  <c r="B297" i="12" s="1"/>
  <c r="U297" i="12" s="1"/>
  <c r="I357" i="12"/>
  <c r="Q34" i="11"/>
  <c r="X23" i="11"/>
  <c r="Y22" i="11"/>
  <c r="V25" i="11"/>
  <c r="C32" i="12"/>
  <c r="H238" i="12"/>
  <c r="B238" i="12" s="1"/>
  <c r="U238" i="12" s="1"/>
  <c r="H244" i="12"/>
  <c r="I33" i="12"/>
  <c r="B33" i="12" s="1"/>
  <c r="U33" i="12" s="1"/>
  <c r="K26" i="11" s="1"/>
  <c r="N24" i="11" s="1"/>
  <c r="U26" i="11" s="1"/>
  <c r="I244" i="12"/>
  <c r="I226" i="12"/>
  <c r="B226" i="12" s="1"/>
  <c r="U226" i="12" s="1"/>
  <c r="H65" i="12"/>
  <c r="B65" i="12" s="1"/>
  <c r="U65" i="12" s="1"/>
  <c r="K32" i="11" s="1"/>
  <c r="N30" i="11" s="1"/>
  <c r="A113" i="11"/>
  <c r="S31" i="11"/>
  <c r="I177" i="12"/>
  <c r="B177" i="12" s="1"/>
  <c r="U177" i="12" s="1"/>
  <c r="G22" i="12"/>
  <c r="K21" i="12"/>
  <c r="I138" i="12"/>
  <c r="B138" i="12" s="1"/>
  <c r="U138" i="12" s="1"/>
  <c r="W165" i="12"/>
  <c r="I77" i="12"/>
  <c r="B77" i="12" s="1"/>
  <c r="U77" i="12" s="1"/>
  <c r="K35" i="11" s="1"/>
  <c r="N33" i="11" s="1"/>
  <c r="P35" i="11" s="1"/>
  <c r="H357" i="12" l="1"/>
  <c r="B357" i="12" s="1"/>
  <c r="U357" i="12" s="1"/>
  <c r="I343" i="12"/>
  <c r="B343" i="12" s="1"/>
  <c r="U343" i="12" s="1"/>
  <c r="I336" i="12"/>
  <c r="B336" i="12" s="1"/>
  <c r="U336" i="12" s="1"/>
  <c r="Z22" i="11"/>
  <c r="Y23" i="11"/>
  <c r="Q35" i="11"/>
  <c r="R34" i="11"/>
  <c r="G23" i="12"/>
  <c r="K22" i="12"/>
  <c r="P32" i="11"/>
  <c r="Q32" i="11"/>
  <c r="S32" i="11"/>
  <c r="T31" i="11"/>
  <c r="W177" i="12"/>
  <c r="R32" i="11"/>
  <c r="B244" i="12"/>
  <c r="U244" i="12" s="1"/>
  <c r="C33" i="12"/>
  <c r="P26" i="11"/>
  <c r="Q26" i="11"/>
  <c r="R26" i="11"/>
  <c r="S26" i="11"/>
  <c r="T26" i="11"/>
  <c r="V26" i="11"/>
  <c r="W25" i="11"/>
  <c r="K33" i="12" l="1"/>
  <c r="L24" i="11" s="1"/>
  <c r="C34" i="12"/>
  <c r="W188" i="12"/>
  <c r="S34" i="11"/>
  <c r="R35" i="11"/>
  <c r="G24" i="12"/>
  <c r="K23" i="12"/>
  <c r="Z23" i="11"/>
  <c r="AA22" i="11"/>
  <c r="W26" i="11"/>
  <c r="X25" i="11"/>
  <c r="T32" i="11"/>
  <c r="U31" i="11"/>
  <c r="X26" i="11" l="1"/>
  <c r="Y25" i="11"/>
  <c r="S35" i="11"/>
  <c r="T34" i="11"/>
  <c r="W189" i="12"/>
  <c r="AA23" i="11"/>
  <c r="AB22" i="11"/>
  <c r="U32" i="11"/>
  <c r="V31" i="11"/>
  <c r="C35" i="12"/>
  <c r="K34" i="12"/>
  <c r="G25" i="12"/>
  <c r="K24" i="12"/>
  <c r="W226" i="12" l="1"/>
  <c r="T35" i="11"/>
  <c r="U34" i="11"/>
  <c r="G26" i="12"/>
  <c r="K25" i="12"/>
  <c r="K35" i="12"/>
  <c r="C36" i="12"/>
  <c r="Y26" i="11"/>
  <c r="Z25" i="11"/>
  <c r="V32" i="11"/>
  <c r="W31" i="11"/>
  <c r="AB23" i="11"/>
  <c r="AC22" i="11"/>
  <c r="C37" i="12" l="1"/>
  <c r="K36" i="12"/>
  <c r="G27" i="12"/>
  <c r="K26" i="12"/>
  <c r="W237" i="12"/>
  <c r="W32" i="11"/>
  <c r="X31" i="11"/>
  <c r="AC23" i="11"/>
  <c r="AD22" i="11"/>
  <c r="Z26" i="11"/>
  <c r="AA25" i="11"/>
  <c r="V34" i="11"/>
  <c r="U35" i="11"/>
  <c r="W238" i="12" l="1"/>
  <c r="W244" i="12" s="1"/>
  <c r="W272" i="12" s="1"/>
  <c r="W273" i="12" s="1"/>
  <c r="W284" i="12" s="1"/>
  <c r="W285" i="12" s="1"/>
  <c r="W297" i="12" s="1"/>
  <c r="W308" i="12" s="1"/>
  <c r="W309" i="12" s="1"/>
  <c r="W336" i="12" s="1"/>
  <c r="W342" i="12" s="1"/>
  <c r="W343" i="12" s="1"/>
  <c r="W356" i="12" s="1"/>
  <c r="W357" i="12" s="1"/>
  <c r="G28" i="12"/>
  <c r="K27" i="12"/>
  <c r="X32" i="11"/>
  <c r="Y31" i="11"/>
  <c r="V35" i="11"/>
  <c r="W34" i="11"/>
  <c r="AB25" i="11"/>
  <c r="AA26" i="11"/>
  <c r="AD23" i="11"/>
  <c r="AE22" i="11"/>
  <c r="K37" i="12"/>
  <c r="C38" i="12"/>
  <c r="G29" i="12" l="1"/>
  <c r="K28" i="12"/>
  <c r="X34" i="11"/>
  <c r="W35" i="11"/>
  <c r="AC25" i="11"/>
  <c r="AB26" i="11"/>
  <c r="C113" i="11"/>
  <c r="K107" i="11"/>
  <c r="N105" i="11" s="1"/>
  <c r="Y32" i="11"/>
  <c r="Z31" i="11"/>
  <c r="M102" i="11"/>
  <c r="C110" i="11"/>
  <c r="C39" i="12"/>
  <c r="K38" i="12"/>
  <c r="AF22" i="11"/>
  <c r="AE23" i="11"/>
  <c r="M84" i="11"/>
  <c r="M87" i="11"/>
  <c r="M48" i="11"/>
  <c r="C53" i="11"/>
  <c r="C86" i="11"/>
  <c r="C41" i="11"/>
  <c r="M51" i="11"/>
  <c r="K89" i="11"/>
  <c r="N87" i="11" s="1"/>
  <c r="C50" i="11"/>
  <c r="C65" i="11"/>
  <c r="M57" i="11"/>
  <c r="C92" i="11"/>
  <c r="K59" i="11"/>
  <c r="N57" i="11" s="1"/>
  <c r="K74" i="11"/>
  <c r="N72" i="11" s="1"/>
  <c r="M63" i="11"/>
  <c r="M69" i="11"/>
  <c r="C68" i="11"/>
  <c r="M66" i="11"/>
  <c r="C77" i="11"/>
  <c r="C89" i="11"/>
  <c r="C56" i="11"/>
  <c r="K68" i="11"/>
  <c r="N66" i="11" s="1"/>
  <c r="M81" i="11"/>
  <c r="K83" i="11"/>
  <c r="N81" i="11" s="1"/>
  <c r="M78" i="11"/>
  <c r="C59" i="11"/>
  <c r="K65" i="11"/>
  <c r="N63" i="11" s="1"/>
  <c r="K77" i="11"/>
  <c r="N75" i="11" s="1"/>
  <c r="C83" i="11"/>
  <c r="M75" i="11"/>
  <c r="C80" i="11"/>
  <c r="M90" i="11"/>
  <c r="M54" i="11"/>
  <c r="M60" i="11"/>
  <c r="K56" i="11"/>
  <c r="N54" i="11" s="1"/>
  <c r="C71" i="11"/>
  <c r="M72" i="11"/>
  <c r="C95" i="11"/>
  <c r="C62" i="11"/>
  <c r="C74" i="11"/>
  <c r="K92" i="11"/>
  <c r="N90" i="11" s="1"/>
  <c r="M96" i="11"/>
  <c r="M105" i="11"/>
  <c r="M93" i="11"/>
  <c r="C101" i="11"/>
  <c r="K98" i="11"/>
  <c r="N96" i="11" s="1"/>
  <c r="C98" i="11"/>
  <c r="K101" i="11"/>
  <c r="N99" i="11" s="1"/>
  <c r="M99" i="11"/>
  <c r="K113" i="11"/>
  <c r="N111" i="11" s="1"/>
  <c r="C107" i="11"/>
  <c r="C104" i="11"/>
  <c r="M111" i="11"/>
  <c r="M108" i="11"/>
  <c r="C40" i="12" l="1"/>
  <c r="K39" i="12"/>
  <c r="B80" i="11"/>
  <c r="G80" i="11"/>
  <c r="H80" i="11"/>
  <c r="F80" i="11"/>
  <c r="I77" i="11" s="1"/>
  <c r="B68" i="11"/>
  <c r="G68" i="11"/>
  <c r="H68" i="11"/>
  <c r="F110" i="11"/>
  <c r="G110" i="11"/>
  <c r="H110" i="11"/>
  <c r="B110" i="11"/>
  <c r="G104" i="11"/>
  <c r="F104" i="11"/>
  <c r="F107" i="11" s="1"/>
  <c r="B104" i="11"/>
  <c r="H104" i="11"/>
  <c r="B98" i="11"/>
  <c r="G98" i="11"/>
  <c r="H98" i="11"/>
  <c r="H62" i="11"/>
  <c r="B62" i="11"/>
  <c r="G62" i="11"/>
  <c r="F62" i="11"/>
  <c r="F65" i="11" s="1"/>
  <c r="H65" i="11"/>
  <c r="G65" i="11"/>
  <c r="B65" i="11"/>
  <c r="G107" i="11"/>
  <c r="H107" i="11"/>
  <c r="B107" i="11"/>
  <c r="I107" i="11"/>
  <c r="G50" i="11"/>
  <c r="B50" i="11"/>
  <c r="H50" i="11"/>
  <c r="F50" i="11"/>
  <c r="B47" i="11"/>
  <c r="Z32" i="11"/>
  <c r="AA31" i="11"/>
  <c r="X35" i="11"/>
  <c r="Y34" i="11"/>
  <c r="AC26" i="11"/>
  <c r="AD25" i="11"/>
  <c r="F95" i="11"/>
  <c r="F98" i="11" s="1"/>
  <c r="G95" i="11"/>
  <c r="H95" i="11"/>
  <c r="B95" i="11"/>
  <c r="F83" i="11"/>
  <c r="H83" i="11"/>
  <c r="G83" i="11"/>
  <c r="B83" i="11"/>
  <c r="H101" i="11"/>
  <c r="G101" i="11"/>
  <c r="B101" i="11"/>
  <c r="G56" i="11"/>
  <c r="H56" i="11"/>
  <c r="B56" i="11"/>
  <c r="G30" i="12"/>
  <c r="K29" i="12"/>
  <c r="F53" i="11"/>
  <c r="F56" i="11" s="1"/>
  <c r="G53" i="11"/>
  <c r="B53" i="11"/>
  <c r="H53" i="11"/>
  <c r="G89" i="11"/>
  <c r="B89" i="11"/>
  <c r="H89" i="11"/>
  <c r="H41" i="11"/>
  <c r="E41" i="11"/>
  <c r="I41" i="11"/>
  <c r="G41" i="11"/>
  <c r="B41" i="11"/>
  <c r="F41" i="11"/>
  <c r="J41" i="11" s="1"/>
  <c r="B38" i="11"/>
  <c r="AF23" i="11"/>
  <c r="AG22" i="11"/>
  <c r="H113" i="11"/>
  <c r="F113" i="11"/>
  <c r="B113" i="11"/>
  <c r="I113" i="11"/>
  <c r="G113" i="11"/>
  <c r="B74" i="11"/>
  <c r="G74" i="11"/>
  <c r="H74" i="11"/>
  <c r="B71" i="11"/>
  <c r="H71" i="11"/>
  <c r="G71" i="11"/>
  <c r="F71" i="11"/>
  <c r="I68" i="11" s="1"/>
  <c r="B59" i="11"/>
  <c r="H59" i="11"/>
  <c r="G59" i="11"/>
  <c r="H77" i="11"/>
  <c r="G77" i="11"/>
  <c r="B77" i="11"/>
  <c r="H92" i="11"/>
  <c r="B92" i="11"/>
  <c r="G92" i="11"/>
  <c r="I92" i="11"/>
  <c r="G86" i="11"/>
  <c r="B86" i="11"/>
  <c r="H86" i="11"/>
  <c r="F86" i="11"/>
  <c r="I83" i="11" s="1"/>
  <c r="I101" i="11" l="1"/>
  <c r="I59" i="11"/>
  <c r="D41" i="11"/>
  <c r="J107" i="11"/>
  <c r="D107" i="11" s="1"/>
  <c r="F74" i="11"/>
  <c r="F68" i="11"/>
  <c r="J65" i="11" s="1"/>
  <c r="F59" i="11"/>
  <c r="J56" i="11" s="1"/>
  <c r="F101" i="11"/>
  <c r="J98" i="11" s="1"/>
  <c r="W75" i="11"/>
  <c r="Z75" i="11"/>
  <c r="X75" i="11"/>
  <c r="AJ75" i="11"/>
  <c r="AA75" i="11"/>
  <c r="U75" i="11"/>
  <c r="AH75" i="11"/>
  <c r="R75" i="11"/>
  <c r="Q75" i="11"/>
  <c r="AB75" i="11"/>
  <c r="AC75" i="11"/>
  <c r="AG75" i="11"/>
  <c r="AE75" i="11"/>
  <c r="AM75" i="11"/>
  <c r="S75" i="11"/>
  <c r="P75" i="11"/>
  <c r="P76" i="11" s="1"/>
  <c r="P77" i="11" s="1"/>
  <c r="AK75" i="11"/>
  <c r="T75" i="11"/>
  <c r="AI75" i="11"/>
  <c r="Y75" i="11"/>
  <c r="AF75" i="11"/>
  <c r="AJ96" i="11"/>
  <c r="AM96" i="11"/>
  <c r="U96" i="11"/>
  <c r="AA96" i="11"/>
  <c r="AK96" i="11"/>
  <c r="AC96" i="11"/>
  <c r="W96" i="11"/>
  <c r="Q96" i="11"/>
  <c r="AG96" i="11"/>
  <c r="AL96" i="11"/>
  <c r="S96" i="11"/>
  <c r="AH96" i="11"/>
  <c r="P96" i="11"/>
  <c r="P97" i="11" s="1"/>
  <c r="P98" i="11" s="1"/>
  <c r="AI96" i="11"/>
  <c r="V96" i="11"/>
  <c r="AF96" i="11"/>
  <c r="AD96" i="11"/>
  <c r="AE96" i="11"/>
  <c r="R96" i="11"/>
  <c r="AB96" i="11"/>
  <c r="Z96" i="11"/>
  <c r="T96" i="11"/>
  <c r="P87" i="11"/>
  <c r="P88" i="11" s="1"/>
  <c r="P89" i="11" s="1"/>
  <c r="T87" i="11"/>
  <c r="U87" i="11"/>
  <c r="Y87" i="11"/>
  <c r="V87" i="11"/>
  <c r="Z87" i="11"/>
  <c r="AG87" i="11"/>
  <c r="AC87" i="11"/>
  <c r="AJ87" i="11"/>
  <c r="AB87" i="11"/>
  <c r="AH87" i="11"/>
  <c r="Q87" i="11"/>
  <c r="Q88" i="11" s="1"/>
  <c r="Q89" i="11" s="1"/>
  <c r="AF87" i="11"/>
  <c r="AK87" i="11"/>
  <c r="S87" i="11"/>
  <c r="AI87" i="11"/>
  <c r="AA87" i="11"/>
  <c r="R87" i="11"/>
  <c r="AL87" i="11"/>
  <c r="AD87" i="11"/>
  <c r="AG105" i="11"/>
  <c r="AH105" i="11"/>
  <c r="U105" i="11"/>
  <c r="X105" i="11"/>
  <c r="AM105" i="11"/>
  <c r="S105" i="11"/>
  <c r="AF105" i="11"/>
  <c r="W105" i="11"/>
  <c r="AI105" i="11"/>
  <c r="AE105" i="11"/>
  <c r="R105" i="11"/>
  <c r="AA105" i="11"/>
  <c r="Q105" i="11"/>
  <c r="P105" i="11"/>
  <c r="P106" i="11" s="1"/>
  <c r="P107" i="11" s="1"/>
  <c r="AK105" i="11"/>
  <c r="AJ105" i="11"/>
  <c r="T105" i="11"/>
  <c r="AB105" i="11"/>
  <c r="AL105" i="11"/>
  <c r="AD105" i="11"/>
  <c r="AC105" i="11"/>
  <c r="V105" i="11"/>
  <c r="Q57" i="11"/>
  <c r="Y57" i="11"/>
  <c r="AH57" i="11"/>
  <c r="AK57" i="11"/>
  <c r="AA57" i="11"/>
  <c r="AM57" i="11"/>
  <c r="U57" i="11"/>
  <c r="AD57" i="11"/>
  <c r="X57" i="11"/>
  <c r="S57" i="11"/>
  <c r="AE57" i="11"/>
  <c r="P57" i="11"/>
  <c r="P58" i="11" s="1"/>
  <c r="P59" i="11" s="1"/>
  <c r="R57" i="11"/>
  <c r="V57" i="11"/>
  <c r="AL57" i="11"/>
  <c r="Z57" i="11"/>
  <c r="AC57" i="11"/>
  <c r="AG57" i="11"/>
  <c r="W57" i="11"/>
  <c r="AI57" i="11"/>
  <c r="AF57" i="11"/>
  <c r="AG23" i="11"/>
  <c r="AH22" i="11"/>
  <c r="E44" i="11"/>
  <c r="Y35" i="11"/>
  <c r="Z34" i="11"/>
  <c r="I50" i="11"/>
  <c r="G31" i="12"/>
  <c r="K30" i="12"/>
  <c r="Q81" i="11"/>
  <c r="AD81" i="11"/>
  <c r="S81" i="11"/>
  <c r="U81" i="11"/>
  <c r="AJ81" i="11"/>
  <c r="AL81" i="11"/>
  <c r="P81" i="11"/>
  <c r="P82" i="11" s="1"/>
  <c r="AI81" i="11"/>
  <c r="AC81" i="11"/>
  <c r="AB81" i="11"/>
  <c r="R81" i="11"/>
  <c r="AE81" i="11"/>
  <c r="X81" i="11"/>
  <c r="V81" i="11"/>
  <c r="AF81" i="11"/>
  <c r="AK81" i="11"/>
  <c r="AA81" i="11"/>
  <c r="AH81" i="11"/>
  <c r="T81" i="11"/>
  <c r="AM81" i="11"/>
  <c r="Z81" i="11"/>
  <c r="AG81" i="11"/>
  <c r="Y81" i="11"/>
  <c r="F89" i="11"/>
  <c r="AB31" i="11"/>
  <c r="AA32" i="11"/>
  <c r="AH48" i="11"/>
  <c r="AC48" i="11"/>
  <c r="Y48" i="11"/>
  <c r="AK48" i="11"/>
  <c r="P48" i="11"/>
  <c r="P49" i="11" s="1"/>
  <c r="R48" i="11"/>
  <c r="T48" i="11"/>
  <c r="W48" i="11"/>
  <c r="AE48" i="11"/>
  <c r="AB48" i="11"/>
  <c r="X48" i="11"/>
  <c r="AF48" i="11"/>
  <c r="U48" i="11"/>
  <c r="Q48" i="11"/>
  <c r="AD48" i="11"/>
  <c r="AL48" i="11"/>
  <c r="AJ48" i="11"/>
  <c r="AG48" i="11"/>
  <c r="V48" i="11"/>
  <c r="Z48" i="11"/>
  <c r="AM48" i="11"/>
  <c r="P66" i="11"/>
  <c r="P67" i="11" s="1"/>
  <c r="V66" i="11"/>
  <c r="AD66" i="11"/>
  <c r="W66" i="11"/>
  <c r="AJ66" i="11"/>
  <c r="AE66" i="11"/>
  <c r="AB66" i="11"/>
  <c r="Q66" i="11"/>
  <c r="T66" i="11"/>
  <c r="AL66" i="11"/>
  <c r="R66" i="11"/>
  <c r="AG66" i="11"/>
  <c r="Z66" i="11"/>
  <c r="X66" i="11"/>
  <c r="AH66" i="11"/>
  <c r="AF66" i="11"/>
  <c r="Y66" i="11"/>
  <c r="AM66" i="11"/>
  <c r="S66" i="11"/>
  <c r="AA66" i="11"/>
  <c r="AI66" i="11"/>
  <c r="I47" i="11"/>
  <c r="J47" i="11"/>
  <c r="P63" i="11"/>
  <c r="P64" i="11" s="1"/>
  <c r="P65" i="11" s="1"/>
  <c r="AK63" i="11"/>
  <c r="AG63" i="11"/>
  <c r="Q63" i="11"/>
  <c r="AM63" i="11"/>
  <c r="AD63" i="11"/>
  <c r="Z63" i="11"/>
  <c r="AC63" i="11"/>
  <c r="AF63" i="11"/>
  <c r="AA63" i="11"/>
  <c r="AL63" i="11"/>
  <c r="Y63" i="11"/>
  <c r="AB63" i="11"/>
  <c r="S63" i="11"/>
  <c r="AE63" i="11"/>
  <c r="W63" i="11"/>
  <c r="AJ63" i="11"/>
  <c r="AI63" i="11"/>
  <c r="V63" i="11"/>
  <c r="R63" i="11"/>
  <c r="AH63" i="11"/>
  <c r="T63" i="11"/>
  <c r="X63" i="11"/>
  <c r="AK111" i="11"/>
  <c r="Y111" i="11"/>
  <c r="AJ111" i="11"/>
  <c r="AE111" i="11"/>
  <c r="AH111" i="11"/>
  <c r="R111" i="11"/>
  <c r="P111" i="11"/>
  <c r="P112" i="11" s="1"/>
  <c r="P113" i="11" s="1"/>
  <c r="Q111" i="11"/>
  <c r="AD111" i="11"/>
  <c r="AM111" i="11"/>
  <c r="U111" i="11"/>
  <c r="AB111" i="11"/>
  <c r="V111" i="11"/>
  <c r="AG111" i="11"/>
  <c r="T111" i="11"/>
  <c r="AC111" i="11"/>
  <c r="S111" i="11"/>
  <c r="AI111" i="11"/>
  <c r="W111" i="11"/>
  <c r="AF111" i="11"/>
  <c r="AL111" i="11"/>
  <c r="X111" i="11"/>
  <c r="X54" i="11"/>
  <c r="U54" i="11"/>
  <c r="AB54" i="11"/>
  <c r="AL54" i="11"/>
  <c r="W54" i="11"/>
  <c r="S54" i="11"/>
  <c r="AH54" i="11"/>
  <c r="AJ54" i="11"/>
  <c r="AA54" i="11"/>
  <c r="AC54" i="11"/>
  <c r="AF54" i="11"/>
  <c r="AM54" i="11"/>
  <c r="Z54" i="11"/>
  <c r="Q54" i="11"/>
  <c r="AG54" i="11"/>
  <c r="Y54" i="11"/>
  <c r="AI54" i="11"/>
  <c r="P54" i="11"/>
  <c r="P55" i="11" s="1"/>
  <c r="P56" i="11" s="1"/>
  <c r="V54" i="11"/>
  <c r="AE54" i="11"/>
  <c r="AK54" i="11"/>
  <c r="R54" i="11"/>
  <c r="AD54" i="11"/>
  <c r="AK99" i="11"/>
  <c r="AB99" i="11"/>
  <c r="R99" i="11"/>
  <c r="U99" i="11"/>
  <c r="P99" i="11"/>
  <c r="P100" i="11" s="1"/>
  <c r="P101" i="11" s="1"/>
  <c r="AJ99" i="11"/>
  <c r="V99" i="11"/>
  <c r="AE99" i="11"/>
  <c r="X99" i="11"/>
  <c r="AI99" i="11"/>
  <c r="AC99" i="11"/>
  <c r="AL99" i="11"/>
  <c r="W99" i="11"/>
  <c r="S99" i="11"/>
  <c r="AH99" i="11"/>
  <c r="T99" i="11"/>
  <c r="AG99" i="11"/>
  <c r="Q99" i="11"/>
  <c r="AM99" i="11"/>
  <c r="AA99" i="11"/>
  <c r="AD99" i="11"/>
  <c r="Z99" i="11"/>
  <c r="AF99" i="11"/>
  <c r="W45" i="11"/>
  <c r="AC45" i="11"/>
  <c r="AI45" i="11"/>
  <c r="AJ45" i="11"/>
  <c r="Q45" i="11"/>
  <c r="AK45" i="11"/>
  <c r="AG45" i="11"/>
  <c r="T45" i="11"/>
  <c r="AH45" i="11"/>
  <c r="P45" i="11"/>
  <c r="P46" i="11" s="1"/>
  <c r="P47" i="11" s="1"/>
  <c r="X45" i="11"/>
  <c r="Z45" i="11"/>
  <c r="AB45" i="11"/>
  <c r="AL45" i="11"/>
  <c r="AD45" i="11"/>
  <c r="Y45" i="11"/>
  <c r="AM45" i="11"/>
  <c r="AF45" i="11"/>
  <c r="AE45" i="11"/>
  <c r="R45" i="11"/>
  <c r="U45" i="11"/>
  <c r="AA45" i="11"/>
  <c r="V45" i="11"/>
  <c r="AD26" i="11"/>
  <c r="AE25" i="11"/>
  <c r="P90" i="11"/>
  <c r="P91" i="11" s="1"/>
  <c r="P92" i="11" s="1"/>
  <c r="U90" i="11"/>
  <c r="AA90" i="11"/>
  <c r="Z90" i="11"/>
  <c r="AH90" i="11"/>
  <c r="AB90" i="11"/>
  <c r="T90" i="11"/>
  <c r="AG90" i="11"/>
  <c r="AK90" i="11"/>
  <c r="Y90" i="11"/>
  <c r="AD90" i="11"/>
  <c r="AF90" i="11"/>
  <c r="AI90" i="11"/>
  <c r="AE90" i="11"/>
  <c r="AC90" i="11"/>
  <c r="AM90" i="11"/>
  <c r="AL90" i="11"/>
  <c r="W90" i="11"/>
  <c r="S90" i="11"/>
  <c r="Q90" i="11"/>
  <c r="R90" i="11"/>
  <c r="V90" i="11"/>
  <c r="AJ90" i="11"/>
  <c r="Y72" i="11"/>
  <c r="AI72" i="11"/>
  <c r="AH72" i="11"/>
  <c r="T72" i="11"/>
  <c r="AA72" i="11"/>
  <c r="AB72" i="11"/>
  <c r="AK72" i="11"/>
  <c r="Z72" i="11"/>
  <c r="Q72" i="11"/>
  <c r="AF72" i="11"/>
  <c r="S72" i="11"/>
  <c r="AE72" i="11"/>
  <c r="X72" i="11"/>
  <c r="AM72" i="11"/>
  <c r="W72" i="11"/>
  <c r="AC72" i="11"/>
  <c r="AJ72" i="11"/>
  <c r="AG72" i="11"/>
  <c r="U72" i="11"/>
  <c r="AL72" i="11"/>
  <c r="AD72" i="11"/>
  <c r="P72" i="11"/>
  <c r="P73" i="11" s="1"/>
  <c r="P74" i="11" s="1"/>
  <c r="R72" i="11"/>
  <c r="J113" i="11"/>
  <c r="D113" i="11" s="1"/>
  <c r="P39" i="11"/>
  <c r="P40" i="11" s="1"/>
  <c r="P41" i="11" s="1"/>
  <c r="Q39" i="11"/>
  <c r="AE39" i="11"/>
  <c r="X39" i="11"/>
  <c r="AD39" i="11"/>
  <c r="AM39" i="11"/>
  <c r="Y39" i="11"/>
  <c r="AL39" i="11"/>
  <c r="AB39" i="11"/>
  <c r="U39" i="11"/>
  <c r="T39" i="11"/>
  <c r="AK39" i="11"/>
  <c r="AA39" i="11"/>
  <c r="S39" i="11"/>
  <c r="AG39" i="11"/>
  <c r="AF39" i="11"/>
  <c r="W39" i="11"/>
  <c r="V39" i="11"/>
  <c r="AI39" i="11"/>
  <c r="AC39" i="11"/>
  <c r="AJ39" i="11"/>
  <c r="K40" i="12"/>
  <c r="C41" i="12"/>
  <c r="Q40" i="11" l="1"/>
  <c r="Q46" i="11"/>
  <c r="Q47" i="11" s="1"/>
  <c r="R88" i="11"/>
  <c r="R89" i="11" s="1"/>
  <c r="Q106" i="11"/>
  <c r="Q107" i="11" s="1"/>
  <c r="Q49" i="11"/>
  <c r="R49" i="11" s="1"/>
  <c r="D47" i="11"/>
  <c r="R106" i="11"/>
  <c r="R107" i="11" s="1"/>
  <c r="Q97" i="11"/>
  <c r="Q98" i="11" s="1"/>
  <c r="Q55" i="11"/>
  <c r="Q56" i="11" s="1"/>
  <c r="F77" i="11"/>
  <c r="I74" i="11" s="1"/>
  <c r="Q41" i="11"/>
  <c r="R40" i="11"/>
  <c r="E47" i="11"/>
  <c r="J38" i="11"/>
  <c r="R46" i="11"/>
  <c r="Q64" i="11"/>
  <c r="Q65" i="11" s="1"/>
  <c r="Q76" i="11"/>
  <c r="Q91" i="11"/>
  <c r="Q67" i="11"/>
  <c r="Q68" i="11" s="1"/>
  <c r="P68" i="11"/>
  <c r="AF25" i="11"/>
  <c r="AE26" i="11"/>
  <c r="Q73" i="11"/>
  <c r="Q100" i="11"/>
  <c r="Q112" i="11"/>
  <c r="Q113" i="11" s="1"/>
  <c r="Q82" i="11"/>
  <c r="P83" i="11"/>
  <c r="Q58" i="11"/>
  <c r="Q59" i="11" s="1"/>
  <c r="J101" i="11"/>
  <c r="D101" i="11" s="1"/>
  <c r="I98" i="11"/>
  <c r="D98" i="11" s="1"/>
  <c r="AB32" i="11"/>
  <c r="AC31" i="11"/>
  <c r="F92" i="11"/>
  <c r="J83" i="11" s="1"/>
  <c r="D83" i="11" s="1"/>
  <c r="I56" i="11"/>
  <c r="D56" i="11" s="1"/>
  <c r="G32" i="12"/>
  <c r="K32" i="12" s="1"/>
  <c r="K31" i="12"/>
  <c r="AH23" i="11"/>
  <c r="AI22" i="11"/>
  <c r="K41" i="12"/>
  <c r="C42" i="12"/>
  <c r="Z35" i="11"/>
  <c r="AA34" i="11"/>
  <c r="I65" i="11"/>
  <c r="D65" i="11" s="1"/>
  <c r="J68" i="11" l="1"/>
  <c r="D68" i="11" s="1"/>
  <c r="S88" i="11"/>
  <c r="S89" i="11" s="1"/>
  <c r="J59" i="11"/>
  <c r="D59" i="11" s="1"/>
  <c r="J89" i="11"/>
  <c r="J77" i="11"/>
  <c r="D77" i="11" s="1"/>
  <c r="R67" i="11"/>
  <c r="R68" i="11" s="1"/>
  <c r="J74" i="11"/>
  <c r="D74" i="11" s="1"/>
  <c r="S106" i="11"/>
  <c r="R55" i="11"/>
  <c r="R97" i="11"/>
  <c r="R100" i="11"/>
  <c r="Q101" i="11"/>
  <c r="R64" i="11"/>
  <c r="S40" i="11"/>
  <c r="R41" i="11"/>
  <c r="AI23" i="11"/>
  <c r="AJ22" i="11"/>
  <c r="AC32" i="11"/>
  <c r="AD31" i="11"/>
  <c r="Q92" i="11"/>
  <c r="R91" i="11"/>
  <c r="R58" i="11"/>
  <c r="Q83" i="11"/>
  <c r="R82" i="11"/>
  <c r="AB34" i="11"/>
  <c r="AA35" i="11"/>
  <c r="AF26" i="11"/>
  <c r="AG25" i="11"/>
  <c r="E50" i="11"/>
  <c r="R47" i="11"/>
  <c r="S46" i="11"/>
  <c r="R112" i="11"/>
  <c r="S49" i="11"/>
  <c r="R76" i="11"/>
  <c r="Q77" i="11"/>
  <c r="K42" i="12"/>
  <c r="C43" i="12"/>
  <c r="J92" i="11"/>
  <c r="D92" i="11" s="1"/>
  <c r="I89" i="11"/>
  <c r="D89" i="11" s="1"/>
  <c r="J26" i="11"/>
  <c r="D26" i="11" s="1"/>
  <c r="J50" i="11"/>
  <c r="D50" i="11" s="1"/>
  <c r="J35" i="11"/>
  <c r="D35" i="11" s="1"/>
  <c r="R73" i="11"/>
  <c r="Q74" i="11"/>
  <c r="S67" i="11" l="1"/>
  <c r="T88" i="11"/>
  <c r="R98" i="11"/>
  <c r="S97" i="11"/>
  <c r="S55" i="11"/>
  <c r="R56" i="11"/>
  <c r="S107" i="11"/>
  <c r="T106" i="11"/>
  <c r="C44" i="12"/>
  <c r="K43" i="12"/>
  <c r="T40" i="11"/>
  <c r="S41" i="11"/>
  <c r="E53" i="11"/>
  <c r="J44" i="11" s="1"/>
  <c r="AB35" i="11"/>
  <c r="AC34" i="11"/>
  <c r="AD32" i="11"/>
  <c r="AE31" i="11"/>
  <c r="S68" i="11"/>
  <c r="T67" i="11"/>
  <c r="R113" i="11"/>
  <c r="S112" i="11"/>
  <c r="S47" i="11"/>
  <c r="T46" i="11"/>
  <c r="R74" i="11"/>
  <c r="S73" i="11"/>
  <c r="R77" i="11"/>
  <c r="S76" i="11"/>
  <c r="R83" i="11"/>
  <c r="S82" i="11"/>
  <c r="R65" i="11"/>
  <c r="S64" i="11"/>
  <c r="T89" i="11"/>
  <c r="U88" i="11"/>
  <c r="AK22" i="11"/>
  <c r="AJ23" i="11"/>
  <c r="R92" i="11"/>
  <c r="S91" i="11"/>
  <c r="AG26" i="11"/>
  <c r="AH25" i="11"/>
  <c r="S100" i="11"/>
  <c r="R101" i="11"/>
  <c r="T49" i="11"/>
  <c r="R59" i="11"/>
  <c r="S58" i="11"/>
  <c r="T107" i="11" l="1"/>
  <c r="U106" i="11"/>
  <c r="S56" i="11"/>
  <c r="T55" i="11"/>
  <c r="S98" i="11"/>
  <c r="T97" i="11"/>
  <c r="U89" i="11"/>
  <c r="V88" i="11"/>
  <c r="T41" i="11"/>
  <c r="U40" i="11"/>
  <c r="AL22" i="11"/>
  <c r="AK23" i="11"/>
  <c r="AE32" i="11"/>
  <c r="AF31" i="11"/>
  <c r="S59" i="11"/>
  <c r="T58" i="11"/>
  <c r="S65" i="11"/>
  <c r="T64" i="11"/>
  <c r="U67" i="11"/>
  <c r="T68" i="11"/>
  <c r="S74" i="11"/>
  <c r="T73" i="11"/>
  <c r="AI25" i="11"/>
  <c r="AH26" i="11"/>
  <c r="U49" i="11"/>
  <c r="T47" i="11"/>
  <c r="U46" i="11"/>
  <c r="AC35" i="11"/>
  <c r="AD34" i="11"/>
  <c r="S77" i="11"/>
  <c r="T76" i="11"/>
  <c r="S101" i="11"/>
  <c r="T100" i="11"/>
  <c r="S92" i="11"/>
  <c r="T91" i="11"/>
  <c r="S83" i="11"/>
  <c r="T82" i="11"/>
  <c r="T112" i="11"/>
  <c r="S113" i="11"/>
  <c r="E56" i="11"/>
  <c r="K44" i="12"/>
  <c r="C45" i="12"/>
  <c r="T98" i="11" l="1"/>
  <c r="U97" i="11"/>
  <c r="U55" i="11"/>
  <c r="T56" i="11"/>
  <c r="U107" i="11"/>
  <c r="V106" i="11"/>
  <c r="U68" i="11"/>
  <c r="V67" i="11"/>
  <c r="AG31" i="11"/>
  <c r="AF32" i="11"/>
  <c r="V49" i="11"/>
  <c r="T65" i="11"/>
  <c r="U64" i="11"/>
  <c r="U47" i="11"/>
  <c r="V46" i="11"/>
  <c r="K45" i="12"/>
  <c r="C46" i="12"/>
  <c r="AM22" i="11"/>
  <c r="AM23" i="11" s="1"/>
  <c r="AL23" i="11"/>
  <c r="T77" i="11"/>
  <c r="U76" i="11"/>
  <c r="T59" i="11"/>
  <c r="U58" i="11"/>
  <c r="U41" i="11"/>
  <c r="V40" i="11"/>
  <c r="T113" i="11"/>
  <c r="U112" i="11"/>
  <c r="T83" i="11"/>
  <c r="U82" i="11"/>
  <c r="T92" i="11"/>
  <c r="U91" i="11"/>
  <c r="AJ25" i="11"/>
  <c r="AI26" i="11"/>
  <c r="AD35" i="11"/>
  <c r="AE34" i="11"/>
  <c r="U73" i="11"/>
  <c r="T74" i="11"/>
  <c r="W88" i="11"/>
  <c r="V89" i="11"/>
  <c r="E59" i="11"/>
  <c r="E62" i="11" s="1"/>
  <c r="T101" i="11"/>
  <c r="U100" i="11"/>
  <c r="W106" i="11" l="1"/>
  <c r="V107" i="11"/>
  <c r="U56" i="11"/>
  <c r="V55" i="11"/>
  <c r="U98" i="11"/>
  <c r="V97" i="11"/>
  <c r="X88" i="11"/>
  <c r="W89" i="11"/>
  <c r="V58" i="11"/>
  <c r="U59" i="11"/>
  <c r="C47" i="12"/>
  <c r="K46" i="12"/>
  <c r="AJ26" i="11"/>
  <c r="AK25" i="11"/>
  <c r="U83" i="11"/>
  <c r="V82" i="11"/>
  <c r="V47" i="11"/>
  <c r="W46" i="11"/>
  <c r="U74" i="11"/>
  <c r="V73" i="11"/>
  <c r="AG32" i="11"/>
  <c r="AH31" i="11"/>
  <c r="AE35" i="11"/>
  <c r="AF34" i="11"/>
  <c r="U113" i="11"/>
  <c r="V112" i="11"/>
  <c r="U77" i="11"/>
  <c r="V76" i="11"/>
  <c r="U65" i="11"/>
  <c r="V64" i="11"/>
  <c r="V68" i="11"/>
  <c r="W67" i="11"/>
  <c r="E65" i="11"/>
  <c r="V100" i="11"/>
  <c r="U101" i="11"/>
  <c r="U92" i="11"/>
  <c r="V91" i="11"/>
  <c r="V41" i="11"/>
  <c r="W40" i="11"/>
  <c r="W49" i="11"/>
  <c r="J53" i="11"/>
  <c r="W97" i="11" l="1"/>
  <c r="V98" i="11"/>
  <c r="W55" i="11"/>
  <c r="V56" i="11"/>
  <c r="X106" i="11"/>
  <c r="W107" i="11"/>
  <c r="W68" i="11"/>
  <c r="X67" i="11"/>
  <c r="W64" i="11"/>
  <c r="V65" i="11"/>
  <c r="C48" i="12"/>
  <c r="K47" i="12"/>
  <c r="V92" i="11"/>
  <c r="W91" i="11"/>
  <c r="AI31" i="11"/>
  <c r="AH32" i="11"/>
  <c r="W82" i="11"/>
  <c r="V83" i="11"/>
  <c r="W100" i="11"/>
  <c r="V101" i="11"/>
  <c r="V77" i="11"/>
  <c r="W76" i="11"/>
  <c r="V59" i="11"/>
  <c r="W58" i="11"/>
  <c r="E68" i="11"/>
  <c r="V74" i="11"/>
  <c r="W73" i="11"/>
  <c r="X49" i="11"/>
  <c r="W41" i="11"/>
  <c r="X40" i="11"/>
  <c r="V113" i="11"/>
  <c r="W112" i="11"/>
  <c r="X89" i="11"/>
  <c r="Y88" i="11"/>
  <c r="AF35" i="11"/>
  <c r="AG34" i="11"/>
  <c r="W47" i="11"/>
  <c r="X46" i="11"/>
  <c r="AK26" i="11"/>
  <c r="AL25" i="11"/>
  <c r="Y106" i="11" l="1"/>
  <c r="X107" i="11"/>
  <c r="X55" i="11"/>
  <c r="W56" i="11"/>
  <c r="X97" i="11"/>
  <c r="W98" i="11"/>
  <c r="AG35" i="11"/>
  <c r="AH34" i="11"/>
  <c r="C49" i="12"/>
  <c r="K48" i="12"/>
  <c r="E71" i="11"/>
  <c r="J62" i="11"/>
  <c r="W83" i="11"/>
  <c r="X82" i="11"/>
  <c r="Y49" i="11"/>
  <c r="X58" i="11"/>
  <c r="W59" i="11"/>
  <c r="AM25" i="11"/>
  <c r="AM26" i="11" s="1"/>
  <c r="AL26" i="11"/>
  <c r="AI32" i="11"/>
  <c r="AJ31" i="11"/>
  <c r="W65" i="11"/>
  <c r="X64" i="11"/>
  <c r="X41" i="11"/>
  <c r="Y40" i="11"/>
  <c r="Y89" i="11"/>
  <c r="Z88" i="11"/>
  <c r="W113" i="11"/>
  <c r="X112" i="11"/>
  <c r="W77" i="11"/>
  <c r="X76" i="11"/>
  <c r="X91" i="11"/>
  <c r="W92" i="11"/>
  <c r="X68" i="11"/>
  <c r="Y67" i="11"/>
  <c r="W101" i="11"/>
  <c r="X100" i="11"/>
  <c r="X47" i="11"/>
  <c r="Y46" i="11"/>
  <c r="W74" i="11"/>
  <c r="X73" i="11"/>
  <c r="Y97" i="11" l="1"/>
  <c r="X98" i="11"/>
  <c r="X56" i="11"/>
  <c r="Y55" i="11"/>
  <c r="Z106" i="11"/>
  <c r="Y107" i="11"/>
  <c r="Z46" i="11"/>
  <c r="Y47" i="11"/>
  <c r="Y58" i="11"/>
  <c r="X59" i="11"/>
  <c r="X77" i="11"/>
  <c r="Y76" i="11"/>
  <c r="Z49" i="11"/>
  <c r="E74" i="11"/>
  <c r="X74" i="11"/>
  <c r="Y73" i="11"/>
  <c r="X113" i="11"/>
  <c r="Y112" i="11"/>
  <c r="AK31" i="11"/>
  <c r="AJ32" i="11"/>
  <c r="K49" i="12"/>
  <c r="C50" i="12"/>
  <c r="Z40" i="11"/>
  <c r="Y41" i="11"/>
  <c r="X92" i="11"/>
  <c r="Y91" i="11"/>
  <c r="Y64" i="11"/>
  <c r="X65" i="11"/>
  <c r="AH35" i="11"/>
  <c r="AI34" i="11"/>
  <c r="Y100" i="11"/>
  <c r="X101" i="11"/>
  <c r="Z67" i="11"/>
  <c r="Y68" i="11"/>
  <c r="Z89" i="11"/>
  <c r="AA88" i="11"/>
  <c r="X83" i="11"/>
  <c r="Y82" i="11"/>
  <c r="Z107" i="11" l="1"/>
  <c r="AA106" i="11"/>
  <c r="Z55" i="11"/>
  <c r="Y56" i="11"/>
  <c r="Y98" i="11"/>
  <c r="Z97" i="11"/>
  <c r="AA40" i="11"/>
  <c r="Z41" i="11"/>
  <c r="Y77" i="11"/>
  <c r="Z76" i="11"/>
  <c r="C51" i="12"/>
  <c r="K50" i="12"/>
  <c r="Z73" i="11"/>
  <c r="Y74" i="11"/>
  <c r="Y59" i="11"/>
  <c r="Z58" i="11"/>
  <c r="Z112" i="11"/>
  <c r="Y113" i="11"/>
  <c r="AI35" i="11"/>
  <c r="AJ34" i="11"/>
  <c r="Y65" i="11"/>
  <c r="Z64" i="11"/>
  <c r="E77" i="11"/>
  <c r="AA89" i="11"/>
  <c r="AB88" i="11"/>
  <c r="Z68" i="11"/>
  <c r="AA67" i="11"/>
  <c r="Y92" i="11"/>
  <c r="Z91" i="11"/>
  <c r="Z47" i="11"/>
  <c r="AA46" i="11"/>
  <c r="Y101" i="11"/>
  <c r="Z100" i="11"/>
  <c r="Z82" i="11"/>
  <c r="Y83" i="11"/>
  <c r="AL31" i="11"/>
  <c r="AK32" i="11"/>
  <c r="AA49" i="11"/>
  <c r="AA97" i="11" l="1"/>
  <c r="Z98" i="11"/>
  <c r="AA55" i="11"/>
  <c r="Z56" i="11"/>
  <c r="AA107" i="11"/>
  <c r="AB106" i="11"/>
  <c r="AL32" i="11"/>
  <c r="AM31" i="11"/>
  <c r="AM32" i="11" s="1"/>
  <c r="C52" i="12"/>
  <c r="K51" i="12"/>
  <c r="AA47" i="11"/>
  <c r="AB46" i="11"/>
  <c r="Z77" i="11"/>
  <c r="AA76" i="11"/>
  <c r="AA112" i="11"/>
  <c r="Z113" i="11"/>
  <c r="Z59" i="11"/>
  <c r="AA58" i="11"/>
  <c r="Z92" i="11"/>
  <c r="AA91" i="11"/>
  <c r="Z83" i="11"/>
  <c r="AA82" i="11"/>
  <c r="AA41" i="11"/>
  <c r="AB40" i="11"/>
  <c r="AJ35" i="11"/>
  <c r="AK34" i="11"/>
  <c r="AC88" i="11"/>
  <c r="AB89" i="11"/>
  <c r="E80" i="11"/>
  <c r="Z101" i="11"/>
  <c r="AA100" i="11"/>
  <c r="Z65" i="11"/>
  <c r="AA64" i="11"/>
  <c r="AB49" i="11"/>
  <c r="AA68" i="11"/>
  <c r="AB67" i="11"/>
  <c r="Z74" i="11"/>
  <c r="AA73" i="11"/>
  <c r="AB107" i="11" l="1"/>
  <c r="AC106" i="11"/>
  <c r="AA56" i="11"/>
  <c r="AB55" i="11"/>
  <c r="AA98" i="11"/>
  <c r="AB97" i="11"/>
  <c r="AA74" i="11"/>
  <c r="AB73" i="11"/>
  <c r="AB64" i="11"/>
  <c r="AA65" i="11"/>
  <c r="AL34" i="11"/>
  <c r="AK35" i="11"/>
  <c r="AB47" i="11"/>
  <c r="AC46" i="11"/>
  <c r="AC67" i="11"/>
  <c r="AB68" i="11"/>
  <c r="AA59" i="11"/>
  <c r="AB58" i="11"/>
  <c r="AC89" i="11"/>
  <c r="AD88" i="11"/>
  <c r="K52" i="12"/>
  <c r="C53" i="12"/>
  <c r="AA101" i="11"/>
  <c r="AB100" i="11"/>
  <c r="AC49" i="11"/>
  <c r="AB82" i="11"/>
  <c r="AA83" i="11"/>
  <c r="E83" i="11"/>
  <c r="J71" i="11"/>
  <c r="AA113" i="11"/>
  <c r="AB112" i="11"/>
  <c r="AC40" i="11"/>
  <c r="AB41" i="11"/>
  <c r="AA92" i="11"/>
  <c r="AB91" i="11"/>
  <c r="AA77" i="11"/>
  <c r="AB76" i="11"/>
  <c r="AC97" i="11" l="1"/>
  <c r="AB98" i="11"/>
  <c r="AB56" i="11"/>
  <c r="AC55" i="11"/>
  <c r="AD106" i="11"/>
  <c r="AC107" i="11"/>
  <c r="AC76" i="11"/>
  <c r="AB77" i="11"/>
  <c r="AD49" i="11"/>
  <c r="AL35" i="11"/>
  <c r="AM34" i="11"/>
  <c r="AM35" i="11" s="1"/>
  <c r="AB101" i="11"/>
  <c r="AC100" i="11"/>
  <c r="AD67" i="11"/>
  <c r="AC68" i="11"/>
  <c r="AB65" i="11"/>
  <c r="AC64" i="11"/>
  <c r="AD40" i="11"/>
  <c r="AC41" i="11"/>
  <c r="C54" i="12"/>
  <c r="K53" i="12"/>
  <c r="AC47" i="11"/>
  <c r="AD46" i="11"/>
  <c r="AB74" i="11"/>
  <c r="AC73" i="11"/>
  <c r="AB92" i="11"/>
  <c r="AC91" i="11"/>
  <c r="AC112" i="11"/>
  <c r="AB113" i="11"/>
  <c r="AD89" i="11"/>
  <c r="AE88" i="11"/>
  <c r="AB59" i="11"/>
  <c r="AC58" i="11"/>
  <c r="E86" i="11"/>
  <c r="AB83" i="11"/>
  <c r="AC82" i="11"/>
  <c r="AD107" i="11" l="1"/>
  <c r="AE106" i="11"/>
  <c r="AD55" i="11"/>
  <c r="AC56" i="11"/>
  <c r="AC98" i="11"/>
  <c r="AD97" i="11"/>
  <c r="AC92" i="11"/>
  <c r="AD91" i="11"/>
  <c r="AC83" i="11"/>
  <c r="AD82" i="11"/>
  <c r="AC101" i="11"/>
  <c r="AD100" i="11"/>
  <c r="AE89" i="11"/>
  <c r="AF88" i="11"/>
  <c r="AC74" i="11"/>
  <c r="AD73" i="11"/>
  <c r="AC65" i="11"/>
  <c r="AD64" i="11"/>
  <c r="AE49" i="11"/>
  <c r="AC113" i="11"/>
  <c r="AD112" i="11"/>
  <c r="E89" i="11"/>
  <c r="J80" i="11"/>
  <c r="AD58" i="11"/>
  <c r="AC59" i="11"/>
  <c r="AE46" i="11"/>
  <c r="AD47" i="11"/>
  <c r="K54" i="12"/>
  <c r="C55" i="12"/>
  <c r="AD41" i="11"/>
  <c r="AE40" i="11"/>
  <c r="AD68" i="11"/>
  <c r="AE67" i="11"/>
  <c r="AD76" i="11"/>
  <c r="AC77" i="11"/>
  <c r="AE97" i="11" l="1"/>
  <c r="AD98" i="11"/>
  <c r="AD56" i="11"/>
  <c r="AE55" i="11"/>
  <c r="AE107" i="11"/>
  <c r="AF106" i="11"/>
  <c r="AF49" i="11"/>
  <c r="AE64" i="11"/>
  <c r="AD65" i="11"/>
  <c r="AD83" i="11"/>
  <c r="AE82" i="11"/>
  <c r="AE100" i="11"/>
  <c r="AD101" i="11"/>
  <c r="C56" i="12"/>
  <c r="K55" i="12"/>
  <c r="AD92" i="11"/>
  <c r="AE91" i="11"/>
  <c r="E92" i="11"/>
  <c r="AE41" i="11"/>
  <c r="AF40" i="11"/>
  <c r="AD59" i="11"/>
  <c r="AE58" i="11"/>
  <c r="AE76" i="11"/>
  <c r="AD77" i="11"/>
  <c r="AD74" i="11"/>
  <c r="AE73" i="11"/>
  <c r="AE47" i="11"/>
  <c r="AF46" i="11"/>
  <c r="AD113" i="11"/>
  <c r="AE112" i="11"/>
  <c r="AF89" i="11"/>
  <c r="AG88" i="11"/>
  <c r="AE68" i="11"/>
  <c r="AF67" i="11"/>
  <c r="AG106" i="11" l="1"/>
  <c r="AF107" i="11"/>
  <c r="AE56" i="11"/>
  <c r="AF55" i="11"/>
  <c r="AE98" i="11"/>
  <c r="AF97" i="11"/>
  <c r="AE101" i="11"/>
  <c r="AF100" i="11"/>
  <c r="AF82" i="11"/>
  <c r="AE83" i="11"/>
  <c r="AF47" i="11"/>
  <c r="AG46" i="11"/>
  <c r="E95" i="11"/>
  <c r="J86" i="11" s="1"/>
  <c r="AF41" i="11"/>
  <c r="AG40" i="11"/>
  <c r="AF73" i="11"/>
  <c r="AE74" i="11"/>
  <c r="AG89" i="11"/>
  <c r="AH88" i="11"/>
  <c r="AF91" i="11"/>
  <c r="AE92" i="11"/>
  <c r="AF76" i="11"/>
  <c r="AE77" i="11"/>
  <c r="AE65" i="11"/>
  <c r="AF64" i="11"/>
  <c r="AE113" i="11"/>
  <c r="AF112" i="11"/>
  <c r="AG49" i="11"/>
  <c r="AF68" i="11"/>
  <c r="AG67" i="11"/>
  <c r="AE59" i="11"/>
  <c r="AF58" i="11"/>
  <c r="K56" i="12"/>
  <c r="C57" i="12"/>
  <c r="AG97" i="11" l="1"/>
  <c r="AF98" i="11"/>
  <c r="AF56" i="11"/>
  <c r="AG55" i="11"/>
  <c r="AH106" i="11"/>
  <c r="AG107" i="11"/>
  <c r="AG64" i="11"/>
  <c r="AF65" i="11"/>
  <c r="AF74" i="11"/>
  <c r="AG73" i="11"/>
  <c r="AH49" i="11"/>
  <c r="AH40" i="11"/>
  <c r="AG41" i="11"/>
  <c r="AF83" i="11"/>
  <c r="AG82" i="11"/>
  <c r="AF77" i="11"/>
  <c r="AG76" i="11"/>
  <c r="AH46" i="11"/>
  <c r="AG47" i="11"/>
  <c r="C58" i="12"/>
  <c r="K57" i="12"/>
  <c r="AG112" i="11"/>
  <c r="AF113" i="11"/>
  <c r="AF92" i="11"/>
  <c r="AG91" i="11"/>
  <c r="AF101" i="11"/>
  <c r="AG100" i="11"/>
  <c r="AG58" i="11"/>
  <c r="AF59" i="11"/>
  <c r="AG68" i="11"/>
  <c r="AH67" i="11"/>
  <c r="AI88" i="11"/>
  <c r="AH89" i="11"/>
  <c r="E98" i="11"/>
  <c r="AI106" i="11" l="1"/>
  <c r="AH107" i="11"/>
  <c r="AH55" i="11"/>
  <c r="AG56" i="11"/>
  <c r="AH97" i="11"/>
  <c r="AG98" i="11"/>
  <c r="AH68" i="11"/>
  <c r="AI67" i="11"/>
  <c r="AH47" i="11"/>
  <c r="AI46" i="11"/>
  <c r="AH41" i="11"/>
  <c r="AI40" i="11"/>
  <c r="AH76" i="11"/>
  <c r="AG77" i="11"/>
  <c r="AI49" i="11"/>
  <c r="AG92" i="11"/>
  <c r="AH91" i="11"/>
  <c r="AG74" i="11"/>
  <c r="AH73" i="11"/>
  <c r="AG59" i="11"/>
  <c r="AH58" i="11"/>
  <c r="AG101" i="11"/>
  <c r="AH100" i="11"/>
  <c r="AG113" i="11"/>
  <c r="AH112" i="11"/>
  <c r="E101" i="11"/>
  <c r="AI89" i="11"/>
  <c r="AJ88" i="11"/>
  <c r="AG83" i="11"/>
  <c r="AH82" i="11"/>
  <c r="C59" i="12"/>
  <c r="K58" i="12"/>
  <c r="AG65" i="11"/>
  <c r="AH64" i="11"/>
  <c r="AI97" i="11" l="1"/>
  <c r="AH98" i="11"/>
  <c r="AI55" i="11"/>
  <c r="AH56" i="11"/>
  <c r="AJ106" i="11"/>
  <c r="AI107" i="11"/>
  <c r="AH77" i="11"/>
  <c r="AI76" i="11"/>
  <c r="AH59" i="11"/>
  <c r="AI58" i="11"/>
  <c r="AI41" i="11"/>
  <c r="AJ40" i="11"/>
  <c r="AI91" i="11"/>
  <c r="AH92" i="11"/>
  <c r="AI47" i="11"/>
  <c r="AJ46" i="11"/>
  <c r="AH101" i="11"/>
  <c r="AI100" i="11"/>
  <c r="AJ89" i="11"/>
  <c r="AK88" i="11"/>
  <c r="AH65" i="11"/>
  <c r="AI64" i="11"/>
  <c r="E104" i="11"/>
  <c r="J95" i="11"/>
  <c r="C60" i="12"/>
  <c r="K59" i="12"/>
  <c r="AH113" i="11"/>
  <c r="AI112" i="11"/>
  <c r="AH74" i="11"/>
  <c r="AI73" i="11"/>
  <c r="AI68" i="11"/>
  <c r="AJ67" i="11"/>
  <c r="AH83" i="11"/>
  <c r="AI82" i="11"/>
  <c r="AJ49" i="11"/>
  <c r="AJ107" i="11" l="1"/>
  <c r="AK106" i="11"/>
  <c r="AI56" i="11"/>
  <c r="AJ55" i="11"/>
  <c r="AJ97" i="11"/>
  <c r="AI98" i="11"/>
  <c r="AI92" i="11"/>
  <c r="AJ91" i="11"/>
  <c r="AK89" i="11"/>
  <c r="AL88" i="11"/>
  <c r="AJ41" i="11"/>
  <c r="AK40" i="11"/>
  <c r="AI65" i="11"/>
  <c r="AJ64" i="11"/>
  <c r="AJ73" i="11"/>
  <c r="AI74" i="11"/>
  <c r="AJ68" i="11"/>
  <c r="AK67" i="11"/>
  <c r="AK49" i="11"/>
  <c r="AI101" i="11"/>
  <c r="AJ100" i="11"/>
  <c r="AI59" i="11"/>
  <c r="AJ58" i="11"/>
  <c r="C61" i="12"/>
  <c r="K60" i="12"/>
  <c r="AI83" i="11"/>
  <c r="AJ82" i="11"/>
  <c r="AJ112" i="11"/>
  <c r="AI113" i="11"/>
  <c r="AJ47" i="11"/>
  <c r="AK46" i="11"/>
  <c r="AJ76" i="11"/>
  <c r="AI77" i="11"/>
  <c r="E107" i="11"/>
  <c r="AJ98" i="11" l="1"/>
  <c r="AK97" i="11"/>
  <c r="AJ56" i="11"/>
  <c r="AK55" i="11"/>
  <c r="AK107" i="11"/>
  <c r="AL106" i="11"/>
  <c r="AL40" i="11"/>
  <c r="AK41" i="11"/>
  <c r="AL49" i="11"/>
  <c r="C62" i="12"/>
  <c r="K61" i="12"/>
  <c r="AK58" i="11"/>
  <c r="AJ59" i="11"/>
  <c r="AM88" i="11"/>
  <c r="AM89" i="11" s="1"/>
  <c r="AL89" i="11"/>
  <c r="AJ77" i="11"/>
  <c r="AK76" i="11"/>
  <c r="AK64" i="11"/>
  <c r="AJ65" i="11"/>
  <c r="AL67" i="11"/>
  <c r="AK68" i="11"/>
  <c r="E110" i="11"/>
  <c r="AJ83" i="11"/>
  <c r="AK82" i="11"/>
  <c r="AJ101" i="11"/>
  <c r="AK100" i="11"/>
  <c r="AJ92" i="11"/>
  <c r="AK91" i="11"/>
  <c r="AK47" i="11"/>
  <c r="AL46" i="11"/>
  <c r="AJ113" i="11"/>
  <c r="AK112" i="11"/>
  <c r="AJ74" i="11"/>
  <c r="AK73" i="11"/>
  <c r="AL107" i="11" l="1"/>
  <c r="AM106" i="11"/>
  <c r="AM107" i="11" s="1"/>
  <c r="AK56" i="11"/>
  <c r="AL55" i="11"/>
  <c r="AK98" i="11"/>
  <c r="AL97" i="11"/>
  <c r="AK83" i="11"/>
  <c r="AL82" i="11"/>
  <c r="AK59" i="11"/>
  <c r="AL58" i="11"/>
  <c r="AK65" i="11"/>
  <c r="AL64" i="11"/>
  <c r="C63" i="12"/>
  <c r="K62" i="12"/>
  <c r="AL76" i="11"/>
  <c r="AK77" i="11"/>
  <c r="AM49" i="11"/>
  <c r="AM67" i="11"/>
  <c r="AM68" i="11" s="1"/>
  <c r="AL68" i="11"/>
  <c r="E113" i="11"/>
  <c r="J104" i="11"/>
  <c r="AK113" i="11"/>
  <c r="AL112" i="11"/>
  <c r="AL47" i="11"/>
  <c r="AM46" i="11"/>
  <c r="AM47" i="11" s="1"/>
  <c r="AL91" i="11"/>
  <c r="AK92" i="11"/>
  <c r="AK74" i="11"/>
  <c r="AL73" i="11"/>
  <c r="AK101" i="11"/>
  <c r="AL100" i="11"/>
  <c r="AM40" i="11"/>
  <c r="AM41" i="11" s="1"/>
  <c r="AL41" i="11"/>
  <c r="AL98" i="11" l="1"/>
  <c r="AM97" i="11"/>
  <c r="AM98" i="11" s="1"/>
  <c r="AL56" i="11"/>
  <c r="AM55" i="11"/>
  <c r="AM56" i="11" s="1"/>
  <c r="C64" i="12"/>
  <c r="K63" i="12"/>
  <c r="AM64" i="11"/>
  <c r="AM65" i="11" s="1"/>
  <c r="AL65" i="11"/>
  <c r="J29" i="11"/>
  <c r="I110" i="11"/>
  <c r="I29" i="11"/>
  <c r="I20" i="11"/>
  <c r="D20" i="11" s="1"/>
  <c r="I38" i="11"/>
  <c r="D38" i="11" s="1"/>
  <c r="I44" i="11"/>
  <c r="D44" i="11" s="1"/>
  <c r="I53" i="11"/>
  <c r="D53" i="11" s="1"/>
  <c r="I71" i="11"/>
  <c r="D71" i="11" s="1"/>
  <c r="I62" i="11"/>
  <c r="D62" i="11" s="1"/>
  <c r="I80" i="11"/>
  <c r="D80" i="11" s="1"/>
  <c r="I86" i="11"/>
  <c r="D86" i="11" s="1"/>
  <c r="AL92" i="11"/>
  <c r="AM91" i="11"/>
  <c r="AM92" i="11" s="1"/>
  <c r="I104" i="11"/>
  <c r="D104" i="11" s="1"/>
  <c r="AM112" i="11"/>
  <c r="AM113" i="11" s="1"/>
  <c r="AL113" i="11"/>
  <c r="AL59" i="11"/>
  <c r="AM58" i="11"/>
  <c r="AM59" i="11" s="1"/>
  <c r="AL101" i="11"/>
  <c r="AM100" i="11"/>
  <c r="AM101" i="11" s="1"/>
  <c r="AL83" i="11"/>
  <c r="AM82" i="11"/>
  <c r="AM83" i="11" s="1"/>
  <c r="J110" i="11"/>
  <c r="D110" i="11" s="1"/>
  <c r="AL74" i="11"/>
  <c r="AM73" i="11"/>
  <c r="AM74" i="11" s="1"/>
  <c r="I95" i="11"/>
  <c r="D95" i="11" s="1"/>
  <c r="AL77" i="11"/>
  <c r="AM76" i="11"/>
  <c r="AM77" i="11" s="1"/>
  <c r="D29" i="11" l="1"/>
  <c r="C65" i="12"/>
  <c r="K64" i="12"/>
  <c r="L27" i="11" s="1"/>
  <c r="K65" i="12" l="1"/>
  <c r="L30" i="11" s="1"/>
  <c r="C66" i="12"/>
  <c r="C67" i="12" l="1"/>
  <c r="K66" i="12"/>
  <c r="K67" i="12" l="1"/>
  <c r="C68" i="12"/>
  <c r="C69" i="12" l="1"/>
  <c r="K68" i="12"/>
  <c r="C70" i="12" l="1"/>
  <c r="K69" i="12"/>
  <c r="K70" i="12" l="1"/>
  <c r="C71" i="12"/>
  <c r="K71" i="12" l="1"/>
  <c r="C72" i="12"/>
  <c r="C73" i="12" l="1"/>
  <c r="K72" i="12"/>
  <c r="K73" i="12" l="1"/>
  <c r="C74" i="12"/>
  <c r="K74" i="12" l="1"/>
  <c r="C75" i="12"/>
  <c r="K75" i="12" l="1"/>
  <c r="C76" i="12"/>
  <c r="C77" i="12" l="1"/>
  <c r="K76" i="12"/>
  <c r="C78" i="12" l="1"/>
  <c r="K77" i="12"/>
  <c r="L33" i="11" s="1"/>
  <c r="K78" i="12" l="1"/>
  <c r="C79" i="12"/>
  <c r="K79" i="12" l="1"/>
  <c r="C80" i="12"/>
  <c r="C81" i="12" l="1"/>
  <c r="K80" i="12"/>
  <c r="C82" i="12" l="1"/>
  <c r="K81" i="12"/>
  <c r="K82" i="12" l="1"/>
  <c r="C83" i="12"/>
  <c r="K83" i="12" l="1"/>
  <c r="C84" i="12"/>
  <c r="C85" i="12" l="1"/>
  <c r="K84" i="12"/>
  <c r="K85" i="12" l="1"/>
  <c r="C86" i="12"/>
  <c r="K86" i="12" l="1"/>
  <c r="C87" i="12"/>
  <c r="K87" i="12" l="1"/>
  <c r="C88" i="12"/>
  <c r="C89" i="12" l="1"/>
  <c r="K88" i="12"/>
  <c r="C90" i="12" l="1"/>
  <c r="K89" i="12"/>
  <c r="L36" i="11" s="1"/>
  <c r="K90" i="12" l="1"/>
  <c r="C91" i="12"/>
  <c r="K91" i="12" l="1"/>
  <c r="C92" i="12"/>
  <c r="K92" i="12" l="1"/>
  <c r="C93" i="12"/>
  <c r="C94" i="12" l="1"/>
  <c r="K93" i="12"/>
  <c r="K94" i="12" l="1"/>
  <c r="C95" i="12"/>
  <c r="C96" i="12" l="1"/>
  <c r="K95" i="12"/>
  <c r="K96" i="12" l="1"/>
  <c r="C97" i="12"/>
  <c r="C98" i="12" l="1"/>
  <c r="K97" i="12"/>
  <c r="K98" i="12" l="1"/>
  <c r="C99" i="12"/>
  <c r="K99" i="12" l="1"/>
  <c r="C100" i="12"/>
  <c r="C101" i="12" l="1"/>
  <c r="K100" i="12"/>
  <c r="C102" i="12" l="1"/>
  <c r="K101" i="12"/>
  <c r="C103" i="12" l="1"/>
  <c r="K102" i="12"/>
  <c r="C104" i="12" l="1"/>
  <c r="K103" i="12"/>
  <c r="C105" i="12" l="1"/>
  <c r="K104" i="12"/>
  <c r="C106" i="12" l="1"/>
  <c r="K105" i="12"/>
  <c r="K106" i="12" l="1"/>
  <c r="C107" i="12"/>
  <c r="C108" i="12" l="1"/>
  <c r="K107" i="12"/>
  <c r="C109" i="12" l="1"/>
  <c r="K108" i="12"/>
  <c r="C110" i="12" l="1"/>
  <c r="K109" i="12"/>
  <c r="C111" i="12" l="1"/>
  <c r="K110" i="12"/>
  <c r="K111" i="12" l="1"/>
  <c r="C112" i="12"/>
  <c r="K112" i="12" l="1"/>
  <c r="C113" i="12"/>
  <c r="K113" i="12" l="1"/>
  <c r="C114" i="12"/>
  <c r="C115" i="12" l="1"/>
  <c r="K114" i="12"/>
  <c r="C116" i="12" l="1"/>
  <c r="K115" i="12"/>
  <c r="K116" i="12" l="1"/>
  <c r="C117" i="12"/>
  <c r="C118" i="12" l="1"/>
  <c r="K117" i="12"/>
  <c r="C119" i="12" l="1"/>
  <c r="K118" i="12"/>
  <c r="C120" i="12" l="1"/>
  <c r="K119" i="12"/>
  <c r="K120" i="12" l="1"/>
  <c r="C121" i="12"/>
  <c r="C122" i="12" l="1"/>
  <c r="K121" i="12"/>
  <c r="K122" i="12" l="1"/>
  <c r="C123" i="12"/>
  <c r="C124" i="12" l="1"/>
  <c r="K123" i="12"/>
  <c r="K124" i="12" l="1"/>
  <c r="C125" i="12"/>
  <c r="K125" i="12" l="1"/>
  <c r="L42" i="11" s="1"/>
  <c r="C126" i="12"/>
  <c r="K126" i="12" l="1"/>
  <c r="L45" i="11" s="1"/>
  <c r="C127" i="12"/>
  <c r="K127" i="12" l="1"/>
  <c r="C128" i="12"/>
  <c r="C129" i="12" l="1"/>
  <c r="K128" i="12"/>
  <c r="C130" i="12" l="1"/>
  <c r="K129" i="12"/>
  <c r="K130" i="12" l="1"/>
  <c r="C131" i="12"/>
  <c r="C132" i="12" l="1"/>
  <c r="K131" i="12"/>
  <c r="C133" i="12" l="1"/>
  <c r="K132" i="12"/>
  <c r="C134" i="12" l="1"/>
  <c r="K133" i="12"/>
  <c r="C135" i="12" l="1"/>
  <c r="K134" i="12"/>
  <c r="K135" i="12" l="1"/>
  <c r="C136" i="12"/>
  <c r="C137" i="12" l="1"/>
  <c r="K136" i="12"/>
  <c r="C138" i="12" l="1"/>
  <c r="K137" i="12"/>
  <c r="C139" i="12" l="1"/>
  <c r="K138" i="12"/>
  <c r="L48" i="11" s="1"/>
  <c r="K139" i="12" l="1"/>
  <c r="C140" i="12"/>
  <c r="C141" i="12" l="1"/>
  <c r="K140" i="12"/>
  <c r="K141" i="12" l="1"/>
  <c r="C142" i="12"/>
  <c r="C143" i="12" l="1"/>
  <c r="K142" i="12"/>
  <c r="K143" i="12" l="1"/>
  <c r="C144" i="12"/>
  <c r="C145" i="12" l="1"/>
  <c r="K144" i="12"/>
  <c r="C146" i="12" l="1"/>
  <c r="K145" i="12"/>
  <c r="C147" i="12" l="1"/>
  <c r="K146" i="12"/>
  <c r="K147" i="12" l="1"/>
  <c r="C148" i="12"/>
  <c r="K148" i="12" l="1"/>
  <c r="C149" i="12"/>
  <c r="C150" i="12" l="1"/>
  <c r="K149" i="12"/>
  <c r="K150" i="12" l="1"/>
  <c r="C151" i="12"/>
  <c r="K151" i="12" l="1"/>
  <c r="C152" i="12"/>
  <c r="K152" i="12" l="1"/>
  <c r="C153" i="12"/>
  <c r="K153" i="12" l="1"/>
  <c r="C154" i="12"/>
  <c r="K154" i="12" l="1"/>
  <c r="C155" i="12"/>
  <c r="K155" i="12" l="1"/>
  <c r="C156" i="12"/>
  <c r="C157" i="12" l="1"/>
  <c r="K156" i="12"/>
  <c r="C158" i="12" l="1"/>
  <c r="K157" i="12"/>
  <c r="K158" i="12" l="1"/>
  <c r="C159" i="12"/>
  <c r="K159" i="12" l="1"/>
  <c r="C160" i="12"/>
  <c r="C161" i="12" l="1"/>
  <c r="K160" i="12"/>
  <c r="C162" i="12" l="1"/>
  <c r="K161" i="12"/>
  <c r="C163" i="12" l="1"/>
  <c r="K162" i="12"/>
  <c r="C164" i="12" l="1"/>
  <c r="K163" i="12"/>
  <c r="C165" i="12" l="1"/>
  <c r="K164" i="12"/>
  <c r="C166" i="12" l="1"/>
  <c r="K165" i="12"/>
  <c r="L54" i="11" s="1"/>
  <c r="K166" i="12" l="1"/>
  <c r="C167" i="12"/>
  <c r="K167" i="12" l="1"/>
  <c r="C168" i="12"/>
  <c r="C169" i="12" l="1"/>
  <c r="K168" i="12"/>
  <c r="K169" i="12" l="1"/>
  <c r="C170" i="12"/>
  <c r="K170" i="12" l="1"/>
  <c r="C171" i="12"/>
  <c r="C172" i="12" l="1"/>
  <c r="K171" i="12"/>
  <c r="K172" i="12" l="1"/>
  <c r="C173" i="12"/>
  <c r="K173" i="12" l="1"/>
  <c r="C174" i="12"/>
  <c r="K174" i="12" l="1"/>
  <c r="C175" i="12"/>
  <c r="C176" i="12" l="1"/>
  <c r="K175" i="12"/>
  <c r="C177" i="12" l="1"/>
  <c r="K176" i="12"/>
  <c r="C178" i="12" l="1"/>
  <c r="K177" i="12"/>
  <c r="L57" i="11" s="1"/>
  <c r="K178" i="12" l="1"/>
  <c r="C179" i="12"/>
  <c r="C180" i="12" l="1"/>
  <c r="K179" i="12"/>
  <c r="C181" i="12" l="1"/>
  <c r="K180" i="12"/>
  <c r="C182" i="12" l="1"/>
  <c r="K181" i="12"/>
  <c r="C183" i="12" l="1"/>
  <c r="K182" i="12"/>
  <c r="K183" i="12" l="1"/>
  <c r="C184" i="12"/>
  <c r="K184" i="12" l="1"/>
  <c r="C185" i="12"/>
  <c r="C186" i="12" l="1"/>
  <c r="K185" i="12"/>
  <c r="K186" i="12" l="1"/>
  <c r="C187" i="12"/>
  <c r="K187" i="12" l="1"/>
  <c r="C188" i="12"/>
  <c r="K188" i="12" l="1"/>
  <c r="L60" i="11" s="1"/>
  <c r="C189" i="12"/>
  <c r="K189" i="12" l="1"/>
  <c r="L63" i="11" s="1"/>
  <c r="C190" i="12"/>
  <c r="K190" i="12" l="1"/>
  <c r="C191" i="12"/>
  <c r="C192" i="12" l="1"/>
  <c r="K191" i="12"/>
  <c r="K192" i="12" l="1"/>
  <c r="C193" i="12"/>
  <c r="K193" i="12" l="1"/>
  <c r="C194" i="12"/>
  <c r="C195" i="12" l="1"/>
  <c r="K194" i="12"/>
  <c r="K195" i="12" l="1"/>
  <c r="C196" i="12"/>
  <c r="K196" i="12" l="1"/>
  <c r="C197" i="12"/>
  <c r="C198" i="12" l="1"/>
  <c r="K197" i="12"/>
  <c r="C199" i="12" l="1"/>
  <c r="K198" i="12"/>
  <c r="C200" i="12" l="1"/>
  <c r="K199" i="12"/>
  <c r="C201" i="12" l="1"/>
  <c r="K200" i="12"/>
  <c r="K201" i="12" l="1"/>
  <c r="C202" i="12"/>
  <c r="C203" i="12" l="1"/>
  <c r="K202" i="12"/>
  <c r="C204" i="12" l="1"/>
  <c r="K203" i="12"/>
  <c r="K204" i="12" l="1"/>
  <c r="C205" i="12"/>
  <c r="C206" i="12" l="1"/>
  <c r="K205" i="12"/>
  <c r="C207" i="12" l="1"/>
  <c r="K206" i="12"/>
  <c r="C208" i="12" l="1"/>
  <c r="K207" i="12"/>
  <c r="C209" i="12" l="1"/>
  <c r="K208" i="12"/>
  <c r="C210" i="12" l="1"/>
  <c r="K209" i="12"/>
  <c r="K210" i="12" l="1"/>
  <c r="C211" i="12"/>
  <c r="K211" i="12" l="1"/>
  <c r="C212" i="12"/>
  <c r="C213" i="12" l="1"/>
  <c r="K212" i="12"/>
  <c r="C214" i="12" l="1"/>
  <c r="K213" i="12"/>
  <c r="C215" i="12" l="1"/>
  <c r="K214" i="12"/>
  <c r="K215" i="12" l="1"/>
  <c r="C216" i="12"/>
  <c r="K216" i="12" l="1"/>
  <c r="C217" i="12"/>
  <c r="C218" i="12" l="1"/>
  <c r="K217" i="12"/>
  <c r="K218" i="12" l="1"/>
  <c r="C219" i="12"/>
  <c r="K219" i="12" l="1"/>
  <c r="C220" i="12"/>
  <c r="C221" i="12" l="1"/>
  <c r="K220" i="12"/>
  <c r="C222" i="12" l="1"/>
  <c r="K221" i="12"/>
  <c r="K222" i="12" l="1"/>
  <c r="C223" i="12"/>
  <c r="K223" i="12" l="1"/>
  <c r="C224" i="12"/>
  <c r="K224" i="12" l="1"/>
  <c r="C225" i="12"/>
  <c r="C226" i="12" l="1"/>
  <c r="K225" i="12"/>
  <c r="C227" i="12" l="1"/>
  <c r="K226" i="12"/>
  <c r="L66" i="11" s="1"/>
  <c r="C228" i="12" l="1"/>
  <c r="K227" i="12"/>
  <c r="C229" i="12" l="1"/>
  <c r="K228" i="12"/>
  <c r="K229" i="12" l="1"/>
  <c r="C230" i="12"/>
  <c r="C231" i="12" l="1"/>
  <c r="K230" i="12"/>
  <c r="C232" i="12" l="1"/>
  <c r="K231" i="12"/>
  <c r="C233" i="12" l="1"/>
  <c r="K232" i="12"/>
  <c r="K233" i="12" l="1"/>
  <c r="C234" i="12"/>
  <c r="C235" i="12" l="1"/>
  <c r="K234" i="12"/>
  <c r="C236" i="12" l="1"/>
  <c r="K235" i="12"/>
  <c r="K236" i="12" l="1"/>
  <c r="C237" i="12"/>
  <c r="C238" i="12" l="1"/>
  <c r="K237" i="12"/>
  <c r="L69" i="11" s="1"/>
  <c r="K238" i="12" l="1"/>
  <c r="L72" i="11" s="1"/>
  <c r="C239" i="12"/>
  <c r="C240" i="12" l="1"/>
  <c r="K239" i="12"/>
  <c r="C241" i="12" l="1"/>
  <c r="K240" i="12"/>
  <c r="K241" i="12" l="1"/>
  <c r="C242" i="12"/>
  <c r="C243" i="12" l="1"/>
  <c r="K242" i="12"/>
  <c r="C244" i="12" l="1"/>
  <c r="K243" i="12"/>
  <c r="K244" i="12" l="1"/>
  <c r="L75" i="11" s="1"/>
  <c r="C245" i="12"/>
  <c r="K245" i="12" l="1"/>
  <c r="C246" i="12"/>
  <c r="C247" i="12" l="1"/>
  <c r="K246" i="12"/>
  <c r="K247" i="12" l="1"/>
  <c r="C248" i="12"/>
  <c r="K248" i="12" l="1"/>
  <c r="C249" i="12"/>
  <c r="K249" i="12" l="1"/>
  <c r="C250" i="12"/>
  <c r="C251" i="12" l="1"/>
  <c r="K250" i="12"/>
  <c r="K251" i="12" l="1"/>
  <c r="C252" i="12"/>
  <c r="C253" i="12" l="1"/>
  <c r="K252" i="12"/>
  <c r="K253" i="12" l="1"/>
  <c r="C254" i="12"/>
  <c r="C255" i="12" l="1"/>
  <c r="K254" i="12"/>
  <c r="C256" i="12" l="1"/>
  <c r="K255" i="12"/>
  <c r="K256" i="12" l="1"/>
  <c r="C257" i="12"/>
  <c r="C258" i="12" l="1"/>
  <c r="K257" i="12"/>
  <c r="K258" i="12" l="1"/>
  <c r="C259" i="12"/>
  <c r="K259" i="12" l="1"/>
  <c r="C260" i="12"/>
  <c r="K260" i="12" l="1"/>
  <c r="C261" i="12"/>
  <c r="K261" i="12" l="1"/>
  <c r="C262" i="12"/>
  <c r="C263" i="12" l="1"/>
  <c r="K262" i="12"/>
  <c r="C264" i="12" l="1"/>
  <c r="K263" i="12"/>
  <c r="K264" i="12" l="1"/>
  <c r="C265" i="12"/>
  <c r="K265" i="12" l="1"/>
  <c r="C266" i="12"/>
  <c r="C267" i="12" l="1"/>
  <c r="K266" i="12"/>
  <c r="K267" i="12" l="1"/>
  <c r="C268" i="12"/>
  <c r="K268" i="12" l="1"/>
  <c r="C269" i="12"/>
  <c r="K269" i="12" l="1"/>
  <c r="C270" i="12"/>
  <c r="C271" i="12" l="1"/>
  <c r="K270" i="12"/>
  <c r="C272" i="12" l="1"/>
  <c r="K271" i="12"/>
  <c r="C273" i="12" l="1"/>
  <c r="K272" i="12"/>
  <c r="L78" i="11" s="1"/>
  <c r="K273" i="12" l="1"/>
  <c r="L81" i="11" s="1"/>
  <c r="C274" i="12"/>
  <c r="K274" i="12" l="1"/>
  <c r="C275" i="12"/>
  <c r="C276" i="12" l="1"/>
  <c r="K275" i="12"/>
  <c r="K276" i="12" l="1"/>
  <c r="C277" i="12"/>
  <c r="C278" i="12" l="1"/>
  <c r="K277" i="12"/>
  <c r="C279" i="12" l="1"/>
  <c r="K278" i="12"/>
  <c r="C280" i="12" l="1"/>
  <c r="K279" i="12"/>
  <c r="K280" i="12" l="1"/>
  <c r="C281" i="12"/>
  <c r="C282" i="12" l="1"/>
  <c r="K281" i="12"/>
  <c r="C283" i="12" l="1"/>
  <c r="K282" i="12"/>
  <c r="C284" i="12" l="1"/>
  <c r="K283" i="12"/>
  <c r="C285" i="12" l="1"/>
  <c r="K284" i="12"/>
  <c r="L84" i="11" s="1"/>
  <c r="C286" i="12" l="1"/>
  <c r="K285" i="12"/>
  <c r="L87" i="11" s="1"/>
  <c r="C287" i="12" l="1"/>
  <c r="K286" i="12"/>
  <c r="C288" i="12" l="1"/>
  <c r="K287" i="12"/>
  <c r="K288" i="12" l="1"/>
  <c r="C289" i="12"/>
  <c r="C290" i="12" l="1"/>
  <c r="K289" i="12"/>
  <c r="C291" i="12" l="1"/>
  <c r="K290" i="12"/>
  <c r="C292" i="12" l="1"/>
  <c r="K291" i="12"/>
  <c r="K292" i="12" l="1"/>
  <c r="C293" i="12"/>
  <c r="K293" i="12" l="1"/>
  <c r="C294" i="12"/>
  <c r="C295" i="12" l="1"/>
  <c r="K294" i="12"/>
  <c r="C296" i="12" l="1"/>
  <c r="K295" i="12"/>
  <c r="K296" i="12" l="1"/>
  <c r="C297" i="12"/>
  <c r="C298" i="12" l="1"/>
  <c r="K297" i="12"/>
  <c r="L90" i="11" s="1"/>
  <c r="K298" i="12" l="1"/>
  <c r="C299" i="12"/>
  <c r="K299" i="12" l="1"/>
  <c r="C300" i="12"/>
  <c r="K300" i="12" l="1"/>
  <c r="C301" i="12"/>
  <c r="K301" i="12" l="1"/>
  <c r="C302" i="12"/>
  <c r="C303" i="12" l="1"/>
  <c r="K302" i="12"/>
  <c r="C304" i="12" l="1"/>
  <c r="K303" i="12"/>
  <c r="C305" i="12" l="1"/>
  <c r="K304" i="12"/>
  <c r="K305" i="12" l="1"/>
  <c r="C306" i="12"/>
  <c r="K306" i="12" l="1"/>
  <c r="C307" i="12"/>
  <c r="C308" i="12" l="1"/>
  <c r="K307" i="12"/>
  <c r="K308" i="12" l="1"/>
  <c r="L93" i="11" s="1"/>
  <c r="C309" i="12"/>
  <c r="C310" i="12" l="1"/>
  <c r="K309" i="12"/>
  <c r="L96" i="11" s="1"/>
  <c r="K310" i="12" l="1"/>
  <c r="C311" i="12"/>
  <c r="K311" i="12" l="1"/>
  <c r="C312" i="12"/>
  <c r="C313" i="12" l="1"/>
  <c r="K312" i="12"/>
  <c r="K313" i="12" l="1"/>
  <c r="C314" i="12"/>
  <c r="C315" i="12" l="1"/>
  <c r="K314" i="12"/>
  <c r="C316" i="12" l="1"/>
  <c r="K315" i="12"/>
  <c r="K316" i="12" l="1"/>
  <c r="C317" i="12"/>
  <c r="K317" i="12" l="1"/>
  <c r="C318" i="12"/>
  <c r="K318" i="12" l="1"/>
  <c r="C319" i="12"/>
  <c r="K319" i="12" l="1"/>
  <c r="C320" i="12"/>
  <c r="K320" i="12" l="1"/>
  <c r="C321" i="12"/>
  <c r="C322" i="12" l="1"/>
  <c r="K321" i="12"/>
  <c r="C323" i="12" l="1"/>
  <c r="K322" i="12"/>
  <c r="K323" i="12" l="1"/>
  <c r="C324" i="12"/>
  <c r="K324" i="12" l="1"/>
  <c r="C325" i="12"/>
  <c r="K325" i="12" l="1"/>
  <c r="C326" i="12"/>
  <c r="K326" i="12" l="1"/>
  <c r="C327" i="12"/>
  <c r="K327" i="12" l="1"/>
  <c r="C328" i="12"/>
  <c r="C329" i="12" l="1"/>
  <c r="K328" i="12"/>
  <c r="C330" i="12" l="1"/>
  <c r="K329" i="12"/>
  <c r="C331" i="12" l="1"/>
  <c r="K330" i="12"/>
  <c r="K331" i="12" l="1"/>
  <c r="C332" i="12"/>
  <c r="K332" i="12" l="1"/>
  <c r="C333" i="12"/>
  <c r="K333" i="12" l="1"/>
  <c r="C334" i="12"/>
  <c r="C335" i="12" l="1"/>
  <c r="K334" i="12"/>
  <c r="C336" i="12" l="1"/>
  <c r="K335" i="12"/>
  <c r="C337" i="12" l="1"/>
  <c r="K336" i="12"/>
  <c r="L99" i="11" s="1"/>
  <c r="K337" i="12" l="1"/>
  <c r="C338" i="12"/>
  <c r="C339" i="12" l="1"/>
  <c r="K338" i="12"/>
  <c r="K339" i="12" l="1"/>
  <c r="C340" i="12"/>
  <c r="C341" i="12" l="1"/>
  <c r="K340" i="12"/>
  <c r="C342" i="12" l="1"/>
  <c r="K341" i="12"/>
  <c r="C343" i="12" l="1"/>
  <c r="K342" i="12"/>
  <c r="L102" i="11" s="1"/>
  <c r="C344" i="12" l="1"/>
  <c r="K343" i="12"/>
  <c r="L105" i="11" s="1"/>
  <c r="C345" i="12" l="1"/>
  <c r="K344" i="12"/>
  <c r="C346" i="12" l="1"/>
  <c r="K345" i="12"/>
  <c r="C347" i="12" l="1"/>
  <c r="K346" i="12"/>
  <c r="C348" i="12" l="1"/>
  <c r="K347" i="12"/>
  <c r="C349" i="12" l="1"/>
  <c r="K348" i="12"/>
  <c r="C350" i="12" l="1"/>
  <c r="K349" i="12"/>
  <c r="K350" i="12" l="1"/>
  <c r="C351" i="12"/>
  <c r="C352" i="12" l="1"/>
  <c r="K351" i="12"/>
  <c r="C353" i="12" l="1"/>
  <c r="K352" i="12"/>
  <c r="K353" i="12" l="1"/>
  <c r="C354" i="12"/>
  <c r="C355" i="12" l="1"/>
  <c r="K354" i="12"/>
  <c r="C356" i="12" l="1"/>
  <c r="K355" i="12"/>
  <c r="K356" i="12" l="1"/>
  <c r="L108" i="11" s="1"/>
  <c r="C357" i="12"/>
  <c r="K357" i="12" l="1"/>
  <c r="L111" i="11" s="1"/>
  <c r="C358" i="12"/>
  <c r="C359" i="12" l="1"/>
  <c r="K358" i="12"/>
  <c r="K359" i="12" l="1"/>
  <c r="C360" i="12"/>
  <c r="C361" i="12" l="1"/>
  <c r="K360" i="12"/>
  <c r="K361" i="12" l="1"/>
  <c r="C362" i="12"/>
  <c r="K362" i="12" l="1"/>
  <c r="C363" i="12"/>
  <c r="C364" i="12" l="1"/>
  <c r="K363" i="12"/>
  <c r="C365" i="12" l="1"/>
  <c r="K364" i="12"/>
  <c r="C366" i="12" l="1"/>
  <c r="K365" i="12"/>
  <c r="K366" i="12" l="1"/>
  <c r="I12" i="12"/>
  <c r="H12" i="12"/>
  <c r="I64" i="12"/>
  <c r="H64" i="12"/>
  <c r="I89" i="12"/>
  <c r="H89" i="12"/>
  <c r="I125" i="12"/>
  <c r="H125" i="12"/>
  <c r="I164" i="12"/>
  <c r="H164" i="12"/>
  <c r="I188" i="12"/>
  <c r="H188" i="12"/>
  <c r="I237" i="12"/>
  <c r="H237" i="12"/>
  <c r="H272" i="12"/>
  <c r="I272" i="12"/>
  <c r="H284" i="12"/>
  <c r="I284" i="12"/>
  <c r="B284" i="12" s="1"/>
  <c r="U284" i="12" s="1"/>
  <c r="K86" i="11" s="1"/>
  <c r="N84" i="11" s="1"/>
  <c r="I308" i="12"/>
  <c r="H308" i="12"/>
  <c r="I342" i="12"/>
  <c r="H342" i="12"/>
  <c r="I356" i="12"/>
  <c r="H356" i="12"/>
  <c r="B356" i="12" l="1"/>
  <c r="U356" i="12" s="1"/>
  <c r="B125" i="12"/>
  <c r="U125" i="12" s="1"/>
  <c r="K44" i="11" s="1"/>
  <c r="N42" i="11" s="1"/>
  <c r="B308" i="12"/>
  <c r="U308" i="12" s="1"/>
  <c r="K95" i="11" s="1"/>
  <c r="N93" i="11" s="1"/>
  <c r="AC95" i="11" s="1"/>
  <c r="AC94" i="11" s="1"/>
  <c r="B342" i="12"/>
  <c r="U342" i="12" s="1"/>
  <c r="K104" i="11" s="1"/>
  <c r="N102" i="11" s="1"/>
  <c r="B237" i="12"/>
  <c r="U237" i="12" s="1"/>
  <c r="K71" i="11" s="1"/>
  <c r="N69" i="11" s="1"/>
  <c r="B89" i="12"/>
  <c r="U89" i="12" s="1"/>
  <c r="K38" i="11" s="1"/>
  <c r="N36" i="11" s="1"/>
  <c r="B188" i="12"/>
  <c r="U188" i="12" s="1"/>
  <c r="K62" i="11" s="1"/>
  <c r="N60" i="11" s="1"/>
  <c r="B64" i="12"/>
  <c r="U64" i="12" s="1"/>
  <c r="K29" i="11" s="1"/>
  <c r="N27" i="11" s="1"/>
  <c r="AE86" i="11"/>
  <c r="AE85" i="11" s="1"/>
  <c r="AA86" i="11"/>
  <c r="AA85" i="11" s="1"/>
  <c r="V86" i="11"/>
  <c r="V85" i="11" s="1"/>
  <c r="W86" i="11"/>
  <c r="W85" i="11" s="1"/>
  <c r="AF86" i="11"/>
  <c r="AF85" i="11" s="1"/>
  <c r="AI86" i="11"/>
  <c r="AI85" i="11" s="1"/>
  <c r="AG86" i="11"/>
  <c r="AG85" i="11" s="1"/>
  <c r="Y86" i="11"/>
  <c r="Y85" i="11" s="1"/>
  <c r="P86" i="11"/>
  <c r="P85" i="11" s="1"/>
  <c r="P84" i="11" s="1"/>
  <c r="AL86" i="11"/>
  <c r="AL85" i="11" s="1"/>
  <c r="AH86" i="11"/>
  <c r="AH85" i="11" s="1"/>
  <c r="AB86" i="11"/>
  <c r="AB85" i="11" s="1"/>
  <c r="AC86" i="11"/>
  <c r="AC85" i="11" s="1"/>
  <c r="T86" i="11"/>
  <c r="T85" i="11" s="1"/>
  <c r="AD86" i="11"/>
  <c r="AD85" i="11" s="1"/>
  <c r="S86" i="11"/>
  <c r="S85" i="11" s="1"/>
  <c r="AK86" i="11"/>
  <c r="AK85" i="11" s="1"/>
  <c r="Z86" i="11"/>
  <c r="Z85" i="11" s="1"/>
  <c r="R86" i="11"/>
  <c r="R85" i="11" s="1"/>
  <c r="AJ86" i="11"/>
  <c r="AJ85" i="11" s="1"/>
  <c r="U86" i="11"/>
  <c r="U85" i="11" s="1"/>
  <c r="Q86" i="11"/>
  <c r="Q85" i="11" s="1"/>
  <c r="X86" i="11"/>
  <c r="X85" i="11" s="1"/>
  <c r="X84" i="11" s="1"/>
  <c r="AM86" i="11"/>
  <c r="AM85" i="11" s="1"/>
  <c r="B164" i="12"/>
  <c r="U164" i="12" s="1"/>
  <c r="K53" i="11" s="1"/>
  <c r="N51" i="11" s="1"/>
  <c r="B12" i="12"/>
  <c r="K50" i="11"/>
  <c r="N48" i="11" s="1"/>
  <c r="K110" i="11"/>
  <c r="N108" i="11" s="1"/>
  <c r="B272" i="12"/>
  <c r="U272" i="12" s="1"/>
  <c r="K80" i="11" s="1"/>
  <c r="N78" i="11" s="1"/>
  <c r="L39" i="11"/>
  <c r="L51" i="11"/>
  <c r="AD84" i="11" l="1"/>
  <c r="AG84" i="11"/>
  <c r="AJ84" i="11"/>
  <c r="Q95" i="11"/>
  <c r="Q94" i="11" s="1"/>
  <c r="AF95" i="11"/>
  <c r="AF94" i="11" s="1"/>
  <c r="Q84" i="11"/>
  <c r="AI84" i="11"/>
  <c r="Z95" i="11"/>
  <c r="Z94" i="11" s="1"/>
  <c r="P95" i="11"/>
  <c r="P94" i="11" s="1"/>
  <c r="P93" i="11" s="1"/>
  <c r="AF84" i="11"/>
  <c r="AE95" i="11"/>
  <c r="AE94" i="11" s="1"/>
  <c r="AM95" i="11"/>
  <c r="AM94" i="11" s="1"/>
  <c r="AB84" i="11"/>
  <c r="Y95" i="11"/>
  <c r="Y94" i="11" s="1"/>
  <c r="R95" i="11"/>
  <c r="R94" i="11" s="1"/>
  <c r="R93" i="11" s="1"/>
  <c r="V95" i="11"/>
  <c r="V94" i="11" s="1"/>
  <c r="AG95" i="11"/>
  <c r="AG94" i="11" s="1"/>
  <c r="AD95" i="11"/>
  <c r="AD94" i="11" s="1"/>
  <c r="AH95" i="11"/>
  <c r="AH94" i="11" s="1"/>
  <c r="W95" i="11"/>
  <c r="W94" i="11" s="1"/>
  <c r="AA95" i="11"/>
  <c r="AA94" i="11" s="1"/>
  <c r="T95" i="11"/>
  <c r="T94" i="11" s="1"/>
  <c r="AB95" i="11"/>
  <c r="AB94" i="11" s="1"/>
  <c r="AB93" i="11" s="1"/>
  <c r="AL95" i="11"/>
  <c r="AL94" i="11" s="1"/>
  <c r="AL93" i="11" s="1"/>
  <c r="U95" i="11"/>
  <c r="U94" i="11" s="1"/>
  <c r="S84" i="11"/>
  <c r="AK95" i="11"/>
  <c r="AK94" i="11" s="1"/>
  <c r="AJ95" i="11"/>
  <c r="AJ94" i="11" s="1"/>
  <c r="AI95" i="11"/>
  <c r="AI94" i="11" s="1"/>
  <c r="X95" i="11"/>
  <c r="X94" i="11" s="1"/>
  <c r="S95" i="11"/>
  <c r="S94" i="11" s="1"/>
  <c r="S93" i="11" s="1"/>
  <c r="AD93" i="11"/>
  <c r="Z110" i="11"/>
  <c r="Z109" i="11" s="1"/>
  <c r="V110" i="11"/>
  <c r="V109" i="11" s="1"/>
  <c r="AH110" i="11"/>
  <c r="AH109" i="11" s="1"/>
  <c r="AM110" i="11"/>
  <c r="AM109" i="11" s="1"/>
  <c r="T110" i="11"/>
  <c r="T109" i="11" s="1"/>
  <c r="AI110" i="11"/>
  <c r="AI109" i="11" s="1"/>
  <c r="R110" i="11"/>
  <c r="R109" i="11" s="1"/>
  <c r="Q110" i="11"/>
  <c r="Q109" i="11" s="1"/>
  <c r="AD110" i="11"/>
  <c r="AD109" i="11" s="1"/>
  <c r="AL110" i="11"/>
  <c r="AL109" i="11" s="1"/>
  <c r="Y110" i="11"/>
  <c r="Y109" i="11" s="1"/>
  <c r="AA110" i="11"/>
  <c r="AA109" i="11" s="1"/>
  <c r="S110" i="11"/>
  <c r="S109" i="11" s="1"/>
  <c r="AG110" i="11"/>
  <c r="AG109" i="11" s="1"/>
  <c r="AE110" i="11"/>
  <c r="AE109" i="11" s="1"/>
  <c r="W110" i="11"/>
  <c r="W109" i="11" s="1"/>
  <c r="W108" i="11" s="1"/>
  <c r="AB110" i="11"/>
  <c r="AB109" i="11" s="1"/>
  <c r="AK110" i="11"/>
  <c r="AK109" i="11" s="1"/>
  <c r="X110" i="11"/>
  <c r="X109" i="11" s="1"/>
  <c r="P110" i="11"/>
  <c r="P109" i="11" s="1"/>
  <c r="P108" i="11" s="1"/>
  <c r="AJ110" i="11"/>
  <c r="AJ109" i="11" s="1"/>
  <c r="AJ108" i="11" s="1"/>
  <c r="AC110" i="11"/>
  <c r="AC109" i="11" s="1"/>
  <c r="U110" i="11"/>
  <c r="U109" i="11" s="1"/>
  <c r="AF110" i="11"/>
  <c r="AF109" i="11" s="1"/>
  <c r="Q50" i="11"/>
  <c r="Q44" i="11" s="1"/>
  <c r="Q43" i="11" s="1"/>
  <c r="P50" i="11"/>
  <c r="P44" i="11" s="1"/>
  <c r="P43" i="11" s="1"/>
  <c r="P42" i="11" s="1"/>
  <c r="R50" i="11"/>
  <c r="R44" i="11" s="1"/>
  <c r="R43" i="11" s="1"/>
  <c r="S50" i="11"/>
  <c r="S44" i="11" s="1"/>
  <c r="S43" i="11" s="1"/>
  <c r="T50" i="11"/>
  <c r="T44" i="11" s="1"/>
  <c r="T43" i="11" s="1"/>
  <c r="U50" i="11"/>
  <c r="U44" i="11" s="1"/>
  <c r="U43" i="11" s="1"/>
  <c r="V50" i="11"/>
  <c r="V44" i="11" s="1"/>
  <c r="V43" i="11" s="1"/>
  <c r="V42" i="11" s="1"/>
  <c r="W50" i="11"/>
  <c r="W44" i="11" s="1"/>
  <c r="W43" i="11" s="1"/>
  <c r="X50" i="11"/>
  <c r="X44" i="11" s="1"/>
  <c r="X43" i="11" s="1"/>
  <c r="Y50" i="11"/>
  <c r="Y44" i="11" s="1"/>
  <c r="Y43" i="11" s="1"/>
  <c r="Z50" i="11"/>
  <c r="Z44" i="11" s="1"/>
  <c r="Z43" i="11" s="1"/>
  <c r="AA50" i="11"/>
  <c r="AA44" i="11" s="1"/>
  <c r="AA43" i="11" s="1"/>
  <c r="AB50" i="11"/>
  <c r="AB44" i="11" s="1"/>
  <c r="AB43" i="11" s="1"/>
  <c r="AC50" i="11"/>
  <c r="AC44" i="11" s="1"/>
  <c r="AC43" i="11" s="1"/>
  <c r="AD50" i="11"/>
  <c r="AD44" i="11" s="1"/>
  <c r="AD43" i="11" s="1"/>
  <c r="AD42" i="11" s="1"/>
  <c r="AE50" i="11"/>
  <c r="AE44" i="11" s="1"/>
  <c r="AE43" i="11" s="1"/>
  <c r="AF50" i="11"/>
  <c r="AF44" i="11" s="1"/>
  <c r="AF43" i="11" s="1"/>
  <c r="AG50" i="11"/>
  <c r="AG44" i="11" s="1"/>
  <c r="AG43" i="11" s="1"/>
  <c r="AH50" i="11"/>
  <c r="AH44" i="11" s="1"/>
  <c r="AH43" i="11" s="1"/>
  <c r="AI50" i="11"/>
  <c r="AI44" i="11" s="1"/>
  <c r="AI43" i="11" s="1"/>
  <c r="AJ50" i="11"/>
  <c r="AJ44" i="11" s="1"/>
  <c r="AJ43" i="11" s="1"/>
  <c r="AK50" i="11"/>
  <c r="AK44" i="11" s="1"/>
  <c r="AK43" i="11" s="1"/>
  <c r="AL50" i="11"/>
  <c r="AL44" i="11" s="1"/>
  <c r="AL43" i="11" s="1"/>
  <c r="AL42" i="11" s="1"/>
  <c r="AM50" i="11"/>
  <c r="AM44" i="11" s="1"/>
  <c r="AM43" i="11" s="1"/>
  <c r="R84" i="11"/>
  <c r="AH84" i="11"/>
  <c r="V84" i="11"/>
  <c r="AF93" i="11"/>
  <c r="AG93" i="11"/>
  <c r="U12" i="12"/>
  <c r="K20" i="11" s="1"/>
  <c r="N18" i="11" s="1"/>
  <c r="B11" i="12"/>
  <c r="Z84" i="11"/>
  <c r="AL84" i="11"/>
  <c r="AA84" i="11"/>
  <c r="S53" i="11"/>
  <c r="S52" i="11" s="1"/>
  <c r="Y53" i="11"/>
  <c r="Y52" i="11" s="1"/>
  <c r="AF53" i="11"/>
  <c r="AF52" i="11" s="1"/>
  <c r="Z53" i="11"/>
  <c r="Z52" i="11" s="1"/>
  <c r="Q53" i="11"/>
  <c r="Q52" i="11" s="1"/>
  <c r="AG53" i="11"/>
  <c r="AG52" i="11" s="1"/>
  <c r="AB53" i="11"/>
  <c r="AB52" i="11" s="1"/>
  <c r="AD53" i="11"/>
  <c r="AD52" i="11" s="1"/>
  <c r="P53" i="11"/>
  <c r="P52" i="11" s="1"/>
  <c r="P51" i="11" s="1"/>
  <c r="X53" i="11"/>
  <c r="X52" i="11" s="1"/>
  <c r="R53" i="11"/>
  <c r="R52" i="11" s="1"/>
  <c r="T53" i="11"/>
  <c r="T52" i="11" s="1"/>
  <c r="T51" i="11" s="1"/>
  <c r="V53" i="11"/>
  <c r="V52" i="11" s="1"/>
  <c r="AC53" i="11"/>
  <c r="AC52" i="11" s="1"/>
  <c r="AK53" i="11"/>
  <c r="AK52" i="11" s="1"/>
  <c r="AL53" i="11"/>
  <c r="AL52" i="11" s="1"/>
  <c r="AI53" i="11"/>
  <c r="AI52" i="11" s="1"/>
  <c r="AA53" i="11"/>
  <c r="AA52" i="11" s="1"/>
  <c r="U53" i="11"/>
  <c r="U52" i="11" s="1"/>
  <c r="AJ53" i="11"/>
  <c r="AJ52" i="11" s="1"/>
  <c r="AJ51" i="11" s="1"/>
  <c r="AM53" i="11"/>
  <c r="AM52" i="11" s="1"/>
  <c r="W53" i="11"/>
  <c r="W52" i="11" s="1"/>
  <c r="AH53" i="11"/>
  <c r="AH52" i="11" s="1"/>
  <c r="AE53" i="11"/>
  <c r="AE52" i="11" s="1"/>
  <c r="AE51" i="11" s="1"/>
  <c r="AK84" i="11"/>
  <c r="U93" i="11"/>
  <c r="Y84" i="11"/>
  <c r="Y29" i="11"/>
  <c r="Y28" i="11" s="1"/>
  <c r="AL29" i="11"/>
  <c r="AL28" i="11" s="1"/>
  <c r="AE29" i="11"/>
  <c r="AE28" i="11" s="1"/>
  <c r="AF29" i="11"/>
  <c r="AF28" i="11" s="1"/>
  <c r="P29" i="11"/>
  <c r="P28" i="11" s="1"/>
  <c r="P27" i="11" s="1"/>
  <c r="AJ29" i="11"/>
  <c r="AJ28" i="11" s="1"/>
  <c r="S29" i="11"/>
  <c r="S28" i="11" s="1"/>
  <c r="AK29" i="11"/>
  <c r="AK28" i="11" s="1"/>
  <c r="AG29" i="11"/>
  <c r="AG28" i="11" s="1"/>
  <c r="AD29" i="11"/>
  <c r="AD28" i="11" s="1"/>
  <c r="AA29" i="11"/>
  <c r="AA28" i="11" s="1"/>
  <c r="AM29" i="11"/>
  <c r="AM28" i="11" s="1"/>
  <c r="AB29" i="11"/>
  <c r="AB28" i="11" s="1"/>
  <c r="T29" i="11"/>
  <c r="T28" i="11" s="1"/>
  <c r="AH29" i="11"/>
  <c r="AH28" i="11" s="1"/>
  <c r="AI29" i="11"/>
  <c r="AI28" i="11" s="1"/>
  <c r="R29" i="11"/>
  <c r="R28" i="11" s="1"/>
  <c r="V29" i="11"/>
  <c r="V28" i="11" s="1"/>
  <c r="U29" i="11"/>
  <c r="U28" i="11" s="1"/>
  <c r="X29" i="11"/>
  <c r="X28" i="11" s="1"/>
  <c r="Q29" i="11"/>
  <c r="Q28" i="11" s="1"/>
  <c r="Q27" i="11" s="1"/>
  <c r="AC29" i="11"/>
  <c r="AC28" i="11" s="1"/>
  <c r="Z29" i="11"/>
  <c r="Z28" i="11" s="1"/>
  <c r="W29" i="11"/>
  <c r="W28" i="11" s="1"/>
  <c r="AI93" i="11"/>
  <c r="Z62" i="11"/>
  <c r="Z61" i="11" s="1"/>
  <c r="AD62" i="11"/>
  <c r="AD61" i="11" s="1"/>
  <c r="AE62" i="11"/>
  <c r="AE61" i="11" s="1"/>
  <c r="U62" i="11"/>
  <c r="U61" i="11" s="1"/>
  <c r="T62" i="11"/>
  <c r="T61" i="11" s="1"/>
  <c r="AM62" i="11"/>
  <c r="AM61" i="11" s="1"/>
  <c r="V62" i="11"/>
  <c r="V61" i="11" s="1"/>
  <c r="V60" i="11" s="1"/>
  <c r="AF62" i="11"/>
  <c r="AF61" i="11" s="1"/>
  <c r="AC62" i="11"/>
  <c r="AC61" i="11" s="1"/>
  <c r="AA62" i="11"/>
  <c r="AA61" i="11" s="1"/>
  <c r="AG62" i="11"/>
  <c r="AG61" i="11" s="1"/>
  <c r="AH62" i="11"/>
  <c r="AH61" i="11" s="1"/>
  <c r="S62" i="11"/>
  <c r="S61" i="11" s="1"/>
  <c r="AJ62" i="11"/>
  <c r="AJ61" i="11" s="1"/>
  <c r="AB62" i="11"/>
  <c r="AB61" i="11" s="1"/>
  <c r="R62" i="11"/>
  <c r="R61" i="11" s="1"/>
  <c r="P62" i="11"/>
  <c r="P61" i="11" s="1"/>
  <c r="P60" i="11" s="1"/>
  <c r="X62" i="11"/>
  <c r="X61" i="11" s="1"/>
  <c r="AK62" i="11"/>
  <c r="AK61" i="11" s="1"/>
  <c r="AI62" i="11"/>
  <c r="AI61" i="11" s="1"/>
  <c r="AI60" i="11" s="1"/>
  <c r="W62" i="11"/>
  <c r="W61" i="11" s="1"/>
  <c r="Q62" i="11"/>
  <c r="Q61" i="11" s="1"/>
  <c r="AL62" i="11"/>
  <c r="AL61" i="11" s="1"/>
  <c r="AL60" i="11" s="1"/>
  <c r="Y62" i="11"/>
  <c r="Y61" i="11" s="1"/>
  <c r="T84" i="11"/>
  <c r="AD38" i="11"/>
  <c r="AD37" i="11" s="1"/>
  <c r="AK38" i="11"/>
  <c r="AK37" i="11" s="1"/>
  <c r="AM38" i="11"/>
  <c r="AM37" i="11" s="1"/>
  <c r="AH38" i="11"/>
  <c r="AH37" i="11" s="1"/>
  <c r="P38" i="11"/>
  <c r="P37" i="11" s="1"/>
  <c r="P36" i="11" s="1"/>
  <c r="AI38" i="11"/>
  <c r="AI37" i="11" s="1"/>
  <c r="T38" i="11"/>
  <c r="T37" i="11" s="1"/>
  <c r="U38" i="11"/>
  <c r="U37" i="11" s="1"/>
  <c r="V38" i="11"/>
  <c r="V37" i="11" s="1"/>
  <c r="S38" i="11"/>
  <c r="S37" i="11" s="1"/>
  <c r="AG38" i="11"/>
  <c r="AG37" i="11" s="1"/>
  <c r="AJ38" i="11"/>
  <c r="AJ37" i="11" s="1"/>
  <c r="R38" i="11"/>
  <c r="R37" i="11" s="1"/>
  <c r="AA38" i="11"/>
  <c r="AA37" i="11" s="1"/>
  <c r="W38" i="11"/>
  <c r="W37" i="11" s="1"/>
  <c r="AC38" i="11"/>
  <c r="AC37" i="11" s="1"/>
  <c r="Q38" i="11"/>
  <c r="Q37" i="11" s="1"/>
  <c r="AE38" i="11"/>
  <c r="AE37" i="11" s="1"/>
  <c r="AF38" i="11"/>
  <c r="AF37" i="11" s="1"/>
  <c r="AL38" i="11"/>
  <c r="AL37" i="11" s="1"/>
  <c r="X38" i="11"/>
  <c r="X37" i="11" s="1"/>
  <c r="Z38" i="11"/>
  <c r="Z37" i="11" s="1"/>
  <c r="Y38" i="11"/>
  <c r="Y37" i="11" s="1"/>
  <c r="AB38" i="11"/>
  <c r="AB37" i="11" s="1"/>
  <c r="U84" i="11"/>
  <c r="AC84" i="11"/>
  <c r="X71" i="11"/>
  <c r="X70" i="11" s="1"/>
  <c r="AM71" i="11"/>
  <c r="AM70" i="11" s="1"/>
  <c r="AE71" i="11"/>
  <c r="AE70" i="11" s="1"/>
  <c r="AD71" i="11"/>
  <c r="AD70" i="11" s="1"/>
  <c r="AL71" i="11"/>
  <c r="AL70" i="11" s="1"/>
  <c r="T71" i="11"/>
  <c r="T70" i="11" s="1"/>
  <c r="AH71" i="11"/>
  <c r="AH70" i="11" s="1"/>
  <c r="Y71" i="11"/>
  <c r="Y70" i="11" s="1"/>
  <c r="AA71" i="11"/>
  <c r="AA70" i="11" s="1"/>
  <c r="R71" i="11"/>
  <c r="R70" i="11" s="1"/>
  <c r="W71" i="11"/>
  <c r="W70" i="11" s="1"/>
  <c r="S71" i="11"/>
  <c r="S70" i="11" s="1"/>
  <c r="V71" i="11"/>
  <c r="V70" i="11" s="1"/>
  <c r="U71" i="11"/>
  <c r="U70" i="11" s="1"/>
  <c r="AC71" i="11"/>
  <c r="AC70" i="11" s="1"/>
  <c r="AK71" i="11"/>
  <c r="AK70" i="11" s="1"/>
  <c r="AB71" i="11"/>
  <c r="AB70" i="11" s="1"/>
  <c r="AB69" i="11" s="1"/>
  <c r="Z71" i="11"/>
  <c r="Z70" i="11" s="1"/>
  <c r="AI71" i="11"/>
  <c r="AI70" i="11" s="1"/>
  <c r="AF71" i="11"/>
  <c r="AF70" i="11" s="1"/>
  <c r="Q71" i="11"/>
  <c r="Q70" i="11" s="1"/>
  <c r="AG71" i="11"/>
  <c r="AG70" i="11" s="1"/>
  <c r="P71" i="11"/>
  <c r="P70" i="11" s="1"/>
  <c r="P69" i="11" s="1"/>
  <c r="AJ71" i="11"/>
  <c r="AJ70" i="11" s="1"/>
  <c r="AA80" i="11"/>
  <c r="AA79" i="11" s="1"/>
  <c r="AF80" i="11"/>
  <c r="AF79" i="11" s="1"/>
  <c r="S80" i="11"/>
  <c r="S79" i="11" s="1"/>
  <c r="P80" i="11"/>
  <c r="P79" i="11" s="1"/>
  <c r="P78" i="11" s="1"/>
  <c r="AJ80" i="11"/>
  <c r="AJ79" i="11" s="1"/>
  <c r="AK80" i="11"/>
  <c r="AK79" i="11" s="1"/>
  <c r="AH80" i="11"/>
  <c r="AH79" i="11" s="1"/>
  <c r="W80" i="11"/>
  <c r="W79" i="11" s="1"/>
  <c r="AD80" i="11"/>
  <c r="AD79" i="11" s="1"/>
  <c r="V80" i="11"/>
  <c r="V79" i="11" s="1"/>
  <c r="AM80" i="11"/>
  <c r="AM79" i="11" s="1"/>
  <c r="AE80" i="11"/>
  <c r="AE79" i="11" s="1"/>
  <c r="AG80" i="11"/>
  <c r="AG79" i="11" s="1"/>
  <c r="AI80" i="11"/>
  <c r="AI79" i="11" s="1"/>
  <c r="U80" i="11"/>
  <c r="U79" i="11" s="1"/>
  <c r="Q80" i="11"/>
  <c r="Q79" i="11" s="1"/>
  <c r="Y80" i="11"/>
  <c r="Y79" i="11" s="1"/>
  <c r="AC80" i="11"/>
  <c r="AC79" i="11" s="1"/>
  <c r="AB80" i="11"/>
  <c r="AB79" i="11" s="1"/>
  <c r="X80" i="11"/>
  <c r="X79" i="11" s="1"/>
  <c r="Z80" i="11"/>
  <c r="Z79" i="11" s="1"/>
  <c r="R80" i="11"/>
  <c r="R79" i="11" s="1"/>
  <c r="AL80" i="11"/>
  <c r="AL79" i="11" s="1"/>
  <c r="T80" i="11"/>
  <c r="T79" i="11" s="1"/>
  <c r="AB104" i="11"/>
  <c r="AB103" i="11" s="1"/>
  <c r="AG104" i="11"/>
  <c r="AG103" i="11" s="1"/>
  <c r="AL104" i="11"/>
  <c r="AL103" i="11" s="1"/>
  <c r="S104" i="11"/>
  <c r="S103" i="11" s="1"/>
  <c r="R104" i="11"/>
  <c r="R103" i="11" s="1"/>
  <c r="Q104" i="11"/>
  <c r="Q103" i="11" s="1"/>
  <c r="X104" i="11"/>
  <c r="X103" i="11" s="1"/>
  <c r="AI104" i="11"/>
  <c r="AI103" i="11" s="1"/>
  <c r="U104" i="11"/>
  <c r="U103" i="11" s="1"/>
  <c r="Y104" i="11"/>
  <c r="Y103" i="11" s="1"/>
  <c r="AH104" i="11"/>
  <c r="AH103" i="11" s="1"/>
  <c r="T104" i="11"/>
  <c r="T103" i="11" s="1"/>
  <c r="V104" i="11"/>
  <c r="V103" i="11" s="1"/>
  <c r="AJ104" i="11"/>
  <c r="AJ103" i="11" s="1"/>
  <c r="AD104" i="11"/>
  <c r="AD103" i="11" s="1"/>
  <c r="AE104" i="11"/>
  <c r="AE103" i="11" s="1"/>
  <c r="W104" i="11"/>
  <c r="W103" i="11" s="1"/>
  <c r="AC104" i="11"/>
  <c r="AC103" i="11" s="1"/>
  <c r="AA104" i="11"/>
  <c r="AA103" i="11" s="1"/>
  <c r="AF104" i="11"/>
  <c r="AF103" i="11" s="1"/>
  <c r="AK104" i="11"/>
  <c r="AK103" i="11" s="1"/>
  <c r="Z104" i="11"/>
  <c r="Z103" i="11" s="1"/>
  <c r="P104" i="11"/>
  <c r="P103" i="11" s="1"/>
  <c r="P102" i="11" s="1"/>
  <c r="AM104" i="11"/>
  <c r="AM103" i="11" s="1"/>
  <c r="Z93" i="11" l="1"/>
  <c r="AC78" i="11"/>
  <c r="X69" i="11"/>
  <c r="U102" i="11"/>
  <c r="R69" i="11"/>
  <c r="AJ36" i="11"/>
  <c r="R108" i="11"/>
  <c r="W27" i="11"/>
  <c r="Z27" i="11"/>
  <c r="AH27" i="11"/>
  <c r="S27" i="11"/>
  <c r="R51" i="11"/>
  <c r="Y93" i="11"/>
  <c r="Q93" i="11"/>
  <c r="T78" i="11"/>
  <c r="AG60" i="11"/>
  <c r="AH93" i="11"/>
  <c r="W102" i="11"/>
  <c r="Z102" i="11"/>
  <c r="Q36" i="11"/>
  <c r="V36" i="11"/>
  <c r="AB27" i="11"/>
  <c r="AI42" i="11"/>
  <c r="AA42" i="11"/>
  <c r="S42" i="11"/>
  <c r="R78" i="11"/>
  <c r="AE60" i="11"/>
  <c r="AF27" i="11"/>
  <c r="AA93" i="11"/>
  <c r="AC93" i="11"/>
  <c r="AC51" i="11"/>
  <c r="X78" i="11"/>
  <c r="AI69" i="11"/>
  <c r="AG27" i="11"/>
  <c r="AM51" i="11"/>
  <c r="Z69" i="11"/>
  <c r="AM69" i="11"/>
  <c r="AL36" i="11"/>
  <c r="AK27" i="11"/>
  <c r="Z51" i="11"/>
  <c r="U108" i="11"/>
  <c r="V93" i="11"/>
  <c r="AE102" i="11"/>
  <c r="AA78" i="11"/>
  <c r="AF36" i="11"/>
  <c r="AF51" i="11"/>
  <c r="AM93" i="11"/>
  <c r="AE69" i="11"/>
  <c r="AE93" i="11"/>
  <c r="Q60" i="11"/>
  <c r="U51" i="11"/>
  <c r="AB102" i="11"/>
  <c r="AI102" i="11"/>
  <c r="Q78" i="11"/>
  <c r="S108" i="11"/>
  <c r="AM102" i="11"/>
  <c r="U78" i="11"/>
  <c r="AH60" i="11"/>
  <c r="U60" i="11"/>
  <c r="AA108" i="11"/>
  <c r="AF78" i="11"/>
  <c r="Y78" i="11"/>
  <c r="AB36" i="11"/>
  <c r="V69" i="11"/>
  <c r="AH51" i="11"/>
  <c r="W93" i="11"/>
  <c r="AK93" i="11"/>
  <c r="AI27" i="11"/>
  <c r="AE108" i="11"/>
  <c r="AC108" i="11"/>
  <c r="AK102" i="11"/>
  <c r="AI78" i="11"/>
  <c r="AG69" i="11"/>
  <c r="T69" i="11"/>
  <c r="U36" i="11"/>
  <c r="AM27" i="11"/>
  <c r="AL69" i="11"/>
  <c r="Y36" i="11"/>
  <c r="X60" i="11"/>
  <c r="AA60" i="11"/>
  <c r="U27" i="11"/>
  <c r="AG42" i="11"/>
  <c r="Y42" i="11"/>
  <c r="AK42" i="11"/>
  <c r="AC42" i="11"/>
  <c r="U42" i="11"/>
  <c r="AI108" i="11"/>
  <c r="AE36" i="11"/>
  <c r="AC27" i="11"/>
  <c r="X51" i="11"/>
  <c r="AM108" i="11"/>
  <c r="R102" i="11"/>
  <c r="AL51" i="11"/>
  <c r="Q69" i="11"/>
  <c r="W36" i="11"/>
  <c r="T93" i="11"/>
  <c r="T102" i="11"/>
  <c r="X36" i="11"/>
  <c r="Y60" i="11"/>
  <c r="AF60" i="11"/>
  <c r="W42" i="11"/>
  <c r="AF108" i="11"/>
  <c r="AJ93" i="11"/>
  <c r="AC102" i="11"/>
  <c r="AG102" i="11"/>
  <c r="AB78" i="11"/>
  <c r="AM78" i="11"/>
  <c r="S78" i="11"/>
  <c r="W69" i="11"/>
  <c r="R36" i="11"/>
  <c r="R60" i="11"/>
  <c r="R27" i="11"/>
  <c r="Y27" i="11"/>
  <c r="V51" i="11"/>
  <c r="Q51" i="11"/>
  <c r="AM42" i="11"/>
  <c r="AE42" i="11"/>
  <c r="Q108" i="11"/>
  <c r="AH36" i="11"/>
  <c r="AA69" i="11"/>
  <c r="AG36" i="11"/>
  <c r="AM36" i="11"/>
  <c r="AM60" i="11"/>
  <c r="AI20" i="11"/>
  <c r="AF20" i="11"/>
  <c r="Y20" i="11"/>
  <c r="S20" i="11"/>
  <c r="Z20" i="11"/>
  <c r="AH20" i="11"/>
  <c r="V20" i="11"/>
  <c r="AC20" i="11"/>
  <c r="P20" i="11"/>
  <c r="U20" i="11"/>
  <c r="W20" i="11"/>
  <c r="AG20" i="11"/>
  <c r="AE20" i="11"/>
  <c r="R20" i="11"/>
  <c r="AB20" i="11"/>
  <c r="T20" i="11"/>
  <c r="Q20" i="11"/>
  <c r="AL20" i="11"/>
  <c r="AM20" i="11"/>
  <c r="AK20" i="11"/>
  <c r="AA20" i="11"/>
  <c r="AJ20" i="11"/>
  <c r="X20" i="11"/>
  <c r="AD20" i="11"/>
  <c r="AG108" i="11"/>
  <c r="AD102" i="11"/>
  <c r="X102" i="11"/>
  <c r="W78" i="11"/>
  <c r="AJ69" i="11"/>
  <c r="Y69" i="11"/>
  <c r="S36" i="11"/>
  <c r="AK36" i="11"/>
  <c r="W60" i="11"/>
  <c r="S60" i="11"/>
  <c r="T27" i="11"/>
  <c r="AJ27" i="11"/>
  <c r="Y51" i="11"/>
  <c r="AJ42" i="11"/>
  <c r="AB42" i="11"/>
  <c r="T42" i="11"/>
  <c r="T108" i="11"/>
  <c r="AJ102" i="11"/>
  <c r="Q102" i="11"/>
  <c r="AH78" i="11"/>
  <c r="AH69" i="11"/>
  <c r="AD36" i="11"/>
  <c r="V102" i="11"/>
  <c r="AK78" i="11"/>
  <c r="AC36" i="11"/>
  <c r="AK60" i="11"/>
  <c r="X27" i="11"/>
  <c r="AD51" i="11"/>
  <c r="X108" i="11"/>
  <c r="Y108" i="11"/>
  <c r="AH108" i="11"/>
  <c r="Z78" i="11"/>
  <c r="AG78" i="11"/>
  <c r="AJ78" i="11"/>
  <c r="T36" i="11"/>
  <c r="AD60" i="11"/>
  <c r="AA27" i="11"/>
  <c r="AE27" i="11"/>
  <c r="AK51" i="11"/>
  <c r="AB51" i="11"/>
  <c r="AK108" i="11"/>
  <c r="AL108" i="11"/>
  <c r="V108" i="11"/>
  <c r="AF102" i="11"/>
  <c r="S102" i="11"/>
  <c r="AA102" i="11"/>
  <c r="AH102" i="11"/>
  <c r="AL102" i="11"/>
  <c r="AE78" i="11"/>
  <c r="AF69" i="11"/>
  <c r="S69" i="11"/>
  <c r="AD69" i="11"/>
  <c r="Z36" i="11"/>
  <c r="AA36" i="11"/>
  <c r="AI36" i="11"/>
  <c r="AC60" i="11"/>
  <c r="Z60" i="11"/>
  <c r="V27" i="11"/>
  <c r="AD27" i="11"/>
  <c r="AL27" i="11"/>
  <c r="W51" i="11"/>
  <c r="AG51" i="11"/>
  <c r="AF42" i="11"/>
  <c r="X42" i="11"/>
  <c r="Q42" i="11"/>
  <c r="AB108" i="11"/>
  <c r="AD108" i="11"/>
  <c r="Z108" i="11"/>
  <c r="AK17" i="11" l="1"/>
  <c r="AK19" i="11"/>
  <c r="AG17" i="11"/>
  <c r="AG19" i="11"/>
  <c r="S17" i="11"/>
  <c r="S19" i="11"/>
  <c r="AM19" i="11"/>
  <c r="AM17" i="11"/>
  <c r="W17" i="11"/>
  <c r="W19" i="11"/>
  <c r="Y19" i="11"/>
  <c r="Y17" i="11"/>
  <c r="AL17" i="11"/>
  <c r="AL19" i="11"/>
  <c r="AL18" i="11" s="1"/>
  <c r="U17" i="11"/>
  <c r="U19" i="11"/>
  <c r="AF17" i="11"/>
  <c r="AF19" i="11"/>
  <c r="Q17" i="11"/>
  <c r="Q19" i="11"/>
  <c r="Q18" i="11" s="1"/>
  <c r="P17" i="11"/>
  <c r="P19" i="11"/>
  <c r="AI19" i="11"/>
  <c r="AI18" i="11" s="1"/>
  <c r="AI17" i="11"/>
  <c r="AD17" i="11"/>
  <c r="AD19" i="11"/>
  <c r="T17" i="11"/>
  <c r="T19" i="11"/>
  <c r="T18" i="11" s="1"/>
  <c r="AC17" i="11"/>
  <c r="AC19" i="11"/>
  <c r="AC18" i="11" s="1"/>
  <c r="X17" i="11"/>
  <c r="X19" i="11"/>
  <c r="AB17" i="11"/>
  <c r="AB19" i="11"/>
  <c r="V17" i="11"/>
  <c r="V19" i="11"/>
  <c r="AJ17" i="11"/>
  <c r="AJ19" i="11"/>
  <c r="R17" i="11"/>
  <c r="R19" i="11"/>
  <c r="R18" i="11" s="1"/>
  <c r="AH17" i="11"/>
  <c r="AH19" i="11"/>
  <c r="AA17" i="11"/>
  <c r="AA19" i="11"/>
  <c r="AE17" i="11"/>
  <c r="AE19" i="11"/>
  <c r="AE18" i="11" s="1"/>
  <c r="Z19" i="11"/>
  <c r="Z18" i="11" s="1"/>
  <c r="Z17" i="11"/>
  <c r="AH18" i="11" l="1"/>
  <c r="V18" i="11"/>
  <c r="U18" i="11"/>
  <c r="AM18" i="11"/>
  <c r="AH16" i="11"/>
  <c r="AH15" i="11"/>
  <c r="AH14" i="11" s="1"/>
  <c r="AI16" i="11"/>
  <c r="AI15" i="11"/>
  <c r="AI14" i="11" s="1"/>
  <c r="AM15" i="11"/>
  <c r="AM14" i="11" s="1"/>
  <c r="AM16" i="11"/>
  <c r="AB15" i="11"/>
  <c r="AB14" i="11" s="1"/>
  <c r="AB16" i="11"/>
  <c r="R16" i="11"/>
  <c r="R15" i="11"/>
  <c r="R14" i="11" s="1"/>
  <c r="U15" i="11"/>
  <c r="U14" i="11" s="1"/>
  <c r="U16" i="11"/>
  <c r="Z16" i="11"/>
  <c r="Z15" i="11"/>
  <c r="Z14" i="11" s="1"/>
  <c r="X15" i="11"/>
  <c r="X14" i="11" s="1"/>
  <c r="X16" i="11"/>
  <c r="AJ18" i="11"/>
  <c r="S18" i="11"/>
  <c r="AC16" i="11"/>
  <c r="AC15" i="11"/>
  <c r="AC14" i="11" s="1"/>
  <c r="AL15" i="11"/>
  <c r="AL14" i="11" s="1"/>
  <c r="AL16" i="11"/>
  <c r="S16" i="11"/>
  <c r="S15" i="11"/>
  <c r="S14" i="11" s="1"/>
  <c r="P16" i="11"/>
  <c r="L8" i="11" s="1"/>
  <c r="P15" i="11"/>
  <c r="P14" i="11" s="1"/>
  <c r="AA18" i="11"/>
  <c r="Y15" i="11"/>
  <c r="Y14" i="11" s="1"/>
  <c r="Y16" i="11"/>
  <c r="AG18" i="11"/>
  <c r="AE16" i="11"/>
  <c r="AE15" i="11"/>
  <c r="AE14" i="11" s="1"/>
  <c r="V15" i="11"/>
  <c r="V14" i="11" s="1"/>
  <c r="V16" i="11"/>
  <c r="T16" i="11"/>
  <c r="T15" i="11"/>
  <c r="T14" i="11" s="1"/>
  <c r="Y18" i="11"/>
  <c r="AG15" i="11"/>
  <c r="AG14" i="11" s="1"/>
  <c r="AG16" i="11"/>
  <c r="AJ16" i="11"/>
  <c r="AJ15" i="11"/>
  <c r="AJ14" i="11" s="1"/>
  <c r="AA15" i="11"/>
  <c r="AA14" i="11" s="1"/>
  <c r="AA16" i="11"/>
  <c r="Q16" i="11"/>
  <c r="Q15" i="11"/>
  <c r="Q14" i="11" s="1"/>
  <c r="AB18" i="11"/>
  <c r="AD18" i="11"/>
  <c r="W18" i="11"/>
  <c r="AK18" i="11"/>
  <c r="AD16" i="11"/>
  <c r="AD15" i="11"/>
  <c r="AD14" i="11" s="1"/>
  <c r="AF16" i="11"/>
  <c r="AF15" i="11"/>
  <c r="AF14" i="11" s="1"/>
  <c r="W16" i="11"/>
  <c r="W15" i="11"/>
  <c r="W14" i="11" s="1"/>
  <c r="AK15" i="11"/>
  <c r="AK14" i="11" s="1"/>
  <c r="AK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Caixa</author>
  </authors>
  <commentList>
    <comment ref="D4" authorId="0" shapeId="0" xr:uid="{00000000-0006-0000-0100-000001000000}">
      <text>
        <r>
          <rPr>
            <sz val="9"/>
            <color indexed="81"/>
            <rFont val="Arial"/>
            <family val="2"/>
          </rPr>
          <t>Informar fonte de consulta de  valor do insumo.
Exemplo: SINAPI, FIPE, cotação.</t>
        </r>
      </text>
    </comment>
    <comment ref="F4" authorId="0" shapeId="0" xr:uid="{00000000-0006-0000-0100-000002000000}">
      <text>
        <r>
          <rPr>
            <sz val="9"/>
            <color indexed="81"/>
            <rFont val="Arial"/>
            <family val="2"/>
          </rPr>
          <t xml:space="preserve">Informar unidade de medida do insumo descrito.
Exemplo: mês,hora, diária, caixa e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Lenz Leite</author>
  </authors>
  <commentList>
    <comment ref="U10" authorId="0" shapeId="0" xr:uid="{00000000-0006-0000-0400-000001000000}">
      <text>
        <r>
          <rPr>
            <sz val="9"/>
            <color indexed="81"/>
            <rFont val="Segoe UI"/>
            <family val="2"/>
          </rPr>
          <t>Escolha entre "Aceito" e "Não Aceito".
Para insumos não aceitos, detalhar motivo no campo observações.</t>
        </r>
      </text>
    </comment>
    <comment ref="Q18" authorId="0" shapeId="0" xr:uid="{00000000-0006-0000-0400-000002000000}">
      <text>
        <r>
          <rPr>
            <sz val="9"/>
            <color indexed="81"/>
            <rFont val="Segoe UI"/>
            <family val="2"/>
          </rPr>
          <t>Escolha na célula abaixo se APS ou Credenciado</t>
        </r>
      </text>
    </comment>
  </commentList>
</comments>
</file>

<file path=xl/sharedStrings.xml><?xml version="1.0" encoding="utf-8"?>
<sst xmlns="http://schemas.openxmlformats.org/spreadsheetml/2006/main" count="1870" uniqueCount="292">
  <si>
    <t>2.2 Na Versão Excel 2007 ou superior, selecione na Faixa de Opções: Arquivo --&gt; Opções --&gt; Central de Confiabilidade --&gt; Configurações da Central de Confiabilidade --&gt; Configurações de Macro --&gt; Habilitar todas as Macros --&gt; Clique em OK --&gt; Feche e abra o excel novamente para utilizar a Planilha.</t>
  </si>
  <si>
    <t>Nível</t>
  </si>
  <si>
    <t>Código</t>
  </si>
  <si>
    <t>Preço Total
(R$)</t>
  </si>
  <si>
    <t>4.1. na Aba DADOS</t>
  </si>
  <si>
    <t>DATA INÍCIO</t>
  </si>
  <si>
    <t>DATA BASE</t>
  </si>
  <si>
    <t>Acumulado (R$)</t>
  </si>
  <si>
    <t>Observações:</t>
  </si>
  <si>
    <t xml:space="preserve">    CFF -</t>
  </si>
  <si>
    <r>
      <t xml:space="preserve">2. Para funcionamento pleno desse arquivo, a </t>
    </r>
    <r>
      <rPr>
        <b/>
        <sz val="10"/>
        <rFont val="Arial"/>
        <family val="2"/>
      </rPr>
      <t>Segurança de Macros do Excel deve ser habilitada</t>
    </r>
    <r>
      <rPr>
        <sz val="10"/>
        <rFont val="Arial"/>
        <family val="2"/>
      </rPr>
      <t>.</t>
    </r>
  </si>
  <si>
    <r>
      <t xml:space="preserve">3. O Preenchimento deve ser feito somente nas </t>
    </r>
    <r>
      <rPr>
        <b/>
        <sz val="10"/>
        <rFont val="Arial"/>
        <family val="2"/>
      </rPr>
      <t>células em amarelo</t>
    </r>
    <r>
      <rPr>
        <sz val="10"/>
        <rFont val="Arial"/>
        <family val="2"/>
      </rPr>
      <t>. As outras células são de preenchimento Automático.</t>
    </r>
  </si>
  <si>
    <t>Responsável Técnico</t>
  </si>
  <si>
    <t>Cargo:</t>
  </si>
  <si>
    <t/>
  </si>
  <si>
    <t>N1</t>
  </si>
  <si>
    <t>N2</t>
  </si>
  <si>
    <t>CRONOGRAMA FÍSICO-FINANCEIRO</t>
  </si>
  <si>
    <t>Local</t>
  </si>
  <si>
    <t>Data</t>
  </si>
  <si>
    <t>Concatenação Fonte-Código</t>
  </si>
  <si>
    <t>Altura</t>
  </si>
  <si>
    <t>Czero</t>
  </si>
  <si>
    <t>Cnível</t>
  </si>
  <si>
    <t>Nmax</t>
  </si>
  <si>
    <t>N3</t>
  </si>
  <si>
    <t>N4</t>
  </si>
  <si>
    <t>Último Nível</t>
  </si>
  <si>
    <t>BancoRef</t>
  </si>
  <si>
    <t>Insumo</t>
  </si>
  <si>
    <t>Valores Totais (R$)</t>
  </si>
  <si>
    <t>Nome:</t>
  </si>
  <si>
    <t>Descrição</t>
  </si>
  <si>
    <t>Parcela (%)</t>
  </si>
  <si>
    <t>Parcela (R$)</t>
  </si>
  <si>
    <t>Acumulado (%)</t>
  </si>
  <si>
    <t>Fonte</t>
  </si>
  <si>
    <t>Item</t>
  </si>
  <si>
    <t>Quantidade</t>
  </si>
  <si>
    <t>Unidade</t>
  </si>
  <si>
    <t>Preço Unitário (R$)</t>
  </si>
  <si>
    <t>n1</t>
  </si>
  <si>
    <t>n2</t>
  </si>
  <si>
    <t>n3</t>
  </si>
  <si>
    <t>n4</t>
  </si>
  <si>
    <t>n5</t>
  </si>
  <si>
    <t>LOTE</t>
  </si>
  <si>
    <t>Tipo</t>
  </si>
  <si>
    <t>Lista Crono</t>
  </si>
  <si>
    <t>Grau de Sigilo</t>
  </si>
  <si>
    <t>#PUBLICO</t>
  </si>
  <si>
    <t>PO - PLANILHA ORÇAMENTÁRIA</t>
  </si>
  <si>
    <t>INSTRUÇÕES DE USO E PREENCHIMENTO</t>
  </si>
  <si>
    <t>2.1  Na Versão Excel 2003, selecione na Faixa de Opções: Ferramentas --&gt; Macro --&gt; Segurança --&gt; Na aba Nível de Segurança selecione a Opção "Baixo" --&gt; Clique em OK --&gt; Feche e abra o Excel novamente para utilizar a Planilha.</t>
  </si>
  <si>
    <t>4. Ordem de Preenchimento</t>
  </si>
  <si>
    <t>PROGRAMA</t>
  </si>
  <si>
    <t>PROPONENTE / TOMADOR</t>
  </si>
  <si>
    <t>MUNICÍPIO / UF</t>
  </si>
  <si>
    <t>Nível Máx Crono</t>
  </si>
  <si>
    <t>Nº OPERAÇÃO</t>
  </si>
  <si>
    <t>VTOTAL SOMA</t>
  </si>
  <si>
    <r>
      <t xml:space="preserve">1. Este documento somente pode ser utilizado nas versões do </t>
    </r>
    <r>
      <rPr>
        <b/>
        <sz val="10"/>
        <rFont val="Arial"/>
        <family val="2"/>
      </rPr>
      <t>Excel 2003 ou superior</t>
    </r>
    <r>
      <rPr>
        <sz val="10"/>
        <rFont val="Arial"/>
        <family val="2"/>
      </rPr>
      <t xml:space="preserve">. Não deve ser utilizado versões do BROffice. O Documento deve ser salvo </t>
    </r>
    <r>
      <rPr>
        <b/>
        <sz val="10"/>
        <rFont val="Arial"/>
        <family val="2"/>
      </rPr>
      <t>SOMENTE</t>
    </r>
    <r>
      <rPr>
        <sz val="10"/>
        <rFont val="Arial"/>
        <family val="2"/>
      </rPr>
      <t xml:space="preserve"> em extensão habilitada para macros </t>
    </r>
    <r>
      <rPr>
        <b/>
        <sz val="10"/>
        <rFont val="Arial"/>
        <family val="2"/>
      </rPr>
      <t xml:space="preserve">(.xls ou .xlsm). </t>
    </r>
    <r>
      <rPr>
        <sz val="10"/>
        <rFont val="Arial"/>
        <family val="2"/>
      </rPr>
      <t xml:space="preserve">Se o documento for salvo na extensão </t>
    </r>
    <r>
      <rPr>
        <b/>
        <sz val="10"/>
        <rFont val="Arial"/>
        <family val="2"/>
      </rPr>
      <t>.xlsx</t>
    </r>
    <r>
      <rPr>
        <sz val="10"/>
        <rFont val="Arial"/>
        <family val="2"/>
      </rPr>
      <t xml:space="preserve">, o arquivo será </t>
    </r>
    <r>
      <rPr>
        <b/>
        <sz val="10"/>
        <rFont val="Arial"/>
        <family val="2"/>
      </rPr>
      <t>INUTILIZADO.</t>
    </r>
    <r>
      <rPr>
        <sz val="10"/>
        <rFont val="Arial"/>
        <family val="2"/>
      </rPr>
      <t xml:space="preserve"> </t>
    </r>
  </si>
  <si>
    <t>DI 1</t>
  </si>
  <si>
    <t>DI 2</t>
  </si>
  <si>
    <t>DI 3</t>
  </si>
  <si>
    <t>DI 4</t>
  </si>
  <si>
    <t>DI 5</t>
  </si>
  <si>
    <t>Ação</t>
  </si>
  <si>
    <t>AtivNível 1</t>
  </si>
  <si>
    <t>AtivNível 2</t>
  </si>
  <si>
    <t>AtivNível 3</t>
  </si>
  <si>
    <t>Descrição das Atividades</t>
  </si>
  <si>
    <t>TOTAL</t>
  </si>
  <si>
    <t>TIPO</t>
  </si>
  <si>
    <t>CÓDIGO</t>
  </si>
  <si>
    <t>FONTE</t>
  </si>
  <si>
    <t>UNIDADE</t>
  </si>
  <si>
    <t>CUSTO</t>
  </si>
  <si>
    <t>Rec. Humanos</t>
  </si>
  <si>
    <t>Rec. Materiais</t>
  </si>
  <si>
    <t>Serv. Terc.</t>
  </si>
  <si>
    <t>Representante do Proponente</t>
  </si>
  <si>
    <t>DI
(%)</t>
  </si>
  <si>
    <t>DESCRIÇÃO</t>
  </si>
  <si>
    <t>OBJETO DO CONTRATO</t>
  </si>
  <si>
    <t>OBJETO DO TRABALHO SOCIAL</t>
  </si>
  <si>
    <t>Linha Orç</t>
  </si>
  <si>
    <t>Valor DI</t>
  </si>
  <si>
    <t>Primeira linha</t>
  </si>
  <si>
    <t>Qtde Agrupada</t>
  </si>
  <si>
    <t>Custo Unitário (R$)</t>
  </si>
  <si>
    <t>Peso Agrupado</t>
  </si>
  <si>
    <t>Peso Acum.</t>
  </si>
  <si>
    <t>Significativo</t>
  </si>
  <si>
    <t>Orçamento</t>
  </si>
  <si>
    <t>Curva ABC</t>
  </si>
  <si>
    <t>Todos</t>
  </si>
  <si>
    <t>Significativos</t>
  </si>
  <si>
    <t>Preço Total (R$)</t>
  </si>
  <si>
    <t>Análise:</t>
  </si>
  <si>
    <t>Total:</t>
  </si>
  <si>
    <t>EXECUTOR DO TRABALHO SOCIAL</t>
  </si>
  <si>
    <t>(NÃO IMPRIMIR ESTA ABA)</t>
  </si>
  <si>
    <t>4.1.1. Preencha os dados abaixo:</t>
  </si>
  <si>
    <t>4.2. na Aba Insumos:</t>
  </si>
  <si>
    <t>4.2.1. Os insumos serão divididos em Recursos Humanos / Recursos Materiais / Serviços Terceiros.</t>
  </si>
  <si>
    <t>4.2.2. A aba insumos vem com uma linha de cada insumo, sendo possível adicionar mais através dos botões no cabeçalho</t>
  </si>
  <si>
    <t>4.2.2.1. Escolha o tipo de insumo a ser adicionado e clique em adicionar, uma nova linha aparecerá na tabela.</t>
  </si>
  <si>
    <t>4.2.2.2. A ordem dos itens nesta etapa não é importante.</t>
  </si>
  <si>
    <t>4.2.3. Cadastre todos os insumos pertinentes ao orçamento.</t>
  </si>
  <si>
    <r>
      <rPr>
        <sz val="10"/>
        <rFont val="Calibri"/>
        <family val="2"/>
      </rPr>
      <t xml:space="preserve">└  </t>
    </r>
    <r>
      <rPr>
        <sz val="10"/>
        <rFont val="Arial"/>
        <family val="2"/>
      </rPr>
      <t>Ativ. Nível 1</t>
    </r>
  </si>
  <si>
    <r>
      <rPr>
        <sz val="10"/>
        <rFont val="Calibri"/>
        <family val="2"/>
      </rPr>
      <t xml:space="preserve">└  </t>
    </r>
    <r>
      <rPr>
        <sz val="10"/>
        <rFont val="Arial"/>
        <family val="2"/>
      </rPr>
      <t>Ativ. Nível 2</t>
    </r>
  </si>
  <si>
    <r>
      <rPr>
        <sz val="10"/>
        <rFont val="Calibri"/>
        <family val="2"/>
      </rPr>
      <t xml:space="preserve">└  </t>
    </r>
    <r>
      <rPr>
        <sz val="10"/>
        <rFont val="Arial"/>
        <family val="2"/>
      </rPr>
      <t>Ativ. Nível 3</t>
    </r>
  </si>
  <si>
    <t>CRONOGRAMA GLOBAL</t>
  </si>
  <si>
    <r>
      <rPr>
        <b/>
        <sz val="20"/>
        <color indexed="8"/>
        <rFont val="Arial"/>
        <family val="2"/>
      </rPr>
      <t>Banco de Insumos</t>
    </r>
    <r>
      <rPr>
        <b/>
        <sz val="10"/>
        <color indexed="8"/>
        <rFont val="Arial"/>
        <family val="2"/>
      </rPr>
      <t xml:space="preserve">
</t>
    </r>
    <r>
      <rPr>
        <sz val="10"/>
        <color indexed="8"/>
        <rFont val="Arial"/>
        <family val="2"/>
      </rPr>
      <t>(Esta aba não precisa ser impressa)</t>
    </r>
  </si>
  <si>
    <t>Análise</t>
  </si>
  <si>
    <t>ANEXO - ANÁLISE PLANILHA ORÇAMENTÁRIA</t>
  </si>
  <si>
    <t>CURVA ABC</t>
  </si>
  <si>
    <t>Assistente de Projetos Sociais - Técnico Social / Caixa</t>
  </si>
  <si>
    <t>#CONFIDENCIAL 05</t>
  </si>
  <si>
    <t>TRABALHO SOCIAL: PO - Planilha Orçamentária / CFF - Cronograma Físico Financeiro</t>
  </si>
  <si>
    <t>Local e Data</t>
  </si>
  <si>
    <t>TRABALHO SOCIAL</t>
  </si>
  <si>
    <t>TS -</t>
  </si>
  <si>
    <t>TS - TRABALHO SOCIAL</t>
  </si>
  <si>
    <t>REGIME DE EXECUÇÃO DO TS</t>
  </si>
  <si>
    <t>NOME:</t>
  </si>
  <si>
    <t>CARGO:</t>
  </si>
  <si>
    <t>RESPONSÁVEL TÉCNICO</t>
  </si>
  <si>
    <t>REPRESENTANTE DO PROPONENTE</t>
  </si>
  <si>
    <t>4.3. na Aba PO (Planilha Orçamentária):</t>
  </si>
  <si>
    <t>4.3.1. O orçamento segue uma estrutura de níveis, que agrupa os insumos e totaliza seus valores:</t>
  </si>
  <si>
    <t>4.3.2. Os insumos podem estar dentro de qualquer nível.</t>
  </si>
  <si>
    <t>4.3.3. A primeira linha do orçamento já vem inserida, pois é obrigatório iniciar com o maior nível: Ação.</t>
  </si>
  <si>
    <t>4.3.3.1. Deve ser preenchido o nome da primeira ação diretamente na linha do orçamento.</t>
  </si>
  <si>
    <t>4.3.4. A inclusão das demais linhas no orçamento pode ser feita clicando-se no botão "Editar Planilha" ou através do atalho de teclado CTRL + i</t>
  </si>
  <si>
    <t>4.3.4.1. A janela que se abre ao editar planilha possui 3 abas que permitem adicionar Insumo, adicionar Nível (ver 4.3.1) ou Reorganizar a planilha orçamentária.</t>
  </si>
  <si>
    <t>4.3.4.2. Na aba adicionar insumo, é possível digitar no campo "Pesquisa" para encontrar o insumo na lista de insumos cadastrados. Pode-se apertar "Enter" duas vezes quando o insumo for o primeiro da lista de resultados, ou selecionar o insumo na lista e clicar em "Adicionar". Por padrão o insumo é inserido na linha abaixo da célula selecionada antes de abrir a janela Editar, mas pode ser mudado alterando o campo "Depois da Linha".</t>
  </si>
  <si>
    <t>4.3.4.2. Na aba adicionar nível, deve-se especificar o nível a ser adicionado (ver 4.3.1), sua descrição e a posição de inserção. Por padrão o nível é inserido na linha abaixo da célula selecionada ao abrir a janela Editar.</t>
  </si>
  <si>
    <t>4.3.4.3. Na aba reorganizar, é possível excluir, mover ou copiar linhas do orçamento.</t>
  </si>
  <si>
    <t>4.3.5. Depois de incluído o insumo, é possível entrar a quantidade diretamente na planilha orçamentária.</t>
  </si>
  <si>
    <t>4.3.6. Por padrão os insumos adotam a composição de Despesa Indireta 1. Na coluna "DI" é possível escolher outra composição ou entrar diretamente com o valor da DI para aquele insumo.</t>
  </si>
  <si>
    <t>4.3.7. As colunas NÍVEL, FONTE, TIPO, CÓDIGO, DESCRIÇÃO, UNIDADE e CUSTO UNITÁRIO são trazidas da aba INSUMOS ou da informação cadastrada ao adicionar a linha.</t>
  </si>
  <si>
    <t>4.3.8. As colunas QUANTIDADE e DI são entradas pelo usuário diretamente na PO.</t>
  </si>
  <si>
    <t>4.3.9. As colunas ITEM, PREÇO UNITÁRIO, PREÇO TOTAL são calculadas automaticamente.</t>
  </si>
  <si>
    <t>4.4. na Aba CFF (Cronograma Físico-Financeiro):</t>
  </si>
  <si>
    <t>4.4.1. Preencha a data de início do TS na aba Dados.</t>
  </si>
  <si>
    <t>4.4.2. Preencha as porcentagens previstas por parcela para cada ação/meta ou atividade.</t>
  </si>
  <si>
    <t>4.4.3. Para atualizar o Cronograma conforme o Orçamento e incluir ou excluir parcelas, utilize o botão EDITAR / ATUALIZAR CRONOGRAMA.</t>
  </si>
  <si>
    <t>CRESS</t>
  </si>
  <si>
    <t>RT</t>
  </si>
  <si>
    <t>Assistente Social</t>
  </si>
  <si>
    <t>Administrativo</t>
  </si>
  <si>
    <t>Estagiarios</t>
  </si>
  <si>
    <t>hora</t>
  </si>
  <si>
    <t>mensal</t>
  </si>
  <si>
    <t>Papel A4 (Internatonal Paper) 500 folhas</t>
  </si>
  <si>
    <t>resma</t>
  </si>
  <si>
    <t>Cartucho Preto (Maxprint  cod 46506)</t>
  </si>
  <si>
    <t>unidade</t>
  </si>
  <si>
    <t>Cartucho Colorido (Maxprint) cod 46204, 46505,46503) cada</t>
  </si>
  <si>
    <t>Pincel chato n 16 amarelo 8815-16 tigre</t>
  </si>
  <si>
    <t>Bola de isopor de 50mm isorecot</t>
  </si>
  <si>
    <t>metro</t>
  </si>
  <si>
    <t>TNT 1,40x1 Ouro Branco</t>
  </si>
  <si>
    <t>Pistola Cola Quente Jocar 10 W</t>
  </si>
  <si>
    <t>Refil de cola quente - fian transparente Rhamos e Brito</t>
  </si>
  <si>
    <t>Papel cartão fosco 50x70 240gr branco spiral</t>
  </si>
  <si>
    <t>Pincel Atômico preto 1100 -P Pilot</t>
  </si>
  <si>
    <t>caixa</t>
  </si>
  <si>
    <t>Lapis de cor 12 cores 1201122N Faber Castell</t>
  </si>
  <si>
    <t>Giz de cera cores gizão 09111 Acrilex</t>
  </si>
  <si>
    <t>Copo de agua 300 ml Lebrinha/Brunado</t>
  </si>
  <si>
    <t>Fotocopia preto e branco</t>
  </si>
  <si>
    <t>Caixa de caneta Esferografica 1.0mm Cristal Azul Bic cx 50</t>
  </si>
  <si>
    <t>Prancheta poliepropileno transparente oficio cristal Waleu</t>
  </si>
  <si>
    <t>Pasta simples polipropileno 350x235mm transparente  A02 Plascony</t>
  </si>
  <si>
    <t>Barbante pequeno 6 fios 85% algodão c/101 mts Euroroma</t>
  </si>
  <si>
    <t xml:space="preserve">Placa de EPS (ísopor) 30mm Isorecort </t>
  </si>
  <si>
    <t xml:space="preserve">Tesoura uso geral 21cm 160/8N Mundial </t>
  </si>
  <si>
    <t xml:space="preserve">Fita p/ demarcação área 70mmx200m zebrada preto/amarelo Adelbras </t>
  </si>
  <si>
    <t xml:space="preserve">Massa p/modelar 180g c/12 cores soft 07312 Acrilex </t>
  </si>
  <si>
    <t>Papel micro ondulado Total Kraft</t>
  </si>
  <si>
    <t xml:space="preserve">Cracha horizontal transparente presilha fixa 70x100mm 232 Plastpark </t>
  </si>
  <si>
    <t xml:space="preserve">Saco plástico PP A4 4 furos 0,10mm A410-50 Spiral </t>
  </si>
  <si>
    <t xml:space="preserve">Lapis preto n.2 redondo HT Happy-time </t>
  </si>
  <si>
    <t xml:space="preserve">Papel laminado 45x59 sortidos 567541 Cromus </t>
  </si>
  <si>
    <t xml:space="preserve">Garrafa squeeze Splash 700ml azul A0501 Fresko </t>
  </si>
  <si>
    <t xml:space="preserve">Estojo completo c/ 18 itens Caveirinhas 182212RX Faber Castell </t>
  </si>
  <si>
    <t>Salgado</t>
  </si>
  <si>
    <t>cento</t>
  </si>
  <si>
    <t>Som (2 caixas de som, 2 microfones, mesa de som, cabos)</t>
  </si>
  <si>
    <t xml:space="preserve">Impressão Colorida 1 folha </t>
  </si>
  <si>
    <t>Cadeira de Plastico</t>
  </si>
  <si>
    <t>Mesa de plastico</t>
  </si>
  <si>
    <t>Pula pula</t>
  </si>
  <si>
    <t>Tenda 5x5 m2</t>
  </si>
  <si>
    <t>gravação</t>
  </si>
  <si>
    <t>Gravação de spot</t>
  </si>
  <si>
    <t>Carro de som</t>
  </si>
  <si>
    <t>diaria</t>
  </si>
  <si>
    <t>Recreadora infantil</t>
  </si>
  <si>
    <t>Pipoca para 200 pessoas</t>
  </si>
  <si>
    <t>Tablet 9.6 G tela sansung Galaxy</t>
  </si>
  <si>
    <t>Algodão doce para 200 pessoas</t>
  </si>
  <si>
    <t>Coca cola 2 litros</t>
  </si>
  <si>
    <t>Fanta 2 litros</t>
  </si>
  <si>
    <t>Copo descartavel 180 ml pacote com 100 unidade</t>
  </si>
  <si>
    <t>pacote</t>
  </si>
  <si>
    <t>PROGRAMA SANEAMENTO BASICO - MODALIDADE SISTEMA DE ESGOTO SANITARIO - SUB BACIA 02 1 ETAPA</t>
  </si>
  <si>
    <t>PREFEITURA MUNICIPAL DE VARZEA GRANDE</t>
  </si>
  <si>
    <t>MT</t>
  </si>
  <si>
    <t>Administração Indireta</t>
  </si>
  <si>
    <t>URB ASSENT PREC E HABITAÇÕES</t>
  </si>
  <si>
    <t>ELABORAÇÃO DO PROJETO SOCIAL</t>
  </si>
  <si>
    <t>A LICITAR</t>
  </si>
  <si>
    <t>1 MÊS - MOBILIZAÇÃO, ORGANIZAÇÃO E FORTALECIMENTO SOCIAL</t>
  </si>
  <si>
    <t>ATIVIDADE 01 - REUNIÃO COM AS LIDERANÇAS DOS BAIRROS</t>
  </si>
  <si>
    <t>001</t>
  </si>
  <si>
    <t>002</t>
  </si>
  <si>
    <t>003</t>
  </si>
  <si>
    <t>005</t>
  </si>
  <si>
    <t>006</t>
  </si>
  <si>
    <t>017</t>
  </si>
  <si>
    <t>025</t>
  </si>
  <si>
    <t>020</t>
  </si>
  <si>
    <t>022</t>
  </si>
  <si>
    <t>014</t>
  </si>
  <si>
    <t>016</t>
  </si>
  <si>
    <t>018</t>
  </si>
  <si>
    <t>ATIVIDADE 02 - REUNIÃO COMUNITÁRIA - COSTA VERDE</t>
  </si>
  <si>
    <t>004</t>
  </si>
  <si>
    <t>021</t>
  </si>
  <si>
    <t>009</t>
  </si>
  <si>
    <t>012</t>
  </si>
  <si>
    <t>008</t>
  </si>
  <si>
    <t>010</t>
  </si>
  <si>
    <t>011</t>
  </si>
  <si>
    <t>Combustivel</t>
  </si>
  <si>
    <t>litro</t>
  </si>
  <si>
    <t>027</t>
  </si>
  <si>
    <t>015</t>
  </si>
  <si>
    <t>026</t>
  </si>
  <si>
    <t>030</t>
  </si>
  <si>
    <t>2 MÊS - INFORMATIVO E GESTÃO SOCIAL DA INTERVENÇÃO</t>
  </si>
  <si>
    <t>ATIVIDADE 03 - PLANTÃO SOCIAL - COSTA VERDE</t>
  </si>
  <si>
    <t>ATIVIDADE 04 - VISITAS DOMICILIARES - COSTA VERDE</t>
  </si>
  <si>
    <t>028</t>
  </si>
  <si>
    <t>Instrutora de sabao de oleo usado</t>
  </si>
  <si>
    <t>curso</t>
  </si>
  <si>
    <t>Cartolina 150 g 50x66 canario card set Multiverde</t>
  </si>
  <si>
    <t>013</t>
  </si>
  <si>
    <t>023</t>
  </si>
  <si>
    <t>024</t>
  </si>
  <si>
    <t>019</t>
  </si>
  <si>
    <t>Picole de fruta</t>
  </si>
  <si>
    <t>007</t>
  </si>
  <si>
    <t>4 MÊS - GESTÃO SOCIAL  DA INTERVENÇÃO E MOBILIZAÇÃO, ORGANIZAÇÃO E FORTALECIMENTO SOCIAL</t>
  </si>
  <si>
    <t>5 MÊS - INFORMATIVO E GESTÃO SOCIAL DA INTERVENÇÃO</t>
  </si>
  <si>
    <t>6 MêS - EDUCAÇÃO AMBIENTAL E GESTÃO SOCIAL DA INTERVENÇÃO</t>
  </si>
  <si>
    <t>029</t>
  </si>
  <si>
    <t>9 MÊS - GESTÃO SOCIAL DA INTERVENÇÃO</t>
  </si>
  <si>
    <t>10 MÊS - MOBILIZAÇÃO, ORGANIZAÇÃO E FORTALECIMENTO SOCIAL E GESTÃO SOCIAL DA INTERVENÇÃO</t>
  </si>
  <si>
    <t>11 MÊS - GESTÃO SOCIAL DA INTERVENÇÃO</t>
  </si>
  <si>
    <t>12 MÊS - ACOMPANHAMENTO</t>
  </si>
  <si>
    <t>031</t>
  </si>
  <si>
    <t>LUIZ CELSO MORAES DE OLIVEIRA</t>
  </si>
  <si>
    <t xml:space="preserve">SECRETARIO DE VIAÇÃO E OBRAS </t>
  </si>
  <si>
    <t>408.724-88/2013</t>
  </si>
  <si>
    <t>Biólogo</t>
  </si>
  <si>
    <t>3 MES - EDUCAÇÃO AMBIENTAL</t>
  </si>
  <si>
    <t>ATIVIDADE 05 - GINCANA SOBRE O MEIO AMBIENTE</t>
  </si>
  <si>
    <t>ATIVIDADE 06 - VISITAS DOMICILIARES - COSTA VERDE</t>
  </si>
  <si>
    <t>ATIVIDADE 07 - REUNIÃO COMUNITÁRIA - SANTA MARIA</t>
  </si>
  <si>
    <t>ATIVIDADE 08 - PLANTÃO SOCIAL - SANTA MARIA</t>
  </si>
  <si>
    <t>ATIVIDADE 9 - VISITAS INFORMATIVAS - SANTA MARIA</t>
  </si>
  <si>
    <t>ATIVIDADE 10 - GINCANA EDUCATIVA SOBRE MEIO AMBIENTE - SANTA MARIA</t>
  </si>
  <si>
    <t>ATIVIDADE 11 - VISITAS INFORMATIVAS - SANTA MARIA</t>
  </si>
  <si>
    <t>ATIVIDADE 12 - CONFECÇÃO DE SABAO DE OLEO USADO - SANTA MARIA</t>
  </si>
  <si>
    <t>ATIVIDADE 13 - REUNIÃO COMUNITÁRIA - VITORIA REGIA</t>
  </si>
  <si>
    <t>ATIVIDADE 14 - VISITAS INFORMATIVAS - VITORIA REGIA</t>
  </si>
  <si>
    <t>7 MES - DESENVOLVIMENTO SOCIOECONOMICO E MOBILIZAÇÃO, ORGANIZAÇÃO E FORTALECIMENTO SOCIAL</t>
  </si>
  <si>
    <t>8 MES - GESTÃO SOCIAL DA INTERVENÇÃO</t>
  </si>
  <si>
    <t>ATIVIDADE 15 - VISITAS INFORMATIVAS - SÃO JORGE</t>
  </si>
  <si>
    <t>ATIVIDADE 16 - VISITAS INFORMATIVAS - SÃO JOSÉ</t>
  </si>
  <si>
    <t>ATIVIDADE 17 - REUNIÃO COMUNITÁRIA - MONTE CASTELO</t>
  </si>
  <si>
    <t>ATIVIDADE 18 - CONFECÇÃO DE SABAO DE OLEO USADO</t>
  </si>
  <si>
    <t>ATIVIDADE 19 - VISITAS INFORMATIVAS - MONTE CASTELO</t>
  </si>
  <si>
    <t>ATIVIDADE 20 - RELATORIO FINAL</t>
  </si>
  <si>
    <t>Kit de brinquedos</t>
  </si>
  <si>
    <t>ANDRELINA NUNES DA SILVA</t>
  </si>
  <si>
    <t>CORD.ASSITENTE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</si>
</sst>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R$&quot;* #,##0.00_);_(&quot;R$&quot;* \(#,##0.00\);_(&quot;R$&quot;* &quot;-&quot;??_);_(@_)"/>
    <numFmt numFmtId="166" formatCode="[$-416]mmm\-yy;@"/>
    <numFmt numFmtId="167" formatCode="[$-F800]dddd\,\ mmmm\ dd\,\ yyyy"/>
    <numFmt numFmtId="168" formatCode="dd\ &quot;de&quot;\ mmmm\ &quot;de&quot;\ yyyy"/>
    <numFmt numFmtId="169" formatCode="General;General;"/>
    <numFmt numFmtId="170" formatCode="&quot;R$&quot;\ #,##0.00;&quot;R$&quot;\ #,##0.00;"/>
  </numFmts>
  <fonts count="50" x14ac:knownFonts="1">
    <font>
      <sz val="10"/>
      <name val="Arial"/>
    </font>
    <font>
      <sz val="10"/>
      <name val="Arial"/>
      <family val="2"/>
    </font>
    <fon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sz val="14"/>
      <color indexed="9"/>
      <name val="Arial Black"/>
      <family val="2"/>
    </font>
    <font>
      <sz val="8"/>
      <name val="Arial"/>
      <family val="2"/>
    </font>
    <font>
      <b/>
      <sz val="11"/>
      <name val="Arial"/>
      <family val="2"/>
    </font>
    <font>
      <sz val="8"/>
      <color indexed="9"/>
      <name val="Arial"/>
      <family val="2"/>
    </font>
    <font>
      <sz val="10"/>
      <color indexed="9"/>
      <name val="Arial"/>
      <family val="2"/>
    </font>
    <font>
      <sz val="11"/>
      <name val="Arial"/>
      <family val="2"/>
    </font>
    <font>
      <sz val="12"/>
      <name val="Arial"/>
      <family val="2"/>
    </font>
    <font>
      <sz val="14"/>
      <color indexed="9"/>
      <name val="Arial"/>
      <family val="2"/>
    </font>
    <font>
      <sz val="10"/>
      <name val="Arial"/>
      <family val="2"/>
    </font>
    <font>
      <b/>
      <sz val="9"/>
      <name val="Arial"/>
      <family val="2"/>
    </font>
    <font>
      <b/>
      <sz val="10"/>
      <color indexed="23"/>
      <name val="Arial"/>
      <family val="2"/>
    </font>
    <font>
      <sz val="8"/>
      <name val="Arial"/>
      <family val="2"/>
    </font>
    <font>
      <sz val="11"/>
      <name val="Arial"/>
      <family val="2"/>
    </font>
    <font>
      <sz val="10"/>
      <name val="Calibri"/>
      <family val="2"/>
    </font>
    <font>
      <b/>
      <sz val="10"/>
      <color indexed="8"/>
      <name val="Arial"/>
      <family val="2"/>
    </font>
    <font>
      <b/>
      <sz val="10"/>
      <color indexed="8"/>
      <name val="Arial"/>
      <family val="2"/>
    </font>
    <font>
      <sz val="10"/>
      <color indexed="8"/>
      <name val="Arial"/>
      <family val="2"/>
    </font>
    <font>
      <b/>
      <sz val="20"/>
      <color indexed="8"/>
      <name val="Arial"/>
      <family val="2"/>
    </font>
    <font>
      <sz val="10"/>
      <color indexed="8"/>
      <name val="Arial"/>
      <family val="2"/>
    </font>
    <font>
      <b/>
      <sz val="10"/>
      <color indexed="8"/>
      <name val="Arial"/>
      <family val="2"/>
    </font>
    <font>
      <sz val="8"/>
      <name val="Arial"/>
      <family val="2"/>
    </font>
    <font>
      <sz val="9"/>
      <color indexed="81"/>
      <name val="Arial"/>
      <family val="2"/>
    </font>
    <font>
      <sz val="9"/>
      <color indexed="81"/>
      <name val="Segoe UI"/>
      <family val="2"/>
    </font>
    <font>
      <sz val="11"/>
      <color theme="1"/>
      <name val="Calibri"/>
      <family val="2"/>
      <scheme val="minor"/>
    </font>
    <font>
      <sz val="11"/>
      <color rgb="FF000000"/>
      <name val="Calibri"/>
      <family val="2"/>
    </font>
    <font>
      <sz val="8"/>
      <color rgb="FF000000"/>
      <name val="Segoe UI"/>
      <family val="2"/>
    </font>
    <font>
      <sz val="10"/>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indexed="47"/>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8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0" fillId="3"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7" fillId="21" borderId="2" applyNumberFormat="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9" fillId="7" borderId="1" applyNumberFormat="0" applyAlignment="0" applyProtection="0"/>
    <xf numFmtId="0" fontId="3" fillId="0" borderId="0"/>
    <xf numFmtId="0" fontId="14" fillId="0" borderId="0" applyNumberFormat="0" applyFill="0" applyBorder="0" applyAlignment="0" applyProtection="0"/>
    <xf numFmtId="0" fontId="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0" fontId="11" fillId="22" borderId="0" applyNumberFormat="0" applyBorder="0" applyAlignment="0" applyProtection="0"/>
    <xf numFmtId="0" fontId="1" fillId="0" borderId="0"/>
    <xf numFmtId="0" fontId="46" fillId="0" borderId="0"/>
    <xf numFmtId="0" fontId="2" fillId="0" borderId="0"/>
    <xf numFmtId="0" fontId="1" fillId="23" borderId="7" applyNumberFormat="0" applyFont="0" applyAlignment="0" applyProtection="0"/>
    <xf numFmtId="0" fontId="1" fillId="23" borderId="7" applyNumberFormat="0" applyFont="0" applyAlignment="0" applyProtection="0"/>
    <xf numFmtId="0" fontId="12" fillId="20" borderId="8" applyNumberFormat="0" applyAlignment="0" applyProtection="0"/>
    <xf numFmtId="9" fontId="1" fillId="0" borderId="0" applyFont="0" applyFill="0" applyBorder="0" applyAlignment="0" applyProtection="0"/>
    <xf numFmtId="0" fontId="12" fillId="20"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262">
    <xf numFmtId="0" fontId="0" fillId="0" borderId="0" xfId="0"/>
    <xf numFmtId="0" fontId="1" fillId="0" borderId="0" xfId="0" applyFont="1"/>
    <xf numFmtId="0" fontId="20" fillId="0" borderId="0" xfId="0" applyFont="1"/>
    <xf numFmtId="0" fontId="1" fillId="0" borderId="0" xfId="0" applyFont="1" applyAlignment="1">
      <alignment horizontal="center"/>
    </xf>
    <xf numFmtId="0" fontId="0" fillId="0" borderId="0" xfId="0" applyAlignment="1">
      <alignment horizontal="left"/>
    </xf>
    <xf numFmtId="49" fontId="22" fillId="24" borderId="10" xfId="0" applyNumberFormat="1" applyFont="1" applyFill="1" applyBorder="1" applyAlignment="1">
      <alignment horizontal="center" vertical="center"/>
    </xf>
    <xf numFmtId="164" fontId="22" fillId="24" borderId="10" xfId="85" applyFont="1" applyFill="1" applyBorder="1" applyAlignment="1" applyProtection="1">
      <alignment horizontal="center" vertical="center"/>
    </xf>
    <xf numFmtId="10" fontId="22" fillId="24" borderId="10" xfId="74" applyNumberFormat="1" applyFont="1" applyFill="1" applyBorder="1" applyAlignment="1" applyProtection="1">
      <alignment horizontal="center" vertical="center"/>
    </xf>
    <xf numFmtId="0" fontId="1" fillId="0" borderId="0" xfId="0" applyFont="1" applyAlignment="1">
      <alignment wrapText="1"/>
    </xf>
    <xf numFmtId="0" fontId="0" fillId="0" borderId="0" xfId="0" applyAlignment="1">
      <alignment horizontal="left" wrapText="1"/>
    </xf>
    <xf numFmtId="0" fontId="1" fillId="0" borderId="0" xfId="0" applyFont="1" applyAlignment="1">
      <alignment horizontal="left" wrapText="1" indent="2"/>
    </xf>
    <xf numFmtId="0" fontId="0" fillId="0" borderId="0" xfId="0" applyAlignment="1">
      <alignment horizontal="center"/>
    </xf>
    <xf numFmtId="0" fontId="0" fillId="0" borderId="0" xfId="0" applyAlignment="1">
      <alignment horizontal="left" indent="2"/>
    </xf>
    <xf numFmtId="14" fontId="26" fillId="0" borderId="0" xfId="0" applyNumberFormat="1" applyFont="1" applyAlignment="1">
      <alignment vertical="top" wrapText="1"/>
    </xf>
    <xf numFmtId="0" fontId="0" fillId="0" borderId="0" xfId="0" applyProtection="1">
      <protection hidden="1"/>
    </xf>
    <xf numFmtId="0" fontId="1" fillId="0" borderId="0" xfId="0" applyFont="1" applyProtection="1">
      <protection hidden="1"/>
    </xf>
    <xf numFmtId="0" fontId="22" fillId="0" borderId="0" xfId="0" applyFont="1" applyAlignment="1" applyProtection="1">
      <alignment wrapText="1"/>
      <protection hidden="1"/>
    </xf>
    <xf numFmtId="0" fontId="22" fillId="0" borderId="0" xfId="0" applyFont="1" applyAlignment="1" applyProtection="1">
      <alignment horizontal="center" vertical="center"/>
      <protection hidden="1"/>
    </xf>
    <xf numFmtId="0" fontId="2" fillId="0" borderId="0" xfId="0" applyFont="1" applyProtection="1">
      <protection hidden="1"/>
    </xf>
    <xf numFmtId="0" fontId="1" fillId="0" borderId="0" xfId="0" applyFont="1" applyAlignment="1" applyProtection="1">
      <alignment horizontal="center"/>
      <protection hidden="1"/>
    </xf>
    <xf numFmtId="0" fontId="1" fillId="0" borderId="0" xfId="0" applyFont="1" applyAlignment="1">
      <alignment horizontal="left" wrapText="1"/>
    </xf>
    <xf numFmtId="0" fontId="1" fillId="0" borderId="0" xfId="0" applyFont="1" applyAlignment="1">
      <alignment horizontal="left" wrapText="1" indent="1"/>
    </xf>
    <xf numFmtId="0" fontId="22" fillId="0" borderId="0" xfId="0" applyFont="1" applyAlignment="1">
      <alignment horizontal="left" wrapText="1" indent="1"/>
    </xf>
    <xf numFmtId="0" fontId="22" fillId="0" borderId="0" xfId="0" applyFont="1" applyAlignment="1">
      <alignment horizontal="left" indent="1"/>
    </xf>
    <xf numFmtId="0" fontId="22" fillId="0" borderId="11" xfId="0" applyFont="1" applyBorder="1" applyAlignment="1">
      <alignment horizontal="center" vertical="center" wrapText="1"/>
    </xf>
    <xf numFmtId="0" fontId="22" fillId="0" borderId="11" xfId="0" applyFont="1" applyBorder="1" applyAlignment="1">
      <alignment horizontal="center" vertical="center"/>
    </xf>
    <xf numFmtId="0" fontId="22" fillId="24" borderId="11" xfId="0" applyFont="1" applyFill="1" applyBorder="1" applyAlignment="1">
      <alignment horizontal="center" vertical="center"/>
    </xf>
    <xf numFmtId="0" fontId="1" fillId="0" borderId="12" xfId="0" applyFont="1" applyBorder="1" applyAlignment="1">
      <alignment horizontal="center"/>
    </xf>
    <xf numFmtId="0" fontId="22" fillId="0" borderId="13" xfId="0" applyFont="1" applyBorder="1" applyAlignment="1">
      <alignment horizontal="center"/>
    </xf>
    <xf numFmtId="0" fontId="30" fillId="0" borderId="0" xfId="0" applyFont="1" applyAlignment="1">
      <alignment vertical="center"/>
    </xf>
    <xf numFmtId="0" fontId="1" fillId="0" borderId="0" xfId="0" applyFont="1" applyAlignment="1">
      <alignment horizontal="center" vertical="top"/>
    </xf>
    <xf numFmtId="0" fontId="1" fillId="0" borderId="14" xfId="0" applyFont="1" applyBorder="1"/>
    <xf numFmtId="0" fontId="22" fillId="24" borderId="10" xfId="0" applyFont="1" applyFill="1" applyBorder="1" applyAlignment="1">
      <alignment horizontal="center" vertical="center" wrapText="1"/>
    </xf>
    <xf numFmtId="0" fontId="1" fillId="0" borderId="15" xfId="0" applyFont="1" applyBorder="1"/>
    <xf numFmtId="0" fontId="28" fillId="0" borderId="16" xfId="0" applyFont="1" applyBorder="1" applyAlignment="1">
      <alignment horizontal="left" vertical="center"/>
    </xf>
    <xf numFmtId="164" fontId="22" fillId="24" borderId="17" xfId="85" applyFont="1" applyFill="1" applyBorder="1" applyAlignment="1" applyProtection="1">
      <alignment horizontal="center" vertical="center" shrinkToFit="1"/>
    </xf>
    <xf numFmtId="0" fontId="21" fillId="0" borderId="0" xfId="0" applyFont="1" applyAlignment="1">
      <alignment horizontal="left" vertical="center"/>
    </xf>
    <xf numFmtId="0" fontId="29" fillId="0" borderId="0" xfId="0" applyFont="1" applyAlignment="1">
      <alignment horizontal="left" vertical="center"/>
    </xf>
    <xf numFmtId="3" fontId="0" fillId="25" borderId="18" xfId="0" applyNumberFormat="1" applyFill="1" applyBorder="1" applyAlignment="1">
      <alignment horizontal="left"/>
    </xf>
    <xf numFmtId="0" fontId="1" fillId="25" borderId="19" xfId="0" applyFont="1" applyFill="1" applyBorder="1" applyAlignment="1">
      <alignment horizontal="left"/>
    </xf>
    <xf numFmtId="0" fontId="22" fillId="0" borderId="0" xfId="0" applyFont="1"/>
    <xf numFmtId="0" fontId="22" fillId="0" borderId="0" xfId="0" applyFont="1" applyAlignment="1">
      <alignment horizontal="center" vertical="center" wrapText="1"/>
    </xf>
    <xf numFmtId="10" fontId="22" fillId="24" borderId="10" xfId="85" applyNumberFormat="1" applyFont="1" applyFill="1" applyBorder="1" applyAlignment="1" applyProtection="1">
      <alignment horizontal="center" vertical="center"/>
    </xf>
    <xf numFmtId="0" fontId="22" fillId="0" borderId="14" xfId="0" applyFont="1" applyBorder="1"/>
    <xf numFmtId="0" fontId="32" fillId="0" borderId="20" xfId="0" applyFont="1" applyBorder="1" applyAlignment="1">
      <alignment horizontal="center" vertical="center" wrapText="1"/>
    </xf>
    <xf numFmtId="0" fontId="27" fillId="0" borderId="0" xfId="0" applyFont="1" applyAlignment="1">
      <alignment horizontal="center" vertical="center" wrapText="1"/>
    </xf>
    <xf numFmtId="10" fontId="28" fillId="26" borderId="0" xfId="74" applyNumberFormat="1" applyFont="1" applyFill="1" applyBorder="1" applyAlignment="1" applyProtection="1">
      <alignment horizontal="center" vertical="center"/>
      <protection locked="0" hidden="1"/>
    </xf>
    <xf numFmtId="0" fontId="27" fillId="0" borderId="0" xfId="0" applyFont="1" applyAlignment="1">
      <alignment horizontal="center"/>
    </xf>
    <xf numFmtId="0" fontId="25" fillId="0" borderId="21" xfId="0" applyFont="1" applyBorder="1" applyAlignment="1">
      <alignment horizontal="center" vertical="center" wrapText="1"/>
    </xf>
    <xf numFmtId="4" fontId="25" fillId="27" borderId="21" xfId="85" applyNumberFormat="1" applyFont="1" applyFill="1" applyBorder="1" applyAlignment="1" applyProtection="1">
      <alignment horizontal="center" vertical="center" shrinkToFit="1"/>
    </xf>
    <xf numFmtId="10" fontId="25" fillId="28" borderId="0" xfId="74" applyNumberFormat="1" applyFont="1" applyFill="1" applyBorder="1" applyAlignment="1" applyProtection="1">
      <alignment horizontal="center" vertical="center" shrinkToFit="1"/>
    </xf>
    <xf numFmtId="4" fontId="25" fillId="28" borderId="21" xfId="85" applyNumberFormat="1" applyFont="1" applyFill="1" applyBorder="1" applyAlignment="1" applyProtection="1">
      <alignment horizontal="center" vertical="center" shrinkToFit="1"/>
    </xf>
    <xf numFmtId="0" fontId="1" fillId="0" borderId="14" xfId="0" applyFont="1" applyBorder="1" applyAlignment="1">
      <alignment horizontal="center"/>
    </xf>
    <xf numFmtId="0" fontId="22" fillId="27" borderId="19" xfId="0" applyFont="1" applyFill="1" applyBorder="1" applyAlignment="1">
      <alignment horizontal="center" vertical="center"/>
    </xf>
    <xf numFmtId="0" fontId="22" fillId="28" borderId="16" xfId="0" applyFont="1" applyFill="1" applyBorder="1" applyAlignment="1">
      <alignment horizontal="center" vertical="center"/>
    </xf>
    <xf numFmtId="0" fontId="22" fillId="28" borderId="19" xfId="0" applyFont="1" applyFill="1" applyBorder="1" applyAlignment="1">
      <alignment horizontal="center" vertical="center"/>
    </xf>
    <xf numFmtId="0" fontId="0" fillId="26" borderId="11" xfId="0" applyFill="1" applyBorder="1" applyAlignment="1" applyProtection="1">
      <alignment horizontal="center" vertical="center"/>
      <protection locked="0"/>
    </xf>
    <xf numFmtId="0" fontId="32" fillId="0" borderId="0" xfId="0" applyFont="1" applyAlignment="1">
      <alignment horizontal="center" wrapText="1"/>
    </xf>
    <xf numFmtId="0" fontId="33" fillId="24" borderId="22" xfId="0" applyFont="1" applyFill="1" applyBorder="1" applyAlignment="1">
      <alignment horizontal="center" vertical="center" wrapText="1"/>
    </xf>
    <xf numFmtId="0" fontId="1" fillId="0" borderId="0" xfId="0" applyFont="1" applyAlignment="1" applyProtection="1">
      <alignment horizontal="center"/>
      <protection locked="0"/>
    </xf>
    <xf numFmtId="0" fontId="22" fillId="0" borderId="19" xfId="0" applyFont="1" applyBorder="1" applyAlignment="1">
      <alignment horizontal="center" vertical="center" wrapText="1" shrinkToFit="1"/>
    </xf>
    <xf numFmtId="0" fontId="22" fillId="27" borderId="16" xfId="0" applyFont="1" applyFill="1" applyBorder="1" applyAlignment="1">
      <alignment horizontal="center" vertical="center"/>
    </xf>
    <xf numFmtId="10" fontId="28" fillId="0" borderId="0" xfId="74" applyNumberFormat="1" applyFont="1" applyFill="1" applyBorder="1" applyAlignment="1" applyProtection="1">
      <alignment horizontal="center" vertical="center"/>
    </xf>
    <xf numFmtId="4" fontId="28" fillId="0" borderId="0" xfId="74" applyNumberFormat="1" applyFont="1" applyFill="1" applyBorder="1" applyAlignment="1" applyProtection="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Alignment="1">
      <alignment vertical="center"/>
    </xf>
    <xf numFmtId="0" fontId="21" fillId="0" borderId="0" xfId="0" applyFont="1" applyAlignment="1">
      <alignment horizontal="right" vertical="center"/>
    </xf>
    <xf numFmtId="0" fontId="0" fillId="0" borderId="0" xfId="0" applyAlignment="1">
      <alignment horizontal="center" vertical="top"/>
    </xf>
    <xf numFmtId="0" fontId="1" fillId="0" borderId="0" xfId="0" applyFont="1" applyAlignment="1">
      <alignment horizontal="center" wrapText="1"/>
    </xf>
    <xf numFmtId="0" fontId="34" fillId="0" borderId="0" xfId="0" applyFont="1" applyAlignment="1">
      <alignment wrapText="1"/>
    </xf>
    <xf numFmtId="0" fontId="22" fillId="0" borderId="0" xfId="0" applyFont="1" applyAlignment="1">
      <alignment horizontal="center" wrapText="1"/>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0" fontId="25" fillId="0" borderId="23" xfId="0" applyFont="1" applyBorder="1" applyAlignment="1">
      <alignment horizontal="center"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0" fontId="2" fillId="0" borderId="0" xfId="0" applyFont="1"/>
    <xf numFmtId="0" fontId="1" fillId="0" borderId="0" xfId="0" applyFont="1" applyAlignment="1">
      <alignment vertical="top"/>
    </xf>
    <xf numFmtId="0" fontId="22" fillId="0" borderId="0" xfId="0" applyFont="1" applyAlignment="1">
      <alignment vertical="center"/>
    </xf>
    <xf numFmtId="4" fontId="2" fillId="0" borderId="0" xfId="0" applyNumberFormat="1" applyFont="1"/>
    <xf numFmtId="0" fontId="22" fillId="0" borderId="14" xfId="0" applyFont="1" applyBorder="1" applyAlignment="1">
      <alignment horizontal="left" vertical="center"/>
    </xf>
    <xf numFmtId="0" fontId="22" fillId="0" borderId="16" xfId="0" applyFont="1" applyBorder="1" applyAlignment="1">
      <alignment wrapText="1"/>
    </xf>
    <xf numFmtId="0" fontId="0" fillId="0" borderId="16" xfId="0" applyBorder="1"/>
    <xf numFmtId="0" fontId="0" fillId="0" borderId="16" xfId="0" quotePrefix="1" applyBorder="1"/>
    <xf numFmtId="10" fontId="28" fillId="0" borderId="16" xfId="74" applyNumberFormat="1" applyFont="1" applyFill="1" applyBorder="1" applyAlignment="1" applyProtection="1">
      <alignment horizontal="center" vertical="center"/>
    </xf>
    <xf numFmtId="4" fontId="28" fillId="0" borderId="16" xfId="74" applyNumberFormat="1" applyFont="1" applyFill="1" applyBorder="1" applyAlignment="1" applyProtection="1">
      <alignment horizontal="center" vertical="center"/>
    </xf>
    <xf numFmtId="4" fontId="25" fillId="27" borderId="19" xfId="85" applyNumberFormat="1" applyFont="1" applyFill="1" applyBorder="1" applyAlignment="1" applyProtection="1">
      <alignment horizontal="center" vertical="center" shrinkToFit="1"/>
    </xf>
    <xf numFmtId="10" fontId="25" fillId="28" borderId="16" xfId="74" applyNumberFormat="1" applyFont="1" applyFill="1" applyBorder="1" applyAlignment="1" applyProtection="1">
      <alignment horizontal="center" vertical="center" shrinkToFit="1"/>
    </xf>
    <xf numFmtId="4" fontId="25" fillId="28" borderId="19" xfId="85" applyNumberFormat="1" applyFont="1" applyFill="1" applyBorder="1" applyAlignment="1" applyProtection="1">
      <alignment horizontal="center" vertical="center" shrinkToFit="1"/>
    </xf>
    <xf numFmtId="10" fontId="28" fillId="26" borderId="16" xfId="74" applyNumberFormat="1" applyFont="1" applyFill="1" applyBorder="1" applyAlignment="1" applyProtection="1">
      <alignment horizontal="center" vertical="center"/>
      <protection locked="0" hidden="1"/>
    </xf>
    <xf numFmtId="0" fontId="1" fillId="0" borderId="12" xfId="0" applyFont="1" applyBorder="1" applyAlignment="1">
      <alignment horizontal="center" vertical="center"/>
    </xf>
    <xf numFmtId="14" fontId="25" fillId="0" borderId="19" xfId="0" applyNumberFormat="1" applyFont="1" applyBorder="1" applyAlignment="1">
      <alignment horizontal="center" vertical="center" wrapText="1"/>
    </xf>
    <xf numFmtId="0" fontId="1" fillId="0" borderId="24" xfId="0" applyFont="1" applyBorder="1" applyAlignment="1">
      <alignment horizontal="center" vertical="center"/>
    </xf>
    <xf numFmtId="10" fontId="25" fillId="27" borderId="16" xfId="74" applyNumberFormat="1" applyFont="1" applyFill="1" applyBorder="1" applyAlignment="1" applyProtection="1">
      <alignment horizontal="center" vertical="center" shrinkToFit="1"/>
    </xf>
    <xf numFmtId="10" fontId="25" fillId="27" borderId="0" xfId="74" applyNumberFormat="1" applyFont="1" applyFill="1" applyBorder="1" applyAlignment="1" applyProtection="1">
      <alignment horizontal="center" vertical="center" shrinkToFit="1"/>
    </xf>
    <xf numFmtId="4" fontId="28" fillId="0" borderId="15" xfId="74" applyNumberFormat="1" applyFont="1" applyFill="1" applyBorder="1" applyAlignment="1" applyProtection="1">
      <alignment horizontal="center" vertical="center"/>
    </xf>
    <xf numFmtId="0" fontId="1" fillId="0" borderId="25" xfId="0" applyFont="1" applyBorder="1" applyAlignment="1">
      <alignment vertical="center" wrapText="1" shrinkToFit="1"/>
    </xf>
    <xf numFmtId="49" fontId="1" fillId="0" borderId="26" xfId="0" applyNumberFormat="1" applyFont="1" applyBorder="1" applyAlignment="1">
      <alignment vertical="center" wrapText="1"/>
    </xf>
    <xf numFmtId="164" fontId="1" fillId="0" borderId="26" xfId="85" applyFont="1" applyFill="1" applyBorder="1" applyAlignment="1" applyProtection="1">
      <alignment vertical="center" shrinkToFit="1"/>
    </xf>
    <xf numFmtId="164" fontId="1" fillId="0" borderId="26" xfId="85" applyFont="1" applyFill="1" applyBorder="1" applyAlignment="1" applyProtection="1">
      <alignment vertical="center" wrapText="1"/>
    </xf>
    <xf numFmtId="10" fontId="1" fillId="0" borderId="26" xfId="74" applyNumberFormat="1" applyFont="1" applyFill="1" applyBorder="1" applyAlignment="1" applyProtection="1">
      <alignment horizontal="center" vertical="center" wrapText="1"/>
    </xf>
    <xf numFmtId="164" fontId="1" fillId="0" borderId="27" xfId="85" applyFont="1" applyFill="1" applyBorder="1" applyAlignment="1" applyProtection="1">
      <alignment horizontal="center" vertical="center" shrinkToFit="1"/>
    </xf>
    <xf numFmtId="0" fontId="1" fillId="0" borderId="26" xfId="0" applyFont="1" applyBorder="1" applyAlignment="1">
      <alignment horizontal="center" vertical="center" wrapText="1"/>
    </xf>
    <xf numFmtId="0" fontId="2" fillId="0" borderId="0" xfId="70" applyAlignment="1">
      <alignment horizontal="left" vertical="top"/>
    </xf>
    <xf numFmtId="0" fontId="2" fillId="0" borderId="28" xfId="0" applyFont="1" applyBorder="1" applyAlignment="1">
      <alignment vertical="center" wrapText="1"/>
    </xf>
    <xf numFmtId="10" fontId="1" fillId="0" borderId="26" xfId="85" applyNumberFormat="1" applyFont="1" applyFill="1" applyBorder="1" applyAlignment="1" applyProtection="1">
      <alignment vertical="center" shrinkToFit="1"/>
    </xf>
    <xf numFmtId="164" fontId="1" fillId="0" borderId="26" xfId="85" applyFont="1" applyFill="1" applyBorder="1" applyAlignment="1" applyProtection="1">
      <alignment horizontal="center" vertical="center" wrapText="1"/>
      <protection locked="0"/>
    </xf>
    <xf numFmtId="0" fontId="1" fillId="0" borderId="26" xfId="0" applyFont="1" applyBorder="1" applyAlignment="1" applyProtection="1">
      <alignment vertical="center" wrapText="1"/>
      <protection locked="0"/>
    </xf>
    <xf numFmtId="10" fontId="1" fillId="0" borderId="26" xfId="74" applyNumberFormat="1" applyFont="1" applyFill="1" applyBorder="1" applyAlignment="1" applyProtection="1">
      <alignment horizontal="center" vertical="center" wrapText="1"/>
      <protection locked="0"/>
    </xf>
    <xf numFmtId="169" fontId="1" fillId="0" borderId="26" xfId="0" applyNumberFormat="1" applyFont="1" applyBorder="1" applyAlignment="1">
      <alignment vertical="center" wrapText="1"/>
    </xf>
    <xf numFmtId="169" fontId="1" fillId="0" borderId="26"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0" xfId="0" applyFont="1" applyProtection="1">
      <protection locked="0"/>
    </xf>
    <xf numFmtId="0" fontId="0" fillId="0" borderId="0" xfId="0" applyProtection="1">
      <protection locked="0"/>
    </xf>
    <xf numFmtId="10" fontId="0" fillId="0" borderId="0" xfId="74" applyNumberFormat="1" applyFont="1" applyAlignment="1">
      <alignment horizontal="center"/>
    </xf>
    <xf numFmtId="0" fontId="0" fillId="0" borderId="29" xfId="0" applyBorder="1"/>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0" xfId="0" applyFont="1" applyBorder="1" applyAlignment="1">
      <alignment horizontal="center" vertical="center" wrapText="1"/>
    </xf>
    <xf numFmtId="164" fontId="22" fillId="0" borderId="11" xfId="85" applyFont="1" applyBorder="1" applyAlignment="1">
      <alignment vertical="center"/>
    </xf>
    <xf numFmtId="10" fontId="22" fillId="26" borderId="11" xfId="0"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64" fontId="1" fillId="0" borderId="26" xfId="85" applyFont="1" applyFill="1" applyBorder="1" applyAlignment="1" applyProtection="1">
      <alignment horizontal="center" vertical="center" wrapText="1"/>
    </xf>
    <xf numFmtId="0" fontId="38" fillId="0" borderId="11" xfId="69" applyFont="1" applyBorder="1" applyAlignment="1">
      <alignment horizontal="center" vertical="center"/>
    </xf>
    <xf numFmtId="0" fontId="38" fillId="0" borderId="22" xfId="69" applyFont="1" applyBorder="1" applyAlignment="1">
      <alignment horizontal="center" vertical="center"/>
    </xf>
    <xf numFmtId="0" fontId="38" fillId="0" borderId="22" xfId="69" applyFont="1" applyBorder="1" applyAlignment="1">
      <alignment vertical="center" wrapText="1"/>
    </xf>
    <xf numFmtId="0" fontId="38" fillId="0" borderId="17" xfId="69" applyFont="1" applyBorder="1" applyAlignment="1">
      <alignment horizontal="center" vertical="center"/>
    </xf>
    <xf numFmtId="0" fontId="39" fillId="0" borderId="11" xfId="69" applyFont="1" applyBorder="1" applyAlignment="1">
      <alignment horizontal="center" vertical="center"/>
    </xf>
    <xf numFmtId="0" fontId="39" fillId="0" borderId="11" xfId="69" quotePrefix="1" applyFont="1" applyBorder="1" applyAlignment="1">
      <alignment horizontal="center" vertical="center"/>
    </xf>
    <xf numFmtId="49" fontId="39" fillId="26" borderId="22" xfId="69" applyNumberFormat="1" applyFont="1" applyFill="1" applyBorder="1" applyAlignment="1" applyProtection="1">
      <alignment horizontal="center" vertical="center" wrapText="1"/>
      <protection locked="0"/>
    </xf>
    <xf numFmtId="49" fontId="39" fillId="26" borderId="22" xfId="69" applyNumberFormat="1" applyFont="1" applyFill="1" applyBorder="1" applyAlignment="1" applyProtection="1">
      <alignment vertical="center" wrapText="1"/>
      <protection locked="0"/>
    </xf>
    <xf numFmtId="49" fontId="39" fillId="26" borderId="11" xfId="69" applyNumberFormat="1" applyFont="1" applyFill="1" applyBorder="1" applyAlignment="1" applyProtection="1">
      <alignment horizontal="center" vertical="center" wrapText="1"/>
      <protection locked="0"/>
    </xf>
    <xf numFmtId="170" fontId="39" fillId="26" borderId="17" xfId="69" applyNumberFormat="1" applyFont="1" applyFill="1" applyBorder="1" applyAlignment="1" applyProtection="1">
      <alignment horizontal="center" vertical="center" wrapText="1"/>
      <protection locked="0"/>
    </xf>
    <xf numFmtId="0" fontId="41" fillId="0" borderId="0" xfId="69" applyFont="1" applyProtection="1">
      <protection locked="0"/>
    </xf>
    <xf numFmtId="0" fontId="41" fillId="0" borderId="0" xfId="69" applyFont="1"/>
    <xf numFmtId="0" fontId="41" fillId="0" borderId="0" xfId="69" applyFont="1" applyAlignment="1">
      <alignment horizontal="center"/>
    </xf>
    <xf numFmtId="0" fontId="0" fillId="0" borderId="14" xfId="0" applyBorder="1"/>
    <xf numFmtId="0" fontId="0" fillId="0" borderId="14" xfId="0" applyBorder="1" applyAlignment="1">
      <alignment horizontal="center"/>
    </xf>
    <xf numFmtId="169" fontId="0" fillId="0" borderId="32" xfId="0" applyNumberFormat="1" applyBorder="1" applyAlignment="1">
      <alignment wrapText="1"/>
    </xf>
    <xf numFmtId="169" fontId="0" fillId="0" borderId="32" xfId="0" applyNumberFormat="1" applyBorder="1" applyAlignment="1">
      <alignment horizontal="center" wrapText="1"/>
    </xf>
    <xf numFmtId="164" fontId="0" fillId="0" borderId="32" xfId="85" applyFont="1" applyBorder="1" applyAlignment="1">
      <alignment wrapText="1"/>
    </xf>
    <xf numFmtId="10" fontId="0" fillId="0" borderId="32" xfId="74" applyNumberFormat="1" applyFont="1" applyBorder="1" applyAlignment="1">
      <alignment horizontal="center" wrapText="1"/>
    </xf>
    <xf numFmtId="0" fontId="0" fillId="0" borderId="32" xfId="0" applyBorder="1" applyAlignment="1">
      <alignment wrapText="1"/>
    </xf>
    <xf numFmtId="0" fontId="0" fillId="0" borderId="33" xfId="0" applyBorder="1" applyAlignment="1" applyProtection="1">
      <alignment horizontal="center" wrapText="1"/>
      <protection locked="0"/>
    </xf>
    <xf numFmtId="0" fontId="29" fillId="0" borderId="0" xfId="0" applyFont="1"/>
    <xf numFmtId="0" fontId="21" fillId="0" borderId="0" xfId="0" applyFont="1" applyAlignment="1">
      <alignment horizontal="left"/>
    </xf>
    <xf numFmtId="0" fontId="29" fillId="0" borderId="0" xfId="0" applyFont="1" applyAlignment="1">
      <alignment horizontal="center"/>
    </xf>
    <xf numFmtId="0" fontId="29" fillId="0" borderId="0" xfId="0" applyFont="1" applyAlignment="1">
      <alignment horizontal="left"/>
    </xf>
    <xf numFmtId="0" fontId="0" fillId="0" borderId="21" xfId="0" applyBorder="1" applyAlignment="1">
      <alignment horizontal="center"/>
    </xf>
    <xf numFmtId="0" fontId="1" fillId="0" borderId="0" xfId="0" applyFont="1" applyAlignment="1">
      <alignment horizontal="right"/>
    </xf>
    <xf numFmtId="0" fontId="0" fillId="0" borderId="0" xfId="0" applyAlignment="1">
      <alignment horizontal="right"/>
    </xf>
    <xf numFmtId="0" fontId="0" fillId="0" borderId="21" xfId="0" applyBorder="1"/>
    <xf numFmtId="0" fontId="29" fillId="0" borderId="0" xfId="0" applyFont="1" applyAlignment="1">
      <alignment horizontal="right" vertical="center"/>
    </xf>
    <xf numFmtId="10" fontId="0" fillId="0" borderId="13" xfId="74" applyNumberFormat="1" applyFont="1" applyFill="1" applyBorder="1" applyAlignment="1" applyProtection="1">
      <alignment horizontal="center" vertical="top" wrapText="1"/>
      <protection locked="0"/>
    </xf>
    <xf numFmtId="0" fontId="1" fillId="0" borderId="14" xfId="0" applyFont="1" applyBorder="1" applyAlignment="1">
      <alignment horizontal="left" wrapText="1" indent="2"/>
    </xf>
    <xf numFmtId="0" fontId="22" fillId="0" borderId="12" xfId="70" applyFont="1" applyBorder="1" applyAlignment="1">
      <alignment horizontal="center" vertical="top"/>
    </xf>
    <xf numFmtId="10" fontId="31" fillId="0" borderId="13" xfId="74" applyNumberFormat="1" applyFont="1" applyFill="1" applyBorder="1" applyAlignment="1" applyProtection="1">
      <alignment horizontal="center" vertical="top" wrapText="1"/>
      <protection locked="0"/>
    </xf>
    <xf numFmtId="0" fontId="0" fillId="0" borderId="14" xfId="0" applyBorder="1" applyAlignment="1">
      <alignment horizontal="left" indent="2"/>
    </xf>
    <xf numFmtId="0" fontId="32" fillId="0" borderId="16" xfId="70" applyFont="1" applyBorder="1" applyAlignment="1">
      <alignment horizontal="left" vertical="top"/>
    </xf>
    <xf numFmtId="0" fontId="32" fillId="0" borderId="19" xfId="70" applyFont="1" applyBorder="1" applyAlignment="1">
      <alignment horizontal="left" vertical="top"/>
    </xf>
    <xf numFmtId="169" fontId="1" fillId="0" borderId="0" xfId="0" applyNumberFormat="1" applyFont="1" applyAlignment="1">
      <alignment horizontal="left"/>
    </xf>
    <xf numFmtId="169" fontId="0" fillId="0" borderId="0" xfId="0" applyNumberFormat="1" applyAlignment="1">
      <alignment horizontal="left"/>
    </xf>
    <xf numFmtId="49" fontId="1" fillId="0" borderId="0" xfId="0" applyNumberFormat="1" applyFont="1" applyAlignment="1" applyProtection="1">
      <alignment horizontal="left"/>
      <protection locked="0"/>
    </xf>
    <xf numFmtId="49" fontId="1" fillId="0" borderId="15" xfId="0" applyNumberFormat="1" applyFont="1" applyBorder="1" applyAlignment="1" applyProtection="1">
      <alignment horizontal="left"/>
      <protection locked="0"/>
    </xf>
    <xf numFmtId="49" fontId="1" fillId="0" borderId="21" xfId="0" applyNumberFormat="1" applyFont="1" applyBorder="1" applyAlignment="1" applyProtection="1">
      <alignment horizontal="left"/>
      <protection locked="0"/>
    </xf>
    <xf numFmtId="49" fontId="0" fillId="0" borderId="21"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0" fontId="1" fillId="0" borderId="0" xfId="0" applyFont="1" applyAlignment="1">
      <alignment horizontal="left" wrapText="1" indent="2"/>
    </xf>
    <xf numFmtId="0" fontId="1" fillId="0" borderId="0" xfId="0" applyFont="1" applyAlignment="1">
      <alignment horizontal="left" indent="2"/>
    </xf>
    <xf numFmtId="0" fontId="22" fillId="0" borderId="16" xfId="0" applyFont="1" applyBorder="1" applyAlignment="1">
      <alignment horizontal="left"/>
    </xf>
    <xf numFmtId="0" fontId="22" fillId="0" borderId="0" xfId="0" applyFont="1" applyAlignment="1">
      <alignment horizontal="left"/>
    </xf>
    <xf numFmtId="0" fontId="22" fillId="0" borderId="15" xfId="0" applyFont="1" applyBorder="1" applyAlignment="1">
      <alignment horizontal="left"/>
    </xf>
    <xf numFmtId="0" fontId="1" fillId="0" borderId="0" xfId="0" applyFont="1" applyAlignment="1">
      <alignment horizontal="left" wrapText="1" indent="3"/>
    </xf>
    <xf numFmtId="0" fontId="1" fillId="0" borderId="0" xfId="0" applyFont="1" applyAlignment="1">
      <alignment horizontal="left" indent="3"/>
    </xf>
    <xf numFmtId="0" fontId="1" fillId="0" borderId="14" xfId="0" applyFont="1" applyBorder="1" applyAlignment="1">
      <alignment horizontal="center"/>
    </xf>
    <xf numFmtId="0" fontId="0" fillId="0" borderId="14" xfId="0" applyBorder="1" applyAlignment="1">
      <alignment horizontal="center"/>
    </xf>
    <xf numFmtId="0" fontId="22" fillId="0" borderId="0" xfId="0" applyFont="1" applyAlignment="1">
      <alignment horizontal="left" wrapText="1" indent="1"/>
    </xf>
    <xf numFmtId="0" fontId="22" fillId="0" borderId="0" xfId="0" applyFont="1" applyAlignment="1">
      <alignment horizontal="left" indent="1"/>
    </xf>
    <xf numFmtId="0" fontId="21" fillId="25" borderId="14" xfId="0" applyFont="1" applyFill="1" applyBorder="1" applyAlignment="1">
      <alignment horizontal="center" vertical="center" wrapText="1"/>
    </xf>
    <xf numFmtId="0" fontId="21" fillId="25" borderId="36"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35" xfId="0" applyFont="1" applyFill="1" applyBorder="1" applyAlignment="1">
      <alignment horizontal="center" vertical="center" wrapText="1"/>
    </xf>
    <xf numFmtId="0" fontId="22" fillId="0" borderId="16" xfId="70" applyFont="1" applyBorder="1" applyAlignment="1">
      <alignment horizontal="left" vertical="top"/>
    </xf>
    <xf numFmtId="0" fontId="22" fillId="0" borderId="0" xfId="70" applyFont="1" applyAlignment="1">
      <alignment horizontal="left" vertical="top"/>
    </xf>
    <xf numFmtId="0" fontId="22" fillId="0" borderId="15" xfId="70" applyFont="1" applyBorder="1" applyAlignment="1">
      <alignment horizontal="left" vertical="top"/>
    </xf>
    <xf numFmtId="0" fontId="22" fillId="0" borderId="16" xfId="70" applyFont="1" applyBorder="1" applyAlignment="1">
      <alignment vertical="top"/>
    </xf>
    <xf numFmtId="0" fontId="22" fillId="0" borderId="0" xfId="70" applyFont="1" applyAlignment="1">
      <alignment vertical="top"/>
    </xf>
    <xf numFmtId="0" fontId="22" fillId="0" borderId="15" xfId="70" applyFont="1" applyBorder="1" applyAlignment="1">
      <alignment vertical="top"/>
    </xf>
    <xf numFmtId="49" fontId="0" fillId="0" borderId="19"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49" fontId="0" fillId="0" borderId="35" xfId="0" applyNumberFormat="1" applyBorder="1" applyAlignment="1" applyProtection="1">
      <alignment horizontal="left" vertical="top" wrapText="1"/>
      <protection locked="0"/>
    </xf>
    <xf numFmtId="0" fontId="1" fillId="0" borderId="0" xfId="0" applyFont="1" applyAlignment="1">
      <alignment horizontal="center" vertical="center" wrapText="1"/>
    </xf>
    <xf numFmtId="0" fontId="25" fillId="0" borderId="0" xfId="0" applyFont="1" applyAlignment="1">
      <alignment horizontal="center" vertical="center" wrapText="1"/>
    </xf>
    <xf numFmtId="0" fontId="1" fillId="0" borderId="34" xfId="0" applyFont="1" applyBorder="1" applyAlignment="1">
      <alignment horizontal="left" wrapText="1"/>
    </xf>
    <xf numFmtId="0" fontId="1" fillId="0" borderId="0" xfId="0" applyFont="1" applyAlignment="1">
      <alignment horizontal="left" wrapText="1"/>
    </xf>
    <xf numFmtId="49" fontId="1" fillId="0" borderId="19" xfId="0" applyNumberFormat="1" applyFont="1" applyBorder="1" applyAlignment="1" applyProtection="1">
      <alignment horizontal="left" vertical="top" wrapText="1"/>
      <protection locked="0"/>
    </xf>
    <xf numFmtId="49" fontId="1" fillId="0" borderId="21" xfId="0" applyNumberFormat="1" applyFont="1" applyBorder="1" applyAlignment="1" applyProtection="1">
      <alignment horizontal="left" vertical="top" wrapText="1"/>
      <protection locked="0"/>
    </xf>
    <xf numFmtId="49" fontId="1" fillId="0" borderId="35" xfId="0" applyNumberFormat="1" applyFont="1" applyBorder="1" applyAlignment="1" applyProtection="1">
      <alignment horizontal="left" vertical="top" wrapText="1"/>
      <protection locked="0"/>
    </xf>
    <xf numFmtId="0" fontId="0" fillId="0" borderId="0" xfId="0" applyAlignment="1">
      <alignment horizontal="left" indent="2"/>
    </xf>
    <xf numFmtId="0" fontId="0" fillId="0" borderId="0" xfId="0" applyAlignment="1">
      <alignment horizontal="left" indent="3"/>
    </xf>
    <xf numFmtId="0" fontId="1" fillId="0" borderId="0" xfId="0" applyFont="1" applyAlignment="1">
      <alignment horizontal="left" wrapText="1" indent="8"/>
    </xf>
    <xf numFmtId="0" fontId="1" fillId="0" borderId="0" xfId="0" applyFont="1" applyAlignment="1">
      <alignment horizontal="left" indent="8"/>
    </xf>
    <xf numFmtId="0" fontId="1" fillId="0" borderId="0" xfId="0" applyFont="1" applyAlignment="1">
      <alignment horizontal="left" wrapText="1" indent="13"/>
    </xf>
    <xf numFmtId="0" fontId="1" fillId="0" borderId="0" xfId="0" applyFont="1" applyAlignment="1">
      <alignment horizontal="left" indent="13"/>
    </xf>
    <xf numFmtId="0" fontId="1" fillId="0" borderId="0" xfId="0" applyFont="1" applyAlignment="1">
      <alignment horizontal="left" wrapText="1" indent="11"/>
    </xf>
    <xf numFmtId="0" fontId="1" fillId="0" borderId="0" xfId="0" applyFont="1" applyAlignment="1">
      <alignment horizontal="left" indent="11"/>
    </xf>
    <xf numFmtId="0" fontId="1" fillId="0" borderId="0" xfId="0" applyFont="1" applyAlignment="1">
      <alignment horizontal="left" wrapText="1" indent="1"/>
    </xf>
    <xf numFmtId="0" fontId="1" fillId="0" borderId="19" xfId="0" applyFont="1"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22" fillId="0" borderId="34" xfId="0" applyFont="1" applyBorder="1" applyAlignment="1">
      <alignment horizontal="left" wrapText="1"/>
    </xf>
    <xf numFmtId="0" fontId="22" fillId="0" borderId="0" xfId="0" applyFont="1" applyAlignment="1">
      <alignment horizontal="left" wrapText="1"/>
    </xf>
    <xf numFmtId="49" fontId="0" fillId="0" borderId="0" xfId="0" applyNumberFormat="1" applyAlignment="1" applyProtection="1">
      <alignment horizontal="left"/>
      <protection locked="0"/>
    </xf>
    <xf numFmtId="49" fontId="0" fillId="0" borderId="15" xfId="0" applyNumberFormat="1" applyBorder="1" applyAlignment="1" applyProtection="1">
      <alignment horizontal="left"/>
      <protection locked="0"/>
    </xf>
    <xf numFmtId="0" fontId="1" fillId="0" borderId="0" xfId="0" applyFont="1" applyAlignment="1">
      <alignment horizontal="left" wrapText="1" indent="9"/>
    </xf>
    <xf numFmtId="0" fontId="1" fillId="0" borderId="0" xfId="0" applyFont="1" applyAlignment="1">
      <alignment horizontal="left" indent="9"/>
    </xf>
    <xf numFmtId="14" fontId="0" fillId="0" borderId="19" xfId="0" applyNumberFormat="1" applyBorder="1" applyAlignment="1" applyProtection="1">
      <alignment horizontal="center" vertical="top" wrapText="1"/>
      <protection locked="0"/>
    </xf>
    <xf numFmtId="14" fontId="0" fillId="0" borderId="35" xfId="0" applyNumberFormat="1" applyBorder="1" applyAlignment="1" applyProtection="1">
      <alignment horizontal="center" vertical="top" wrapText="1"/>
      <protection locked="0"/>
    </xf>
    <xf numFmtId="0" fontId="1" fillId="0" borderId="19"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35" xfId="0" applyFont="1" applyBorder="1" applyAlignment="1" applyProtection="1">
      <alignment vertical="top" wrapText="1"/>
      <protection locked="0"/>
    </xf>
    <xf numFmtId="166" fontId="0" fillId="0" borderId="19" xfId="0" applyNumberFormat="1" applyBorder="1" applyAlignment="1" applyProtection="1">
      <alignment horizontal="center" vertical="top" wrapText="1"/>
      <protection locked="0"/>
    </xf>
    <xf numFmtId="166" fontId="0" fillId="0" borderId="35" xfId="0" applyNumberFormat="1" applyBorder="1" applyAlignment="1" applyProtection="1">
      <alignment horizontal="center" vertical="top" wrapText="1"/>
      <protection locked="0"/>
    </xf>
    <xf numFmtId="0" fontId="42" fillId="0" borderId="21" xfId="69" applyFont="1" applyBorder="1" applyAlignment="1">
      <alignment horizontal="left" vertical="top" wrapText="1"/>
    </xf>
    <xf numFmtId="0" fontId="28" fillId="26" borderId="16" xfId="0" applyFont="1" applyFill="1" applyBorder="1" applyAlignment="1" applyProtection="1">
      <alignment horizontal="left" wrapText="1"/>
      <protection locked="0"/>
    </xf>
    <xf numFmtId="0" fontId="28" fillId="26" borderId="0" xfId="0" applyFont="1" applyFill="1" applyAlignment="1" applyProtection="1">
      <alignment horizontal="left" wrapText="1"/>
      <protection locked="0"/>
    </xf>
    <xf numFmtId="0" fontId="28" fillId="26" borderId="15" xfId="0" applyFont="1" applyFill="1" applyBorder="1" applyAlignment="1" applyProtection="1">
      <alignment horizontal="left" wrapText="1"/>
      <protection locked="0"/>
    </xf>
    <xf numFmtId="0" fontId="28" fillId="26" borderId="19" xfId="0" applyFont="1" applyFill="1" applyBorder="1" applyAlignment="1" applyProtection="1">
      <alignment horizontal="left" wrapText="1"/>
      <protection locked="0"/>
    </xf>
    <xf numFmtId="0" fontId="28" fillId="26" borderId="21" xfId="0" applyFont="1" applyFill="1" applyBorder="1" applyAlignment="1" applyProtection="1">
      <alignment horizontal="left" wrapText="1"/>
      <protection locked="0"/>
    </xf>
    <xf numFmtId="0" fontId="28" fillId="26" borderId="35" xfId="0" applyFont="1" applyFill="1" applyBorder="1" applyAlignment="1" applyProtection="1">
      <alignment horizontal="left" wrapText="1"/>
      <protection locked="0"/>
    </xf>
    <xf numFmtId="168" fontId="1" fillId="0" borderId="0" xfId="0" applyNumberFormat="1" applyFont="1" applyAlignment="1" applyProtection="1">
      <alignment horizontal="left"/>
      <protection locked="0"/>
    </xf>
    <xf numFmtId="169" fontId="1" fillId="0" borderId="21" xfId="0" applyNumberFormat="1" applyFont="1" applyBorder="1" applyAlignment="1" applyProtection="1">
      <alignment horizontal="left"/>
      <protection locked="0"/>
    </xf>
    <xf numFmtId="167" fontId="1" fillId="0" borderId="0" xfId="0" applyNumberFormat="1" applyFont="1" applyAlignment="1">
      <alignment horizontal="left"/>
    </xf>
    <xf numFmtId="0" fontId="1" fillId="0" borderId="0" xfId="0" applyFont="1" applyAlignment="1">
      <alignment horizontal="left"/>
    </xf>
    <xf numFmtId="0" fontId="28" fillId="29" borderId="37" xfId="0" applyFont="1" applyFill="1" applyBorder="1" applyAlignment="1">
      <alignment horizontal="center" vertical="center" shrinkToFit="1"/>
    </xf>
    <xf numFmtId="0" fontId="28" fillId="29" borderId="16" xfId="0" applyFont="1" applyFill="1" applyBorder="1" applyAlignment="1">
      <alignment horizontal="center" vertical="center" shrinkToFit="1"/>
    </xf>
    <xf numFmtId="0" fontId="28" fillId="29" borderId="38" xfId="0" applyFont="1" applyFill="1" applyBorder="1" applyAlignment="1">
      <alignment horizontal="center" vertical="center" wrapText="1"/>
    </xf>
    <xf numFmtId="0" fontId="28" fillId="29" borderId="15" xfId="0" applyFont="1" applyFill="1" applyBorder="1" applyAlignment="1">
      <alignment horizontal="center" vertical="center" wrapText="1"/>
    </xf>
    <xf numFmtId="4" fontId="28" fillId="29" borderId="39" xfId="0" applyNumberFormat="1" applyFont="1" applyFill="1" applyBorder="1" applyAlignment="1">
      <alignment horizontal="center" vertical="center"/>
    </xf>
    <xf numFmtId="4" fontId="28" fillId="29" borderId="12" xfId="0" applyNumberFormat="1" applyFont="1" applyFill="1" applyBorder="1" applyAlignment="1">
      <alignment horizontal="center" vertical="center"/>
    </xf>
    <xf numFmtId="168" fontId="1" fillId="0" borderId="21" xfId="0" applyNumberFormat="1" applyFont="1" applyBorder="1" applyAlignment="1">
      <alignment horizontal="left" vertical="center"/>
    </xf>
    <xf numFmtId="0" fontId="35" fillId="0" borderId="0" xfId="0" applyFont="1" applyAlignment="1">
      <alignment horizontal="center" vertical="top" wrapText="1"/>
    </xf>
    <xf numFmtId="0" fontId="25" fillId="24" borderId="18"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9" xfId="0" applyFont="1" applyFill="1" applyBorder="1" applyAlignment="1">
      <alignment horizontal="center" vertical="center" wrapText="1"/>
    </xf>
    <xf numFmtId="0" fontId="25" fillId="24" borderId="35" xfId="0" applyFont="1" applyFill="1" applyBorder="1" applyAlignment="1">
      <alignment horizontal="center" vertical="center" wrapText="1"/>
    </xf>
    <xf numFmtId="4" fontId="25" fillId="24" borderId="23" xfId="0" applyNumberFormat="1" applyFont="1" applyFill="1" applyBorder="1" applyAlignment="1">
      <alignment horizontal="center" vertical="center" shrinkToFit="1"/>
    </xf>
    <xf numFmtId="4" fontId="25" fillId="24" borderId="12" xfId="0" applyNumberFormat="1" applyFont="1" applyFill="1" applyBorder="1" applyAlignment="1">
      <alignment horizontal="center" vertical="center" shrinkToFit="1"/>
    </xf>
    <xf numFmtId="4" fontId="25" fillId="24" borderId="13" xfId="0" applyNumberFormat="1" applyFont="1" applyFill="1" applyBorder="1" applyAlignment="1">
      <alignment horizontal="center" vertical="center" shrinkToFit="1"/>
    </xf>
    <xf numFmtId="49" fontId="1" fillId="0" borderId="0" xfId="0" applyNumberFormat="1" applyFont="1" applyAlignment="1">
      <alignment horizontal="left"/>
    </xf>
    <xf numFmtId="169" fontId="1" fillId="0" borderId="21" xfId="0" applyNumberFormat="1" applyFont="1" applyBorder="1" applyAlignment="1" applyProtection="1">
      <alignment horizontal="left" vertical="center"/>
      <protection locked="0"/>
    </xf>
    <xf numFmtId="0" fontId="28" fillId="0" borderId="16" xfId="0" applyFont="1" applyBorder="1" applyAlignment="1">
      <alignment horizontal="left" vertical="center"/>
    </xf>
    <xf numFmtId="0" fontId="28" fillId="0" borderId="0" xfId="0" applyFont="1" applyAlignment="1">
      <alignment horizontal="left" vertical="center"/>
    </xf>
    <xf numFmtId="0" fontId="28" fillId="0" borderId="15" xfId="0" applyFont="1" applyBorder="1" applyAlignment="1">
      <alignment horizontal="left" vertical="center"/>
    </xf>
    <xf numFmtId="0" fontId="1" fillId="26" borderId="21" xfId="0" applyFont="1" applyFill="1" applyBorder="1" applyAlignment="1" applyProtection="1">
      <alignment horizontal="left"/>
      <protection locked="0"/>
    </xf>
    <xf numFmtId="0" fontId="0" fillId="26" borderId="21" xfId="0" applyFill="1" applyBorder="1" applyAlignment="1" applyProtection="1">
      <alignment horizontal="left"/>
      <protection locked="0"/>
    </xf>
    <xf numFmtId="0" fontId="0" fillId="0" borderId="0" xfId="0" applyAlignment="1" applyProtection="1">
      <alignment horizontal="center"/>
      <protection locked="0"/>
    </xf>
    <xf numFmtId="49" fontId="1" fillId="26" borderId="0" xfId="0" applyNumberFormat="1" applyFont="1" applyFill="1" applyProtection="1">
      <protection locked="0"/>
    </xf>
    <xf numFmtId="0" fontId="22" fillId="0" borderId="14" xfId="0" applyFont="1" applyBorder="1" applyAlignment="1">
      <alignment horizontal="left"/>
    </xf>
  </cellXfs>
  <cellStyles count="8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xfId="44" builtinId="26" customBuiltin="1"/>
    <cellStyle name="Calculation" xfId="45" xr:uid="{00000000-0005-0000-0000-00002C000000}"/>
    <cellStyle name="Cálculo" xfId="46" builtinId="22" customBuiltin="1"/>
    <cellStyle name="Célula de Verificação" xfId="47" builtinId="23" customBuiltin="1"/>
    <cellStyle name="Célula Vinculada" xfId="48" builtinId="24" customBuiltin="1"/>
    <cellStyle name="Check Cell" xfId="49" xr:uid="{00000000-0005-0000-0000-000030000000}"/>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cel Built-in Normal" xfId="57" xr:uid="{00000000-0005-0000-0000-000038000000}"/>
    <cellStyle name="Explanatory Text" xfId="58" xr:uid="{00000000-0005-0000-0000-000039000000}"/>
    <cellStyle name="Good"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Moeda 2" xfId="66" xr:uid="{00000000-0005-0000-0000-000041000000}"/>
    <cellStyle name="Neutral" xfId="67" xr:uid="{00000000-0005-0000-0000-000042000000}"/>
    <cellStyle name="Normal" xfId="0" builtinId="0"/>
    <cellStyle name="Normal 2" xfId="68" xr:uid="{00000000-0005-0000-0000-000044000000}"/>
    <cellStyle name="Normal 3" xfId="69" xr:uid="{00000000-0005-0000-0000-000045000000}"/>
    <cellStyle name="Normal_FICHA DE VERIFICAÇÃO PRELIMINAR - Plano R" xfId="70" xr:uid="{00000000-0005-0000-0000-000046000000}"/>
    <cellStyle name="Nota" xfId="71" builtinId="10" customBuiltin="1"/>
    <cellStyle name="Note" xfId="72" xr:uid="{00000000-0005-0000-0000-000048000000}"/>
    <cellStyle name="Output" xfId="73" xr:uid="{00000000-0005-0000-0000-000049000000}"/>
    <cellStyle name="Porcentagem" xfId="74" builtinId="5"/>
    <cellStyle name="Saída" xfId="75" builtinId="21" customBuiltin="1"/>
    <cellStyle name="Texto de Aviso" xfId="76" builtinId="11" customBuiltin="1"/>
    <cellStyle name="Texto Explicativo" xfId="77" builtinId="53" customBuiltin="1"/>
    <cellStyle name="Title" xfId="78" xr:uid="{00000000-0005-0000-0000-00004E000000}"/>
    <cellStyle name="Título" xfId="79" builtinId="15" customBuiltin="1"/>
    <cellStyle name="Título 1" xfId="80" builtinId="16" customBuiltin="1"/>
    <cellStyle name="Título 2" xfId="81" builtinId="17" customBuiltin="1"/>
    <cellStyle name="Título 3" xfId="82" builtinId="18" customBuiltin="1"/>
    <cellStyle name="Título 4" xfId="83" builtinId="19" customBuiltin="1"/>
    <cellStyle name="Total" xfId="84" builtinId="25" customBuiltin="1"/>
    <cellStyle name="Vírgula" xfId="85" builtinId="3"/>
    <cellStyle name="Warning Text" xfId="86" xr:uid="{00000000-0005-0000-0000-000056000000}"/>
  </cellStyles>
  <dxfs count="309">
    <dxf>
      <fill>
        <patternFill patternType="none">
          <bgColor indexed="65"/>
        </patternFill>
      </fill>
    </dxf>
    <dxf>
      <fill>
        <patternFill patternType="none">
          <bgColor indexed="65"/>
        </patternFill>
      </fill>
    </dxf>
    <dxf>
      <fill>
        <patternFill patternType="none">
          <bgColor indexed="65"/>
        </patternFill>
      </fill>
    </dxf>
    <dxf>
      <fill>
        <patternFill>
          <bgColor rgb="FFCCCCFF"/>
        </patternFill>
      </fill>
    </dxf>
    <dxf>
      <fill>
        <patternFill>
          <bgColor rgb="FFFFFF99"/>
        </patternFill>
      </fill>
    </dxf>
    <dxf>
      <font>
        <b/>
        <i val="0"/>
      </font>
      <fill>
        <patternFill>
          <bgColor theme="0" tint="-0.34998626667073579"/>
        </patternFill>
      </fill>
    </dxf>
    <dxf>
      <font>
        <b/>
        <i val="0"/>
      </font>
      <fill>
        <patternFill>
          <bgColor indexed="55"/>
        </patternFill>
      </fill>
      <border>
        <top style="thin">
          <color indexed="64"/>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ont>
        <b/>
        <i val="0"/>
      </font>
      <fill>
        <patternFill>
          <bgColor indexed="55"/>
        </patternFill>
      </fill>
      <border>
        <top style="thin">
          <color indexed="64"/>
        </top>
      </border>
    </dxf>
    <dxf>
      <font>
        <condense val="0"/>
        <extend val="0"/>
        <color indexed="9"/>
      </font>
      <fill>
        <patternFill patternType="none">
          <bgColor indexed="65"/>
        </patternFill>
      </fill>
      <border>
        <left/>
        <right/>
        <top/>
        <bottom/>
      </border>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A$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Drop" dropStyle="combo" dx="22" fmlaLink="$A$3" fmlaRange="ABC!$A$1:$A$2" noThreeD="1" sel="1" val="0"/>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Drop" dropStyle="combo" dx="22" fmlaLink="$A$6" fmlaRange="$A$4:$A$5" noThreeD="1" sel="1" val="0"/>
</file>

<file path=xl/ctrlProps/ctrlProp9.xml><?xml version="1.0" encoding="utf-8"?>
<formControlPr xmlns="http://schemas.microsoft.com/office/spreadsheetml/2009/9/main" objectType="Label" lockText="1"/>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2" Type="http://schemas.openxmlformats.org/officeDocument/2006/relationships/image" Target="../media/image2.emf"/><Relationship Id="rId1" Type="http://schemas.openxmlformats.org/officeDocument/2006/relationships/image" Target="../media/image6.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4.emf"/><Relationship Id="rId7" Type="http://schemas.openxmlformats.org/officeDocument/2006/relationships/image" Target="../media/image17.emf"/><Relationship Id="rId2" Type="http://schemas.openxmlformats.org/officeDocument/2006/relationships/image" Target="../media/image13.emf"/><Relationship Id="rId1" Type="http://schemas.openxmlformats.org/officeDocument/2006/relationships/image" Target="../media/image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 Id="rId9" Type="http://schemas.openxmlformats.org/officeDocument/2006/relationships/image" Target="../media/image19.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514350</xdr:colOff>
          <xdr:row>2</xdr:row>
          <xdr:rowOff>266700</xdr:rowOff>
        </xdr:from>
        <xdr:to>
          <xdr:col>6</xdr:col>
          <xdr:colOff>666750</xdr:colOff>
          <xdr:row>2</xdr:row>
          <xdr:rowOff>504825</xdr:rowOff>
        </xdr:to>
        <xdr:sp macro="" textlink="">
          <xdr:nvSpPr>
            <xdr:cNvPr id="196609" name="Button 1" hidden="1">
              <a:extLst>
                <a:ext uri="{63B3BB69-23CF-44E3-9099-C40C66FF867C}">
                  <a14:compatExt spid="_x0000_s196609"/>
                </a:ext>
                <a:ext uri="{FF2B5EF4-FFF2-40B4-BE49-F238E27FC236}">
                  <a16:creationId xmlns:a16="http://schemas.microsoft.com/office/drawing/2014/main" id="{00000000-0008-0000-0100-0000010003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cs typeface="Calibri"/>
                </a:rPr>
                <a:t>Adicionar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2790825</xdr:colOff>
          <xdr:row>2</xdr:row>
          <xdr:rowOff>266700</xdr:rowOff>
        </xdr:from>
        <xdr:to>
          <xdr:col>4</xdr:col>
          <xdr:colOff>3676650</xdr:colOff>
          <xdr:row>2</xdr:row>
          <xdr:rowOff>523875</xdr:rowOff>
        </xdr:to>
        <xdr:sp macro="" textlink="">
          <xdr:nvSpPr>
            <xdr:cNvPr id="196610" name="Option Button 2" hidden="1">
              <a:extLst>
                <a:ext uri="{63B3BB69-23CF-44E3-9099-C40C66FF867C}">
                  <a14:compatExt spid="_x0000_s196610"/>
                </a:ext>
                <a:ext uri="{FF2B5EF4-FFF2-40B4-BE49-F238E27FC236}">
                  <a16:creationId xmlns:a16="http://schemas.microsoft.com/office/drawing/2014/main" id="{00000000-0008-0000-0100-000002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Humanos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3676650</xdr:colOff>
          <xdr:row>2</xdr:row>
          <xdr:rowOff>266700</xdr:rowOff>
        </xdr:from>
        <xdr:to>
          <xdr:col>4</xdr:col>
          <xdr:colOff>4562475</xdr:colOff>
          <xdr:row>2</xdr:row>
          <xdr:rowOff>514350</xdr:rowOff>
        </xdr:to>
        <xdr:sp macro="" textlink="">
          <xdr:nvSpPr>
            <xdr:cNvPr id="196611" name="Option Button 3" hidden="1">
              <a:extLst>
                <a:ext uri="{63B3BB69-23CF-44E3-9099-C40C66FF867C}">
                  <a14:compatExt spid="_x0000_s196611"/>
                </a:ext>
                <a:ext uri="{FF2B5EF4-FFF2-40B4-BE49-F238E27FC236}">
                  <a16:creationId xmlns:a16="http://schemas.microsoft.com/office/drawing/2014/main" id="{00000000-0008-0000-0100-000003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Materiais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4562475</xdr:colOff>
          <xdr:row>2</xdr:row>
          <xdr:rowOff>266700</xdr:rowOff>
        </xdr:from>
        <xdr:to>
          <xdr:col>5</xdr:col>
          <xdr:colOff>476250</xdr:colOff>
          <xdr:row>2</xdr:row>
          <xdr:rowOff>523875</xdr:rowOff>
        </xdr:to>
        <xdr:sp macro="" textlink="">
          <xdr:nvSpPr>
            <xdr:cNvPr id="196612" name="Option Button 4" hidden="1">
              <a:extLst>
                <a:ext uri="{63B3BB69-23CF-44E3-9099-C40C66FF867C}">
                  <a14:compatExt spid="_x0000_s196612"/>
                </a:ext>
                <a:ext uri="{FF2B5EF4-FFF2-40B4-BE49-F238E27FC236}">
                  <a16:creationId xmlns:a16="http://schemas.microsoft.com/office/drawing/2014/main" id="{00000000-0008-0000-0100-000004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Serv. Terc.</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2686050</xdr:colOff>
          <xdr:row>2</xdr:row>
          <xdr:rowOff>142875</xdr:rowOff>
        </xdr:from>
        <xdr:to>
          <xdr:col>6</xdr:col>
          <xdr:colOff>838200</xdr:colOff>
          <xdr:row>2</xdr:row>
          <xdr:rowOff>590550</xdr:rowOff>
        </xdr:to>
        <xdr:sp macro="" textlink="">
          <xdr:nvSpPr>
            <xdr:cNvPr id="196613" name="Group Box 5" hidden="1">
              <a:extLst>
                <a:ext uri="{63B3BB69-23CF-44E3-9099-C40C66FF867C}">
                  <a14:compatExt spid="_x0000_s196613"/>
                </a:ext>
                <a:ext uri="{FF2B5EF4-FFF2-40B4-BE49-F238E27FC236}">
                  <a16:creationId xmlns:a16="http://schemas.microsoft.com/office/drawing/2014/main" id="{00000000-0008-0000-0100-0000050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Segoe UI"/>
                  <a:cs typeface="Segoe UI"/>
                </a:rPr>
                <a:t>Adicionar Insumo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154781</xdr:colOff>
      <xdr:row>7</xdr:row>
      <xdr:rowOff>11907</xdr:rowOff>
    </xdr:from>
    <xdr:to>
      <xdr:col>14</xdr:col>
      <xdr:colOff>1631156</xdr:colOff>
      <xdr:row>8</xdr:row>
      <xdr:rowOff>264319</xdr:rowOff>
    </xdr:to>
    <xdr:sp macro="[0]!Plan1.editar" textlink="">
      <xdr:nvSpPr>
        <xdr:cNvPr id="5" name="EditarButton">
          <a:extLst>
            <a:ext uri="{FF2B5EF4-FFF2-40B4-BE49-F238E27FC236}">
              <a16:creationId xmlns:a16="http://schemas.microsoft.com/office/drawing/2014/main" id="{00000000-0008-0000-0200-000005000000}"/>
            </a:ext>
          </a:extLst>
        </xdr:cNvPr>
        <xdr:cNvSpPr txBox="1">
          <a:spLocks noChangeArrowheads="1"/>
        </xdr:cNvSpPr>
      </xdr:nvSpPr>
      <xdr:spPr bwMode="auto">
        <a:xfrm>
          <a:off x="4572000" y="1750220"/>
          <a:ext cx="1476375" cy="371474"/>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PLANILHA</a:t>
          </a:r>
        </a:p>
        <a:p>
          <a:pPr algn="ctr" rtl="0">
            <a:defRPr sz="1000"/>
          </a:pPr>
          <a:r>
            <a:rPr lang="pt-BR" sz="900" b="1" i="0" u="none" strike="noStrike" baseline="0">
              <a:solidFill>
                <a:srgbClr val="000000"/>
              </a:solidFill>
              <a:latin typeface="Arial"/>
              <a:cs typeface="Arial"/>
            </a:rPr>
            <a:t>( CTRL + i )</a:t>
          </a:r>
        </a:p>
      </xdr:txBody>
    </xdr:sp>
    <xdr:clientData fPrintsWithSheet="0"/>
  </xdr:twoCellAnchor>
  <xdr:twoCellAnchor>
    <xdr:from>
      <xdr:col>26</xdr:col>
      <xdr:colOff>130969</xdr:colOff>
      <xdr:row>5</xdr:row>
      <xdr:rowOff>178594</xdr:rowOff>
    </xdr:from>
    <xdr:to>
      <xdr:col>28</xdr:col>
      <xdr:colOff>392907</xdr:colOff>
      <xdr:row>6</xdr:row>
      <xdr:rowOff>240506</xdr:rowOff>
    </xdr:to>
    <xdr:sp macro="[0]!AnaliseCAIXA" textlink="">
      <xdr:nvSpPr>
        <xdr:cNvPr id="6" name="EditarButton">
          <a:extLst>
            <a:ext uri="{FF2B5EF4-FFF2-40B4-BE49-F238E27FC236}">
              <a16:creationId xmlns:a16="http://schemas.microsoft.com/office/drawing/2014/main" id="{00000000-0008-0000-0200-000006000000}"/>
            </a:ext>
          </a:extLst>
        </xdr:cNvPr>
        <xdr:cNvSpPr txBox="1">
          <a:spLocks noChangeArrowheads="1"/>
        </xdr:cNvSpPr>
      </xdr:nvSpPr>
      <xdr:spPr bwMode="auto">
        <a:xfrm>
          <a:off x="15549563" y="1297782"/>
          <a:ext cx="1476375" cy="371474"/>
        </a:xfrm>
        <a:prstGeom prst="rect">
          <a:avLst/>
        </a:prstGeom>
        <a:solidFill>
          <a:srgbClr val="FF9900"/>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ANÁLISE</a:t>
          </a:r>
        </a:p>
        <a:p>
          <a:pPr algn="ctr" rtl="0">
            <a:defRPr sz="1000"/>
          </a:pPr>
          <a:r>
            <a:rPr lang="pt-BR" sz="900" b="1" i="0" u="none" strike="noStrike" baseline="0">
              <a:solidFill>
                <a:srgbClr val="000000"/>
              </a:solidFill>
              <a:latin typeface="Arial"/>
              <a:cs typeface="Arial"/>
            </a:rPr>
            <a:t>( uso exclusivo CAIXA )</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57150</xdr:colOff>
          <xdr:row>0</xdr:row>
          <xdr:rowOff>19050</xdr:rowOff>
        </xdr:from>
        <xdr:to>
          <xdr:col>11</xdr:col>
          <xdr:colOff>1009650</xdr:colOff>
          <xdr:row>2</xdr:row>
          <xdr:rowOff>76200</xdr:rowOff>
        </xdr:to>
        <xdr:sp macro="" textlink="">
          <xdr:nvSpPr>
            <xdr:cNvPr id="185899" name="Object 5675" hidden="1">
              <a:extLst>
                <a:ext uri="{63B3BB69-23CF-44E3-9099-C40C66FF867C}">
                  <a14:compatExt spid="_x0000_s185899"/>
                </a:ext>
                <a:ext uri="{FF2B5EF4-FFF2-40B4-BE49-F238E27FC236}">
                  <a16:creationId xmlns:a16="http://schemas.microsoft.com/office/drawing/2014/main" id="{00000000-0008-0000-0200-00002BD6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3</xdr:row>
          <xdr:rowOff>0</xdr:rowOff>
        </xdr:from>
        <xdr:to>
          <xdr:col>26</xdr:col>
          <xdr:colOff>9525</xdr:colOff>
          <xdr:row>6</xdr:row>
          <xdr:rowOff>276225</xdr:rowOff>
        </xdr:to>
        <xdr:pic>
          <xdr:nvPicPr>
            <xdr:cNvPr id="220533" name="Picture 482">
              <a:extLst>
                <a:ext uri="{FF2B5EF4-FFF2-40B4-BE49-F238E27FC236}">
                  <a16:creationId xmlns:a16="http://schemas.microsoft.com/office/drawing/2014/main" id="{00000000-0008-0000-0200-0000755D0300}"/>
                </a:ext>
              </a:extLst>
            </xdr:cNvPr>
            <xdr:cNvPicPr>
              <a:picLocks noChangeArrowheads="1"/>
              <a:extLst>
                <a:ext uri="{84589F7E-364E-4C9E-8A38-B11213B215E9}">
                  <a14:cameraTool cellRange="DADOS!$A$23:$X$30" spid="_x0000_s220567"/>
                </a:ext>
              </a:extLst>
            </xdr:cNvPicPr>
          </xdr:nvPicPr>
          <xdr:blipFill>
            <a:blip xmlns:r="http://schemas.openxmlformats.org/officeDocument/2006/relationships" r:embed="rId1">
              <a:lum contrast="100000"/>
            </a:blip>
            <a:srcRect/>
            <a:stretch>
              <a:fillRect/>
            </a:stretch>
          </xdr:blipFill>
          <xdr:spPr bwMode="auto">
            <a:xfrm>
              <a:off x="676275" y="485775"/>
              <a:ext cx="14754225" cy="1219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3524250</xdr:colOff>
          <xdr:row>374</xdr:row>
          <xdr:rowOff>104775</xdr:rowOff>
        </xdr:from>
        <xdr:to>
          <xdr:col>20</xdr:col>
          <xdr:colOff>1038225</xdr:colOff>
          <xdr:row>377</xdr:row>
          <xdr:rowOff>152400</xdr:rowOff>
        </xdr:to>
        <xdr:pic>
          <xdr:nvPicPr>
            <xdr:cNvPr id="220534" name="Picture 483">
              <a:extLst>
                <a:ext uri="{FF2B5EF4-FFF2-40B4-BE49-F238E27FC236}">
                  <a16:creationId xmlns:a16="http://schemas.microsoft.com/office/drawing/2014/main" id="{00000000-0008-0000-0200-0000765D0300}"/>
                </a:ext>
              </a:extLst>
            </xdr:cNvPr>
            <xdr:cNvPicPr>
              <a:picLocks noChangeArrowheads="1"/>
              <a:extLst>
                <a:ext uri="{84589F7E-364E-4C9E-8A38-B11213B215E9}">
                  <a14:cameraTool cellRange="DADOS!$A$145:$K$147" spid="_x0000_s220568"/>
                </a:ext>
              </a:extLst>
            </xdr:cNvPicPr>
          </xdr:nvPicPr>
          <xdr:blipFill>
            <a:blip xmlns:r="http://schemas.openxmlformats.org/officeDocument/2006/relationships" r:embed="rId2"/>
            <a:srcRect/>
            <a:stretch>
              <a:fillRect/>
            </a:stretch>
          </xdr:blipFill>
          <xdr:spPr bwMode="auto">
            <a:xfrm>
              <a:off x="7943850" y="61902975"/>
              <a:ext cx="7467600" cy="533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628650</xdr:colOff>
      <xdr:row>7</xdr:row>
      <xdr:rowOff>209550</xdr:rowOff>
    </xdr:from>
    <xdr:to>
      <xdr:col>12</xdr:col>
      <xdr:colOff>1695450</xdr:colOff>
      <xdr:row>9</xdr:row>
      <xdr:rowOff>0</xdr:rowOff>
    </xdr:to>
    <xdr:sp macro="[0]!EditarCRONO" textlink="">
      <xdr:nvSpPr>
        <xdr:cNvPr id="7" name="AddCFF">
          <a:extLst>
            <a:ext uri="{FF2B5EF4-FFF2-40B4-BE49-F238E27FC236}">
              <a16:creationId xmlns:a16="http://schemas.microsoft.com/office/drawing/2014/main" id="{00000000-0008-0000-0300-000007000000}"/>
            </a:ext>
          </a:extLst>
        </xdr:cNvPr>
        <xdr:cNvSpPr txBox="1">
          <a:spLocks noChangeArrowheads="1"/>
        </xdr:cNvSpPr>
      </xdr:nvSpPr>
      <xdr:spPr bwMode="auto">
        <a:xfrm>
          <a:off x="628650" y="1914525"/>
          <a:ext cx="1781175" cy="342900"/>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 ATUALIZAR CRONOGRAMA</a:t>
          </a: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1133475</xdr:colOff>
          <xdr:row>2</xdr:row>
          <xdr:rowOff>95250</xdr:rowOff>
        </xdr:to>
        <xdr:sp macro="" textlink="">
          <xdr:nvSpPr>
            <xdr:cNvPr id="193474" name="Object 125890" hidden="1">
              <a:extLst>
                <a:ext uri="{63B3BB69-23CF-44E3-9099-C40C66FF867C}">
                  <a14:compatExt spid="_x0000_s193474"/>
                </a:ext>
                <a:ext uri="{FF2B5EF4-FFF2-40B4-BE49-F238E27FC236}">
                  <a16:creationId xmlns:a16="http://schemas.microsoft.com/office/drawing/2014/main" id="{00000000-0008-0000-0300-0000C2F3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xdr:row>
          <xdr:rowOff>0</xdr:rowOff>
        </xdr:from>
        <xdr:to>
          <xdr:col>23</xdr:col>
          <xdr:colOff>0</xdr:colOff>
          <xdr:row>6</xdr:row>
          <xdr:rowOff>219075</xdr:rowOff>
        </xdr:to>
        <xdr:pic>
          <xdr:nvPicPr>
            <xdr:cNvPr id="231076" name="PIC2">
              <a:extLst>
                <a:ext uri="{FF2B5EF4-FFF2-40B4-BE49-F238E27FC236}">
                  <a16:creationId xmlns:a16="http://schemas.microsoft.com/office/drawing/2014/main" id="{00000000-0008-0000-0300-0000A4860300}"/>
                </a:ext>
              </a:extLst>
            </xdr:cNvPr>
            <xdr:cNvPicPr>
              <a:picLocks noChangeArrowheads="1"/>
              <a:extLst>
                <a:ext uri="{84589F7E-364E-4C9E-8A38-B11213B215E9}">
                  <a14:cameraTool cellRange="DADOS!$A$23:$X$30" spid="_x0000_s231416"/>
                </a:ext>
              </a:extLst>
            </xdr:cNvPicPr>
          </xdr:nvPicPr>
          <xdr:blipFill>
            <a:blip xmlns:r="http://schemas.openxmlformats.org/officeDocument/2006/relationships" r:embed="rId1">
              <a:lum contrast="100000"/>
            </a:blip>
            <a:srcRect l="39473"/>
            <a:stretch>
              <a:fillRect/>
            </a:stretch>
          </xdr:blipFill>
          <xdr:spPr bwMode="auto">
            <a:xfrm>
              <a:off x="5619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171450</xdr:colOff>
          <xdr:row>3</xdr:row>
          <xdr:rowOff>0</xdr:rowOff>
        </xdr:from>
        <xdr:to>
          <xdr:col>14</xdr:col>
          <xdr:colOff>1095375</xdr:colOff>
          <xdr:row>6</xdr:row>
          <xdr:rowOff>219075</xdr:rowOff>
        </xdr:to>
        <xdr:pic>
          <xdr:nvPicPr>
            <xdr:cNvPr id="231077" name="PIC1">
              <a:extLst>
                <a:ext uri="{FF2B5EF4-FFF2-40B4-BE49-F238E27FC236}">
                  <a16:creationId xmlns:a16="http://schemas.microsoft.com/office/drawing/2014/main" id="{00000000-0008-0000-0300-0000A5860300}"/>
                </a:ext>
              </a:extLst>
            </xdr:cNvPr>
            <xdr:cNvPicPr>
              <a:picLocks noChangeArrowheads="1"/>
              <a:extLst>
                <a:ext uri="{84589F7E-364E-4C9E-8A38-B11213B215E9}">
                  <a14:cameraTool cellRange="DADOS!$A$23:$X$30" spid="_x0000_s231417"/>
                </a:ext>
              </a:extLst>
            </xdr:cNvPicPr>
          </xdr:nvPicPr>
          <xdr:blipFill>
            <a:blip xmlns:r="http://schemas.openxmlformats.org/officeDocument/2006/relationships" r:embed="rId2">
              <a:lum contrast="100000"/>
            </a:blip>
            <a:srcRect r="60628"/>
            <a:stretch>
              <a:fillRect/>
            </a:stretch>
          </xdr:blipFill>
          <xdr:spPr bwMode="auto">
            <a:xfrm>
              <a:off x="171450" y="485775"/>
              <a:ext cx="5438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914400</xdr:colOff>
          <xdr:row>0</xdr:row>
          <xdr:rowOff>66675</xdr:rowOff>
        </xdr:from>
        <xdr:to>
          <xdr:col>22</xdr:col>
          <xdr:colOff>1000125</xdr:colOff>
          <xdr:row>2</xdr:row>
          <xdr:rowOff>123825</xdr:rowOff>
        </xdr:to>
        <xdr:pic>
          <xdr:nvPicPr>
            <xdr:cNvPr id="231078" name="SigiloPic">
              <a:extLst>
                <a:ext uri="{FF2B5EF4-FFF2-40B4-BE49-F238E27FC236}">
                  <a16:creationId xmlns:a16="http://schemas.microsoft.com/office/drawing/2014/main" id="{00000000-0008-0000-0300-0000A6860300}"/>
                </a:ext>
              </a:extLst>
            </xdr:cNvPr>
            <xdr:cNvPicPr>
              <a:picLocks noChangeArrowheads="1"/>
              <a:extLst>
                <a:ext uri="{84589F7E-364E-4C9E-8A38-B11213B215E9}">
                  <a14:cameraTool cellRange="PO!$U$1:$U$2" spid="_x0000_s231418"/>
                </a:ext>
              </a:extLst>
            </xdr:cNvPicPr>
          </xdr:nvPicPr>
          <xdr:blipFill>
            <a:blip xmlns:r="http://schemas.openxmlformats.org/officeDocument/2006/relationships" r:embed="rId3"/>
            <a:srcRect/>
            <a:stretch>
              <a:fillRect/>
            </a:stretch>
          </xdr:blipFill>
          <xdr:spPr bwMode="auto">
            <a:xfrm>
              <a:off x="12820650" y="666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79" name="Picture 483">
              <a:extLst>
                <a:ext uri="{FF2B5EF4-FFF2-40B4-BE49-F238E27FC236}">
                  <a16:creationId xmlns:a16="http://schemas.microsoft.com/office/drawing/2014/main" id="{00000000-0008-0000-0300-0000A7860300}"/>
                </a:ext>
              </a:extLst>
            </xdr:cNvPr>
            <xdr:cNvPicPr>
              <a:picLocks noChangeArrowheads="1"/>
              <a:extLst>
                <a:ext uri="{84589F7E-364E-4C9E-8A38-B11213B215E9}">
                  <a14:cameraTool cellRange="DADOS!#REF!" spid="_x0000_s231419"/>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0" name="Picture 135186">
              <a:extLst>
                <a:ext uri="{FF2B5EF4-FFF2-40B4-BE49-F238E27FC236}">
                  <a16:creationId xmlns:a16="http://schemas.microsoft.com/office/drawing/2014/main" id="{00000000-0008-0000-0300-0000A8860300}"/>
                </a:ext>
              </a:extLst>
            </xdr:cNvPr>
            <xdr:cNvPicPr>
              <a:picLocks noChangeArrowheads="1"/>
              <a:extLst>
                <a:ext uri="{84589F7E-364E-4C9E-8A38-B11213B215E9}">
                  <a14:cameraTool cellRange="PO!$U$1:$U$2" spid="_x0000_s231420"/>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1" name="Picture 135187">
              <a:extLst>
                <a:ext uri="{FF2B5EF4-FFF2-40B4-BE49-F238E27FC236}">
                  <a16:creationId xmlns:a16="http://schemas.microsoft.com/office/drawing/2014/main" id="{00000000-0008-0000-0300-0000A9860300}"/>
                </a:ext>
              </a:extLst>
            </xdr:cNvPr>
            <xdr:cNvPicPr>
              <a:picLocks noChangeArrowheads="1"/>
              <a:extLst>
                <a:ext uri="{84589F7E-364E-4C9E-8A38-B11213B215E9}">
                  <a14:cameraTool cellRange="DADOS!#REF!" spid="_x0000_s231421"/>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2" name="Picture 135188">
              <a:extLst>
                <a:ext uri="{FF2B5EF4-FFF2-40B4-BE49-F238E27FC236}">
                  <a16:creationId xmlns:a16="http://schemas.microsoft.com/office/drawing/2014/main" id="{00000000-0008-0000-0300-0000AA860300}"/>
                </a:ext>
              </a:extLst>
            </xdr:cNvPr>
            <xdr:cNvPicPr>
              <a:picLocks noChangeArrowheads="1"/>
              <a:extLst>
                <a:ext uri="{84589F7E-364E-4C9E-8A38-B11213B215E9}">
                  <a14:cameraTool cellRange="PO!$U$1:$U$2" spid="_x0000_s231422"/>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3" name="Picture 135189">
              <a:extLst>
                <a:ext uri="{FF2B5EF4-FFF2-40B4-BE49-F238E27FC236}">
                  <a16:creationId xmlns:a16="http://schemas.microsoft.com/office/drawing/2014/main" id="{00000000-0008-0000-0300-0000AB860300}"/>
                </a:ext>
              </a:extLst>
            </xdr:cNvPr>
            <xdr:cNvPicPr>
              <a:picLocks noChangeArrowheads="1"/>
              <a:extLst>
                <a:ext uri="{84589F7E-364E-4C9E-8A38-B11213B215E9}">
                  <a14:cameraTool cellRange="DADOS!#REF!" spid="_x0000_s231423"/>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4" name="Picture 135190">
              <a:extLst>
                <a:ext uri="{FF2B5EF4-FFF2-40B4-BE49-F238E27FC236}">
                  <a16:creationId xmlns:a16="http://schemas.microsoft.com/office/drawing/2014/main" id="{00000000-0008-0000-0300-0000AC860300}"/>
                </a:ext>
              </a:extLst>
            </xdr:cNvPr>
            <xdr:cNvPicPr>
              <a:picLocks noChangeArrowheads="1"/>
              <a:extLst>
                <a:ext uri="{84589F7E-364E-4C9E-8A38-B11213B215E9}">
                  <a14:cameraTool cellRange="PO!$U$1:$U$2" spid="_x0000_s233472"/>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5" name="Picture 135191">
              <a:extLst>
                <a:ext uri="{FF2B5EF4-FFF2-40B4-BE49-F238E27FC236}">
                  <a16:creationId xmlns:a16="http://schemas.microsoft.com/office/drawing/2014/main" id="{00000000-0008-0000-0300-0000AD860300}"/>
                </a:ext>
              </a:extLst>
            </xdr:cNvPr>
            <xdr:cNvPicPr>
              <a:picLocks noChangeArrowheads="1"/>
              <a:extLst>
                <a:ext uri="{84589F7E-364E-4C9E-8A38-B11213B215E9}">
                  <a14:cameraTool cellRange="DADOS!#REF!" spid="_x0000_s233473"/>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6" name="Picture 135192">
              <a:extLst>
                <a:ext uri="{FF2B5EF4-FFF2-40B4-BE49-F238E27FC236}">
                  <a16:creationId xmlns:a16="http://schemas.microsoft.com/office/drawing/2014/main" id="{00000000-0008-0000-0300-0000AE860300}"/>
                </a:ext>
              </a:extLst>
            </xdr:cNvPr>
            <xdr:cNvPicPr>
              <a:picLocks noChangeArrowheads="1"/>
              <a:extLst>
                <a:ext uri="{84589F7E-364E-4C9E-8A38-B11213B215E9}">
                  <a14:cameraTool cellRange="PO!$U$1:$U$2" spid="_x0000_s233474"/>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7" name="Picture 135193">
              <a:extLst>
                <a:ext uri="{FF2B5EF4-FFF2-40B4-BE49-F238E27FC236}">
                  <a16:creationId xmlns:a16="http://schemas.microsoft.com/office/drawing/2014/main" id="{00000000-0008-0000-0300-0000AF860300}"/>
                </a:ext>
              </a:extLst>
            </xdr:cNvPr>
            <xdr:cNvPicPr>
              <a:picLocks noChangeArrowheads="1"/>
              <a:extLst>
                <a:ext uri="{84589F7E-364E-4C9E-8A38-B11213B215E9}">
                  <a14:cameraTool cellRange="DADOS!#REF!" spid="_x0000_s233475"/>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8" name="Picture 135194">
              <a:extLst>
                <a:ext uri="{FF2B5EF4-FFF2-40B4-BE49-F238E27FC236}">
                  <a16:creationId xmlns:a16="http://schemas.microsoft.com/office/drawing/2014/main" id="{00000000-0008-0000-0300-0000B0860300}"/>
                </a:ext>
              </a:extLst>
            </xdr:cNvPr>
            <xdr:cNvPicPr>
              <a:picLocks noChangeArrowheads="1"/>
              <a:extLst>
                <a:ext uri="{84589F7E-364E-4C9E-8A38-B11213B215E9}">
                  <a14:cameraTool cellRange="PO!$U$1:$U$2" spid="_x0000_s233476"/>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885825</xdr:colOff>
          <xdr:row>116</xdr:row>
          <xdr:rowOff>47625</xdr:rowOff>
        </xdr:from>
        <xdr:to>
          <xdr:col>21</xdr:col>
          <xdr:colOff>933450</xdr:colOff>
          <xdr:row>119</xdr:row>
          <xdr:rowOff>28575</xdr:rowOff>
        </xdr:to>
        <xdr:pic>
          <xdr:nvPicPr>
            <xdr:cNvPr id="231089" name="Picture 135195">
              <a:extLst>
                <a:ext uri="{FF2B5EF4-FFF2-40B4-BE49-F238E27FC236}">
                  <a16:creationId xmlns:a16="http://schemas.microsoft.com/office/drawing/2014/main" id="{00000000-0008-0000-0300-0000B1860300}"/>
                </a:ext>
              </a:extLst>
            </xdr:cNvPr>
            <xdr:cNvPicPr>
              <a:picLocks noChangeArrowheads="1"/>
              <a:extLst>
                <a:ext uri="{84589F7E-364E-4C9E-8A38-B11213B215E9}">
                  <a14:cameraTool cellRange="DADOS!$A$145:$K$147" spid="_x0000_s233477"/>
                </a:ext>
              </a:extLst>
            </xdr:cNvPicPr>
          </xdr:nvPicPr>
          <xdr:blipFill>
            <a:blip xmlns:r="http://schemas.openxmlformats.org/officeDocument/2006/relationships" r:embed="rId5"/>
            <a:srcRect/>
            <a:stretch>
              <a:fillRect/>
            </a:stretch>
          </xdr:blipFill>
          <xdr:spPr bwMode="auto">
            <a:xfrm>
              <a:off x="6505575" y="21183600"/>
              <a:ext cx="63341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29</xdr:col>
          <xdr:colOff>914400</xdr:colOff>
          <xdr:row>0</xdr:row>
          <xdr:rowOff>66675</xdr:rowOff>
        </xdr:from>
        <xdr:to>
          <xdr:col>30</xdr:col>
          <xdr:colOff>914400</xdr:colOff>
          <xdr:row>2</xdr:row>
          <xdr:rowOff>57150</xdr:rowOff>
        </xdr:to>
        <xdr:pic>
          <xdr:nvPicPr>
            <xdr:cNvPr id="231090" name="Picture 136796">
              <a:extLst>
                <a:ext uri="{FF2B5EF4-FFF2-40B4-BE49-F238E27FC236}">
                  <a16:creationId xmlns:a16="http://schemas.microsoft.com/office/drawing/2014/main" id="{00000000-0008-0000-0300-0000B2860300}"/>
                </a:ext>
              </a:extLst>
            </xdr:cNvPr>
            <xdr:cNvPicPr>
              <a:picLocks noChangeArrowheads="1"/>
              <a:extLst>
                <a:ext uri="{84589F7E-364E-4C9E-8A38-B11213B215E9}">
                  <a14:cameraTool cellRange="PO!$U$1:$U$2" spid="_x0000_s233478"/>
                </a:ext>
              </a:extLst>
            </xdr:cNvPicPr>
          </xdr:nvPicPr>
          <xdr:blipFill>
            <a:blip xmlns:r="http://schemas.openxmlformats.org/officeDocument/2006/relationships" r:embed="rId3"/>
            <a:srcRect/>
            <a:stretch>
              <a:fillRect/>
            </a:stretch>
          </xdr:blipFill>
          <xdr:spPr bwMode="auto">
            <a:xfrm>
              <a:off x="21202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885825</xdr:colOff>
          <xdr:row>116</xdr:row>
          <xdr:rowOff>47625</xdr:rowOff>
        </xdr:from>
        <xdr:to>
          <xdr:col>29</xdr:col>
          <xdr:colOff>933450</xdr:colOff>
          <xdr:row>119</xdr:row>
          <xdr:rowOff>57150</xdr:rowOff>
        </xdr:to>
        <xdr:pic>
          <xdr:nvPicPr>
            <xdr:cNvPr id="231091" name="Picture 136797">
              <a:extLst>
                <a:ext uri="{FF2B5EF4-FFF2-40B4-BE49-F238E27FC236}">
                  <a16:creationId xmlns:a16="http://schemas.microsoft.com/office/drawing/2014/main" id="{00000000-0008-0000-0300-0000B3860300}"/>
                </a:ext>
              </a:extLst>
            </xdr:cNvPr>
            <xdr:cNvPicPr>
              <a:picLocks noChangeArrowheads="1"/>
              <a:extLst>
                <a:ext uri="{84589F7E-364E-4C9E-8A38-B11213B215E9}">
                  <a14:cameraTool cellRange="DADOS!$A$145:$K$147" spid="_x0000_s233479"/>
                </a:ext>
              </a:extLst>
            </xdr:cNvPicPr>
          </xdr:nvPicPr>
          <xdr:blipFill>
            <a:blip xmlns:r="http://schemas.openxmlformats.org/officeDocument/2006/relationships" r:embed="rId6"/>
            <a:srcRect/>
            <a:stretch>
              <a:fillRect/>
            </a:stretch>
          </xdr:blipFill>
          <xdr:spPr bwMode="auto">
            <a:xfrm>
              <a:off x="14887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3</xdr:row>
          <xdr:rowOff>0</xdr:rowOff>
        </xdr:from>
        <xdr:to>
          <xdr:col>31</xdr:col>
          <xdr:colOff>0</xdr:colOff>
          <xdr:row>6</xdr:row>
          <xdr:rowOff>219075</xdr:rowOff>
        </xdr:to>
        <xdr:pic>
          <xdr:nvPicPr>
            <xdr:cNvPr id="231092" name="PIC3">
              <a:extLst>
                <a:ext uri="{FF2B5EF4-FFF2-40B4-BE49-F238E27FC236}">
                  <a16:creationId xmlns:a16="http://schemas.microsoft.com/office/drawing/2014/main" id="{00000000-0008-0000-0300-0000B4860300}"/>
                </a:ext>
              </a:extLst>
            </xdr:cNvPr>
            <xdr:cNvPicPr>
              <a:picLocks noChangeArrowheads="1"/>
              <a:extLst>
                <a:ext uri="{84589F7E-364E-4C9E-8A38-B11213B215E9}">
                  <a14:cameraTool cellRange="DADOS!$A$23:$X$30" spid="_x0000_s233480"/>
                </a:ext>
              </a:extLst>
            </xdr:cNvPicPr>
          </xdr:nvPicPr>
          <xdr:blipFill>
            <a:blip xmlns:r="http://schemas.openxmlformats.org/officeDocument/2006/relationships" r:embed="rId2">
              <a:lum contrast="100000"/>
            </a:blip>
            <a:srcRect l="39473"/>
            <a:stretch>
              <a:fillRect/>
            </a:stretch>
          </xdr:blipFill>
          <xdr:spPr bwMode="auto">
            <a:xfrm>
              <a:off x="14001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37</xdr:col>
          <xdr:colOff>914400</xdr:colOff>
          <xdr:row>0</xdr:row>
          <xdr:rowOff>66675</xdr:rowOff>
        </xdr:from>
        <xdr:to>
          <xdr:col>38</xdr:col>
          <xdr:colOff>914400</xdr:colOff>
          <xdr:row>2</xdr:row>
          <xdr:rowOff>57150</xdr:rowOff>
        </xdr:to>
        <xdr:pic>
          <xdr:nvPicPr>
            <xdr:cNvPr id="231093" name="Picture 136799">
              <a:extLst>
                <a:ext uri="{FF2B5EF4-FFF2-40B4-BE49-F238E27FC236}">
                  <a16:creationId xmlns:a16="http://schemas.microsoft.com/office/drawing/2014/main" id="{00000000-0008-0000-0300-0000B5860300}"/>
                </a:ext>
              </a:extLst>
            </xdr:cNvPr>
            <xdr:cNvPicPr>
              <a:picLocks noChangeArrowheads="1"/>
              <a:extLst>
                <a:ext uri="{84589F7E-364E-4C9E-8A38-B11213B215E9}">
                  <a14:cameraTool cellRange="PO!$U$1:$U$2" spid="_x0000_s233481"/>
                </a:ext>
              </a:extLst>
            </xdr:cNvPicPr>
          </xdr:nvPicPr>
          <xdr:blipFill>
            <a:blip xmlns:r="http://schemas.openxmlformats.org/officeDocument/2006/relationships" r:embed="rId3"/>
            <a:srcRect/>
            <a:stretch>
              <a:fillRect/>
            </a:stretch>
          </xdr:blipFill>
          <xdr:spPr bwMode="auto">
            <a:xfrm>
              <a:off x="29584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31</xdr:col>
          <xdr:colOff>885825</xdr:colOff>
          <xdr:row>116</xdr:row>
          <xdr:rowOff>47625</xdr:rowOff>
        </xdr:from>
        <xdr:to>
          <xdr:col>37</xdr:col>
          <xdr:colOff>933450</xdr:colOff>
          <xdr:row>119</xdr:row>
          <xdr:rowOff>57150</xdr:rowOff>
        </xdr:to>
        <xdr:pic>
          <xdr:nvPicPr>
            <xdr:cNvPr id="231094" name="Picture 136800">
              <a:extLst>
                <a:ext uri="{FF2B5EF4-FFF2-40B4-BE49-F238E27FC236}">
                  <a16:creationId xmlns:a16="http://schemas.microsoft.com/office/drawing/2014/main" id="{00000000-0008-0000-0300-0000B6860300}"/>
                </a:ext>
              </a:extLst>
            </xdr:cNvPr>
            <xdr:cNvPicPr>
              <a:picLocks noChangeArrowheads="1"/>
              <a:extLst>
                <a:ext uri="{84589F7E-364E-4C9E-8A38-B11213B215E9}">
                  <a14:cameraTool cellRange="DADOS!$A$145:$K$147" spid="_x0000_s233482"/>
                </a:ext>
              </a:extLst>
            </xdr:cNvPicPr>
          </xdr:nvPicPr>
          <xdr:blipFill>
            <a:blip xmlns:r="http://schemas.openxmlformats.org/officeDocument/2006/relationships" r:embed="rId7"/>
            <a:srcRect/>
            <a:stretch>
              <a:fillRect/>
            </a:stretch>
          </xdr:blipFill>
          <xdr:spPr bwMode="auto">
            <a:xfrm>
              <a:off x="23269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3</xdr:row>
          <xdr:rowOff>0</xdr:rowOff>
        </xdr:from>
        <xdr:to>
          <xdr:col>39</xdr:col>
          <xdr:colOff>0</xdr:colOff>
          <xdr:row>6</xdr:row>
          <xdr:rowOff>219075</xdr:rowOff>
        </xdr:to>
        <xdr:pic>
          <xdr:nvPicPr>
            <xdr:cNvPr id="231095" name="PIC4">
              <a:extLst>
                <a:ext uri="{FF2B5EF4-FFF2-40B4-BE49-F238E27FC236}">
                  <a16:creationId xmlns:a16="http://schemas.microsoft.com/office/drawing/2014/main" id="{00000000-0008-0000-0300-0000B7860300}"/>
                </a:ext>
              </a:extLst>
            </xdr:cNvPr>
            <xdr:cNvPicPr>
              <a:picLocks noChangeArrowheads="1"/>
              <a:extLst>
                <a:ext uri="{84589F7E-364E-4C9E-8A38-B11213B215E9}">
                  <a14:cameraTool cellRange="DADOS!$A$23:$X$30" spid="_x0000_s233483"/>
                </a:ext>
              </a:extLst>
            </xdr:cNvPicPr>
          </xdr:nvPicPr>
          <xdr:blipFill>
            <a:blip xmlns:r="http://schemas.openxmlformats.org/officeDocument/2006/relationships" r:embed="rId8">
              <a:lum contrast="100000"/>
            </a:blip>
            <a:srcRect l="39473"/>
            <a:stretch>
              <a:fillRect/>
            </a:stretch>
          </xdr:blipFill>
          <xdr:spPr bwMode="auto">
            <a:xfrm>
              <a:off x="22383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20</xdr:col>
      <xdr:colOff>504825</xdr:colOff>
      <xdr:row>0</xdr:row>
      <xdr:rowOff>9525</xdr:rowOff>
    </xdr:from>
    <xdr:to>
      <xdr:col>20</xdr:col>
      <xdr:colOff>1733550</xdr:colOff>
      <xdr:row>2</xdr:row>
      <xdr:rowOff>19050</xdr:rowOff>
    </xdr:to>
    <xdr:pic>
      <xdr:nvPicPr>
        <xdr:cNvPr id="203636" name="Imagem 14">
          <a:extLst>
            <a:ext uri="{FF2B5EF4-FFF2-40B4-BE49-F238E27FC236}">
              <a16:creationId xmlns:a16="http://schemas.microsoft.com/office/drawing/2014/main" id="{00000000-0008-0000-0400-0000741B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4900" y="9525"/>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514350</xdr:colOff>
          <xdr:row>5</xdr:row>
          <xdr:rowOff>85725</xdr:rowOff>
        </xdr:from>
        <xdr:to>
          <xdr:col>4</xdr:col>
          <xdr:colOff>47625</xdr:colOff>
          <xdr:row>6</xdr:row>
          <xdr:rowOff>133350</xdr:rowOff>
        </xdr:to>
        <xdr:sp macro="" textlink="">
          <xdr:nvSpPr>
            <xdr:cNvPr id="202754" name="Drop Down 2" hidden="1">
              <a:extLst>
                <a:ext uri="{63B3BB69-23CF-44E3-9099-C40C66FF867C}">
                  <a14:compatExt spid="_x0000_s202754"/>
                </a:ext>
                <a:ext uri="{FF2B5EF4-FFF2-40B4-BE49-F238E27FC236}">
                  <a16:creationId xmlns:a16="http://schemas.microsoft.com/office/drawing/2014/main" id="{00000000-0008-0000-0400-000002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123825</xdr:colOff>
          <xdr:row>5</xdr:row>
          <xdr:rowOff>85725</xdr:rowOff>
        </xdr:from>
        <xdr:ext cx="390525" cy="161925"/>
        <xdr:sp macro="" textlink="">
          <xdr:nvSpPr>
            <xdr:cNvPr id="202780" name="Label 28" hidden="1">
              <a:extLst>
                <a:ext uri="{63B3BB69-23CF-44E3-9099-C40C66FF867C}">
                  <a14:compatExt spid="_x0000_s202780"/>
                </a:ext>
                <a:ext uri="{FF2B5EF4-FFF2-40B4-BE49-F238E27FC236}">
                  <a16:creationId xmlns:a16="http://schemas.microsoft.com/office/drawing/2014/main" id="{00000000-0008-0000-0400-00001C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Ordem:</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85725</xdr:rowOff>
        </xdr:from>
        <xdr:to>
          <xdr:col>5</xdr:col>
          <xdr:colOff>1438275</xdr:colOff>
          <xdr:row>6</xdr:row>
          <xdr:rowOff>133350</xdr:rowOff>
        </xdr:to>
        <xdr:sp macro="" textlink="">
          <xdr:nvSpPr>
            <xdr:cNvPr id="202755" name="servicos" hidden="1">
              <a:extLst>
                <a:ext uri="{63B3BB69-23CF-44E3-9099-C40C66FF867C}">
                  <a14:compatExt spid="_x0000_s202755"/>
                </a:ext>
                <a:ext uri="{FF2B5EF4-FFF2-40B4-BE49-F238E27FC236}">
                  <a16:creationId xmlns:a16="http://schemas.microsoft.com/office/drawing/2014/main" id="{00000000-0008-0000-0400-000003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171450</xdr:colOff>
          <xdr:row>5</xdr:row>
          <xdr:rowOff>85725</xdr:rowOff>
        </xdr:from>
        <xdr:ext cx="447675" cy="161925"/>
        <xdr:sp macro="" textlink="">
          <xdr:nvSpPr>
            <xdr:cNvPr id="202781" name="Label 29" hidden="1">
              <a:extLst>
                <a:ext uri="{63B3BB69-23CF-44E3-9099-C40C66FF867C}">
                  <a14:compatExt spid="_x0000_s202781"/>
                </a:ext>
                <a:ext uri="{FF2B5EF4-FFF2-40B4-BE49-F238E27FC236}">
                  <a16:creationId xmlns:a16="http://schemas.microsoft.com/office/drawing/2014/main" id="{00000000-0008-0000-0400-00001D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Serviços:</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76200</xdr:rowOff>
        </xdr:from>
        <xdr:to>
          <xdr:col>20</xdr:col>
          <xdr:colOff>1685925</xdr:colOff>
          <xdr:row>6</xdr:row>
          <xdr:rowOff>161925</xdr:rowOff>
        </xdr:to>
        <xdr:sp macro="" textlink="">
          <xdr:nvSpPr>
            <xdr:cNvPr id="202815" name="Button 63" hidden="1">
              <a:extLst>
                <a:ext uri="{63B3BB69-23CF-44E3-9099-C40C66FF867C}">
                  <a14:compatExt spid="_x0000_s202815"/>
                </a:ext>
                <a:ext uri="{FF2B5EF4-FFF2-40B4-BE49-F238E27FC236}">
                  <a16:creationId xmlns:a16="http://schemas.microsoft.com/office/drawing/2014/main" id="{00000000-0008-0000-0400-00003F18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Fechar Análise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295275</xdr:colOff>
          <xdr:row>2</xdr:row>
          <xdr:rowOff>38100</xdr:rowOff>
        </xdr:to>
        <xdr:sp macro="" textlink="">
          <xdr:nvSpPr>
            <xdr:cNvPr id="203048" name="Object 296" hidden="1">
              <a:extLst>
                <a:ext uri="{63B3BB69-23CF-44E3-9099-C40C66FF867C}">
                  <a14:compatExt spid="_x0000_s203048"/>
                </a:ext>
                <a:ext uri="{FF2B5EF4-FFF2-40B4-BE49-F238E27FC236}">
                  <a16:creationId xmlns:a16="http://schemas.microsoft.com/office/drawing/2014/main" id="{00000000-0008-0000-0400-000028190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76200</xdr:rowOff>
        </xdr:from>
        <xdr:to>
          <xdr:col>20</xdr:col>
          <xdr:colOff>1704975</xdr:colOff>
          <xdr:row>5</xdr:row>
          <xdr:rowOff>0</xdr:rowOff>
        </xdr:to>
        <xdr:pic>
          <xdr:nvPicPr>
            <xdr:cNvPr id="203637" name="Picture 482">
              <a:extLst>
                <a:ext uri="{FF2B5EF4-FFF2-40B4-BE49-F238E27FC236}">
                  <a16:creationId xmlns:a16="http://schemas.microsoft.com/office/drawing/2014/main" id="{00000000-0008-0000-0400-0000751B0300}"/>
                </a:ext>
              </a:extLst>
            </xdr:cNvPr>
            <xdr:cNvPicPr>
              <a:picLocks noChangeArrowheads="1"/>
              <a:extLst>
                <a:ext uri="{84589F7E-364E-4C9E-8A38-B11213B215E9}">
                  <a14:cameraTool cellRange="DADOS!$A$23:$X$30" spid="_x0000_s203654"/>
                </a:ext>
              </a:extLst>
            </xdr:cNvPicPr>
          </xdr:nvPicPr>
          <xdr:blipFill>
            <a:blip xmlns:r="http://schemas.openxmlformats.org/officeDocument/2006/relationships" r:embed="rId2">
              <a:lum contrast="100000"/>
            </a:blip>
            <a:srcRect/>
            <a:stretch>
              <a:fillRect/>
            </a:stretch>
          </xdr:blipFill>
          <xdr:spPr bwMode="auto">
            <a:xfrm>
              <a:off x="0" y="581025"/>
              <a:ext cx="13735050"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omments" Target="../comments2.xml"/><Relationship Id="rId5" Type="http://schemas.openxmlformats.org/officeDocument/2006/relationships/image" Target="../media/image1.emf"/><Relationship Id="rId10" Type="http://schemas.openxmlformats.org/officeDocument/2006/relationships/ctrlProp" Target="../ctrlProps/ctrlProp10.xml"/><Relationship Id="rId4" Type="http://schemas.openxmlformats.org/officeDocument/2006/relationships/oleObject" Target="../embeddings/oleObject3.bin"/><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3">
    <pageSetUpPr fitToPage="1"/>
  </sheetPr>
  <dimension ref="A1:Y147"/>
  <sheetViews>
    <sheetView showGridLines="0" zoomScale="86" zoomScaleNormal="86" zoomScaleSheetLayoutView="100" zoomScalePageLayoutView="73" workbookViewId="0">
      <selection activeCell="C31" sqref="C31"/>
    </sheetView>
  </sheetViews>
  <sheetFormatPr defaultRowHeight="12.75" x14ac:dyDescent="0.2"/>
  <cols>
    <col min="1" max="2" width="8.7109375" style="4" customWidth="1"/>
    <col min="3" max="5" width="8.7109375" customWidth="1"/>
    <col min="6" max="8" width="8.7109375" style="3" customWidth="1"/>
    <col min="9" max="24" width="8.7109375" customWidth="1"/>
  </cols>
  <sheetData>
    <row r="1" spans="1:25" ht="12.75" customHeight="1" x14ac:dyDescent="0.2">
      <c r="A1" s="38"/>
      <c r="B1" s="179" t="s">
        <v>120</v>
      </c>
      <c r="C1" s="179"/>
      <c r="D1" s="179"/>
      <c r="E1" s="179"/>
      <c r="F1" s="179"/>
      <c r="G1" s="179"/>
      <c r="H1" s="179"/>
      <c r="I1" s="179"/>
      <c r="J1" s="179"/>
      <c r="K1" s="179"/>
      <c r="L1" s="179"/>
      <c r="M1" s="179"/>
      <c r="N1" s="179"/>
      <c r="O1" s="179"/>
      <c r="P1" s="179"/>
      <c r="Q1" s="179"/>
      <c r="R1" s="179"/>
      <c r="S1" s="179"/>
      <c r="T1" s="179"/>
      <c r="U1" s="179"/>
      <c r="V1" s="179"/>
      <c r="W1" s="179"/>
      <c r="X1" s="180"/>
    </row>
    <row r="2" spans="1:25" ht="13.5" customHeight="1" x14ac:dyDescent="0.2">
      <c r="A2" s="39"/>
      <c r="B2" s="181"/>
      <c r="C2" s="181"/>
      <c r="D2" s="181"/>
      <c r="E2" s="181"/>
      <c r="F2" s="181"/>
      <c r="G2" s="181"/>
      <c r="H2" s="181"/>
      <c r="I2" s="181"/>
      <c r="J2" s="181"/>
      <c r="K2" s="181"/>
      <c r="L2" s="181"/>
      <c r="M2" s="181"/>
      <c r="N2" s="181"/>
      <c r="O2" s="181"/>
      <c r="P2" s="181"/>
      <c r="Q2" s="181"/>
      <c r="R2" s="181"/>
      <c r="S2" s="181"/>
      <c r="T2" s="181"/>
      <c r="U2" s="181"/>
      <c r="V2" s="181"/>
      <c r="W2" s="181"/>
      <c r="X2" s="182"/>
    </row>
    <row r="3" spans="1:25" ht="13.5" customHeight="1" x14ac:dyDescent="0.2">
      <c r="A3"/>
      <c r="B3"/>
      <c r="F3"/>
      <c r="G3"/>
      <c r="H3"/>
    </row>
    <row r="4" spans="1:25" ht="12.75" customHeight="1" x14ac:dyDescent="0.2">
      <c r="A4" s="193" t="s">
        <v>52</v>
      </c>
      <c r="B4" s="193"/>
      <c r="C4" s="193"/>
      <c r="D4" s="193"/>
      <c r="E4" s="193"/>
      <c r="F4" s="193"/>
      <c r="G4" s="193"/>
      <c r="H4" s="193"/>
      <c r="I4" s="193"/>
      <c r="J4" s="193"/>
      <c r="K4" s="193"/>
      <c r="L4" s="193"/>
      <c r="M4" s="193"/>
      <c r="N4" s="193"/>
      <c r="O4" s="193"/>
      <c r="P4" s="193"/>
      <c r="Q4" s="193"/>
      <c r="R4" s="193"/>
      <c r="S4" s="193"/>
      <c r="T4" s="193"/>
      <c r="U4" s="193"/>
      <c r="V4" s="193"/>
      <c r="W4" s="193"/>
      <c r="X4" s="193"/>
    </row>
    <row r="5" spans="1:25" x14ac:dyDescent="0.2">
      <c r="A5" s="192" t="s">
        <v>102</v>
      </c>
      <c r="B5" s="192"/>
      <c r="C5" s="192"/>
      <c r="D5" s="192"/>
      <c r="E5" s="192"/>
      <c r="F5" s="192"/>
      <c r="G5" s="192"/>
      <c r="H5" s="192"/>
      <c r="I5" s="192"/>
      <c r="J5" s="192"/>
      <c r="K5" s="192"/>
      <c r="L5" s="192"/>
      <c r="M5" s="192"/>
      <c r="N5" s="192"/>
      <c r="O5" s="192"/>
      <c r="P5" s="192"/>
      <c r="Q5" s="192"/>
      <c r="R5" s="192"/>
      <c r="S5" s="192"/>
      <c r="T5" s="192"/>
      <c r="U5" s="192"/>
      <c r="V5" s="192"/>
      <c r="W5" s="192"/>
      <c r="X5" s="192"/>
    </row>
    <row r="6" spans="1:25" x14ac:dyDescent="0.2">
      <c r="A6" s="122"/>
      <c r="B6" s="122"/>
      <c r="C6" s="122"/>
      <c r="D6" s="122"/>
      <c r="E6" s="122"/>
      <c r="F6" s="122"/>
      <c r="G6" s="122"/>
      <c r="H6" s="122"/>
      <c r="I6" s="122"/>
      <c r="J6" s="122"/>
      <c r="K6" s="122"/>
      <c r="L6" s="122"/>
      <c r="M6" s="122"/>
      <c r="N6" s="122"/>
      <c r="O6" s="122"/>
      <c r="P6" s="122"/>
      <c r="Q6" s="122"/>
      <c r="R6" s="122"/>
      <c r="S6" s="122"/>
      <c r="T6" s="122"/>
      <c r="U6" s="122"/>
      <c r="V6" s="122"/>
      <c r="W6" s="122"/>
      <c r="X6" s="122"/>
    </row>
    <row r="7" spans="1:25" s="4" customFormat="1" ht="24.95" customHeight="1" x14ac:dyDescent="0.2">
      <c r="A7" s="194" t="s">
        <v>61</v>
      </c>
      <c r="B7" s="195"/>
      <c r="C7" s="195"/>
      <c r="D7" s="195"/>
      <c r="E7" s="195"/>
      <c r="F7" s="195"/>
      <c r="G7" s="195"/>
      <c r="H7" s="195"/>
      <c r="I7" s="195"/>
      <c r="J7" s="195"/>
      <c r="K7" s="195"/>
      <c r="L7" s="195"/>
      <c r="M7" s="195"/>
      <c r="N7" s="195"/>
      <c r="O7" s="195"/>
      <c r="P7" s="195"/>
      <c r="Q7" s="195"/>
      <c r="R7" s="195"/>
      <c r="S7" s="195"/>
      <c r="T7" s="195"/>
      <c r="U7" s="195"/>
      <c r="V7" s="195"/>
      <c r="W7" s="195"/>
      <c r="X7" s="195"/>
    </row>
    <row r="8" spans="1:25" ht="12.75" customHeight="1" x14ac:dyDescent="0.2"/>
    <row r="9" spans="1:25" ht="12.75" customHeight="1" x14ac:dyDescent="0.2">
      <c r="A9" s="195" t="s">
        <v>10</v>
      </c>
      <c r="B9" s="195"/>
      <c r="C9" s="195"/>
      <c r="D9" s="195"/>
      <c r="E9" s="195"/>
      <c r="F9" s="195"/>
      <c r="G9" s="195"/>
      <c r="H9" s="195"/>
      <c r="I9" s="195"/>
      <c r="J9" s="195"/>
      <c r="K9" s="195"/>
      <c r="L9" s="195"/>
      <c r="M9" s="195"/>
      <c r="N9" s="195"/>
      <c r="O9" s="195"/>
      <c r="P9" s="195"/>
      <c r="Q9" s="195"/>
      <c r="R9" s="195"/>
      <c r="S9" s="195"/>
      <c r="T9" s="195"/>
      <c r="U9" s="195"/>
      <c r="V9" s="195"/>
      <c r="W9" s="195"/>
      <c r="X9" s="195"/>
      <c r="Y9" s="8"/>
    </row>
    <row r="10" spans="1:25" ht="6" customHeigh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8"/>
    </row>
    <row r="11" spans="1:25" ht="12.75" customHeight="1" x14ac:dyDescent="0.2">
      <c r="A11" s="207" t="s">
        <v>53</v>
      </c>
      <c r="B11" s="207"/>
      <c r="C11" s="207"/>
      <c r="D11" s="207"/>
      <c r="E11" s="207"/>
      <c r="F11" s="207"/>
      <c r="G11" s="207"/>
      <c r="H11" s="207"/>
      <c r="I11" s="207"/>
      <c r="J11" s="207"/>
      <c r="K11" s="207"/>
      <c r="L11" s="207"/>
      <c r="M11" s="207"/>
      <c r="N11" s="207"/>
      <c r="O11" s="207"/>
      <c r="P11" s="207"/>
      <c r="Q11" s="207"/>
      <c r="R11" s="207"/>
      <c r="S11" s="207"/>
      <c r="T11" s="207"/>
      <c r="U11" s="207"/>
      <c r="V11" s="207"/>
      <c r="W11" s="207"/>
      <c r="X11" s="207"/>
    </row>
    <row r="12" spans="1:25" ht="6"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5" ht="24.95" customHeight="1" x14ac:dyDescent="0.2">
      <c r="A13" s="207" t="s">
        <v>0</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row>
    <row r="15" spans="1:25" x14ac:dyDescent="0.2">
      <c r="A15" s="194" t="s">
        <v>11</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row>
    <row r="17" spans="1:24" x14ac:dyDescent="0.2">
      <c r="A17" s="211" t="s">
        <v>54</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row>
    <row r="18" spans="1:24" ht="6" customHeight="1" x14ac:dyDescent="0.2">
      <c r="A18" s="20"/>
      <c r="B18" s="20"/>
      <c r="C18" s="20"/>
      <c r="D18" s="20"/>
      <c r="E18" s="20"/>
      <c r="F18" s="20"/>
      <c r="G18" s="20"/>
      <c r="H18" s="20"/>
      <c r="I18" s="20"/>
      <c r="J18" s="20"/>
      <c r="K18" s="20"/>
      <c r="L18" s="20"/>
      <c r="M18" s="20"/>
      <c r="N18" s="20"/>
      <c r="O18" s="20"/>
      <c r="P18" s="20"/>
      <c r="Q18" s="20"/>
      <c r="R18" s="20"/>
      <c r="S18" s="20"/>
      <c r="T18" s="20"/>
      <c r="U18" s="20"/>
      <c r="V18" s="20"/>
      <c r="W18" s="20"/>
      <c r="X18" s="20"/>
    </row>
    <row r="19" spans="1:24" ht="12.75" customHeight="1" x14ac:dyDescent="0.2">
      <c r="A19" s="177" t="s">
        <v>4</v>
      </c>
      <c r="B19" s="177"/>
      <c r="C19" s="178"/>
      <c r="D19" s="178"/>
      <c r="E19" s="178"/>
      <c r="F19" s="178"/>
      <c r="G19" s="178"/>
      <c r="H19" s="178"/>
      <c r="I19" s="178"/>
      <c r="J19" s="178"/>
      <c r="K19" s="178"/>
      <c r="L19" s="178"/>
      <c r="M19" s="178"/>
      <c r="N19" s="178"/>
      <c r="O19" s="178"/>
      <c r="P19" s="178"/>
      <c r="Q19" s="178"/>
      <c r="R19" s="178"/>
      <c r="S19" s="178"/>
      <c r="T19" s="178"/>
      <c r="U19" s="178"/>
      <c r="V19" s="178"/>
      <c r="W19" s="178"/>
      <c r="X19" s="178"/>
    </row>
    <row r="20" spans="1:24" ht="6" customHeight="1" x14ac:dyDescent="0.2">
      <c r="A20" s="22"/>
      <c r="B20" s="22"/>
      <c r="C20" s="23"/>
      <c r="D20" s="23"/>
      <c r="E20" s="23"/>
      <c r="F20" s="23"/>
      <c r="G20" s="23"/>
      <c r="H20" s="23"/>
      <c r="I20" s="23"/>
      <c r="J20" s="23"/>
      <c r="K20" s="23"/>
      <c r="L20" s="23"/>
      <c r="M20" s="23"/>
      <c r="N20" s="23"/>
      <c r="O20" s="23"/>
      <c r="P20" s="23"/>
      <c r="Q20" s="23"/>
      <c r="R20" s="23"/>
      <c r="S20" s="23"/>
      <c r="T20" s="23"/>
      <c r="U20" s="23"/>
      <c r="V20" s="23"/>
      <c r="W20" s="23"/>
      <c r="X20" s="23"/>
    </row>
    <row r="21" spans="1:24" ht="12.75" customHeight="1" x14ac:dyDescent="0.2">
      <c r="A21" s="168" t="s">
        <v>103</v>
      </c>
      <c r="B21" s="168"/>
      <c r="C21" s="199"/>
      <c r="D21" s="199"/>
      <c r="E21" s="199"/>
      <c r="F21" s="199"/>
      <c r="G21" s="199"/>
      <c r="H21" s="199"/>
      <c r="I21" s="199"/>
      <c r="J21" s="199"/>
      <c r="K21" s="199"/>
      <c r="L21" s="199"/>
      <c r="M21" s="199"/>
      <c r="N21" s="199"/>
      <c r="O21" s="199"/>
      <c r="P21" s="199"/>
      <c r="Q21" s="199"/>
      <c r="R21" s="199"/>
      <c r="S21" s="199"/>
      <c r="T21" s="199"/>
      <c r="U21" s="199"/>
      <c r="V21" s="199"/>
      <c r="W21" s="199"/>
      <c r="X21" s="199"/>
    </row>
    <row r="22" spans="1:24" ht="6" customHeight="1" x14ac:dyDescent="0.2">
      <c r="A22" s="9"/>
      <c r="B22" s="9"/>
    </row>
    <row r="23" spans="1:24" ht="12.75" customHeight="1" x14ac:dyDescent="0.2">
      <c r="A23" s="183" t="s">
        <v>59</v>
      </c>
      <c r="B23" s="185"/>
      <c r="C23" s="186" t="s">
        <v>55</v>
      </c>
      <c r="D23" s="187"/>
      <c r="E23" s="187"/>
      <c r="F23" s="187"/>
      <c r="G23" s="187"/>
      <c r="H23" s="187"/>
      <c r="I23" s="188"/>
      <c r="J23" s="183" t="s">
        <v>56</v>
      </c>
      <c r="K23" s="184"/>
      <c r="L23" s="184"/>
      <c r="M23" s="184"/>
      <c r="N23" s="184"/>
      <c r="O23" s="184"/>
      <c r="P23" s="184"/>
      <c r="Q23" s="184"/>
      <c r="R23" s="184"/>
      <c r="S23" s="184"/>
      <c r="T23" s="185"/>
      <c r="U23" s="183" t="s">
        <v>57</v>
      </c>
      <c r="V23" s="184"/>
      <c r="W23" s="184"/>
      <c r="X23" s="185"/>
    </row>
    <row r="24" spans="1:24" ht="12.75" customHeight="1" x14ac:dyDescent="0.2">
      <c r="A24" s="208" t="s">
        <v>268</v>
      </c>
      <c r="B24" s="209"/>
      <c r="C24" s="208" t="s">
        <v>209</v>
      </c>
      <c r="D24" s="210"/>
      <c r="E24" s="210"/>
      <c r="F24" s="210"/>
      <c r="G24" s="210"/>
      <c r="H24" s="210"/>
      <c r="I24" s="209"/>
      <c r="J24" s="196" t="s">
        <v>210</v>
      </c>
      <c r="K24" s="197"/>
      <c r="L24" s="197"/>
      <c r="M24" s="197"/>
      <c r="N24" s="197"/>
      <c r="O24" s="197"/>
      <c r="P24" s="197"/>
      <c r="Q24" s="197"/>
      <c r="R24" s="197"/>
      <c r="S24" s="197"/>
      <c r="T24" s="198"/>
      <c r="U24" s="208" t="s">
        <v>211</v>
      </c>
      <c r="V24" s="210"/>
      <c r="W24" s="210"/>
      <c r="X24" s="209"/>
    </row>
    <row r="25" spans="1:24" ht="6" customHeight="1" x14ac:dyDescent="0.2">
      <c r="A25"/>
      <c r="B25"/>
      <c r="F25"/>
      <c r="G25"/>
      <c r="H25"/>
    </row>
    <row r="26" spans="1:24" x14ac:dyDescent="0.2">
      <c r="A26" s="186" t="s">
        <v>84</v>
      </c>
      <c r="B26" s="187"/>
      <c r="C26" s="187"/>
      <c r="D26" s="187"/>
      <c r="E26" s="187"/>
      <c r="F26" s="187"/>
      <c r="G26" s="187"/>
      <c r="H26" s="187"/>
      <c r="I26" s="188"/>
      <c r="J26" s="186" t="s">
        <v>85</v>
      </c>
      <c r="K26" s="187"/>
      <c r="L26" s="187"/>
      <c r="M26" s="187"/>
      <c r="N26" s="187"/>
      <c r="O26" s="187"/>
      <c r="P26" s="187"/>
      <c r="Q26" s="187"/>
      <c r="R26" s="187"/>
      <c r="S26" s="187"/>
      <c r="T26" s="188"/>
      <c r="U26" s="186" t="s">
        <v>125</v>
      </c>
      <c r="V26" s="187"/>
      <c r="W26" s="187"/>
      <c r="X26" s="188"/>
    </row>
    <row r="27" spans="1:24" x14ac:dyDescent="0.2">
      <c r="A27" s="196" t="s">
        <v>213</v>
      </c>
      <c r="B27" s="190"/>
      <c r="C27" s="190"/>
      <c r="D27" s="190"/>
      <c r="E27" s="190"/>
      <c r="F27" s="190"/>
      <c r="G27" s="190"/>
      <c r="H27" s="190"/>
      <c r="I27" s="191"/>
      <c r="J27" s="196" t="s">
        <v>214</v>
      </c>
      <c r="K27" s="197"/>
      <c r="L27" s="197"/>
      <c r="M27" s="197"/>
      <c r="N27" s="197"/>
      <c r="O27" s="197"/>
      <c r="P27" s="197"/>
      <c r="Q27" s="197"/>
      <c r="R27" s="197"/>
      <c r="S27" s="197"/>
      <c r="T27" s="198"/>
      <c r="U27" s="189" t="s">
        <v>212</v>
      </c>
      <c r="V27" s="190"/>
      <c r="W27" s="190"/>
      <c r="X27" s="191"/>
    </row>
    <row r="28" spans="1:24" ht="9" customHeight="1" x14ac:dyDescent="0.2"/>
    <row r="29" spans="1:24" s="11" customFormat="1" x14ac:dyDescent="0.2">
      <c r="A29" s="183" t="s">
        <v>6</v>
      </c>
      <c r="B29" s="185"/>
      <c r="C29" s="183" t="s">
        <v>5</v>
      </c>
      <c r="D29" s="185"/>
      <c r="E29" s="186" t="s">
        <v>101</v>
      </c>
      <c r="F29" s="187"/>
      <c r="G29" s="187"/>
      <c r="H29" s="187"/>
      <c r="I29" s="187"/>
      <c r="J29" s="187"/>
      <c r="K29" s="187"/>
      <c r="L29" s="187"/>
      <c r="M29" s="187"/>
      <c r="N29" s="187"/>
      <c r="O29" s="187"/>
      <c r="P29" s="187"/>
      <c r="Q29" s="187"/>
      <c r="R29" s="187"/>
      <c r="S29" s="188"/>
      <c r="T29" s="156" t="s">
        <v>62</v>
      </c>
      <c r="U29" s="156" t="s">
        <v>63</v>
      </c>
      <c r="V29" s="156" t="s">
        <v>64</v>
      </c>
      <c r="W29" s="156" t="s">
        <v>65</v>
      </c>
      <c r="X29" s="156" t="s">
        <v>66</v>
      </c>
    </row>
    <row r="30" spans="1:24" ht="12.75" customHeight="1" x14ac:dyDescent="0.2">
      <c r="A30" s="222">
        <v>44835</v>
      </c>
      <c r="B30" s="223"/>
      <c r="C30" s="217">
        <v>44896</v>
      </c>
      <c r="D30" s="218"/>
      <c r="E30" s="219" t="s">
        <v>215</v>
      </c>
      <c r="F30" s="220"/>
      <c r="G30" s="220"/>
      <c r="H30" s="220"/>
      <c r="I30" s="220"/>
      <c r="J30" s="220"/>
      <c r="K30" s="220"/>
      <c r="L30" s="220"/>
      <c r="M30" s="220"/>
      <c r="N30" s="220"/>
      <c r="O30" s="220"/>
      <c r="P30" s="220"/>
      <c r="Q30" s="220"/>
      <c r="R30" s="220"/>
      <c r="S30" s="221"/>
      <c r="T30" s="157">
        <v>0.25</v>
      </c>
      <c r="U30" s="154"/>
      <c r="V30" s="154"/>
      <c r="W30" s="154"/>
      <c r="X30" s="154"/>
    </row>
    <row r="31" spans="1:24" ht="9" customHeight="1" x14ac:dyDescent="0.2">
      <c r="A31" s="155"/>
      <c r="B31" s="155"/>
      <c r="C31" s="158"/>
      <c r="D31" s="158"/>
      <c r="E31" s="158"/>
      <c r="F31" s="158"/>
      <c r="G31" s="158"/>
      <c r="H31" s="158"/>
      <c r="I31" s="158"/>
      <c r="J31" s="158"/>
      <c r="K31" s="158"/>
      <c r="L31" s="12"/>
      <c r="M31" s="12"/>
      <c r="N31" s="12"/>
      <c r="O31" s="12"/>
      <c r="P31" s="12"/>
      <c r="Q31" s="12"/>
      <c r="R31" s="12"/>
      <c r="S31" s="12"/>
      <c r="T31" s="12"/>
      <c r="U31" s="12"/>
      <c r="V31" s="12"/>
      <c r="W31" s="12"/>
      <c r="X31" s="12"/>
    </row>
    <row r="32" spans="1:24" ht="12.75" customHeight="1" x14ac:dyDescent="0.2">
      <c r="A32" s="170" t="s">
        <v>128</v>
      </c>
      <c r="B32" s="171"/>
      <c r="C32" s="171"/>
      <c r="D32" s="171"/>
      <c r="E32" s="172"/>
      <c r="F32" s="170" t="s">
        <v>129</v>
      </c>
      <c r="G32" s="171"/>
      <c r="H32" s="171"/>
      <c r="I32" s="171"/>
      <c r="J32" s="172"/>
    </row>
    <row r="33" spans="1:24" ht="12.75" customHeight="1" x14ac:dyDescent="0.2">
      <c r="A33" s="159" t="s">
        <v>126</v>
      </c>
      <c r="B33" s="163" t="s">
        <v>290</v>
      </c>
      <c r="C33" s="213"/>
      <c r="D33" s="213"/>
      <c r="E33" s="214"/>
      <c r="F33" s="159" t="s">
        <v>126</v>
      </c>
      <c r="G33" s="163" t="s">
        <v>266</v>
      </c>
      <c r="H33" s="163"/>
      <c r="I33" s="163"/>
      <c r="J33" s="164"/>
    </row>
    <row r="34" spans="1:24" ht="11.25" customHeight="1" x14ac:dyDescent="0.2">
      <c r="A34" s="160" t="s">
        <v>127</v>
      </c>
      <c r="B34" s="165" t="s">
        <v>291</v>
      </c>
      <c r="C34" s="166"/>
      <c r="D34" s="166"/>
      <c r="E34" s="167"/>
      <c r="F34" s="160" t="s">
        <v>127</v>
      </c>
      <c r="G34" s="165" t="s">
        <v>267</v>
      </c>
      <c r="H34" s="166"/>
      <c r="I34" s="166"/>
      <c r="J34" s="167"/>
      <c r="L34" s="12"/>
      <c r="R34" s="12"/>
      <c r="S34" s="12"/>
      <c r="T34" s="12"/>
      <c r="U34" s="12"/>
      <c r="V34" s="12"/>
      <c r="W34" s="12"/>
      <c r="X34" s="12"/>
    </row>
    <row r="35" spans="1:24" ht="12.75" customHeight="1" x14ac:dyDescent="0.2">
      <c r="A35" s="168"/>
      <c r="B35" s="168"/>
      <c r="C35" s="199"/>
      <c r="D35" s="199"/>
      <c r="E35" s="199"/>
      <c r="F35" s="199"/>
      <c r="G35" s="199"/>
      <c r="H35" s="199"/>
      <c r="I35" s="199"/>
      <c r="J35" s="199"/>
      <c r="K35" s="199"/>
      <c r="L35" s="199"/>
      <c r="M35" s="199"/>
      <c r="N35" s="199"/>
      <c r="O35" s="199"/>
      <c r="P35" s="199"/>
      <c r="Q35" s="199"/>
      <c r="R35" s="199"/>
      <c r="S35" s="199"/>
      <c r="T35" s="199"/>
      <c r="U35" s="199"/>
      <c r="V35" s="199"/>
      <c r="W35" s="199"/>
      <c r="X35" s="199"/>
    </row>
    <row r="36" spans="1:24" ht="12.75" customHeight="1" x14ac:dyDescent="0.2">
      <c r="A36" s="177" t="s">
        <v>104</v>
      </c>
      <c r="B36" s="177"/>
      <c r="C36" s="178"/>
      <c r="D36" s="178"/>
      <c r="E36" s="178"/>
      <c r="F36" s="178"/>
      <c r="G36" s="178"/>
      <c r="H36" s="178"/>
      <c r="I36" s="178"/>
      <c r="J36" s="178"/>
      <c r="K36" s="178"/>
      <c r="L36" s="178"/>
      <c r="M36" s="178"/>
      <c r="N36" s="178"/>
      <c r="O36" s="178"/>
      <c r="P36" s="178"/>
      <c r="Q36" s="178"/>
      <c r="R36" s="178"/>
      <c r="S36" s="178"/>
      <c r="T36" s="178"/>
      <c r="U36" s="178"/>
      <c r="V36" s="178"/>
      <c r="W36" s="178"/>
      <c r="X36" s="178"/>
    </row>
    <row r="37" spans="1:24" ht="12.75" customHeight="1" x14ac:dyDescent="0.2">
      <c r="A37" s="10"/>
      <c r="B37" s="10"/>
      <c r="C37" s="12"/>
      <c r="D37" s="12"/>
      <c r="E37" s="12"/>
      <c r="F37" s="12"/>
      <c r="G37" s="12"/>
      <c r="H37" s="12"/>
      <c r="I37" s="12"/>
      <c r="J37" s="12"/>
      <c r="K37" s="12"/>
      <c r="L37" s="12"/>
      <c r="M37" s="12"/>
      <c r="N37" s="12"/>
      <c r="O37" s="12"/>
      <c r="P37" s="12"/>
      <c r="Q37" s="12"/>
      <c r="R37" s="12"/>
      <c r="S37" s="12"/>
      <c r="T37" s="12"/>
      <c r="U37" s="12"/>
      <c r="V37" s="12"/>
      <c r="W37" s="12"/>
      <c r="X37" s="12"/>
    </row>
    <row r="38" spans="1:24" ht="12.75" customHeight="1" x14ac:dyDescent="0.2">
      <c r="A38" s="168" t="s">
        <v>105</v>
      </c>
      <c r="B38" s="168"/>
      <c r="C38" s="199"/>
      <c r="D38" s="199"/>
      <c r="E38" s="199"/>
      <c r="F38" s="199"/>
      <c r="G38" s="199"/>
      <c r="H38" s="199"/>
      <c r="I38" s="199"/>
      <c r="J38" s="199"/>
      <c r="K38" s="199"/>
      <c r="L38" s="199"/>
      <c r="M38" s="199"/>
      <c r="N38" s="199"/>
      <c r="O38" s="199"/>
      <c r="P38" s="199"/>
      <c r="Q38" s="199"/>
      <c r="R38" s="199"/>
      <c r="S38" s="199"/>
      <c r="T38" s="199"/>
      <c r="U38" s="199"/>
      <c r="V38" s="199"/>
      <c r="W38" s="199"/>
      <c r="X38" s="199"/>
    </row>
    <row r="39" spans="1:24" ht="12.75" customHeight="1" x14ac:dyDescent="0.2">
      <c r="A39" s="168" t="s">
        <v>106</v>
      </c>
      <c r="B39" s="168"/>
      <c r="C39" s="199"/>
      <c r="D39" s="199"/>
      <c r="E39" s="199"/>
      <c r="F39" s="199"/>
      <c r="G39" s="199"/>
      <c r="H39" s="199"/>
      <c r="I39" s="199"/>
      <c r="J39" s="199"/>
      <c r="K39" s="199"/>
      <c r="L39" s="199"/>
      <c r="M39" s="199"/>
      <c r="N39" s="199"/>
      <c r="O39" s="199"/>
      <c r="P39" s="199"/>
      <c r="Q39" s="199"/>
      <c r="R39" s="199"/>
      <c r="S39" s="199"/>
      <c r="T39" s="199"/>
      <c r="U39" s="199"/>
      <c r="V39" s="199"/>
      <c r="W39" s="199"/>
      <c r="X39" s="199"/>
    </row>
    <row r="40" spans="1:24" ht="12.75" customHeight="1" x14ac:dyDescent="0.2">
      <c r="A40" s="173" t="s">
        <v>107</v>
      </c>
      <c r="B40" s="173"/>
      <c r="C40" s="200"/>
      <c r="D40" s="200"/>
      <c r="E40" s="200"/>
      <c r="F40" s="200"/>
      <c r="G40" s="200"/>
      <c r="H40" s="200"/>
      <c r="I40" s="200"/>
      <c r="J40" s="200"/>
      <c r="K40" s="200"/>
      <c r="L40" s="200"/>
      <c r="M40" s="200"/>
      <c r="N40" s="200"/>
      <c r="O40" s="200"/>
      <c r="P40" s="200"/>
      <c r="Q40" s="200"/>
      <c r="R40" s="200"/>
      <c r="S40" s="200"/>
      <c r="T40" s="200"/>
      <c r="U40" s="200"/>
      <c r="V40" s="200"/>
      <c r="W40" s="200"/>
      <c r="X40" s="200"/>
    </row>
    <row r="41" spans="1:24" ht="12.75" customHeight="1" x14ac:dyDescent="0.2">
      <c r="A41" s="173" t="s">
        <v>108</v>
      </c>
      <c r="B41" s="173"/>
      <c r="C41" s="200"/>
      <c r="D41" s="200"/>
      <c r="E41" s="200"/>
      <c r="F41" s="200"/>
      <c r="G41" s="200"/>
      <c r="H41" s="200"/>
      <c r="I41" s="200"/>
      <c r="J41" s="200"/>
      <c r="K41" s="200"/>
      <c r="L41" s="200"/>
      <c r="M41" s="200"/>
      <c r="N41" s="200"/>
      <c r="O41" s="200"/>
      <c r="P41" s="200"/>
      <c r="Q41" s="200"/>
      <c r="R41" s="200"/>
      <c r="S41" s="200"/>
      <c r="T41" s="200"/>
      <c r="U41" s="200"/>
      <c r="V41" s="200"/>
      <c r="W41" s="200"/>
      <c r="X41" s="200"/>
    </row>
    <row r="42" spans="1:24" ht="12.75" customHeight="1" x14ac:dyDescent="0.2">
      <c r="A42" s="168" t="s">
        <v>109</v>
      </c>
      <c r="B42" s="168"/>
      <c r="C42" s="199"/>
      <c r="D42" s="199"/>
      <c r="E42" s="199"/>
      <c r="F42" s="199"/>
      <c r="G42" s="199"/>
      <c r="H42" s="199"/>
      <c r="I42" s="199"/>
      <c r="J42" s="199"/>
      <c r="K42" s="199"/>
      <c r="L42" s="199"/>
      <c r="M42" s="199"/>
      <c r="N42" s="199"/>
      <c r="O42" s="199"/>
      <c r="P42" s="199"/>
      <c r="Q42" s="199"/>
      <c r="R42" s="199"/>
      <c r="S42" s="199"/>
      <c r="T42" s="199"/>
      <c r="U42" s="199"/>
      <c r="V42" s="199"/>
      <c r="W42" s="199"/>
      <c r="X42" s="199"/>
    </row>
    <row r="43" spans="1:24" ht="12.75" customHeight="1" x14ac:dyDescent="0.2">
      <c r="A43" s="10"/>
      <c r="B43" s="10"/>
      <c r="C43" s="12"/>
      <c r="D43" s="12"/>
      <c r="E43" s="12"/>
      <c r="F43" s="12"/>
      <c r="G43" s="12"/>
      <c r="H43" s="12"/>
      <c r="I43" s="12"/>
      <c r="J43" s="12"/>
      <c r="K43" s="12"/>
      <c r="L43" s="12"/>
      <c r="M43" s="12"/>
      <c r="N43" s="12"/>
      <c r="O43" s="12"/>
      <c r="P43" s="12"/>
      <c r="Q43" s="12"/>
      <c r="R43" s="12"/>
      <c r="S43" s="12"/>
      <c r="T43" s="12"/>
      <c r="U43" s="12"/>
      <c r="V43" s="12"/>
      <c r="W43" s="12"/>
      <c r="X43" s="12"/>
    </row>
    <row r="44" spans="1:24" ht="12.75" customHeight="1" x14ac:dyDescent="0.2">
      <c r="A44" s="177" t="s">
        <v>130</v>
      </c>
      <c r="B44" s="177"/>
      <c r="C44" s="178"/>
      <c r="D44" s="178"/>
      <c r="E44" s="178"/>
      <c r="F44" s="178"/>
      <c r="G44" s="178"/>
      <c r="H44" s="178"/>
      <c r="I44" s="178"/>
      <c r="J44" s="178"/>
      <c r="K44" s="178"/>
      <c r="L44" s="178"/>
      <c r="M44" s="178"/>
      <c r="N44" s="178"/>
      <c r="O44" s="178"/>
      <c r="P44" s="178"/>
      <c r="Q44" s="178"/>
      <c r="R44" s="178"/>
      <c r="S44" s="178"/>
      <c r="T44" s="178"/>
      <c r="U44" s="178"/>
      <c r="V44" s="178"/>
      <c r="W44" s="178"/>
      <c r="X44" s="178"/>
    </row>
    <row r="45" spans="1:24" x14ac:dyDescent="0.2">
      <c r="A45" s="22"/>
      <c r="B45" s="22"/>
      <c r="C45" s="23"/>
      <c r="D45" s="23"/>
      <c r="E45" s="23"/>
      <c r="F45" s="23"/>
      <c r="G45" s="23"/>
      <c r="H45" s="23"/>
      <c r="I45" s="23"/>
      <c r="J45" s="23"/>
      <c r="K45" s="23"/>
      <c r="L45" s="23"/>
      <c r="M45" s="23"/>
      <c r="N45" s="23"/>
      <c r="O45" s="23"/>
      <c r="P45" s="23"/>
      <c r="Q45" s="23"/>
      <c r="R45" s="23"/>
      <c r="S45" s="23"/>
      <c r="T45" s="23"/>
      <c r="U45" s="23"/>
      <c r="V45" s="23"/>
      <c r="W45" s="23"/>
      <c r="X45" s="23"/>
    </row>
    <row r="46" spans="1:24" ht="12.75" customHeight="1" x14ac:dyDescent="0.2">
      <c r="A46" s="168" t="s">
        <v>131</v>
      </c>
      <c r="B46" s="168"/>
      <c r="C46" s="169"/>
      <c r="D46" s="169"/>
      <c r="E46" s="169"/>
      <c r="F46" s="169"/>
      <c r="G46" s="169"/>
      <c r="H46" s="169"/>
      <c r="I46" s="169"/>
      <c r="J46" s="169"/>
      <c r="K46" s="169"/>
      <c r="L46" s="169"/>
      <c r="M46" s="169"/>
      <c r="N46" s="169"/>
      <c r="O46" s="169"/>
      <c r="P46" s="169"/>
      <c r="Q46" s="169"/>
      <c r="R46" s="169"/>
      <c r="S46" s="169"/>
      <c r="T46" s="169"/>
      <c r="U46" s="169"/>
      <c r="V46" s="169"/>
      <c r="W46" s="169"/>
      <c r="X46" s="169"/>
    </row>
    <row r="47" spans="1:24" ht="12.75" customHeight="1" x14ac:dyDescent="0.2">
      <c r="A47" s="201" t="s">
        <v>67</v>
      </c>
      <c r="B47" s="201"/>
      <c r="C47" s="202"/>
      <c r="D47" s="202"/>
      <c r="E47" s="202"/>
      <c r="F47" s="202"/>
      <c r="G47" s="202"/>
      <c r="H47" s="202"/>
      <c r="I47" s="202"/>
      <c r="J47" s="202"/>
      <c r="K47" s="202"/>
      <c r="L47" s="202"/>
      <c r="M47" s="202"/>
      <c r="N47" s="202"/>
      <c r="O47" s="202"/>
      <c r="P47" s="202"/>
      <c r="Q47" s="202"/>
      <c r="R47" s="202"/>
      <c r="S47" s="202"/>
      <c r="T47" s="202"/>
      <c r="U47" s="202"/>
      <c r="V47" s="202"/>
      <c r="W47" s="202"/>
      <c r="X47" s="202"/>
    </row>
    <row r="48" spans="1:24" ht="12.75" customHeight="1" x14ac:dyDescent="0.2">
      <c r="A48" s="215" t="s">
        <v>110</v>
      </c>
      <c r="B48" s="215"/>
      <c r="C48" s="216"/>
      <c r="D48" s="216"/>
      <c r="E48" s="216"/>
      <c r="F48" s="216"/>
      <c r="G48" s="216"/>
      <c r="H48" s="216"/>
      <c r="I48" s="216"/>
      <c r="J48" s="216"/>
      <c r="K48" s="216"/>
      <c r="L48" s="216"/>
      <c r="M48" s="216"/>
      <c r="N48" s="216"/>
      <c r="O48" s="216"/>
      <c r="P48" s="216"/>
      <c r="Q48" s="216"/>
      <c r="R48" s="216"/>
      <c r="S48" s="216"/>
      <c r="T48" s="216"/>
      <c r="U48" s="216"/>
      <c r="V48" s="216"/>
      <c r="W48" s="216"/>
      <c r="X48" s="216"/>
    </row>
    <row r="49" spans="1:24" ht="12.75" customHeight="1" x14ac:dyDescent="0.2">
      <c r="A49" s="205" t="s">
        <v>111</v>
      </c>
      <c r="B49" s="205"/>
      <c r="C49" s="206"/>
      <c r="D49" s="206"/>
      <c r="E49" s="206"/>
      <c r="F49" s="206"/>
      <c r="G49" s="206"/>
      <c r="H49" s="206"/>
      <c r="I49" s="206"/>
      <c r="J49" s="206"/>
      <c r="K49" s="206"/>
      <c r="L49" s="206"/>
      <c r="M49" s="206"/>
      <c r="N49" s="206"/>
      <c r="O49" s="206"/>
      <c r="P49" s="206"/>
      <c r="Q49" s="206"/>
      <c r="R49" s="206"/>
      <c r="S49" s="206"/>
      <c r="T49" s="206"/>
      <c r="U49" s="206"/>
      <c r="V49" s="206"/>
      <c r="W49" s="206"/>
      <c r="X49" s="206"/>
    </row>
    <row r="50" spans="1:24" ht="12.75" customHeight="1" x14ac:dyDescent="0.2">
      <c r="A50" s="203" t="s">
        <v>112</v>
      </c>
      <c r="B50" s="203"/>
      <c r="C50" s="204"/>
      <c r="D50" s="204"/>
      <c r="E50" s="204"/>
      <c r="F50" s="204"/>
      <c r="G50" s="204"/>
      <c r="H50" s="204"/>
      <c r="I50" s="204"/>
      <c r="J50" s="204"/>
      <c r="K50" s="204"/>
      <c r="L50" s="204"/>
      <c r="M50" s="204"/>
      <c r="N50" s="204"/>
      <c r="O50" s="204"/>
      <c r="P50" s="204"/>
      <c r="Q50" s="204"/>
      <c r="R50" s="204"/>
      <c r="S50" s="204"/>
      <c r="T50" s="204"/>
      <c r="U50" s="204"/>
      <c r="V50" s="204"/>
      <c r="W50" s="204"/>
      <c r="X50" s="204"/>
    </row>
    <row r="51" spans="1:24" ht="12.75" customHeight="1" x14ac:dyDescent="0.2">
      <c r="A51" s="168" t="s">
        <v>132</v>
      </c>
      <c r="B51" s="168"/>
      <c r="C51" s="169"/>
      <c r="D51" s="169"/>
      <c r="E51" s="169"/>
      <c r="F51" s="169"/>
      <c r="G51" s="169"/>
      <c r="H51" s="169"/>
      <c r="I51" s="169"/>
      <c r="J51" s="169"/>
      <c r="K51" s="169"/>
      <c r="L51" s="169"/>
      <c r="M51" s="169"/>
      <c r="N51" s="169"/>
      <c r="O51" s="169"/>
      <c r="P51" s="169"/>
      <c r="Q51" s="169"/>
      <c r="R51" s="169"/>
      <c r="S51" s="169"/>
      <c r="T51" s="169"/>
      <c r="U51" s="169"/>
      <c r="V51" s="169"/>
      <c r="W51" s="169"/>
      <c r="X51" s="169"/>
    </row>
    <row r="52" spans="1:24" ht="12.75" customHeight="1" x14ac:dyDescent="0.2">
      <c r="A52" s="168" t="s">
        <v>133</v>
      </c>
      <c r="B52" s="168"/>
      <c r="C52" s="169"/>
      <c r="D52" s="169"/>
      <c r="E52" s="169"/>
      <c r="F52" s="169"/>
      <c r="G52" s="169"/>
      <c r="H52" s="169"/>
      <c r="I52" s="169"/>
      <c r="J52" s="169"/>
      <c r="K52" s="169"/>
      <c r="L52" s="169"/>
      <c r="M52" s="169"/>
      <c r="N52" s="169"/>
      <c r="O52" s="169"/>
      <c r="P52" s="169"/>
      <c r="Q52" s="169"/>
      <c r="R52" s="169"/>
      <c r="S52" s="169"/>
      <c r="T52" s="169"/>
      <c r="U52" s="169"/>
      <c r="V52" s="169"/>
      <c r="W52" s="169"/>
      <c r="X52" s="169"/>
    </row>
    <row r="53" spans="1:24" ht="12.75" customHeight="1" x14ac:dyDescent="0.2">
      <c r="A53" s="173" t="s">
        <v>134</v>
      </c>
      <c r="B53" s="173"/>
      <c r="C53" s="174"/>
      <c r="D53" s="174"/>
      <c r="E53" s="174"/>
      <c r="F53" s="174"/>
      <c r="G53" s="174"/>
      <c r="H53" s="174"/>
      <c r="I53" s="174"/>
      <c r="J53" s="174"/>
      <c r="K53" s="174"/>
      <c r="L53" s="174"/>
      <c r="M53" s="174"/>
      <c r="N53" s="174"/>
      <c r="O53" s="174"/>
      <c r="P53" s="174"/>
      <c r="Q53" s="174"/>
      <c r="R53" s="174"/>
      <c r="S53" s="174"/>
      <c r="T53" s="174"/>
      <c r="U53" s="174"/>
      <c r="V53" s="174"/>
      <c r="W53" s="174"/>
      <c r="X53" s="174"/>
    </row>
    <row r="54" spans="1:24" ht="12.75" customHeight="1" x14ac:dyDescent="0.2">
      <c r="A54" s="168" t="s">
        <v>135</v>
      </c>
      <c r="B54" s="168"/>
      <c r="C54" s="169"/>
      <c r="D54" s="169"/>
      <c r="E54" s="169"/>
      <c r="F54" s="169"/>
      <c r="G54" s="169"/>
      <c r="H54" s="169"/>
      <c r="I54" s="169"/>
      <c r="J54" s="169"/>
      <c r="K54" s="169"/>
      <c r="L54" s="169"/>
      <c r="M54" s="169"/>
      <c r="N54" s="169"/>
      <c r="O54" s="169"/>
      <c r="P54" s="169"/>
      <c r="Q54" s="169"/>
      <c r="R54" s="169"/>
      <c r="S54" s="169"/>
      <c r="T54" s="169"/>
      <c r="U54" s="169"/>
      <c r="V54" s="169"/>
      <c r="W54" s="169"/>
      <c r="X54" s="169"/>
    </row>
    <row r="55" spans="1:24" ht="12.75" customHeight="1" x14ac:dyDescent="0.2">
      <c r="A55" s="173" t="s">
        <v>136</v>
      </c>
      <c r="B55" s="173"/>
      <c r="C55" s="174"/>
      <c r="D55" s="174"/>
      <c r="E55" s="174"/>
      <c r="F55" s="174"/>
      <c r="G55" s="174"/>
      <c r="H55" s="174"/>
      <c r="I55" s="174"/>
      <c r="J55" s="174"/>
      <c r="K55" s="174"/>
      <c r="L55" s="174"/>
      <c r="M55" s="174"/>
      <c r="N55" s="174"/>
      <c r="O55" s="174"/>
      <c r="P55" s="174"/>
      <c r="Q55" s="174"/>
      <c r="R55" s="174"/>
      <c r="S55" s="174"/>
      <c r="T55" s="174"/>
      <c r="U55" s="174"/>
      <c r="V55" s="174"/>
      <c r="W55" s="174"/>
      <c r="X55" s="174"/>
    </row>
    <row r="56" spans="1:24" ht="25.5" customHeight="1" x14ac:dyDescent="0.2">
      <c r="A56" s="173" t="s">
        <v>137</v>
      </c>
      <c r="B56" s="173"/>
      <c r="C56" s="174"/>
      <c r="D56" s="174"/>
      <c r="E56" s="174"/>
      <c r="F56" s="174"/>
      <c r="G56" s="174"/>
      <c r="H56" s="174"/>
      <c r="I56" s="174"/>
      <c r="J56" s="174"/>
      <c r="K56" s="174"/>
      <c r="L56" s="174"/>
      <c r="M56" s="174"/>
      <c r="N56" s="174"/>
      <c r="O56" s="174"/>
      <c r="P56" s="174"/>
      <c r="Q56" s="174"/>
      <c r="R56" s="174"/>
      <c r="S56" s="174"/>
      <c r="T56" s="174"/>
      <c r="U56" s="174"/>
      <c r="V56" s="174"/>
      <c r="W56" s="174"/>
      <c r="X56" s="174"/>
    </row>
    <row r="57" spans="1:24" ht="12.75" customHeight="1" x14ac:dyDescent="0.2">
      <c r="A57" s="173" t="s">
        <v>138</v>
      </c>
      <c r="B57" s="173"/>
      <c r="C57" s="174"/>
      <c r="D57" s="174"/>
      <c r="E57" s="174"/>
      <c r="F57" s="174"/>
      <c r="G57" s="174"/>
      <c r="H57" s="174"/>
      <c r="I57" s="174"/>
      <c r="J57" s="174"/>
      <c r="K57" s="174"/>
      <c r="L57" s="174"/>
      <c r="M57" s="174"/>
      <c r="N57" s="174"/>
      <c r="O57" s="174"/>
      <c r="P57" s="174"/>
      <c r="Q57" s="174"/>
      <c r="R57" s="174"/>
      <c r="S57" s="174"/>
      <c r="T57" s="174"/>
      <c r="U57" s="174"/>
      <c r="V57" s="174"/>
      <c r="W57" s="174"/>
      <c r="X57" s="174"/>
    </row>
    <row r="58" spans="1:24" ht="12.75" customHeight="1" x14ac:dyDescent="0.2">
      <c r="A58" s="173" t="s">
        <v>139</v>
      </c>
      <c r="B58" s="173"/>
      <c r="C58" s="174"/>
      <c r="D58" s="174"/>
      <c r="E58" s="174"/>
      <c r="F58" s="174"/>
      <c r="G58" s="174"/>
      <c r="H58" s="174"/>
      <c r="I58" s="174"/>
      <c r="J58" s="174"/>
      <c r="K58" s="174"/>
      <c r="L58" s="174"/>
      <c r="M58" s="174"/>
      <c r="N58" s="174"/>
      <c r="O58" s="174"/>
      <c r="P58" s="174"/>
      <c r="Q58" s="174"/>
      <c r="R58" s="174"/>
      <c r="S58" s="174"/>
      <c r="T58" s="174"/>
      <c r="U58" s="174"/>
      <c r="V58" s="174"/>
      <c r="W58" s="174"/>
      <c r="X58" s="174"/>
    </row>
    <row r="59" spans="1:24" ht="12.75" customHeight="1" x14ac:dyDescent="0.2">
      <c r="A59" s="168" t="s">
        <v>140</v>
      </c>
      <c r="B59" s="168"/>
      <c r="C59" s="169"/>
      <c r="D59" s="169"/>
      <c r="E59" s="169"/>
      <c r="F59" s="169"/>
      <c r="G59" s="169"/>
      <c r="H59" s="169"/>
      <c r="I59" s="169"/>
      <c r="J59" s="169"/>
      <c r="K59" s="169"/>
      <c r="L59" s="169"/>
      <c r="M59" s="169"/>
      <c r="N59" s="169"/>
      <c r="O59" s="169"/>
      <c r="P59" s="169"/>
      <c r="Q59" s="169"/>
      <c r="R59" s="169"/>
      <c r="S59" s="169"/>
      <c r="T59" s="169"/>
      <c r="U59" s="169"/>
      <c r="V59" s="169"/>
      <c r="W59" s="169"/>
      <c r="X59" s="169"/>
    </row>
    <row r="60" spans="1:24" ht="12.75" customHeight="1" x14ac:dyDescent="0.2">
      <c r="A60" s="168" t="s">
        <v>141</v>
      </c>
      <c r="B60" s="168"/>
      <c r="C60" s="169"/>
      <c r="D60" s="169"/>
      <c r="E60" s="169"/>
      <c r="F60" s="169"/>
      <c r="G60" s="169"/>
      <c r="H60" s="169"/>
      <c r="I60" s="169"/>
      <c r="J60" s="169"/>
      <c r="K60" s="169"/>
      <c r="L60" s="169"/>
      <c r="M60" s="169"/>
      <c r="N60" s="169"/>
      <c r="O60" s="169"/>
      <c r="P60" s="169"/>
      <c r="Q60" s="169"/>
      <c r="R60" s="169"/>
      <c r="S60" s="169"/>
      <c r="T60" s="169"/>
      <c r="U60" s="169"/>
      <c r="V60" s="169"/>
      <c r="W60" s="169"/>
      <c r="X60" s="169"/>
    </row>
    <row r="61" spans="1:24" ht="12.75" customHeight="1" x14ac:dyDescent="0.2">
      <c r="A61" s="168" t="s">
        <v>142</v>
      </c>
      <c r="B61" s="168"/>
      <c r="C61" s="169"/>
      <c r="D61" s="169"/>
      <c r="E61" s="169"/>
      <c r="F61" s="169"/>
      <c r="G61" s="169"/>
      <c r="H61" s="169"/>
      <c r="I61" s="169"/>
      <c r="J61" s="169"/>
      <c r="K61" s="169"/>
      <c r="L61" s="169"/>
      <c r="M61" s="169"/>
      <c r="N61" s="169"/>
      <c r="O61" s="169"/>
      <c r="P61" s="169"/>
      <c r="Q61" s="169"/>
      <c r="R61" s="169"/>
      <c r="S61" s="169"/>
      <c r="T61" s="169"/>
      <c r="U61" s="169"/>
      <c r="V61" s="169"/>
      <c r="W61" s="169"/>
      <c r="X61" s="169"/>
    </row>
    <row r="62" spans="1:24" ht="12.75" customHeight="1" x14ac:dyDescent="0.2">
      <c r="A62" s="168" t="s">
        <v>143</v>
      </c>
      <c r="B62" s="168"/>
      <c r="C62" s="169"/>
      <c r="D62" s="169"/>
      <c r="E62" s="169"/>
      <c r="F62" s="169"/>
      <c r="G62" s="169"/>
      <c r="H62" s="169"/>
      <c r="I62" s="169"/>
      <c r="J62" s="169"/>
      <c r="K62" s="169"/>
      <c r="L62" s="169"/>
      <c r="M62" s="169"/>
      <c r="N62" s="169"/>
      <c r="O62" s="169"/>
      <c r="P62" s="169"/>
      <c r="Q62" s="169"/>
      <c r="R62" s="169"/>
      <c r="S62" s="169"/>
      <c r="T62" s="169"/>
      <c r="U62" s="169"/>
      <c r="V62" s="169"/>
      <c r="W62" s="169"/>
      <c r="X62" s="169"/>
    </row>
    <row r="63" spans="1:24" ht="12.75" customHeight="1" x14ac:dyDescent="0.2">
      <c r="A63" s="168" t="s">
        <v>144</v>
      </c>
      <c r="B63" s="168"/>
      <c r="C63" s="169"/>
      <c r="D63" s="169"/>
      <c r="E63" s="169"/>
      <c r="F63" s="169"/>
      <c r="G63" s="169"/>
      <c r="H63" s="169"/>
      <c r="I63" s="169"/>
      <c r="J63" s="169"/>
      <c r="K63" s="169"/>
      <c r="L63" s="169"/>
      <c r="M63" s="169"/>
      <c r="N63" s="169"/>
      <c r="O63" s="169"/>
      <c r="P63" s="169"/>
      <c r="Q63" s="169"/>
      <c r="R63" s="169"/>
      <c r="S63" s="169"/>
      <c r="T63" s="169"/>
      <c r="U63" s="169"/>
      <c r="V63" s="169"/>
      <c r="W63" s="169"/>
      <c r="X63" s="169"/>
    </row>
    <row r="64" spans="1:24" x14ac:dyDescent="0.2">
      <c r="A64" s="168"/>
      <c r="B64" s="168"/>
      <c r="C64" s="169"/>
      <c r="D64" s="169"/>
      <c r="E64" s="169"/>
      <c r="F64" s="169"/>
      <c r="G64" s="169"/>
      <c r="H64" s="169"/>
      <c r="I64" s="169"/>
      <c r="J64" s="169"/>
      <c r="K64" s="169"/>
      <c r="L64" s="169"/>
      <c r="M64" s="169"/>
      <c r="N64" s="169"/>
      <c r="O64" s="169"/>
      <c r="P64" s="169"/>
      <c r="Q64" s="169"/>
      <c r="R64" s="169"/>
      <c r="S64" s="169"/>
      <c r="T64" s="169"/>
      <c r="U64" s="169"/>
      <c r="V64" s="169"/>
      <c r="W64" s="169"/>
      <c r="X64" s="169"/>
    </row>
    <row r="65" spans="1:24" x14ac:dyDescent="0.2">
      <c r="A65" s="177" t="s">
        <v>145</v>
      </c>
      <c r="B65" s="177"/>
      <c r="C65" s="178"/>
      <c r="D65" s="178"/>
      <c r="E65" s="178"/>
      <c r="F65" s="178"/>
      <c r="G65" s="178"/>
      <c r="H65" s="178"/>
      <c r="I65" s="178"/>
      <c r="J65" s="178"/>
      <c r="K65" s="178"/>
      <c r="L65" s="178"/>
      <c r="M65" s="178"/>
      <c r="N65" s="178"/>
      <c r="O65" s="178"/>
      <c r="P65" s="178"/>
      <c r="Q65" s="178"/>
      <c r="R65" s="178"/>
      <c r="S65" s="178"/>
      <c r="T65" s="178"/>
      <c r="U65" s="178"/>
      <c r="V65" s="178"/>
      <c r="W65" s="178"/>
      <c r="X65" s="178"/>
    </row>
    <row r="66" spans="1:24" ht="12.75" customHeight="1" x14ac:dyDescent="0.2">
      <c r="A66" s="173"/>
      <c r="B66" s="173"/>
      <c r="C66" s="200"/>
      <c r="D66" s="200"/>
      <c r="E66" s="200"/>
      <c r="F66" s="200"/>
      <c r="G66" s="200"/>
      <c r="H66" s="200"/>
      <c r="I66" s="200"/>
      <c r="J66" s="200"/>
      <c r="K66" s="200"/>
      <c r="L66" s="200"/>
      <c r="M66" s="200"/>
      <c r="N66" s="200"/>
      <c r="O66" s="200"/>
      <c r="P66" s="200"/>
      <c r="Q66" s="200"/>
      <c r="R66" s="200"/>
      <c r="S66" s="200"/>
      <c r="T66" s="200"/>
      <c r="U66" s="200"/>
      <c r="V66" s="200"/>
      <c r="W66" s="200"/>
      <c r="X66" s="200"/>
    </row>
    <row r="67" spans="1:24" ht="12.75" customHeight="1" x14ac:dyDescent="0.2">
      <c r="A67" s="168" t="s">
        <v>146</v>
      </c>
      <c r="B67" s="168"/>
      <c r="C67" s="199"/>
      <c r="D67" s="199"/>
      <c r="E67" s="199"/>
      <c r="F67" s="199"/>
      <c r="G67" s="199"/>
      <c r="H67" s="199"/>
      <c r="I67" s="199"/>
      <c r="J67" s="199"/>
      <c r="K67" s="199"/>
      <c r="L67" s="199"/>
      <c r="M67" s="199"/>
      <c r="N67" s="199"/>
      <c r="O67" s="199"/>
      <c r="P67" s="199"/>
      <c r="Q67" s="199"/>
      <c r="R67" s="199"/>
      <c r="S67" s="199"/>
      <c r="T67" s="199"/>
      <c r="U67" s="199"/>
      <c r="V67" s="199"/>
      <c r="W67" s="199"/>
      <c r="X67" s="199"/>
    </row>
    <row r="68" spans="1:24" ht="12.75" customHeight="1" x14ac:dyDescent="0.2">
      <c r="A68" s="168" t="s">
        <v>147</v>
      </c>
      <c r="B68" s="168"/>
      <c r="C68" s="199"/>
      <c r="D68" s="199"/>
      <c r="E68" s="199"/>
      <c r="F68" s="199"/>
      <c r="G68" s="199"/>
      <c r="H68" s="199"/>
      <c r="I68" s="199"/>
      <c r="J68" s="199"/>
      <c r="K68" s="199"/>
      <c r="L68" s="199"/>
      <c r="M68" s="199"/>
      <c r="N68" s="199"/>
      <c r="O68" s="199"/>
      <c r="P68" s="199"/>
      <c r="Q68" s="199"/>
      <c r="R68" s="199"/>
      <c r="S68" s="199"/>
      <c r="T68" s="199"/>
      <c r="U68" s="199"/>
      <c r="V68" s="199"/>
      <c r="W68" s="199"/>
      <c r="X68" s="199"/>
    </row>
    <row r="69" spans="1:24" x14ac:dyDescent="0.2">
      <c r="A69" s="168" t="s">
        <v>148</v>
      </c>
      <c r="B69" s="168"/>
      <c r="C69" s="199"/>
      <c r="D69" s="199"/>
      <c r="E69" s="199"/>
      <c r="F69" s="199"/>
      <c r="G69" s="199"/>
      <c r="H69" s="199"/>
      <c r="I69" s="199"/>
      <c r="J69" s="199"/>
      <c r="K69" s="199"/>
      <c r="L69" s="199"/>
      <c r="M69" s="199"/>
      <c r="N69" s="199"/>
      <c r="O69" s="199"/>
      <c r="P69" s="199"/>
      <c r="Q69" s="199"/>
      <c r="R69" s="199"/>
      <c r="S69" s="199"/>
      <c r="T69" s="199"/>
      <c r="U69" s="199"/>
      <c r="V69" s="199"/>
      <c r="W69" s="199"/>
      <c r="X69" s="199"/>
    </row>
    <row r="145" spans="1:11" x14ac:dyDescent="0.2">
      <c r="A145" s="175" t="s">
        <v>12</v>
      </c>
      <c r="B145" s="176"/>
      <c r="C145" s="176"/>
      <c r="D145" s="176"/>
      <c r="E145" s="176"/>
      <c r="F145" s="13"/>
      <c r="G145" s="175" t="s">
        <v>81</v>
      </c>
      <c r="H145" s="176"/>
      <c r="I145" s="176"/>
      <c r="J145" s="176"/>
      <c r="K145" s="176"/>
    </row>
    <row r="146" spans="1:11" x14ac:dyDescent="0.2">
      <c r="A146" s="104" t="s">
        <v>31</v>
      </c>
      <c r="B146" s="161" t="str">
        <f>B33</f>
        <v>ANDRELINA NUNES DA SILVA</v>
      </c>
      <c r="C146" s="162"/>
      <c r="D146" s="162"/>
      <c r="E146" s="162"/>
      <c r="F146" s="13"/>
      <c r="G146" s="104" t="s">
        <v>31</v>
      </c>
      <c r="H146" s="161" t="str">
        <f>G33</f>
        <v>LUIZ CELSO MORAES DE OLIVEIRA</v>
      </c>
      <c r="I146" s="162"/>
      <c r="J146" s="162"/>
      <c r="K146" s="162"/>
    </row>
    <row r="147" spans="1:11" x14ac:dyDescent="0.2">
      <c r="A147" s="104" t="s">
        <v>13</v>
      </c>
      <c r="B147" s="161" t="str">
        <f>B34</f>
        <v>CORD.ASSITENTE SOCIAL</v>
      </c>
      <c r="C147" s="162"/>
      <c r="D147" s="162"/>
      <c r="E147" s="162"/>
      <c r="F147" s="13"/>
      <c r="G147" s="104" t="s">
        <v>13</v>
      </c>
      <c r="H147" s="161" t="str">
        <f>G34</f>
        <v xml:space="preserve">SECRETARIO DE VIAÇÃO E OBRAS </v>
      </c>
      <c r="I147" s="162"/>
      <c r="J147" s="162"/>
      <c r="K147" s="162"/>
    </row>
  </sheetData>
  <sheetProtection sheet="1" objects="1" scenarios="1" formatRows="0"/>
  <mergeCells count="75">
    <mergeCell ref="A48:X48"/>
    <mergeCell ref="A39:X39"/>
    <mergeCell ref="A41:X41"/>
    <mergeCell ref="A46:X46"/>
    <mergeCell ref="A44:X44"/>
    <mergeCell ref="A36:X36"/>
    <mergeCell ref="A38:X38"/>
    <mergeCell ref="B33:E33"/>
    <mergeCell ref="A26:I26"/>
    <mergeCell ref="A27:I27"/>
    <mergeCell ref="C29:D29"/>
    <mergeCell ref="A29:B29"/>
    <mergeCell ref="C30:D30"/>
    <mergeCell ref="E30:S30"/>
    <mergeCell ref="A30:B30"/>
    <mergeCell ref="A52:X52"/>
    <mergeCell ref="A51:X51"/>
    <mergeCell ref="A49:X49"/>
    <mergeCell ref="A9:X9"/>
    <mergeCell ref="A19:X19"/>
    <mergeCell ref="A11:X11"/>
    <mergeCell ref="A13:X13"/>
    <mergeCell ref="A24:B24"/>
    <mergeCell ref="C23:I23"/>
    <mergeCell ref="C24:I24"/>
    <mergeCell ref="A17:X17"/>
    <mergeCell ref="A21:X21"/>
    <mergeCell ref="A15:X15"/>
    <mergeCell ref="U26:X26"/>
    <mergeCell ref="G34:J34"/>
    <mergeCell ref="E29:S29"/>
    <mergeCell ref="B147:E147"/>
    <mergeCell ref="A42:X42"/>
    <mergeCell ref="A35:X35"/>
    <mergeCell ref="A40:X40"/>
    <mergeCell ref="H146:K146"/>
    <mergeCell ref="G145:K145"/>
    <mergeCell ref="A59:X59"/>
    <mergeCell ref="H147:K147"/>
    <mergeCell ref="A60:X60"/>
    <mergeCell ref="A68:X68"/>
    <mergeCell ref="A66:X66"/>
    <mergeCell ref="A54:X54"/>
    <mergeCell ref="A47:X47"/>
    <mergeCell ref="A53:X53"/>
    <mergeCell ref="A58:X58"/>
    <mergeCell ref="A56:X56"/>
    <mergeCell ref="B1:X2"/>
    <mergeCell ref="J23:T23"/>
    <mergeCell ref="A23:B23"/>
    <mergeCell ref="J26:T26"/>
    <mergeCell ref="U27:X27"/>
    <mergeCell ref="A5:X5"/>
    <mergeCell ref="A4:X4"/>
    <mergeCell ref="A7:X7"/>
    <mergeCell ref="U23:X23"/>
    <mergeCell ref="J27:T27"/>
    <mergeCell ref="J24:T24"/>
    <mergeCell ref="U24:X24"/>
    <mergeCell ref="B146:E146"/>
    <mergeCell ref="G33:J33"/>
    <mergeCell ref="B34:E34"/>
    <mergeCell ref="A61:X61"/>
    <mergeCell ref="A32:E32"/>
    <mergeCell ref="F32:J32"/>
    <mergeCell ref="A57:X57"/>
    <mergeCell ref="A55:X55"/>
    <mergeCell ref="A145:E145"/>
    <mergeCell ref="A62:X62"/>
    <mergeCell ref="A64:X64"/>
    <mergeCell ref="A63:X63"/>
    <mergeCell ref="A65:X65"/>
    <mergeCell ref="A67:X67"/>
    <mergeCell ref="A69:X69"/>
    <mergeCell ref="A50:X50"/>
  </mergeCells>
  <phoneticPr fontId="24" type="noConversion"/>
  <conditionalFormatting sqref="A24:X24 A27:X27 A30:X30 B33:E34 G33:J34">
    <cfRule type="expression" dxfId="308" priority="1" stopIfTrue="1">
      <formula>A24=""</formula>
    </cfRule>
  </conditionalFormatting>
  <dataValidations count="7">
    <dataValidation allowBlank="1" showInputMessage="1" showErrorMessage="1" promptTitle="Nº OPERAÇÃO:" prompt="nº do Contrato de Repasse ou Termo de Compromisso, firmado com a CAIXA._x000a_Formato 0.000.000-00/0000." sqref="A24:B24" xr:uid="{00000000-0002-0000-0000-000000000000}"/>
    <dataValidation allowBlank="1" showInputMessage="1" showErrorMessage="1" promptTitle="Obj. do Contrato" prompt="Informar sinteticamente o objeto da intervenção física." sqref="A27" xr:uid="{00000000-0002-0000-0000-000001000000}"/>
    <dataValidation type="date" operator="greaterThan" allowBlank="1" showInputMessage="1" showErrorMessage="1" errorTitle="Erro de valor" error="Digite somente datas." promptTitle="Data Base" prompt="Informar mês e ano de coleta de preço dos insumos (mm/aaaa)" sqref="A30:B30" xr:uid="{00000000-0002-0000-0000-000002000000}">
      <formula1>36526</formula1>
    </dataValidation>
    <dataValidation type="date" operator="greaterThan" allowBlank="1" showInputMessage="1" showErrorMessage="1" errorTitle="Erro de valor" error="Digite somente datas." promptTitle="Data Início" prompt="Inserir mês e ano previsto para o início do objeto de trabalho social._x000a_Obs: o mês informado servirá de  base para a estruturação do cronograma físico financeiro da aba &quot;CFF&quot;" sqref="C30:D30" xr:uid="{00000000-0002-0000-0000-000003000000}">
      <formula1>36526</formula1>
    </dataValidation>
    <dataValidation allowBlank="1" showInputMessage="1" showErrorMessage="1" promptTitle="Objeto do Trabalho Social" prompt="Informar  a que parte do TS se refere a planilha orçamentária._x000a_Exemplos:_x000a_Execução do PTS-P;_x000a_Execução do PTS;_x000a_Elaboração de diagnóstico;_x000a_Execução do PDST..." sqref="J27" xr:uid="{00000000-0002-0000-0000-000004000000}"/>
    <dataValidation type="list" operator="greaterThan" allowBlank="1" showErrorMessage="1" errorTitle="Erro de valor" error="Digite somente datas." promptTitle="Regime de Execução do TS" prompt="Opções:_x000a_Administração Direta_x000a_Administração Indireta_x000a_Administração Mista" sqref="U27:X27" xr:uid="{00000000-0002-0000-0000-000005000000}">
      <formula1>"Administração Direta,Administração Indireta,Administração Mista"</formula1>
    </dataValidation>
    <dataValidation allowBlank="1" showInputMessage="1" showErrorMessage="1" promptTitle="Despesas Indiretas" prompt="Informe aqui o percentual de despesas indiretas (DI)" sqref="T30:X30" xr:uid="{00000000-0002-0000-0000-000006000000}"/>
  </dataValidations>
  <pageMargins left="0.78740157480314965" right="0.78740157480314965" top="0.78740157480314965" bottom="0.78740157480314965" header="0.59055118110236227" footer="0.59055118110236227"/>
  <pageSetup paperSize="9" scale="41" orientation="portrait" r:id="rId1"/>
  <headerFooter alignWithMargins="0">
    <oddFooter>&amp;L27.486 v002  micro&amp;R&amp;P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A1:G82"/>
  <sheetViews>
    <sheetView showGridLines="0" topLeftCell="B1" workbookViewId="0">
      <pane ySplit="5" topLeftCell="A24" activePane="bottomLeft" state="frozen"/>
      <selection activeCell="B3" sqref="B3"/>
      <selection pane="bottomLeft" activeCell="J28" sqref="J28"/>
    </sheetView>
  </sheetViews>
  <sheetFormatPr defaultRowHeight="12.75" x14ac:dyDescent="0.2"/>
  <cols>
    <col min="1" max="1" width="17.42578125" style="135" hidden="1" customWidth="1"/>
    <col min="2" max="2" width="13.28515625" style="135" customWidth="1"/>
    <col min="3" max="3" width="9.7109375" style="136" customWidth="1"/>
    <col min="4" max="4" width="13.42578125" style="135" customWidth="1"/>
    <col min="5" max="5" width="72.28515625" style="135" customWidth="1"/>
    <col min="6" max="6" width="10.7109375" style="135" customWidth="1"/>
    <col min="7" max="7" width="12.7109375" style="136" customWidth="1"/>
    <col min="8" max="16384" width="9.140625" style="135"/>
  </cols>
  <sheetData>
    <row r="1" spans="1:7" hidden="1" x14ac:dyDescent="0.2">
      <c r="A1" s="134">
        <v>3</v>
      </c>
    </row>
    <row r="2" spans="1:7" hidden="1" x14ac:dyDescent="0.2">
      <c r="A2" s="134" t="str">
        <f>CHOOSE(A1,"Rec. Humanos","Rec. Materiais","Serv. Terc.")</f>
        <v>Serv. Terc.</v>
      </c>
    </row>
    <row r="3" spans="1:7" ht="53.25" customHeight="1" x14ac:dyDescent="0.2">
      <c r="A3" s="134">
        <f ca="1">MATCH(A2,OFFSET(Banco,0,1,,1),0)+ROW(Banco)+COUNTIF(OFFSET(Banco,0,1,,1),Banco.Opção)-1</f>
        <v>83</v>
      </c>
      <c r="B3" s="224" t="s">
        <v>114</v>
      </c>
      <c r="C3" s="224"/>
      <c r="D3" s="224"/>
      <c r="E3" s="224"/>
      <c r="F3" s="224"/>
      <c r="G3" s="224"/>
    </row>
    <row r="4" spans="1:7" ht="15" customHeight="1" x14ac:dyDescent="0.2">
      <c r="B4" s="124" t="s">
        <v>73</v>
      </c>
      <c r="C4" s="125" t="s">
        <v>74</v>
      </c>
      <c r="D4" s="125" t="s">
        <v>75</v>
      </c>
      <c r="E4" s="126" t="s">
        <v>83</v>
      </c>
      <c r="F4" s="124" t="s">
        <v>76</v>
      </c>
      <c r="G4" s="127" t="s">
        <v>77</v>
      </c>
    </row>
    <row r="5" spans="1:7" hidden="1" x14ac:dyDescent="0.2">
      <c r="A5" s="135" t="str">
        <f t="shared" ref="A5:A15" ca="1" si="0">B5&amp;"-"&amp;C5</f>
        <v>-000</v>
      </c>
      <c r="B5" s="128"/>
      <c r="C5" s="129" t="str">
        <f t="shared" ref="C5:C15" ca="1" si="1">TEXT(COUNTIF(OFFSET(Banco,1,1,ROW(C5)-ROW(Banco),1),B5),"000")</f>
        <v>000</v>
      </c>
      <c r="D5" s="130"/>
      <c r="E5" s="131"/>
      <c r="F5" s="132"/>
      <c r="G5" s="133"/>
    </row>
    <row r="6" spans="1:7" x14ac:dyDescent="0.2">
      <c r="A6" s="135" t="str">
        <f t="shared" ca="1" si="0"/>
        <v>Rec. Humanos-001</v>
      </c>
      <c r="B6" s="128" t="s">
        <v>78</v>
      </c>
      <c r="C6" s="129" t="str">
        <f t="shared" ca="1" si="1"/>
        <v>001</v>
      </c>
      <c r="D6" s="130" t="s">
        <v>149</v>
      </c>
      <c r="E6" s="131" t="s">
        <v>150</v>
      </c>
      <c r="F6" s="132" t="s">
        <v>154</v>
      </c>
      <c r="G6" s="133">
        <v>150.28</v>
      </c>
    </row>
    <row r="7" spans="1:7" x14ac:dyDescent="0.2">
      <c r="A7" s="135" t="str">
        <f t="shared" ca="1" si="0"/>
        <v>Rec. Humanos-002</v>
      </c>
      <c r="B7" s="128" t="s">
        <v>78</v>
      </c>
      <c r="C7" s="129" t="str">
        <f t="shared" ca="1" si="1"/>
        <v>002</v>
      </c>
      <c r="D7" s="130"/>
      <c r="E7" s="131" t="s">
        <v>151</v>
      </c>
      <c r="F7" s="132" t="s">
        <v>154</v>
      </c>
      <c r="G7" s="133">
        <v>133.81</v>
      </c>
    </row>
    <row r="8" spans="1:7" x14ac:dyDescent="0.2">
      <c r="A8" s="135" t="str">
        <f t="shared" ca="1" si="0"/>
        <v>Rec. Humanos-003</v>
      </c>
      <c r="B8" s="128" t="s">
        <v>78</v>
      </c>
      <c r="C8" s="129" t="str">
        <f t="shared" ca="1" si="1"/>
        <v>003</v>
      </c>
      <c r="D8" s="130"/>
      <c r="E8" s="131" t="s">
        <v>152</v>
      </c>
      <c r="F8" s="132" t="s">
        <v>155</v>
      </c>
      <c r="G8" s="133">
        <v>1463.5</v>
      </c>
    </row>
    <row r="9" spans="1:7" x14ac:dyDescent="0.2">
      <c r="A9" s="135" t="str">
        <f t="shared" ca="1" si="0"/>
        <v>Rec. Humanos-004</v>
      </c>
      <c r="B9" s="128" t="s">
        <v>78</v>
      </c>
      <c r="C9" s="129" t="str">
        <f t="shared" ca="1" si="1"/>
        <v>004</v>
      </c>
      <c r="D9" s="130"/>
      <c r="E9" s="131" t="s">
        <v>269</v>
      </c>
      <c r="F9" s="132" t="s">
        <v>154</v>
      </c>
      <c r="G9" s="133">
        <v>14.97</v>
      </c>
    </row>
    <row r="10" spans="1:7" x14ac:dyDescent="0.2">
      <c r="A10" s="135" t="str">
        <f ca="1">B10&amp;"-"&amp;C10</f>
        <v>Rec. Humanos-005</v>
      </c>
      <c r="B10" s="128" t="s">
        <v>78</v>
      </c>
      <c r="C10" s="129" t="str">
        <f t="shared" ca="1" si="1"/>
        <v>005</v>
      </c>
      <c r="D10" s="130"/>
      <c r="E10" s="131" t="s">
        <v>153</v>
      </c>
      <c r="F10" s="132" t="s">
        <v>154</v>
      </c>
      <c r="G10" s="133">
        <v>8.26</v>
      </c>
    </row>
    <row r="11" spans="1:7" x14ac:dyDescent="0.2">
      <c r="A11" s="135" t="str">
        <f t="shared" ca="1" si="0"/>
        <v>Rec. Materiais-001</v>
      </c>
      <c r="B11" s="128" t="s">
        <v>79</v>
      </c>
      <c r="C11" s="129" t="str">
        <f t="shared" ca="1" si="1"/>
        <v>001</v>
      </c>
      <c r="D11" s="130"/>
      <c r="E11" s="131" t="s">
        <v>156</v>
      </c>
      <c r="F11" s="132" t="s">
        <v>157</v>
      </c>
      <c r="G11" s="133">
        <v>25.8</v>
      </c>
    </row>
    <row r="12" spans="1:7" x14ac:dyDescent="0.2">
      <c r="A12" s="135" t="str">
        <f t="shared" ca="1" si="0"/>
        <v>Rec. Materiais-002</v>
      </c>
      <c r="B12" s="128" t="s">
        <v>79</v>
      </c>
      <c r="C12" s="129" t="str">
        <f t="shared" ca="1" si="1"/>
        <v>002</v>
      </c>
      <c r="D12" s="130"/>
      <c r="E12" s="131" t="s">
        <v>158</v>
      </c>
      <c r="F12" s="132" t="s">
        <v>159</v>
      </c>
      <c r="G12" s="133">
        <v>110</v>
      </c>
    </row>
    <row r="13" spans="1:7" x14ac:dyDescent="0.2">
      <c r="A13" s="135" t="str">
        <f t="shared" ca="1" si="0"/>
        <v>Rec. Materiais-003</v>
      </c>
      <c r="B13" s="128" t="s">
        <v>79</v>
      </c>
      <c r="C13" s="129" t="str">
        <f t="shared" ca="1" si="1"/>
        <v>003</v>
      </c>
      <c r="D13" s="130"/>
      <c r="E13" s="131" t="s">
        <v>160</v>
      </c>
      <c r="F13" s="132" t="s">
        <v>159</v>
      </c>
      <c r="G13" s="133">
        <v>125</v>
      </c>
    </row>
    <row r="14" spans="1:7" x14ac:dyDescent="0.2">
      <c r="A14" s="135" t="str">
        <f t="shared" ca="1" si="0"/>
        <v>Rec. Materiais-004</v>
      </c>
      <c r="B14" s="128" t="s">
        <v>79</v>
      </c>
      <c r="C14" s="129" t="str">
        <f t="shared" ca="1" si="1"/>
        <v>004</v>
      </c>
      <c r="D14" s="130"/>
      <c r="E14" s="131" t="s">
        <v>161</v>
      </c>
      <c r="F14" s="132" t="s">
        <v>159</v>
      </c>
      <c r="G14" s="133">
        <v>4.5</v>
      </c>
    </row>
    <row r="15" spans="1:7" x14ac:dyDescent="0.2">
      <c r="A15" s="135" t="str">
        <f t="shared" ca="1" si="0"/>
        <v>Rec. Materiais-005</v>
      </c>
      <c r="B15" s="128" t="s">
        <v>79</v>
      </c>
      <c r="C15" s="129" t="str">
        <f t="shared" ca="1" si="1"/>
        <v>005</v>
      </c>
      <c r="D15" s="130"/>
      <c r="E15" s="131" t="s">
        <v>162</v>
      </c>
      <c r="F15" s="132" t="s">
        <v>76</v>
      </c>
      <c r="G15" s="133">
        <v>1.25</v>
      </c>
    </row>
    <row r="16" spans="1:7" x14ac:dyDescent="0.2">
      <c r="A16" s="135" t="str">
        <f t="shared" ref="A16:A49" ca="1" si="2">B16&amp;"-"&amp;C16</f>
        <v>Rec. Materiais-006</v>
      </c>
      <c r="B16" s="128" t="s">
        <v>79</v>
      </c>
      <c r="C16" s="129" t="str">
        <f t="shared" ref="C16:C49" ca="1" si="3">TEXT(COUNTIF(OFFSET(Banco,1,1,ROW(C16)-ROW(Banco),1),B16),"000")</f>
        <v>006</v>
      </c>
      <c r="D16" s="130"/>
      <c r="E16" s="131" t="s">
        <v>164</v>
      </c>
      <c r="F16" s="132" t="s">
        <v>163</v>
      </c>
      <c r="G16" s="133">
        <v>2</v>
      </c>
    </row>
    <row r="17" spans="1:7" x14ac:dyDescent="0.2">
      <c r="A17" s="135" t="str">
        <f t="shared" ca="1" si="2"/>
        <v>Rec. Materiais-007</v>
      </c>
      <c r="B17" s="128" t="s">
        <v>79</v>
      </c>
      <c r="C17" s="129" t="str">
        <f t="shared" ca="1" si="3"/>
        <v>007</v>
      </c>
      <c r="D17" s="130"/>
      <c r="E17" s="131" t="s">
        <v>165</v>
      </c>
      <c r="F17" s="132" t="s">
        <v>76</v>
      </c>
      <c r="G17" s="133">
        <v>15.99</v>
      </c>
    </row>
    <row r="18" spans="1:7" x14ac:dyDescent="0.2">
      <c r="A18" s="135" t="str">
        <f t="shared" ca="1" si="2"/>
        <v>Rec. Materiais-008</v>
      </c>
      <c r="B18" s="128" t="s">
        <v>79</v>
      </c>
      <c r="C18" s="129" t="str">
        <f t="shared" ca="1" si="3"/>
        <v>008</v>
      </c>
      <c r="D18" s="130"/>
      <c r="E18" s="131" t="s">
        <v>166</v>
      </c>
      <c r="F18" s="132" t="s">
        <v>76</v>
      </c>
      <c r="G18" s="133">
        <v>0.5</v>
      </c>
    </row>
    <row r="19" spans="1:7" x14ac:dyDescent="0.2">
      <c r="A19" s="135" t="str">
        <f t="shared" ca="1" si="2"/>
        <v>Rec. Materiais-009</v>
      </c>
      <c r="B19" s="128" t="s">
        <v>79</v>
      </c>
      <c r="C19" s="129" t="str">
        <f t="shared" ca="1" si="3"/>
        <v>009</v>
      </c>
      <c r="D19" s="130"/>
      <c r="E19" s="131" t="s">
        <v>167</v>
      </c>
      <c r="F19" s="132" t="s">
        <v>76</v>
      </c>
      <c r="G19" s="133">
        <v>1.25</v>
      </c>
    </row>
    <row r="20" spans="1:7" x14ac:dyDescent="0.2">
      <c r="A20" s="135" t="str">
        <f t="shared" ca="1" si="2"/>
        <v>Rec. Materiais-010</v>
      </c>
      <c r="B20" s="128" t="s">
        <v>79</v>
      </c>
      <c r="C20" s="129" t="str">
        <f t="shared" ca="1" si="3"/>
        <v>010</v>
      </c>
      <c r="D20" s="130"/>
      <c r="E20" s="131" t="s">
        <v>168</v>
      </c>
      <c r="F20" s="132" t="s">
        <v>76</v>
      </c>
      <c r="G20" s="133">
        <v>5.5</v>
      </c>
    </row>
    <row r="21" spans="1:7" x14ac:dyDescent="0.2">
      <c r="A21" s="135" t="str">
        <f t="shared" ca="1" si="2"/>
        <v>Rec. Materiais-011</v>
      </c>
      <c r="B21" s="128" t="s">
        <v>79</v>
      </c>
      <c r="C21" s="129" t="str">
        <f t="shared" ca="1" si="3"/>
        <v>011</v>
      </c>
      <c r="D21" s="130"/>
      <c r="E21" s="131" t="s">
        <v>170</v>
      </c>
      <c r="F21" s="132" t="s">
        <v>169</v>
      </c>
      <c r="G21" s="133">
        <v>5.9</v>
      </c>
    </row>
    <row r="22" spans="1:7" x14ac:dyDescent="0.2">
      <c r="A22" s="135" t="str">
        <f t="shared" ca="1" si="2"/>
        <v>Rec. Materiais-012</v>
      </c>
      <c r="B22" s="128" t="s">
        <v>79</v>
      </c>
      <c r="C22" s="129" t="str">
        <f t="shared" ca="1" si="3"/>
        <v>012</v>
      </c>
      <c r="D22" s="130"/>
      <c r="E22" s="131" t="s">
        <v>171</v>
      </c>
      <c r="F22" s="132" t="s">
        <v>169</v>
      </c>
      <c r="G22" s="133">
        <v>2.4</v>
      </c>
    </row>
    <row r="23" spans="1:7" x14ac:dyDescent="0.2">
      <c r="A23" s="135" t="str">
        <f t="shared" ca="1" si="2"/>
        <v>Rec. Materiais-013</v>
      </c>
      <c r="B23" s="128" t="s">
        <v>79</v>
      </c>
      <c r="C23" s="129" t="str">
        <f t="shared" ca="1" si="3"/>
        <v>013</v>
      </c>
      <c r="D23" s="130"/>
      <c r="E23" s="131" t="s">
        <v>250</v>
      </c>
      <c r="F23" s="132" t="s">
        <v>76</v>
      </c>
      <c r="G23" s="133">
        <v>0.9</v>
      </c>
    </row>
    <row r="24" spans="1:7" x14ac:dyDescent="0.2">
      <c r="A24" s="135" t="str">
        <f t="shared" ca="1" si="2"/>
        <v>Rec. Materiais-014</v>
      </c>
      <c r="B24" s="128" t="s">
        <v>79</v>
      </c>
      <c r="C24" s="129" t="str">
        <f t="shared" ca="1" si="3"/>
        <v>014</v>
      </c>
      <c r="D24" s="130"/>
      <c r="E24" s="131" t="s">
        <v>172</v>
      </c>
      <c r="F24" s="132" t="s">
        <v>76</v>
      </c>
      <c r="G24" s="133">
        <v>4.2</v>
      </c>
    </row>
    <row r="25" spans="1:7" x14ac:dyDescent="0.2">
      <c r="A25" s="135" t="str">
        <f t="shared" ca="1" si="2"/>
        <v>Rec. Materiais-015</v>
      </c>
      <c r="B25" s="128" t="s">
        <v>79</v>
      </c>
      <c r="C25" s="129" t="str">
        <f t="shared" ca="1" si="3"/>
        <v>015</v>
      </c>
      <c r="D25" s="130"/>
      <c r="E25" s="131" t="s">
        <v>173</v>
      </c>
      <c r="F25" s="132" t="s">
        <v>76</v>
      </c>
      <c r="G25" s="133">
        <v>0.25</v>
      </c>
    </row>
    <row r="26" spans="1:7" x14ac:dyDescent="0.2">
      <c r="A26" s="135" t="str">
        <f t="shared" ca="1" si="2"/>
        <v>Rec. Materiais-016</v>
      </c>
      <c r="B26" s="128" t="s">
        <v>79</v>
      </c>
      <c r="C26" s="129" t="str">
        <f t="shared" ca="1" si="3"/>
        <v>016</v>
      </c>
      <c r="D26" s="130"/>
      <c r="E26" s="131" t="s">
        <v>175</v>
      </c>
      <c r="F26" s="132" t="s">
        <v>76</v>
      </c>
      <c r="G26" s="133">
        <v>15.24</v>
      </c>
    </row>
    <row r="27" spans="1:7" x14ac:dyDescent="0.2">
      <c r="A27" s="135" t="str">
        <f t="shared" ca="1" si="2"/>
        <v>Rec. Materiais-017</v>
      </c>
      <c r="B27" s="128" t="s">
        <v>79</v>
      </c>
      <c r="C27" s="129" t="str">
        <f t="shared" ca="1" si="3"/>
        <v>017</v>
      </c>
      <c r="D27" s="130"/>
      <c r="E27" s="131" t="s">
        <v>174</v>
      </c>
      <c r="F27" s="132" t="s">
        <v>169</v>
      </c>
      <c r="G27" s="133">
        <v>47.5</v>
      </c>
    </row>
    <row r="28" spans="1:7" x14ac:dyDescent="0.2">
      <c r="A28" s="135" t="str">
        <f t="shared" ca="1" si="2"/>
        <v>Rec. Materiais-018</v>
      </c>
      <c r="B28" s="128" t="s">
        <v>79</v>
      </c>
      <c r="C28" s="129" t="str">
        <f t="shared" ca="1" si="3"/>
        <v>018</v>
      </c>
      <c r="D28" s="130"/>
      <c r="E28" s="131" t="s">
        <v>176</v>
      </c>
      <c r="F28" s="132" t="s">
        <v>76</v>
      </c>
      <c r="G28" s="133">
        <v>2</v>
      </c>
    </row>
    <row r="29" spans="1:7" x14ac:dyDescent="0.2">
      <c r="A29" s="135" t="str">
        <f t="shared" ca="1" si="2"/>
        <v>Rec. Materiais-019</v>
      </c>
      <c r="B29" s="128" t="s">
        <v>79</v>
      </c>
      <c r="C29" s="129" t="str">
        <f t="shared" ca="1" si="3"/>
        <v>019</v>
      </c>
      <c r="D29" s="130"/>
      <c r="E29" s="131" t="s">
        <v>177</v>
      </c>
      <c r="F29" s="132" t="s">
        <v>76</v>
      </c>
      <c r="G29" s="133">
        <v>2.5</v>
      </c>
    </row>
    <row r="30" spans="1:7" x14ac:dyDescent="0.2">
      <c r="A30" s="135" t="str">
        <f t="shared" ca="1" si="2"/>
        <v>Rec. Materiais-020</v>
      </c>
      <c r="B30" s="128" t="s">
        <v>79</v>
      </c>
      <c r="C30" s="129" t="str">
        <f t="shared" ca="1" si="3"/>
        <v>020</v>
      </c>
      <c r="D30" s="130"/>
      <c r="E30" s="131" t="s">
        <v>178</v>
      </c>
      <c r="F30" s="132" t="s">
        <v>76</v>
      </c>
      <c r="G30" s="133">
        <v>10</v>
      </c>
    </row>
    <row r="31" spans="1:7" x14ac:dyDescent="0.2">
      <c r="A31" s="135" t="str">
        <f t="shared" ca="1" si="2"/>
        <v>Rec. Materiais-021</v>
      </c>
      <c r="B31" s="128" t="s">
        <v>79</v>
      </c>
      <c r="C31" s="129" t="str">
        <f t="shared" ca="1" si="3"/>
        <v>021</v>
      </c>
      <c r="D31" s="130"/>
      <c r="E31" s="131" t="s">
        <v>179</v>
      </c>
      <c r="F31" s="132" t="s">
        <v>76</v>
      </c>
      <c r="G31" s="133">
        <v>68.36</v>
      </c>
    </row>
    <row r="32" spans="1:7" x14ac:dyDescent="0.2">
      <c r="A32" s="135" t="str">
        <f t="shared" ca="1" si="2"/>
        <v>Rec. Materiais-022</v>
      </c>
      <c r="B32" s="128" t="s">
        <v>79</v>
      </c>
      <c r="C32" s="129" t="str">
        <f t="shared" ca="1" si="3"/>
        <v>022</v>
      </c>
      <c r="D32" s="130"/>
      <c r="E32" s="131" t="s">
        <v>180</v>
      </c>
      <c r="F32" s="132" t="s">
        <v>76</v>
      </c>
      <c r="G32" s="133">
        <v>19.989999999999998</v>
      </c>
    </row>
    <row r="33" spans="1:7" x14ac:dyDescent="0.2">
      <c r="A33" s="135" t="str">
        <f t="shared" ca="1" si="2"/>
        <v>Rec. Materiais-023</v>
      </c>
      <c r="B33" s="128" t="s">
        <v>79</v>
      </c>
      <c r="C33" s="129" t="str">
        <f t="shared" ca="1" si="3"/>
        <v>023</v>
      </c>
      <c r="D33" s="130"/>
      <c r="E33" s="131" t="s">
        <v>181</v>
      </c>
      <c r="F33" s="132" t="s">
        <v>76</v>
      </c>
      <c r="G33" s="133">
        <v>3</v>
      </c>
    </row>
    <row r="34" spans="1:7" x14ac:dyDescent="0.2">
      <c r="A34" s="135" t="str">
        <f t="shared" ca="1" si="2"/>
        <v>Rec. Materiais-024</v>
      </c>
      <c r="B34" s="128" t="s">
        <v>79</v>
      </c>
      <c r="C34" s="129" t="str">
        <f t="shared" ca="1" si="3"/>
        <v>024</v>
      </c>
      <c r="D34" s="130"/>
      <c r="E34" s="131" t="s">
        <v>182</v>
      </c>
      <c r="F34" s="132" t="s">
        <v>76</v>
      </c>
      <c r="G34" s="133">
        <v>2.6</v>
      </c>
    </row>
    <row r="35" spans="1:7" x14ac:dyDescent="0.2">
      <c r="A35" s="135" t="str">
        <f t="shared" ca="1" si="2"/>
        <v>Rec. Materiais-025</v>
      </c>
      <c r="B35" s="128" t="s">
        <v>79</v>
      </c>
      <c r="C35" s="129" t="str">
        <f t="shared" ca="1" si="3"/>
        <v>025</v>
      </c>
      <c r="D35" s="130"/>
      <c r="E35" s="131" t="s">
        <v>183</v>
      </c>
      <c r="F35" s="132" t="s">
        <v>76</v>
      </c>
      <c r="G35" s="133">
        <v>1</v>
      </c>
    </row>
    <row r="36" spans="1:7" x14ac:dyDescent="0.2">
      <c r="A36" s="135" t="str">
        <f t="shared" ca="1" si="2"/>
        <v>Rec. Materiais-026</v>
      </c>
      <c r="B36" s="128" t="s">
        <v>79</v>
      </c>
      <c r="C36" s="129" t="str">
        <f t="shared" ca="1" si="3"/>
        <v>026</v>
      </c>
      <c r="D36" s="130"/>
      <c r="E36" s="131" t="s">
        <v>184</v>
      </c>
      <c r="F36" s="132" t="s">
        <v>76</v>
      </c>
      <c r="G36" s="133">
        <v>0.28999999999999998</v>
      </c>
    </row>
    <row r="37" spans="1:7" x14ac:dyDescent="0.2">
      <c r="A37" s="135" t="str">
        <f t="shared" ca="1" si="2"/>
        <v>Rec. Materiais-027</v>
      </c>
      <c r="B37" s="128" t="s">
        <v>79</v>
      </c>
      <c r="C37" s="129" t="str">
        <f t="shared" ca="1" si="3"/>
        <v>027</v>
      </c>
      <c r="D37" s="130"/>
      <c r="E37" s="131" t="s">
        <v>185</v>
      </c>
      <c r="F37" s="132" t="s">
        <v>76</v>
      </c>
      <c r="G37" s="133">
        <v>0.6</v>
      </c>
    </row>
    <row r="38" spans="1:7" x14ac:dyDescent="0.2">
      <c r="A38" s="135" t="str">
        <f t="shared" ca="1" si="2"/>
        <v>Rec. Materiais-028</v>
      </c>
      <c r="B38" s="128" t="s">
        <v>79</v>
      </c>
      <c r="C38" s="129" t="str">
        <f t="shared" ca="1" si="3"/>
        <v>028</v>
      </c>
      <c r="D38" s="130"/>
      <c r="E38" s="131" t="s">
        <v>186</v>
      </c>
      <c r="F38" s="132" t="s">
        <v>76</v>
      </c>
      <c r="G38" s="133">
        <v>1.1499999999999999</v>
      </c>
    </row>
    <row r="39" spans="1:7" x14ac:dyDescent="0.2">
      <c r="A39" s="135" t="str">
        <f t="shared" ca="1" si="2"/>
        <v>Rec. Materiais-029</v>
      </c>
      <c r="B39" s="128" t="s">
        <v>79</v>
      </c>
      <c r="C39" s="129" t="str">
        <f t="shared" ca="1" si="3"/>
        <v>029</v>
      </c>
      <c r="D39" s="130"/>
      <c r="E39" s="131"/>
      <c r="F39" s="132"/>
      <c r="G39" s="133"/>
    </row>
    <row r="40" spans="1:7" x14ac:dyDescent="0.2">
      <c r="A40" s="135" t="str">
        <f t="shared" ca="1" si="2"/>
        <v>Rec. Materiais-030</v>
      </c>
      <c r="B40" s="128" t="s">
        <v>79</v>
      </c>
      <c r="C40" s="129" t="str">
        <f t="shared" ca="1" si="3"/>
        <v>030</v>
      </c>
      <c r="D40" s="130"/>
      <c r="E40" s="131" t="s">
        <v>187</v>
      </c>
      <c r="F40" s="132" t="s">
        <v>76</v>
      </c>
      <c r="G40" s="133">
        <v>10</v>
      </c>
    </row>
    <row r="41" spans="1:7" x14ac:dyDescent="0.2">
      <c r="A41" s="135" t="str">
        <f t="shared" ca="1" si="2"/>
        <v>Rec. Materiais-031</v>
      </c>
      <c r="B41" s="128" t="s">
        <v>79</v>
      </c>
      <c r="C41" s="129" t="str">
        <f t="shared" ca="1" si="3"/>
        <v>031</v>
      </c>
      <c r="D41" s="130"/>
      <c r="E41" s="131" t="s">
        <v>188</v>
      </c>
      <c r="F41" s="132" t="s">
        <v>76</v>
      </c>
      <c r="G41" s="133">
        <v>54.6</v>
      </c>
    </row>
    <row r="42" spans="1:7" x14ac:dyDescent="0.2">
      <c r="A42" s="135" t="str">
        <f t="shared" ca="1" si="2"/>
        <v>Rec. Materiais-032</v>
      </c>
      <c r="B42" s="128" t="s">
        <v>79</v>
      </c>
      <c r="C42" s="129" t="str">
        <f t="shared" ca="1" si="3"/>
        <v>032</v>
      </c>
      <c r="D42" s="130"/>
      <c r="E42" s="131"/>
      <c r="F42" s="132"/>
      <c r="G42" s="133"/>
    </row>
    <row r="43" spans="1:7" x14ac:dyDescent="0.2">
      <c r="A43" s="135" t="str">
        <f t="shared" ca="1" si="2"/>
        <v>Rec. Materiais-033</v>
      </c>
      <c r="B43" s="128" t="s">
        <v>79</v>
      </c>
      <c r="C43" s="129" t="str">
        <f t="shared" ca="1" si="3"/>
        <v>033</v>
      </c>
      <c r="D43" s="130"/>
      <c r="E43" s="131"/>
      <c r="F43" s="132"/>
      <c r="G43" s="133"/>
    </row>
    <row r="44" spans="1:7" x14ac:dyDescent="0.2">
      <c r="A44" s="135" t="str">
        <f t="shared" ca="1" si="2"/>
        <v>Rec. Materiais-034</v>
      </c>
      <c r="B44" s="128" t="s">
        <v>79</v>
      </c>
      <c r="C44" s="129" t="str">
        <f t="shared" ca="1" si="3"/>
        <v>034</v>
      </c>
      <c r="D44" s="130"/>
      <c r="E44" s="131"/>
      <c r="F44" s="132"/>
      <c r="G44" s="133"/>
    </row>
    <row r="45" spans="1:7" x14ac:dyDescent="0.2">
      <c r="A45" s="135" t="str">
        <f t="shared" ca="1" si="2"/>
        <v>Rec. Materiais-035</v>
      </c>
      <c r="B45" s="128" t="s">
        <v>79</v>
      </c>
      <c r="C45" s="129" t="str">
        <f t="shared" ca="1" si="3"/>
        <v>035</v>
      </c>
      <c r="D45" s="130"/>
      <c r="E45" s="131"/>
      <c r="F45" s="132"/>
      <c r="G45" s="133"/>
    </row>
    <row r="46" spans="1:7" x14ac:dyDescent="0.2">
      <c r="A46" s="135" t="str">
        <f t="shared" ca="1" si="2"/>
        <v>Rec. Materiais-036</v>
      </c>
      <c r="B46" s="128" t="s">
        <v>79</v>
      </c>
      <c r="C46" s="129" t="str">
        <f t="shared" ca="1" si="3"/>
        <v>036</v>
      </c>
      <c r="D46" s="130"/>
      <c r="E46" s="131"/>
      <c r="F46" s="132"/>
      <c r="G46" s="133"/>
    </row>
    <row r="47" spans="1:7" x14ac:dyDescent="0.2">
      <c r="A47" s="135" t="str">
        <f t="shared" ca="1" si="2"/>
        <v>Rec. Materiais-037</v>
      </c>
      <c r="B47" s="128" t="s">
        <v>79</v>
      </c>
      <c r="C47" s="129" t="str">
        <f t="shared" ca="1" si="3"/>
        <v>037</v>
      </c>
      <c r="D47" s="130"/>
      <c r="E47" s="131"/>
      <c r="F47" s="132"/>
      <c r="G47" s="133"/>
    </row>
    <row r="48" spans="1:7" x14ac:dyDescent="0.2">
      <c r="A48" s="135" t="str">
        <f t="shared" ca="1" si="2"/>
        <v>Rec. Materiais-038</v>
      </c>
      <c r="B48" s="128" t="s">
        <v>79</v>
      </c>
      <c r="C48" s="129" t="str">
        <f t="shared" ca="1" si="3"/>
        <v>038</v>
      </c>
      <c r="D48" s="130"/>
      <c r="E48" s="131"/>
      <c r="F48" s="132"/>
      <c r="G48" s="133"/>
    </row>
    <row r="49" spans="1:7" x14ac:dyDescent="0.2">
      <c r="A49" s="135" t="str">
        <f t="shared" ca="1" si="2"/>
        <v>Rec. Materiais-039</v>
      </c>
      <c r="B49" s="128" t="s">
        <v>79</v>
      </c>
      <c r="C49" s="129" t="str">
        <f t="shared" ca="1" si="3"/>
        <v>039</v>
      </c>
      <c r="D49" s="130"/>
      <c r="E49" s="131"/>
      <c r="F49" s="132"/>
      <c r="G49" s="133"/>
    </row>
    <row r="50" spans="1:7" x14ac:dyDescent="0.2">
      <c r="A50" s="135" t="str">
        <f ca="1">B50&amp;"-"&amp;C50</f>
        <v>Serv. Terc.-001</v>
      </c>
      <c r="B50" s="128" t="s">
        <v>80</v>
      </c>
      <c r="C50" s="129" t="str">
        <f ca="1">TEXT(COUNTIF(OFFSET(Banco,1,1,ROW(C50)-ROW(Banco),1),B50),"000")</f>
        <v>001</v>
      </c>
      <c r="D50" s="130"/>
      <c r="E50" s="131" t="s">
        <v>189</v>
      </c>
      <c r="F50" s="132" t="s">
        <v>190</v>
      </c>
      <c r="G50" s="133">
        <v>59</v>
      </c>
    </row>
    <row r="51" spans="1:7" x14ac:dyDescent="0.2">
      <c r="A51" s="135" t="str">
        <f ca="1">B51&amp;"-"&amp;C51</f>
        <v>Serv. Terc.-002</v>
      </c>
      <c r="B51" s="128" t="s">
        <v>80</v>
      </c>
      <c r="C51" s="129" t="str">
        <f ca="1">TEXT(COUNTIF(OFFSET(Banco,1,1,ROW(C51)-ROW(Banco),1),B51),"000")</f>
        <v>002</v>
      </c>
      <c r="D51" s="130"/>
      <c r="E51" s="131"/>
      <c r="F51" s="132"/>
      <c r="G51" s="133"/>
    </row>
    <row r="52" spans="1:7" x14ac:dyDescent="0.2">
      <c r="A52" s="135" t="str">
        <f ca="1">B52&amp;"-"&amp;C52</f>
        <v>Serv. Terc.-003</v>
      </c>
      <c r="B52" s="128" t="s">
        <v>80</v>
      </c>
      <c r="C52" s="129" t="str">
        <f ca="1">TEXT(COUNTIF(OFFSET(Banco,1,1,ROW(C52)-ROW(Banco),1),B52),"000")</f>
        <v>003</v>
      </c>
      <c r="D52" s="130"/>
      <c r="E52" s="131" t="s">
        <v>191</v>
      </c>
      <c r="F52" s="132" t="s">
        <v>159</v>
      </c>
      <c r="G52" s="133">
        <v>350</v>
      </c>
    </row>
    <row r="53" spans="1:7" x14ac:dyDescent="0.2">
      <c r="A53" s="135" t="str">
        <f ca="1">B53&amp;"-"&amp;C53</f>
        <v>Serv. Terc.-004</v>
      </c>
      <c r="B53" s="128" t="s">
        <v>80</v>
      </c>
      <c r="C53" s="129" t="str">
        <f ca="1">TEXT(COUNTIF(OFFSET(Banco,1,1,ROW(C53)-ROW(Banco),1),B53),"000")</f>
        <v>004</v>
      </c>
      <c r="D53" s="130"/>
      <c r="E53" s="131" t="s">
        <v>192</v>
      </c>
      <c r="F53" s="132" t="s">
        <v>159</v>
      </c>
      <c r="G53" s="133">
        <v>2.5</v>
      </c>
    </row>
    <row r="54" spans="1:7" x14ac:dyDescent="0.2">
      <c r="A54" s="135" t="str">
        <f ca="1">B54&amp;"-"&amp;C54</f>
        <v>Serv. Terc.-005</v>
      </c>
      <c r="B54" s="128" t="s">
        <v>80</v>
      </c>
      <c r="C54" s="129" t="str">
        <f ca="1">TEXT(COUNTIF(OFFSET(Banco,1,1,ROW(C54)-ROW(Banco),1),B54),"000")</f>
        <v>005</v>
      </c>
      <c r="D54" s="130"/>
      <c r="E54" s="131" t="s">
        <v>193</v>
      </c>
      <c r="F54" s="132" t="s">
        <v>159</v>
      </c>
      <c r="G54" s="133">
        <v>1.6</v>
      </c>
    </row>
    <row r="55" spans="1:7" x14ac:dyDescent="0.2">
      <c r="A55" s="135" t="str">
        <f t="shared" ref="A55:A82" ca="1" si="4">B55&amp;"-"&amp;C55</f>
        <v>Serv. Terc.-006</v>
      </c>
      <c r="B55" s="128" t="s">
        <v>80</v>
      </c>
      <c r="C55" s="129" t="str">
        <f t="shared" ref="C55:C82" ca="1" si="5">TEXT(COUNTIF(OFFSET(Banco,1,1,ROW(C55)-ROW(Banco),1),B55),"000")</f>
        <v>006</v>
      </c>
      <c r="D55" s="130"/>
      <c r="E55" s="131" t="s">
        <v>194</v>
      </c>
      <c r="F55" s="132" t="s">
        <v>159</v>
      </c>
      <c r="G55" s="133">
        <v>2</v>
      </c>
    </row>
    <row r="56" spans="1:7" x14ac:dyDescent="0.2">
      <c r="A56" s="135" t="str">
        <f t="shared" ca="1" si="4"/>
        <v>Serv. Terc.-007</v>
      </c>
      <c r="B56" s="128" t="s">
        <v>80</v>
      </c>
      <c r="C56" s="129" t="str">
        <f t="shared" ca="1" si="5"/>
        <v>007</v>
      </c>
      <c r="D56" s="130"/>
      <c r="E56" s="131"/>
      <c r="F56" s="132"/>
      <c r="G56" s="133"/>
    </row>
    <row r="57" spans="1:7" x14ac:dyDescent="0.2">
      <c r="A57" s="135" t="str">
        <f t="shared" ca="1" si="4"/>
        <v>Serv. Terc.-008</v>
      </c>
      <c r="B57" s="128" t="s">
        <v>80</v>
      </c>
      <c r="C57" s="129" t="str">
        <f t="shared" ca="1" si="5"/>
        <v>008</v>
      </c>
      <c r="D57" s="130"/>
      <c r="E57" s="131" t="s">
        <v>195</v>
      </c>
      <c r="F57" s="132" t="s">
        <v>159</v>
      </c>
      <c r="G57" s="133">
        <v>150</v>
      </c>
    </row>
    <row r="58" spans="1:7" x14ac:dyDescent="0.2">
      <c r="A58" s="135" t="str">
        <f t="shared" ca="1" si="4"/>
        <v>Serv. Terc.-009</v>
      </c>
      <c r="B58" s="128" t="s">
        <v>80</v>
      </c>
      <c r="C58" s="129" t="str">
        <f t="shared" ca="1" si="5"/>
        <v>009</v>
      </c>
      <c r="D58" s="130"/>
      <c r="E58" s="131" t="s">
        <v>196</v>
      </c>
      <c r="F58" s="132" t="s">
        <v>159</v>
      </c>
      <c r="G58" s="133">
        <v>540</v>
      </c>
    </row>
    <row r="59" spans="1:7" x14ac:dyDescent="0.2">
      <c r="A59" s="135" t="str">
        <f t="shared" ca="1" si="4"/>
        <v>Serv. Terc.-010</v>
      </c>
      <c r="B59" s="128" t="s">
        <v>80</v>
      </c>
      <c r="C59" s="129" t="str">
        <f t="shared" ca="1" si="5"/>
        <v>010</v>
      </c>
      <c r="D59" s="130"/>
      <c r="E59" s="131" t="s">
        <v>198</v>
      </c>
      <c r="F59" s="132" t="s">
        <v>197</v>
      </c>
      <c r="G59" s="133">
        <v>50</v>
      </c>
    </row>
    <row r="60" spans="1:7" x14ac:dyDescent="0.2">
      <c r="A60" s="135" t="str">
        <f t="shared" ca="1" si="4"/>
        <v>Serv. Terc.-011</v>
      </c>
      <c r="B60" s="128" t="s">
        <v>80</v>
      </c>
      <c r="C60" s="129" t="str">
        <f t="shared" ca="1" si="5"/>
        <v>011</v>
      </c>
      <c r="D60" s="130"/>
      <c r="E60" s="131" t="s">
        <v>199</v>
      </c>
      <c r="F60" s="132" t="s">
        <v>154</v>
      </c>
      <c r="G60" s="133">
        <v>40</v>
      </c>
    </row>
    <row r="61" spans="1:7" x14ac:dyDescent="0.2">
      <c r="A61" s="135" t="str">
        <f t="shared" ca="1" si="4"/>
        <v>Serv. Terc.-012</v>
      </c>
      <c r="B61" s="128" t="s">
        <v>80</v>
      </c>
      <c r="C61" s="129" t="str">
        <f t="shared" ca="1" si="5"/>
        <v>012</v>
      </c>
      <c r="D61" s="130"/>
      <c r="E61" s="131" t="s">
        <v>201</v>
      </c>
      <c r="F61" s="132" t="s">
        <v>200</v>
      </c>
      <c r="G61" s="133">
        <v>100</v>
      </c>
    </row>
    <row r="62" spans="1:7" x14ac:dyDescent="0.2">
      <c r="A62" s="135" t="str">
        <f t="shared" ca="1" si="4"/>
        <v>Serv. Terc.-013</v>
      </c>
      <c r="B62" s="128" t="s">
        <v>80</v>
      </c>
      <c r="C62" s="129" t="str">
        <f t="shared" ca="1" si="5"/>
        <v>013</v>
      </c>
      <c r="D62" s="130"/>
      <c r="E62" s="131" t="s">
        <v>289</v>
      </c>
      <c r="F62" s="132" t="s">
        <v>159</v>
      </c>
      <c r="G62" s="133">
        <v>149.97</v>
      </c>
    </row>
    <row r="63" spans="1:7" x14ac:dyDescent="0.2">
      <c r="A63" s="135" t="str">
        <f t="shared" ca="1" si="4"/>
        <v>Serv. Terc.-014</v>
      </c>
      <c r="B63" s="128" t="s">
        <v>80</v>
      </c>
      <c r="C63" s="129" t="str">
        <f t="shared" ca="1" si="5"/>
        <v>014</v>
      </c>
      <c r="D63" s="130"/>
      <c r="E63" s="131" t="s">
        <v>202</v>
      </c>
      <c r="F63" s="132" t="s">
        <v>200</v>
      </c>
      <c r="G63" s="133">
        <v>130</v>
      </c>
    </row>
    <row r="64" spans="1:7" x14ac:dyDescent="0.2">
      <c r="A64" s="135" t="str">
        <f t="shared" ca="1" si="4"/>
        <v>Serv. Terc.-015</v>
      </c>
      <c r="B64" s="128" t="s">
        <v>80</v>
      </c>
      <c r="C64" s="129" t="str">
        <f t="shared" ca="1" si="5"/>
        <v>015</v>
      </c>
      <c r="D64" s="130"/>
      <c r="E64" s="131" t="s">
        <v>203</v>
      </c>
      <c r="F64" s="132" t="s">
        <v>159</v>
      </c>
      <c r="G64" s="133">
        <v>899</v>
      </c>
    </row>
    <row r="65" spans="1:7" x14ac:dyDescent="0.2">
      <c r="A65" s="135" t="str">
        <f t="shared" ca="1" si="4"/>
        <v>Serv. Terc.-016</v>
      </c>
      <c r="B65" s="128" t="s">
        <v>80</v>
      </c>
      <c r="C65" s="129" t="str">
        <f t="shared" ca="1" si="5"/>
        <v>016</v>
      </c>
      <c r="D65" s="130"/>
      <c r="E65" s="131" t="s">
        <v>204</v>
      </c>
      <c r="F65" s="132" t="s">
        <v>200</v>
      </c>
      <c r="G65" s="133">
        <v>130</v>
      </c>
    </row>
    <row r="66" spans="1:7" x14ac:dyDescent="0.2">
      <c r="A66" s="135" t="str">
        <f t="shared" ca="1" si="4"/>
        <v>Serv. Terc.-017</v>
      </c>
      <c r="B66" s="128" t="s">
        <v>80</v>
      </c>
      <c r="C66" s="129" t="str">
        <f t="shared" ca="1" si="5"/>
        <v>017</v>
      </c>
      <c r="D66" s="130"/>
      <c r="E66" s="131"/>
      <c r="F66" s="132"/>
      <c r="G66" s="133"/>
    </row>
    <row r="67" spans="1:7" x14ac:dyDescent="0.2">
      <c r="A67" s="135" t="str">
        <f t="shared" ca="1" si="4"/>
        <v>Serv. Terc.-018</v>
      </c>
      <c r="B67" s="128" t="s">
        <v>80</v>
      </c>
      <c r="C67" s="129" t="str">
        <f t="shared" ca="1" si="5"/>
        <v>018</v>
      </c>
      <c r="D67" s="130"/>
      <c r="E67" s="131"/>
      <c r="F67" s="132"/>
      <c r="G67" s="133"/>
    </row>
    <row r="68" spans="1:7" x14ac:dyDescent="0.2">
      <c r="A68" s="135" t="str">
        <f t="shared" ca="1" si="4"/>
        <v>Serv. Terc.-019</v>
      </c>
      <c r="B68" s="128" t="s">
        <v>80</v>
      </c>
      <c r="C68" s="129" t="str">
        <f t="shared" ca="1" si="5"/>
        <v>019</v>
      </c>
      <c r="D68" s="130"/>
      <c r="E68" s="131"/>
      <c r="F68" s="132"/>
      <c r="G68" s="133"/>
    </row>
    <row r="69" spans="1:7" x14ac:dyDescent="0.2">
      <c r="A69" s="135" t="str">
        <f t="shared" ca="1" si="4"/>
        <v>Serv. Terc.-020</v>
      </c>
      <c r="B69" s="128" t="s">
        <v>80</v>
      </c>
      <c r="C69" s="129" t="str">
        <f t="shared" ca="1" si="5"/>
        <v>020</v>
      </c>
      <c r="D69" s="130"/>
      <c r="E69" s="131" t="s">
        <v>205</v>
      </c>
      <c r="F69" s="132" t="s">
        <v>159</v>
      </c>
      <c r="G69" s="133">
        <v>7</v>
      </c>
    </row>
    <row r="70" spans="1:7" x14ac:dyDescent="0.2">
      <c r="A70" s="135" t="str">
        <f t="shared" ca="1" si="4"/>
        <v>Serv. Terc.-021</v>
      </c>
      <c r="B70" s="128" t="s">
        <v>80</v>
      </c>
      <c r="C70" s="129" t="str">
        <f t="shared" ca="1" si="5"/>
        <v>021</v>
      </c>
      <c r="D70" s="130"/>
      <c r="E70" s="131" t="s">
        <v>206</v>
      </c>
      <c r="F70" s="132" t="s">
        <v>159</v>
      </c>
      <c r="G70" s="133">
        <v>6.3</v>
      </c>
    </row>
    <row r="71" spans="1:7" x14ac:dyDescent="0.2">
      <c r="A71" s="135" t="str">
        <f t="shared" ca="1" si="4"/>
        <v>Serv. Terc.-022</v>
      </c>
      <c r="B71" s="128" t="s">
        <v>80</v>
      </c>
      <c r="C71" s="129" t="str">
        <f t="shared" ca="1" si="5"/>
        <v>022</v>
      </c>
      <c r="D71" s="130"/>
      <c r="E71" s="131" t="s">
        <v>207</v>
      </c>
      <c r="F71" s="132" t="s">
        <v>208</v>
      </c>
      <c r="G71" s="133">
        <v>3.83</v>
      </c>
    </row>
    <row r="72" spans="1:7" x14ac:dyDescent="0.2">
      <c r="A72" s="135" t="str">
        <f t="shared" ca="1" si="4"/>
        <v>Serv. Terc.-023</v>
      </c>
      <c r="B72" s="128" t="s">
        <v>80</v>
      </c>
      <c r="C72" s="129" t="str">
        <f t="shared" ca="1" si="5"/>
        <v>023</v>
      </c>
      <c r="D72" s="130"/>
      <c r="E72" s="131"/>
      <c r="F72" s="132"/>
      <c r="G72" s="133"/>
    </row>
    <row r="73" spans="1:7" x14ac:dyDescent="0.2">
      <c r="A73" s="135" t="str">
        <f t="shared" ca="1" si="4"/>
        <v>Serv. Terc.-024</v>
      </c>
      <c r="B73" s="128" t="s">
        <v>80</v>
      </c>
      <c r="C73" s="129" t="str">
        <f t="shared" ca="1" si="5"/>
        <v>024</v>
      </c>
      <c r="D73" s="130"/>
      <c r="E73" s="131"/>
      <c r="F73" s="132"/>
      <c r="G73" s="133"/>
    </row>
    <row r="74" spans="1:7" x14ac:dyDescent="0.2">
      <c r="A74" s="135" t="str">
        <f t="shared" ca="1" si="4"/>
        <v>Serv. Terc.-025</v>
      </c>
      <c r="B74" s="128" t="s">
        <v>80</v>
      </c>
      <c r="C74" s="129" t="str">
        <f t="shared" ca="1" si="5"/>
        <v>025</v>
      </c>
      <c r="D74" s="130"/>
      <c r="E74" s="131"/>
      <c r="F74" s="132"/>
      <c r="G74" s="133"/>
    </row>
    <row r="75" spans="1:7" x14ac:dyDescent="0.2">
      <c r="A75" s="135" t="str">
        <f t="shared" ca="1" si="4"/>
        <v>Serv. Terc.-026</v>
      </c>
      <c r="B75" s="128" t="s">
        <v>80</v>
      </c>
      <c r="C75" s="129" t="str">
        <f t="shared" ca="1" si="5"/>
        <v>026</v>
      </c>
      <c r="D75" s="130"/>
      <c r="E75" s="131"/>
      <c r="F75" s="132"/>
      <c r="G75" s="133"/>
    </row>
    <row r="76" spans="1:7" x14ac:dyDescent="0.2">
      <c r="A76" s="135" t="str">
        <f t="shared" ca="1" si="4"/>
        <v>Serv. Terc.-027</v>
      </c>
      <c r="B76" s="128" t="s">
        <v>80</v>
      </c>
      <c r="C76" s="129" t="str">
        <f t="shared" ca="1" si="5"/>
        <v>027</v>
      </c>
      <c r="D76" s="130"/>
      <c r="E76" s="131" t="s">
        <v>238</v>
      </c>
      <c r="F76" s="132" t="s">
        <v>239</v>
      </c>
      <c r="G76" s="133">
        <v>3.99</v>
      </c>
    </row>
    <row r="77" spans="1:7" x14ac:dyDescent="0.2">
      <c r="A77" s="135" t="str">
        <f t="shared" ca="1" si="4"/>
        <v>Serv. Terc.-028</v>
      </c>
      <c r="B77" s="128" t="s">
        <v>80</v>
      </c>
      <c r="C77" s="129" t="str">
        <f t="shared" ca="1" si="5"/>
        <v>028</v>
      </c>
      <c r="D77" s="130"/>
      <c r="E77" s="131"/>
      <c r="F77" s="132"/>
      <c r="G77" s="133"/>
    </row>
    <row r="78" spans="1:7" x14ac:dyDescent="0.2">
      <c r="A78" s="135" t="str">
        <f t="shared" ca="1" si="4"/>
        <v>Serv. Terc.-029</v>
      </c>
      <c r="B78" s="128" t="s">
        <v>80</v>
      </c>
      <c r="C78" s="129" t="str">
        <f t="shared" ca="1" si="5"/>
        <v>029</v>
      </c>
      <c r="D78" s="130"/>
      <c r="E78" s="131" t="s">
        <v>248</v>
      </c>
      <c r="F78" s="132" t="s">
        <v>249</v>
      </c>
      <c r="G78" s="133">
        <v>750</v>
      </c>
    </row>
    <row r="79" spans="1:7" x14ac:dyDescent="0.2">
      <c r="A79" s="135" t="str">
        <f t="shared" ca="1" si="4"/>
        <v>Serv. Terc.-030</v>
      </c>
      <c r="B79" s="128" t="s">
        <v>80</v>
      </c>
      <c r="C79" s="129" t="str">
        <f t="shared" ca="1" si="5"/>
        <v>030</v>
      </c>
      <c r="D79" s="130"/>
      <c r="E79" s="131" t="s">
        <v>255</v>
      </c>
      <c r="F79" s="132" t="s">
        <v>159</v>
      </c>
      <c r="G79" s="133">
        <v>1</v>
      </c>
    </row>
    <row r="80" spans="1:7" x14ac:dyDescent="0.2">
      <c r="A80" s="135" t="str">
        <f t="shared" ca="1" si="4"/>
        <v>Serv. Terc.-031</v>
      </c>
      <c r="B80" s="128" t="s">
        <v>80</v>
      </c>
      <c r="C80" s="129" t="str">
        <f t="shared" ca="1" si="5"/>
        <v>031</v>
      </c>
      <c r="D80" s="130"/>
      <c r="E80" s="131"/>
      <c r="F80" s="132"/>
      <c r="G80" s="133"/>
    </row>
    <row r="81" spans="1:7" x14ac:dyDescent="0.2">
      <c r="A81" s="135" t="str">
        <f t="shared" ca="1" si="4"/>
        <v>Serv. Terc.-032</v>
      </c>
      <c r="B81" s="128" t="s">
        <v>80</v>
      </c>
      <c r="C81" s="129" t="str">
        <f t="shared" ca="1" si="5"/>
        <v>032</v>
      </c>
      <c r="D81" s="130"/>
      <c r="E81" s="131"/>
      <c r="F81" s="132"/>
      <c r="G81" s="133"/>
    </row>
    <row r="82" spans="1:7" x14ac:dyDescent="0.2">
      <c r="A82" s="135" t="str">
        <f t="shared" ca="1" si="4"/>
        <v>Serv. Terc.-033</v>
      </c>
      <c r="B82" s="128" t="s">
        <v>80</v>
      </c>
      <c r="C82" s="129" t="str">
        <f t="shared" ca="1" si="5"/>
        <v>033</v>
      </c>
      <c r="D82" s="130"/>
      <c r="E82" s="131"/>
      <c r="F82" s="132"/>
      <c r="G82" s="133"/>
    </row>
  </sheetData>
  <sheetProtection sheet="1" objects="1" scenarios="1" formatRows="0"/>
  <mergeCells count="1">
    <mergeCell ref="B3:G3"/>
  </mergeCells>
  <phoneticPr fontId="43" type="noConversion"/>
  <conditionalFormatting sqref="B5:C6 B11:C11 B50:C50">
    <cfRule type="expression" dxfId="307" priority="524" stopIfTrue="1">
      <formula>$B5="Rec. Materiais"</formula>
    </cfRule>
  </conditionalFormatting>
  <conditionalFormatting sqref="B7:C7">
    <cfRule type="expression" dxfId="306" priority="520" stopIfTrue="1">
      <formula>$B7="Rec. Materiais"</formula>
    </cfRule>
  </conditionalFormatting>
  <conditionalFormatting sqref="B8:C8">
    <cfRule type="expression" dxfId="305" priority="518" stopIfTrue="1">
      <formula>$B8="Rec. Materiais"</formula>
    </cfRule>
  </conditionalFormatting>
  <conditionalFormatting sqref="B9:C9">
    <cfRule type="expression" dxfId="304" priority="516" stopIfTrue="1">
      <formula>$B9="Rec. Materiais"</formula>
    </cfRule>
  </conditionalFormatting>
  <conditionalFormatting sqref="B12:C12">
    <cfRule type="expression" dxfId="303" priority="502" stopIfTrue="1">
      <formula>$B12="Rec. Materiais"</formula>
    </cfRule>
  </conditionalFormatting>
  <conditionalFormatting sqref="B13:C13">
    <cfRule type="expression" dxfId="302" priority="500" stopIfTrue="1">
      <formula>$B13="Rec. Materiais"</formula>
    </cfRule>
  </conditionalFormatting>
  <conditionalFormatting sqref="B14:C14">
    <cfRule type="expression" dxfId="301" priority="498" stopIfTrue="1">
      <formula>$B14="Rec. Materiais"</formula>
    </cfRule>
  </conditionalFormatting>
  <conditionalFormatting sqref="B15:C15">
    <cfRule type="expression" dxfId="300" priority="496" stopIfTrue="1">
      <formula>$B15="Rec. Materiais"</formula>
    </cfRule>
  </conditionalFormatting>
  <conditionalFormatting sqref="B51:C51">
    <cfRule type="expression" dxfId="299" priority="480" stopIfTrue="1">
      <formula>$B51="Rec. Materiais"</formula>
    </cfRule>
  </conditionalFormatting>
  <conditionalFormatting sqref="B52:C52">
    <cfRule type="expression" dxfId="298" priority="478" stopIfTrue="1">
      <formula>$B52="Rec. Materiais"</formula>
    </cfRule>
  </conditionalFormatting>
  <conditionalFormatting sqref="B53:C53">
    <cfRule type="expression" dxfId="297" priority="476" stopIfTrue="1">
      <formula>$B53="Rec. Materiais"</formula>
    </cfRule>
  </conditionalFormatting>
  <conditionalFormatting sqref="B54:C54">
    <cfRule type="expression" dxfId="296" priority="466" stopIfTrue="1">
      <formula>$B54="Rec. Materiais"</formula>
    </cfRule>
  </conditionalFormatting>
  <conditionalFormatting sqref="B10:C10">
    <cfRule type="expression" dxfId="295" priority="250" stopIfTrue="1">
      <formula>$B10="Rec. Materiais"</formula>
    </cfRule>
  </conditionalFormatting>
  <conditionalFormatting sqref="D5:G15 D50:G54">
    <cfRule type="notContainsBlanks" dxfId="294" priority="249" stopIfTrue="1">
      <formula>LEN(TRIM(D5))&gt;0</formula>
    </cfRule>
  </conditionalFormatting>
  <conditionalFormatting sqref="B16:C16">
    <cfRule type="expression" dxfId="293" priority="246" stopIfTrue="1">
      <formula>$B16="Rec. Materiais"</formula>
    </cfRule>
  </conditionalFormatting>
  <conditionalFormatting sqref="D16:G16">
    <cfRule type="notContainsBlanks" dxfId="292" priority="245" stopIfTrue="1">
      <formula>LEN(TRIM(D16))&gt;0</formula>
    </cfRule>
  </conditionalFormatting>
  <conditionalFormatting sqref="B17:C17">
    <cfRule type="expression" dxfId="291" priority="242" stopIfTrue="1">
      <formula>$B17="Rec. Materiais"</formula>
    </cfRule>
  </conditionalFormatting>
  <conditionalFormatting sqref="D17:G17">
    <cfRule type="notContainsBlanks" dxfId="290" priority="241" stopIfTrue="1">
      <formula>LEN(TRIM(D17))&gt;0</formula>
    </cfRule>
  </conditionalFormatting>
  <conditionalFormatting sqref="B18:C18">
    <cfRule type="expression" dxfId="289" priority="238" stopIfTrue="1">
      <formula>$B18="Rec. Materiais"</formula>
    </cfRule>
  </conditionalFormatting>
  <conditionalFormatting sqref="D18:G18">
    <cfRule type="notContainsBlanks" dxfId="288" priority="237" stopIfTrue="1">
      <formula>LEN(TRIM(D18))&gt;0</formula>
    </cfRule>
  </conditionalFormatting>
  <conditionalFormatting sqref="B19:C19">
    <cfRule type="expression" dxfId="287" priority="234" stopIfTrue="1">
      <formula>$B19="Rec. Materiais"</formula>
    </cfRule>
  </conditionalFormatting>
  <conditionalFormatting sqref="D19:G19">
    <cfRule type="notContainsBlanks" dxfId="286" priority="233" stopIfTrue="1">
      <formula>LEN(TRIM(D19))&gt;0</formula>
    </cfRule>
  </conditionalFormatting>
  <conditionalFormatting sqref="B20:C20">
    <cfRule type="expression" dxfId="285" priority="230" stopIfTrue="1">
      <formula>$B20="Rec. Materiais"</formula>
    </cfRule>
  </conditionalFormatting>
  <conditionalFormatting sqref="D20:G20">
    <cfRule type="notContainsBlanks" dxfId="284" priority="229" stopIfTrue="1">
      <formula>LEN(TRIM(D20))&gt;0</formula>
    </cfRule>
  </conditionalFormatting>
  <conditionalFormatting sqref="B21:C21">
    <cfRule type="expression" dxfId="283" priority="226" stopIfTrue="1">
      <formula>$B21="Rec. Materiais"</formula>
    </cfRule>
  </conditionalFormatting>
  <conditionalFormatting sqref="D21:G21">
    <cfRule type="notContainsBlanks" dxfId="282" priority="225" stopIfTrue="1">
      <formula>LEN(TRIM(D21))&gt;0</formula>
    </cfRule>
  </conditionalFormatting>
  <conditionalFormatting sqref="B22:C22">
    <cfRule type="expression" dxfId="281" priority="222" stopIfTrue="1">
      <formula>$B22="Rec. Materiais"</formula>
    </cfRule>
  </conditionalFormatting>
  <conditionalFormatting sqref="D22:G22">
    <cfRule type="notContainsBlanks" dxfId="280" priority="221" stopIfTrue="1">
      <formula>LEN(TRIM(D22))&gt;0</formula>
    </cfRule>
  </conditionalFormatting>
  <conditionalFormatting sqref="B23:C23">
    <cfRule type="expression" dxfId="279" priority="218" stopIfTrue="1">
      <formula>$B23="Rec. Materiais"</formula>
    </cfRule>
  </conditionalFormatting>
  <conditionalFormatting sqref="D23:G23">
    <cfRule type="notContainsBlanks" dxfId="278" priority="217" stopIfTrue="1">
      <formula>LEN(TRIM(D23))&gt;0</formula>
    </cfRule>
  </conditionalFormatting>
  <conditionalFormatting sqref="B24:C24">
    <cfRule type="expression" dxfId="277" priority="214" stopIfTrue="1">
      <formula>$B24="Rec. Materiais"</formula>
    </cfRule>
  </conditionalFormatting>
  <conditionalFormatting sqref="D24:G24">
    <cfRule type="notContainsBlanks" dxfId="276" priority="213" stopIfTrue="1">
      <formula>LEN(TRIM(D24))&gt;0</formula>
    </cfRule>
  </conditionalFormatting>
  <conditionalFormatting sqref="B25:C25">
    <cfRule type="expression" dxfId="275" priority="210" stopIfTrue="1">
      <formula>$B25="Rec. Materiais"</formula>
    </cfRule>
  </conditionalFormatting>
  <conditionalFormatting sqref="D25:G25">
    <cfRule type="notContainsBlanks" dxfId="274" priority="209" stopIfTrue="1">
      <formula>LEN(TRIM(D25))&gt;0</formula>
    </cfRule>
  </conditionalFormatting>
  <conditionalFormatting sqref="B26:C26">
    <cfRule type="expression" dxfId="273" priority="206" stopIfTrue="1">
      <formula>$B26="Rec. Materiais"</formula>
    </cfRule>
  </conditionalFormatting>
  <conditionalFormatting sqref="D26:G26">
    <cfRule type="notContainsBlanks" dxfId="272" priority="205" stopIfTrue="1">
      <formula>LEN(TRIM(D26))&gt;0</formula>
    </cfRule>
  </conditionalFormatting>
  <conditionalFormatting sqref="B27:C27">
    <cfRule type="expression" dxfId="271" priority="202" stopIfTrue="1">
      <formula>$B27="Rec. Materiais"</formula>
    </cfRule>
  </conditionalFormatting>
  <conditionalFormatting sqref="D27:G27">
    <cfRule type="notContainsBlanks" dxfId="270" priority="201" stopIfTrue="1">
      <formula>LEN(TRIM(D27))&gt;0</formula>
    </cfRule>
  </conditionalFormatting>
  <conditionalFormatting sqref="B28:C28">
    <cfRule type="expression" dxfId="269" priority="198" stopIfTrue="1">
      <formula>$B28="Rec. Materiais"</formula>
    </cfRule>
  </conditionalFormatting>
  <conditionalFormatting sqref="D28:G28">
    <cfRule type="notContainsBlanks" dxfId="268" priority="197" stopIfTrue="1">
      <formula>LEN(TRIM(D28))&gt;0</formula>
    </cfRule>
  </conditionalFormatting>
  <conditionalFormatting sqref="B29:C29">
    <cfRule type="expression" dxfId="267" priority="194" stopIfTrue="1">
      <formula>$B29="Rec. Materiais"</formula>
    </cfRule>
  </conditionalFormatting>
  <conditionalFormatting sqref="D29:G29">
    <cfRule type="notContainsBlanks" dxfId="266" priority="193" stopIfTrue="1">
      <formula>LEN(TRIM(D29))&gt;0</formula>
    </cfRule>
  </conditionalFormatting>
  <conditionalFormatting sqref="B30:C30">
    <cfRule type="expression" dxfId="265" priority="190" stopIfTrue="1">
      <formula>$B30="Rec. Materiais"</formula>
    </cfRule>
  </conditionalFormatting>
  <conditionalFormatting sqref="D30:G30">
    <cfRule type="notContainsBlanks" dxfId="264" priority="189" stopIfTrue="1">
      <formula>LEN(TRIM(D30))&gt;0</formula>
    </cfRule>
  </conditionalFormatting>
  <conditionalFormatting sqref="B31:C31">
    <cfRule type="expression" dxfId="263" priority="186" stopIfTrue="1">
      <formula>$B31="Rec. Materiais"</formula>
    </cfRule>
  </conditionalFormatting>
  <conditionalFormatting sqref="D31:G31">
    <cfRule type="notContainsBlanks" dxfId="262" priority="185" stopIfTrue="1">
      <formula>LEN(TRIM(D31))&gt;0</formula>
    </cfRule>
  </conditionalFormatting>
  <conditionalFormatting sqref="B32:C32">
    <cfRule type="expression" dxfId="261" priority="182" stopIfTrue="1">
      <formula>$B32="Rec. Materiais"</formula>
    </cfRule>
  </conditionalFormatting>
  <conditionalFormatting sqref="D32:G32">
    <cfRule type="notContainsBlanks" dxfId="260" priority="181" stopIfTrue="1">
      <formula>LEN(TRIM(D32))&gt;0</formula>
    </cfRule>
  </conditionalFormatting>
  <conditionalFormatting sqref="B33:C33">
    <cfRule type="expression" dxfId="259" priority="178" stopIfTrue="1">
      <formula>$B33="Rec. Materiais"</formula>
    </cfRule>
  </conditionalFormatting>
  <conditionalFormatting sqref="D33:G33">
    <cfRule type="notContainsBlanks" dxfId="258" priority="177" stopIfTrue="1">
      <formula>LEN(TRIM(D33))&gt;0</formula>
    </cfRule>
  </conditionalFormatting>
  <conditionalFormatting sqref="B34:C34">
    <cfRule type="expression" dxfId="257" priority="174" stopIfTrue="1">
      <formula>$B34="Rec. Materiais"</formula>
    </cfRule>
  </conditionalFormatting>
  <conditionalFormatting sqref="D34:G34">
    <cfRule type="notContainsBlanks" dxfId="256" priority="173" stopIfTrue="1">
      <formula>LEN(TRIM(D34))&gt;0</formula>
    </cfRule>
  </conditionalFormatting>
  <conditionalFormatting sqref="B35:C35">
    <cfRule type="expression" dxfId="255" priority="170" stopIfTrue="1">
      <formula>$B35="Rec. Materiais"</formula>
    </cfRule>
  </conditionalFormatting>
  <conditionalFormatting sqref="D35:G35">
    <cfRule type="notContainsBlanks" dxfId="254" priority="169" stopIfTrue="1">
      <formula>LEN(TRIM(D35))&gt;0</formula>
    </cfRule>
  </conditionalFormatting>
  <conditionalFormatting sqref="B36:C36">
    <cfRule type="expression" dxfId="253" priority="166" stopIfTrue="1">
      <formula>$B36="Rec. Materiais"</formula>
    </cfRule>
  </conditionalFormatting>
  <conditionalFormatting sqref="D36:G36">
    <cfRule type="notContainsBlanks" dxfId="252" priority="165" stopIfTrue="1">
      <formula>LEN(TRIM(D36))&gt;0</formula>
    </cfRule>
  </conditionalFormatting>
  <conditionalFormatting sqref="B37:C37">
    <cfRule type="expression" dxfId="251" priority="162" stopIfTrue="1">
      <formula>$B37="Rec. Materiais"</formula>
    </cfRule>
  </conditionalFormatting>
  <conditionalFormatting sqref="D37:G37">
    <cfRule type="notContainsBlanks" dxfId="250" priority="161" stopIfTrue="1">
      <formula>LEN(TRIM(D37))&gt;0</formula>
    </cfRule>
  </conditionalFormatting>
  <conditionalFormatting sqref="B38:C38">
    <cfRule type="expression" dxfId="249" priority="158" stopIfTrue="1">
      <formula>$B38="Rec. Materiais"</formula>
    </cfRule>
  </conditionalFormatting>
  <conditionalFormatting sqref="D38:G38">
    <cfRule type="notContainsBlanks" dxfId="248" priority="157" stopIfTrue="1">
      <formula>LEN(TRIM(D38))&gt;0</formula>
    </cfRule>
  </conditionalFormatting>
  <conditionalFormatting sqref="B39:C39">
    <cfRule type="expression" dxfId="247" priority="154" stopIfTrue="1">
      <formula>$B39="Rec. Materiais"</formula>
    </cfRule>
  </conditionalFormatting>
  <conditionalFormatting sqref="D39:G39">
    <cfRule type="notContainsBlanks" dxfId="246" priority="153" stopIfTrue="1">
      <formula>LEN(TRIM(D39))&gt;0</formula>
    </cfRule>
  </conditionalFormatting>
  <conditionalFormatting sqref="B40:C40">
    <cfRule type="expression" dxfId="245" priority="150" stopIfTrue="1">
      <formula>$B40="Rec. Materiais"</formula>
    </cfRule>
  </conditionalFormatting>
  <conditionalFormatting sqref="D40:G40">
    <cfRule type="notContainsBlanks" dxfId="244" priority="149" stopIfTrue="1">
      <formula>LEN(TRIM(D40))&gt;0</formula>
    </cfRule>
  </conditionalFormatting>
  <conditionalFormatting sqref="B41:C41">
    <cfRule type="expression" dxfId="243" priority="146" stopIfTrue="1">
      <formula>$B41="Rec. Materiais"</formula>
    </cfRule>
  </conditionalFormatting>
  <conditionalFormatting sqref="D41:G41">
    <cfRule type="notContainsBlanks" dxfId="242" priority="145" stopIfTrue="1">
      <formula>LEN(TRIM(D41))&gt;0</formula>
    </cfRule>
  </conditionalFormatting>
  <conditionalFormatting sqref="B42:C42">
    <cfRule type="expression" dxfId="241" priority="142" stopIfTrue="1">
      <formula>$B42="Rec. Materiais"</formula>
    </cfRule>
  </conditionalFormatting>
  <conditionalFormatting sqref="D42:G42">
    <cfRule type="notContainsBlanks" dxfId="240" priority="141" stopIfTrue="1">
      <formula>LEN(TRIM(D42))&gt;0</formula>
    </cfRule>
  </conditionalFormatting>
  <conditionalFormatting sqref="B43:C43">
    <cfRule type="expression" dxfId="239" priority="138" stopIfTrue="1">
      <formula>$B43="Rec. Materiais"</formula>
    </cfRule>
  </conditionalFormatting>
  <conditionalFormatting sqref="D43:G43">
    <cfRule type="notContainsBlanks" dxfId="238" priority="137" stopIfTrue="1">
      <formula>LEN(TRIM(D43))&gt;0</formula>
    </cfRule>
  </conditionalFormatting>
  <conditionalFormatting sqref="B44:C44">
    <cfRule type="expression" dxfId="237" priority="134" stopIfTrue="1">
      <formula>$B44="Rec. Materiais"</formula>
    </cfRule>
  </conditionalFormatting>
  <conditionalFormatting sqref="D44:G44">
    <cfRule type="notContainsBlanks" dxfId="236" priority="133" stopIfTrue="1">
      <formula>LEN(TRIM(D44))&gt;0</formula>
    </cfRule>
  </conditionalFormatting>
  <conditionalFormatting sqref="B45:C45">
    <cfRule type="expression" dxfId="235" priority="130" stopIfTrue="1">
      <formula>$B45="Rec. Materiais"</formula>
    </cfRule>
  </conditionalFormatting>
  <conditionalFormatting sqref="D45:G45">
    <cfRule type="notContainsBlanks" dxfId="234" priority="129" stopIfTrue="1">
      <formula>LEN(TRIM(D45))&gt;0</formula>
    </cfRule>
  </conditionalFormatting>
  <conditionalFormatting sqref="B46:C46">
    <cfRule type="expression" dxfId="233" priority="126" stopIfTrue="1">
      <formula>$B46="Rec. Materiais"</formula>
    </cfRule>
  </conditionalFormatting>
  <conditionalFormatting sqref="D46:G46">
    <cfRule type="notContainsBlanks" dxfId="232" priority="125" stopIfTrue="1">
      <formula>LEN(TRIM(D46))&gt;0</formula>
    </cfRule>
  </conditionalFormatting>
  <conditionalFormatting sqref="B47:C47">
    <cfRule type="expression" dxfId="231" priority="122" stopIfTrue="1">
      <formula>$B47="Rec. Materiais"</formula>
    </cfRule>
  </conditionalFormatting>
  <conditionalFormatting sqref="D47:G47">
    <cfRule type="notContainsBlanks" dxfId="230" priority="121" stopIfTrue="1">
      <formula>LEN(TRIM(D47))&gt;0</formula>
    </cfRule>
  </conditionalFormatting>
  <conditionalFormatting sqref="B48:C48">
    <cfRule type="expression" dxfId="229" priority="118" stopIfTrue="1">
      <formula>$B48="Rec. Materiais"</formula>
    </cfRule>
  </conditionalFormatting>
  <conditionalFormatting sqref="D48:G48">
    <cfRule type="notContainsBlanks" dxfId="228" priority="117" stopIfTrue="1">
      <formula>LEN(TRIM(D48))&gt;0</formula>
    </cfRule>
  </conditionalFormatting>
  <conditionalFormatting sqref="B49:C49">
    <cfRule type="expression" dxfId="227" priority="114" stopIfTrue="1">
      <formula>$B49="Rec. Materiais"</formula>
    </cfRule>
  </conditionalFormatting>
  <conditionalFormatting sqref="D49:G49">
    <cfRule type="notContainsBlanks" dxfId="226" priority="113" stopIfTrue="1">
      <formula>LEN(TRIM(D49))&gt;0</formula>
    </cfRule>
  </conditionalFormatting>
  <conditionalFormatting sqref="B55:C55">
    <cfRule type="expression" dxfId="225" priority="110" stopIfTrue="1">
      <formula>$B55="Rec. Materiais"</formula>
    </cfRule>
  </conditionalFormatting>
  <conditionalFormatting sqref="D55:G55">
    <cfRule type="notContainsBlanks" dxfId="224" priority="109" stopIfTrue="1">
      <formula>LEN(TRIM(D55))&gt;0</formula>
    </cfRule>
  </conditionalFormatting>
  <conditionalFormatting sqref="B56:C56">
    <cfRule type="expression" dxfId="223" priority="106" stopIfTrue="1">
      <formula>$B56="Rec. Materiais"</formula>
    </cfRule>
  </conditionalFormatting>
  <conditionalFormatting sqref="D56:G56">
    <cfRule type="notContainsBlanks" dxfId="222" priority="105" stopIfTrue="1">
      <formula>LEN(TRIM(D56))&gt;0</formula>
    </cfRule>
  </conditionalFormatting>
  <conditionalFormatting sqref="B57:C57">
    <cfRule type="expression" dxfId="221" priority="102" stopIfTrue="1">
      <formula>$B57="Rec. Materiais"</formula>
    </cfRule>
  </conditionalFormatting>
  <conditionalFormatting sqref="D57:G57">
    <cfRule type="notContainsBlanks" dxfId="220" priority="101" stopIfTrue="1">
      <formula>LEN(TRIM(D57))&gt;0</formula>
    </cfRule>
  </conditionalFormatting>
  <conditionalFormatting sqref="B58:C58">
    <cfRule type="expression" dxfId="219" priority="98" stopIfTrue="1">
      <formula>$B58="Rec. Materiais"</formula>
    </cfRule>
  </conditionalFormatting>
  <conditionalFormatting sqref="D58:G58">
    <cfRule type="notContainsBlanks" dxfId="218" priority="97" stopIfTrue="1">
      <formula>LEN(TRIM(D58))&gt;0</formula>
    </cfRule>
  </conditionalFormatting>
  <conditionalFormatting sqref="B59:C59">
    <cfRule type="expression" dxfId="217" priority="94" stopIfTrue="1">
      <formula>$B59="Rec. Materiais"</formula>
    </cfRule>
  </conditionalFormatting>
  <conditionalFormatting sqref="D59:G59">
    <cfRule type="notContainsBlanks" dxfId="216" priority="93" stopIfTrue="1">
      <formula>LEN(TRIM(D59))&gt;0</formula>
    </cfRule>
  </conditionalFormatting>
  <conditionalFormatting sqref="B60:C60">
    <cfRule type="expression" dxfId="215" priority="90" stopIfTrue="1">
      <formula>$B60="Rec. Materiais"</formula>
    </cfRule>
  </conditionalFormatting>
  <conditionalFormatting sqref="D60:G60">
    <cfRule type="notContainsBlanks" dxfId="214" priority="89" stopIfTrue="1">
      <formula>LEN(TRIM(D60))&gt;0</formula>
    </cfRule>
  </conditionalFormatting>
  <conditionalFormatting sqref="B61:C61">
    <cfRule type="expression" dxfId="213" priority="86" stopIfTrue="1">
      <formula>$B61="Rec. Materiais"</formula>
    </cfRule>
  </conditionalFormatting>
  <conditionalFormatting sqref="D61:G61">
    <cfRule type="notContainsBlanks" dxfId="212" priority="85" stopIfTrue="1">
      <formula>LEN(TRIM(D61))&gt;0</formula>
    </cfRule>
  </conditionalFormatting>
  <conditionalFormatting sqref="B62:C62">
    <cfRule type="expression" dxfId="211" priority="82" stopIfTrue="1">
      <formula>$B62="Rec. Materiais"</formula>
    </cfRule>
  </conditionalFormatting>
  <conditionalFormatting sqref="D62:G62">
    <cfRule type="notContainsBlanks" dxfId="210" priority="81" stopIfTrue="1">
      <formula>LEN(TRIM(D62))&gt;0</formula>
    </cfRule>
  </conditionalFormatting>
  <conditionalFormatting sqref="B63:C63">
    <cfRule type="expression" dxfId="209" priority="78" stopIfTrue="1">
      <formula>$B63="Rec. Materiais"</formula>
    </cfRule>
  </conditionalFormatting>
  <conditionalFormatting sqref="D63:G63">
    <cfRule type="notContainsBlanks" dxfId="208" priority="77" stopIfTrue="1">
      <formula>LEN(TRIM(D63))&gt;0</formula>
    </cfRule>
  </conditionalFormatting>
  <conditionalFormatting sqref="B64:C64">
    <cfRule type="expression" dxfId="207" priority="74" stopIfTrue="1">
      <formula>$B64="Rec. Materiais"</formula>
    </cfRule>
  </conditionalFormatting>
  <conditionalFormatting sqref="D64:G64">
    <cfRule type="notContainsBlanks" dxfId="206" priority="73" stopIfTrue="1">
      <formula>LEN(TRIM(D64))&gt;0</formula>
    </cfRule>
  </conditionalFormatting>
  <conditionalFormatting sqref="B65:C65">
    <cfRule type="expression" dxfId="205" priority="70" stopIfTrue="1">
      <formula>$B65="Rec. Materiais"</formula>
    </cfRule>
  </conditionalFormatting>
  <conditionalFormatting sqref="D65:G65">
    <cfRule type="notContainsBlanks" dxfId="204" priority="69" stopIfTrue="1">
      <formula>LEN(TRIM(D65))&gt;0</formula>
    </cfRule>
  </conditionalFormatting>
  <conditionalFormatting sqref="B66:C66">
    <cfRule type="expression" dxfId="203" priority="66" stopIfTrue="1">
      <formula>$B66="Rec. Materiais"</formula>
    </cfRule>
  </conditionalFormatting>
  <conditionalFormatting sqref="D66:G66">
    <cfRule type="notContainsBlanks" dxfId="202" priority="65" stopIfTrue="1">
      <formula>LEN(TRIM(D66))&gt;0</formula>
    </cfRule>
  </conditionalFormatting>
  <conditionalFormatting sqref="B67:C67">
    <cfRule type="expression" dxfId="201" priority="62" stopIfTrue="1">
      <formula>$B67="Rec. Materiais"</formula>
    </cfRule>
  </conditionalFormatting>
  <conditionalFormatting sqref="D67:G67">
    <cfRule type="notContainsBlanks" dxfId="200" priority="61" stopIfTrue="1">
      <formula>LEN(TRIM(D67))&gt;0</formula>
    </cfRule>
  </conditionalFormatting>
  <conditionalFormatting sqref="B68:C68">
    <cfRule type="expression" dxfId="199" priority="58" stopIfTrue="1">
      <formula>$B68="Rec. Materiais"</formula>
    </cfRule>
  </conditionalFormatting>
  <conditionalFormatting sqref="D68:G68">
    <cfRule type="notContainsBlanks" dxfId="198" priority="57" stopIfTrue="1">
      <formula>LEN(TRIM(D68))&gt;0</formula>
    </cfRule>
  </conditionalFormatting>
  <conditionalFormatting sqref="B69:C69">
    <cfRule type="expression" dxfId="197" priority="54" stopIfTrue="1">
      <formula>$B69="Rec. Materiais"</formula>
    </cfRule>
  </conditionalFormatting>
  <conditionalFormatting sqref="D69:G69">
    <cfRule type="notContainsBlanks" dxfId="196" priority="53" stopIfTrue="1">
      <formula>LEN(TRIM(D69))&gt;0</formula>
    </cfRule>
  </conditionalFormatting>
  <conditionalFormatting sqref="B70:C70">
    <cfRule type="expression" dxfId="195" priority="50" stopIfTrue="1">
      <formula>$B70="Rec. Materiais"</formula>
    </cfRule>
  </conditionalFormatting>
  <conditionalFormatting sqref="D70:G70">
    <cfRule type="notContainsBlanks" dxfId="194" priority="49" stopIfTrue="1">
      <formula>LEN(TRIM(D70))&gt;0</formula>
    </cfRule>
  </conditionalFormatting>
  <conditionalFormatting sqref="B71:C71">
    <cfRule type="expression" dxfId="193" priority="46" stopIfTrue="1">
      <formula>$B71="Rec. Materiais"</formula>
    </cfRule>
  </conditionalFormatting>
  <conditionalFormatting sqref="D71:G71">
    <cfRule type="notContainsBlanks" dxfId="192" priority="45" stopIfTrue="1">
      <formula>LEN(TRIM(D71))&gt;0</formula>
    </cfRule>
  </conditionalFormatting>
  <conditionalFormatting sqref="B72:C72">
    <cfRule type="expression" dxfId="191" priority="42" stopIfTrue="1">
      <formula>$B72="Rec. Materiais"</formula>
    </cfRule>
  </conditionalFormatting>
  <conditionalFormatting sqref="D72:G72">
    <cfRule type="notContainsBlanks" dxfId="190" priority="41" stopIfTrue="1">
      <formula>LEN(TRIM(D72))&gt;0</formula>
    </cfRule>
  </conditionalFormatting>
  <conditionalFormatting sqref="B73:C73">
    <cfRule type="expression" dxfId="189" priority="38" stopIfTrue="1">
      <formula>$B73="Rec. Materiais"</formula>
    </cfRule>
  </conditionalFormatting>
  <conditionalFormatting sqref="D73:G73">
    <cfRule type="notContainsBlanks" dxfId="188" priority="37" stopIfTrue="1">
      <formula>LEN(TRIM(D73))&gt;0</formula>
    </cfRule>
  </conditionalFormatting>
  <conditionalFormatting sqref="B74:C74">
    <cfRule type="expression" dxfId="187" priority="34" stopIfTrue="1">
      <formula>$B74="Rec. Materiais"</formula>
    </cfRule>
  </conditionalFormatting>
  <conditionalFormatting sqref="D74:G74">
    <cfRule type="notContainsBlanks" dxfId="186" priority="33" stopIfTrue="1">
      <formula>LEN(TRIM(D74))&gt;0</formula>
    </cfRule>
  </conditionalFormatting>
  <conditionalFormatting sqref="B75:C75">
    <cfRule type="expression" dxfId="185" priority="30" stopIfTrue="1">
      <formula>$B75="Rec. Materiais"</formula>
    </cfRule>
  </conditionalFormatting>
  <conditionalFormatting sqref="D75:G75">
    <cfRule type="notContainsBlanks" dxfId="184" priority="29" stopIfTrue="1">
      <formula>LEN(TRIM(D75))&gt;0</formula>
    </cfRule>
  </conditionalFormatting>
  <conditionalFormatting sqref="B76:C76">
    <cfRule type="expression" dxfId="183" priority="26" stopIfTrue="1">
      <formula>$B76="Rec. Materiais"</formula>
    </cfRule>
  </conditionalFormatting>
  <conditionalFormatting sqref="D76:G76">
    <cfRule type="notContainsBlanks" dxfId="182" priority="25" stopIfTrue="1">
      <formula>LEN(TRIM(D76))&gt;0</formula>
    </cfRule>
  </conditionalFormatting>
  <conditionalFormatting sqref="B77:C77">
    <cfRule type="expression" dxfId="181" priority="22" stopIfTrue="1">
      <formula>$B77="Rec. Materiais"</formula>
    </cfRule>
  </conditionalFormatting>
  <conditionalFormatting sqref="D77:G77">
    <cfRule type="notContainsBlanks" dxfId="180" priority="21" stopIfTrue="1">
      <formula>LEN(TRIM(D77))&gt;0</formula>
    </cfRule>
  </conditionalFormatting>
  <conditionalFormatting sqref="B78:C78">
    <cfRule type="expression" dxfId="179" priority="18" stopIfTrue="1">
      <formula>$B78="Rec. Materiais"</formula>
    </cfRule>
  </conditionalFormatting>
  <conditionalFormatting sqref="D78:G78">
    <cfRule type="notContainsBlanks" dxfId="178" priority="17" stopIfTrue="1">
      <formula>LEN(TRIM(D78))&gt;0</formula>
    </cfRule>
  </conditionalFormatting>
  <conditionalFormatting sqref="B79:C79">
    <cfRule type="expression" dxfId="177" priority="14" stopIfTrue="1">
      <formula>$B79="Rec. Materiais"</formula>
    </cfRule>
  </conditionalFormatting>
  <conditionalFormatting sqref="D79:G79">
    <cfRule type="notContainsBlanks" dxfId="176" priority="13" stopIfTrue="1">
      <formula>LEN(TRIM(D79))&gt;0</formula>
    </cfRule>
  </conditionalFormatting>
  <conditionalFormatting sqref="B80:C80">
    <cfRule type="expression" dxfId="175" priority="10" stopIfTrue="1">
      <formula>$B80="Rec. Materiais"</formula>
    </cfRule>
  </conditionalFormatting>
  <conditionalFormatting sqref="D80:G80">
    <cfRule type="notContainsBlanks" dxfId="174" priority="9" stopIfTrue="1">
      <formula>LEN(TRIM(D80))&gt;0</formula>
    </cfRule>
  </conditionalFormatting>
  <conditionalFormatting sqref="B81:C81">
    <cfRule type="expression" dxfId="173" priority="6" stopIfTrue="1">
      <formula>$B81="Rec. Materiais"</formula>
    </cfRule>
  </conditionalFormatting>
  <conditionalFormatting sqref="D81:G81">
    <cfRule type="notContainsBlanks" dxfId="172" priority="5" stopIfTrue="1">
      <formula>LEN(TRIM(D81))&gt;0</formula>
    </cfRule>
  </conditionalFormatting>
  <conditionalFormatting sqref="B82:C82">
    <cfRule type="expression" dxfId="171" priority="2" stopIfTrue="1">
      <formula>$B82="Rec. Materiais"</formula>
    </cfRule>
  </conditionalFormatting>
  <conditionalFormatting sqref="D82:G82">
    <cfRule type="notContainsBlanks" dxfId="170" priority="1" stopIfTrue="1">
      <formula>LEN(TRIM(D82))&gt;0</formula>
    </cfRule>
  </conditionalFormatting>
  <dataValidations count="3">
    <dataValidation allowBlank="1" showInputMessage="1" showErrorMessage="1" promptTitle="FONTE" prompt="Informar fonte de consulta de  valor do insumo._x000a_Exemplo: SINAPI, FIPE, cotação." sqref="D4" xr:uid="{00000000-0002-0000-0100-000000000000}"/>
    <dataValidation allowBlank="1" showInputMessage="1" showErrorMessage="1" promptTitle="Unidade" prompt="Informar unidade de medida do insumo descrito._x000a_Exemplos: peça, unidade, mês, hora, diária, caixa e etc. " sqref="F4" xr:uid="{00000000-0002-0000-0100-000001000000}"/>
    <dataValidation type="decimal" operator="greaterThanOrEqual" allowBlank="1" showInputMessage="1" showErrorMessage="1" sqref="G5:G82" xr:uid="{00000000-0002-0000-0100-000002000000}">
      <formula1>0</formula1>
    </dataValidation>
  </dataValidations>
  <pageMargins left="0.51181102362204722" right="0.51181102362204722" top="0.78740157480314965" bottom="0.78740157480314965" header="0.31496062992125984" footer="0.31496062992125984"/>
  <pageSetup paperSize="9" scale="71" fitToHeight="0" orientation="portrait" r:id="rId1"/>
  <headerFooter>
    <oddFooter>&amp;L27.486 v002  micro&amp;R&amp;P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Button 1">
              <controlPr defaultSize="0" autoFill="0" autoPict="0" macro="[0]!AddLinha">
                <anchor moveWithCells="1" sizeWithCells="1">
                  <from>
                    <xdr:col>5</xdr:col>
                    <xdr:colOff>514350</xdr:colOff>
                    <xdr:row>2</xdr:row>
                    <xdr:rowOff>266700</xdr:rowOff>
                  </from>
                  <to>
                    <xdr:col>6</xdr:col>
                    <xdr:colOff>666750</xdr:colOff>
                    <xdr:row>2</xdr:row>
                    <xdr:rowOff>504825</xdr:rowOff>
                  </to>
                </anchor>
              </controlPr>
            </control>
          </mc:Choice>
        </mc:AlternateContent>
        <mc:AlternateContent xmlns:mc="http://schemas.openxmlformats.org/markup-compatibility/2006">
          <mc:Choice Requires="x14">
            <control shapeId="196610" r:id="rId5" name="Option Button 2">
              <controlPr defaultSize="0" autoFill="0" autoLine="0" autoPict="0">
                <anchor moveWithCells="1" sizeWithCells="1">
                  <from>
                    <xdr:col>4</xdr:col>
                    <xdr:colOff>2790825</xdr:colOff>
                    <xdr:row>2</xdr:row>
                    <xdr:rowOff>266700</xdr:rowOff>
                  </from>
                  <to>
                    <xdr:col>4</xdr:col>
                    <xdr:colOff>3676650</xdr:colOff>
                    <xdr:row>2</xdr:row>
                    <xdr:rowOff>523875</xdr:rowOff>
                  </to>
                </anchor>
              </controlPr>
            </control>
          </mc:Choice>
        </mc:AlternateContent>
        <mc:AlternateContent xmlns:mc="http://schemas.openxmlformats.org/markup-compatibility/2006">
          <mc:Choice Requires="x14">
            <control shapeId="196611" r:id="rId6" name="Option Button 3">
              <controlPr defaultSize="0" autoFill="0" autoLine="0" autoPict="0">
                <anchor moveWithCells="1" sizeWithCells="1">
                  <from>
                    <xdr:col>4</xdr:col>
                    <xdr:colOff>3676650</xdr:colOff>
                    <xdr:row>2</xdr:row>
                    <xdr:rowOff>266700</xdr:rowOff>
                  </from>
                  <to>
                    <xdr:col>4</xdr:col>
                    <xdr:colOff>4562475</xdr:colOff>
                    <xdr:row>2</xdr:row>
                    <xdr:rowOff>514350</xdr:rowOff>
                  </to>
                </anchor>
              </controlPr>
            </control>
          </mc:Choice>
        </mc:AlternateContent>
        <mc:AlternateContent xmlns:mc="http://schemas.openxmlformats.org/markup-compatibility/2006">
          <mc:Choice Requires="x14">
            <control shapeId="196612" r:id="rId7" name="Option Button 4">
              <controlPr defaultSize="0" autoFill="0" autoLine="0" autoPict="0">
                <anchor moveWithCells="1" sizeWithCells="1">
                  <from>
                    <xdr:col>4</xdr:col>
                    <xdr:colOff>4562475</xdr:colOff>
                    <xdr:row>2</xdr:row>
                    <xdr:rowOff>266700</xdr:rowOff>
                  </from>
                  <to>
                    <xdr:col>5</xdr:col>
                    <xdr:colOff>476250</xdr:colOff>
                    <xdr:row>2</xdr:row>
                    <xdr:rowOff>523875</xdr:rowOff>
                  </to>
                </anchor>
              </controlPr>
            </control>
          </mc:Choice>
        </mc:AlternateContent>
        <mc:AlternateContent xmlns:mc="http://schemas.openxmlformats.org/markup-compatibility/2006">
          <mc:Choice Requires="x14">
            <control shapeId="196613" r:id="rId8" name="Group Box 5">
              <controlPr defaultSize="0" autoFill="0" autoPict="0">
                <anchor moveWithCells="1" sizeWithCells="1">
                  <from>
                    <xdr:col>4</xdr:col>
                    <xdr:colOff>2686050</xdr:colOff>
                    <xdr:row>2</xdr:row>
                    <xdr:rowOff>142875</xdr:rowOff>
                  </from>
                  <to>
                    <xdr:col>6</xdr:col>
                    <xdr:colOff>838200</xdr:colOff>
                    <xdr:row>2</xdr:row>
                    <xdr:rowOff>590550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pageSetUpPr fitToPage="1"/>
  </sheetPr>
  <dimension ref="A1:AB378"/>
  <sheetViews>
    <sheetView showGridLines="0" topLeftCell="J1" zoomScale="80" zoomScaleNormal="80" zoomScaleSheetLayoutView="100" workbookViewId="0">
      <pane ySplit="11" topLeftCell="A133" activePane="bottomLeft" state="frozen"/>
      <selection activeCell="F26" sqref="F26"/>
      <selection pane="bottomLeft" activeCell="U363" sqref="U363"/>
    </sheetView>
  </sheetViews>
  <sheetFormatPr defaultRowHeight="12.75" x14ac:dyDescent="0.2"/>
  <cols>
    <col min="1" max="2" width="6.7109375" hidden="1" customWidth="1"/>
    <col min="3" max="7" width="5.7109375" hidden="1" customWidth="1"/>
    <col min="8" max="9" width="6.7109375" hidden="1" customWidth="1"/>
    <col min="10" max="10" width="10.42578125" customWidth="1"/>
    <col min="11" max="11" width="12.7109375" customWidth="1"/>
    <col min="12" max="13" width="15.7109375" customWidth="1"/>
    <col min="14" max="14" width="11.7109375" customWidth="1"/>
    <col min="15" max="15" width="80.7109375" customWidth="1"/>
    <col min="16" max="16" width="10.7109375" style="11" customWidth="1"/>
    <col min="17" max="18" width="15.7109375" customWidth="1"/>
    <col min="19" max="19" width="10.7109375" customWidth="1"/>
    <col min="20" max="21" width="15.7109375" customWidth="1"/>
    <col min="22" max="22" width="15.7109375" hidden="1" customWidth="1"/>
    <col min="23" max="23" width="9.140625" hidden="1" customWidth="1"/>
    <col min="24" max="24" width="17.85546875" hidden="1" customWidth="1"/>
    <col min="25" max="25" width="20.7109375" hidden="1" customWidth="1"/>
    <col min="26" max="26" width="15.7109375" hidden="1" customWidth="1"/>
  </cols>
  <sheetData>
    <row r="1" spans="1:28" ht="12.95" customHeight="1" x14ac:dyDescent="0.2">
      <c r="A1" s="1"/>
      <c r="B1" s="1"/>
      <c r="E1" s="1"/>
      <c r="F1" s="1"/>
      <c r="G1" s="1"/>
      <c r="H1" s="1"/>
      <c r="I1" s="1"/>
      <c r="J1" s="29"/>
      <c r="K1" s="1"/>
      <c r="L1" s="1"/>
      <c r="M1" s="1"/>
      <c r="N1" s="1"/>
      <c r="O1" s="36" t="s">
        <v>51</v>
      </c>
      <c r="P1" s="3"/>
      <c r="Q1" s="30"/>
      <c r="R1" s="1"/>
      <c r="S1" s="1"/>
      <c r="T1" s="1"/>
      <c r="U1" s="27" t="s">
        <v>49</v>
      </c>
      <c r="W1" s="1"/>
      <c r="X1" s="1"/>
      <c r="Y1" s="1"/>
      <c r="AA1" s="1"/>
      <c r="AB1" s="1"/>
    </row>
    <row r="2" spans="1:28" ht="12.75" customHeight="1" x14ac:dyDescent="0.2">
      <c r="A2" s="1"/>
      <c r="B2" s="1" t="s">
        <v>46</v>
      </c>
      <c r="C2" s="1" t="s">
        <v>67</v>
      </c>
      <c r="D2" s="1" t="s">
        <v>68</v>
      </c>
      <c r="E2" s="1" t="s">
        <v>69</v>
      </c>
      <c r="F2" s="1" t="s">
        <v>70</v>
      </c>
      <c r="G2" s="1" t="s">
        <v>29</v>
      </c>
      <c r="H2" s="1"/>
      <c r="I2" s="1"/>
      <c r="J2" s="1"/>
      <c r="K2" s="1"/>
      <c r="L2" s="1"/>
      <c r="M2" s="1"/>
      <c r="N2" s="1"/>
      <c r="O2" s="37" t="s">
        <v>124</v>
      </c>
      <c r="P2" s="3"/>
      <c r="Q2" s="1"/>
      <c r="R2" s="1"/>
      <c r="S2" s="1"/>
      <c r="T2" s="1"/>
      <c r="U2" s="28" t="s">
        <v>50</v>
      </c>
      <c r="W2" s="1"/>
      <c r="X2" s="1"/>
      <c r="Y2" s="1"/>
      <c r="AA2" s="1"/>
      <c r="AB2" s="1"/>
    </row>
    <row r="3" spans="1:28" ht="12.75" customHeight="1" x14ac:dyDescent="0.2">
      <c r="A3" s="1"/>
      <c r="B3" s="1"/>
      <c r="F3" s="2"/>
      <c r="G3" s="1"/>
      <c r="H3" s="1"/>
      <c r="I3" s="1"/>
      <c r="J3" s="1"/>
      <c r="K3" s="1"/>
      <c r="L3" s="1"/>
      <c r="M3" s="1"/>
      <c r="N3" s="1"/>
      <c r="O3" s="8"/>
      <c r="P3" s="3"/>
      <c r="Q3" s="1"/>
      <c r="R3" s="1"/>
      <c r="S3" s="1"/>
      <c r="T3" s="1"/>
      <c r="U3" s="1"/>
      <c r="W3" s="1"/>
      <c r="X3" s="1"/>
      <c r="Y3" s="1"/>
      <c r="AA3" s="1"/>
      <c r="AB3" s="1"/>
    </row>
    <row r="4" spans="1:28" ht="24.95" customHeight="1" x14ac:dyDescent="0.2">
      <c r="A4" s="1" t="s">
        <v>24</v>
      </c>
      <c r="B4" s="1"/>
      <c r="F4" s="2"/>
      <c r="G4" s="1"/>
      <c r="H4" s="1"/>
      <c r="I4" s="1"/>
      <c r="J4" s="1"/>
      <c r="K4" s="1"/>
      <c r="L4" s="1"/>
      <c r="M4" s="1"/>
      <c r="N4" s="1"/>
      <c r="O4" s="1"/>
      <c r="P4" s="3"/>
      <c r="Q4" s="1"/>
      <c r="R4" s="1"/>
      <c r="S4" s="1"/>
      <c r="T4" s="1"/>
      <c r="U4" s="1"/>
      <c r="X4" s="1"/>
      <c r="Y4" s="1"/>
      <c r="AA4" s="1"/>
      <c r="AB4" s="1"/>
    </row>
    <row r="5" spans="1:28" ht="24.95" customHeight="1" x14ac:dyDescent="0.2">
      <c r="A5" s="3">
        <f>MAX($A$11:$A$367)</f>
        <v>2</v>
      </c>
      <c r="B5" s="1"/>
      <c r="F5" s="2"/>
      <c r="G5" s="1"/>
      <c r="H5" s="1"/>
      <c r="I5" s="1"/>
      <c r="J5" s="1"/>
      <c r="K5" s="1"/>
      <c r="L5" s="1"/>
      <c r="M5" s="1"/>
      <c r="N5" s="1"/>
      <c r="O5" s="1"/>
      <c r="P5" s="3"/>
      <c r="Q5" s="1"/>
      <c r="R5" s="1"/>
      <c r="S5" s="1"/>
      <c r="T5" s="1"/>
      <c r="U5" s="1"/>
      <c r="X5" s="1"/>
      <c r="Y5" s="1"/>
      <c r="AA5" s="1"/>
      <c r="AB5" s="1"/>
    </row>
    <row r="6" spans="1:28" ht="24.95" customHeight="1" x14ac:dyDescent="0.2">
      <c r="A6" s="1"/>
      <c r="B6" s="1"/>
      <c r="F6" s="2"/>
      <c r="G6" s="1"/>
      <c r="H6" s="1"/>
      <c r="I6" s="1"/>
      <c r="J6" s="1"/>
      <c r="K6" s="1"/>
      <c r="L6" s="1"/>
      <c r="M6" s="1"/>
      <c r="N6" s="1"/>
      <c r="O6" s="1"/>
      <c r="P6" s="3"/>
      <c r="Q6" s="1"/>
      <c r="R6" s="1"/>
      <c r="S6" s="1"/>
      <c r="T6" s="1"/>
      <c r="U6" s="1"/>
      <c r="W6" s="1"/>
      <c r="X6" s="1"/>
      <c r="Y6" s="1"/>
      <c r="AA6" s="1"/>
      <c r="AB6" s="1"/>
    </row>
    <row r="7" spans="1:28" ht="24.95" customHeight="1" x14ac:dyDescent="0.2">
      <c r="A7" s="1"/>
      <c r="B7" s="1"/>
      <c r="C7" s="1"/>
      <c r="E7" s="2"/>
      <c r="F7" s="2"/>
      <c r="G7" s="1"/>
      <c r="H7" s="1"/>
      <c r="I7" s="1"/>
      <c r="J7" s="1"/>
      <c r="K7" s="1"/>
      <c r="L7" s="1"/>
      <c r="M7" s="1"/>
      <c r="N7" s="1"/>
      <c r="O7" s="1"/>
      <c r="P7" s="3"/>
      <c r="Q7" s="1"/>
      <c r="R7" s="1"/>
      <c r="S7" s="1"/>
      <c r="T7" s="1"/>
      <c r="U7" s="1"/>
      <c r="W7" s="1"/>
      <c r="X7" s="1"/>
      <c r="Y7" s="1"/>
      <c r="AA7" s="1"/>
      <c r="AB7" s="1"/>
    </row>
    <row r="8" spans="1:28" ht="9.9499999999999993" customHeight="1" x14ac:dyDescent="0.2">
      <c r="A8" s="1"/>
      <c r="B8" s="1"/>
      <c r="C8" s="1"/>
      <c r="D8" s="1"/>
      <c r="E8" s="2"/>
      <c r="F8" s="2"/>
      <c r="G8" s="1"/>
      <c r="H8" s="1"/>
      <c r="I8" s="1"/>
      <c r="J8" s="1"/>
      <c r="K8" s="1"/>
      <c r="L8" s="1"/>
      <c r="M8" s="1"/>
      <c r="N8" s="1"/>
      <c r="O8" s="1"/>
      <c r="P8" s="3"/>
      <c r="Q8" s="1"/>
      <c r="R8" s="1"/>
      <c r="S8" s="1"/>
      <c r="T8" s="1"/>
      <c r="U8" s="1"/>
      <c r="W8" s="1"/>
      <c r="X8" s="1"/>
      <c r="Y8" s="1"/>
      <c r="AA8" s="1"/>
      <c r="AB8" s="1"/>
    </row>
    <row r="9" spans="1:28" ht="30" customHeight="1" x14ac:dyDescent="0.2">
      <c r="A9" s="24" t="s">
        <v>1</v>
      </c>
      <c r="B9" s="24" t="s">
        <v>21</v>
      </c>
      <c r="C9" s="24" t="s">
        <v>41</v>
      </c>
      <c r="D9" s="24" t="s">
        <v>42</v>
      </c>
      <c r="E9" s="24" t="s">
        <v>43</v>
      </c>
      <c r="F9" s="24" t="s">
        <v>44</v>
      </c>
      <c r="G9" s="24" t="s">
        <v>45</v>
      </c>
      <c r="H9" s="24" t="s">
        <v>22</v>
      </c>
      <c r="I9" s="24" t="s">
        <v>23</v>
      </c>
      <c r="J9" s="24" t="s">
        <v>1</v>
      </c>
      <c r="K9" s="24" t="s">
        <v>37</v>
      </c>
      <c r="L9" s="24" t="s">
        <v>36</v>
      </c>
      <c r="M9" s="24" t="s">
        <v>47</v>
      </c>
      <c r="N9" s="24" t="s">
        <v>2</v>
      </c>
      <c r="O9" s="24" t="s">
        <v>32</v>
      </c>
      <c r="P9" s="25" t="s">
        <v>39</v>
      </c>
      <c r="Q9" s="24" t="s">
        <v>38</v>
      </c>
      <c r="R9" s="24" t="s">
        <v>90</v>
      </c>
      <c r="S9" s="24" t="s">
        <v>82</v>
      </c>
      <c r="T9" s="24" t="s">
        <v>40</v>
      </c>
      <c r="U9" s="24" t="s">
        <v>3</v>
      </c>
      <c r="W9" s="41" t="s">
        <v>48</v>
      </c>
      <c r="X9" s="41" t="s">
        <v>20</v>
      </c>
      <c r="Y9" s="41" t="s">
        <v>28</v>
      </c>
      <c r="AA9" s="44" t="s">
        <v>87</v>
      </c>
      <c r="AB9" s="1"/>
    </row>
    <row r="10" spans="1:28" hidden="1" x14ac:dyDescent="0.2">
      <c r="A10" t="str">
        <f>CHOOSE(1+LOG(1+2*(J10=$C$2)+4*(J10=$D$2)+8*(J10=$E$2)+16*(J10=$F$2)+32*(J10=$G$2),2),0,1,2,3,4,"S")</f>
        <v>S</v>
      </c>
      <c r="B10">
        <f>IF(OR(A10="S",A10=0),0,IF(ISERROR(I10),H10,SMALL(H10:I10,1)))</f>
        <v>0</v>
      </c>
      <c r="C10" t="str">
        <f ca="1">IF($A10=1,OFFSET(C10,-1,0)+1,OFFSET(C10,-1,0))</f>
        <v>n1</v>
      </c>
      <c r="D10" t="str">
        <f ca="1">IF($A10=1,0,IF($A10=2,OFFSET(D10,-1,0)+1,OFFSET(D10,-1,0)))</f>
        <v>n2</v>
      </c>
      <c r="E10" t="str">
        <f ca="1">IF(AND($A10&lt;=2,$A10&lt;&gt;0),0,IF($A10=3,OFFSET(E10,-1,0)+1,OFFSET(E10,-1,0)))</f>
        <v>n3</v>
      </c>
      <c r="F10" t="str">
        <f ca="1">IF(AND($A10&lt;=3,$A10&lt;&gt;0),0,IF($A10=4,OFFSET(F10,-1,0)+1,OFFSET(F10,-1,0)))</f>
        <v>n4</v>
      </c>
      <c r="G10" t="e">
        <f ca="1">IF(AND($A10&lt;=4,$A10&lt;&gt;0),0,IF($A10="S",OFFSET(G10,-1,0)+1,OFFSET(G10,-1,0)))</f>
        <v>#VALUE!</v>
      </c>
      <c r="H10">
        <f ca="1">IF(OR($A10="S",$A10=0),0,MATCH(0,OFFSET($B10,1,$A10,ROW($A$367)-ROW($A10)),0))</f>
        <v>0</v>
      </c>
      <c r="I10">
        <f ca="1">IF(OR($A10="S",$A10=0),0,MATCH(OFFSET($B10,0,$A10)+1,OFFSET($B10,1,$A10,ROW($A$367)-ROW($A10)),0))</f>
        <v>0</v>
      </c>
      <c r="J10" s="105" t="s">
        <v>29</v>
      </c>
      <c r="K10" s="97" t="e">
        <f ca="1">IF($A10=0,"-",CONCATENATE(C10&amp;".",IF(AND($A$5&gt;=2,$A10&gt;=2),D10&amp;".",""),IF(AND($A$5&gt;=3,$A10&gt;=3),E10&amp;".",""),IF(AND($A$5&gt;=4,$A10&gt;=4),F10&amp;".",""),IF($A10="S",G10&amp;".","")))</f>
        <v>#VALUE!</v>
      </c>
      <c r="L10" s="110" t="str">
        <f ca="1">IF(NOT(ISERROR($Y10)),IF($Y10&lt;&gt;FALSE,INDEX(Banco,$Y10,4),""),"")</f>
        <v/>
      </c>
      <c r="M10" s="98"/>
      <c r="N10" s="112"/>
      <c r="O10" s="110" t="str">
        <f ca="1">IF(NOT(ISERROR($Y10)),IF($Y10&lt;&gt;FALSE,INDEX(Banco,$Y10,5),""),"")</f>
        <v/>
      </c>
      <c r="P10" s="111" t="str">
        <f ca="1">IF(NOT(ISERROR($Y10)),IF($Y10&lt;&gt;FALSE,INDEX(Banco,$Y10,6),""),"")</f>
        <v/>
      </c>
      <c r="Q10" s="107"/>
      <c r="R10" s="100">
        <f ca="1">IF(NOT(ISERROR($Y10)),IF($Y10&lt;&gt;FALSE,INDEX(Banco,$Y10,7),0),0)</f>
        <v>0</v>
      </c>
      <c r="S10" s="109" t="s">
        <v>62</v>
      </c>
      <c r="T10" s="99">
        <f ca="1">IF($J10=$G$2,ROUND(ROUND($R10,2)*IF($R$9="Preço Unitário (R$)",1,1+$AA10),2),0)</f>
        <v>0</v>
      </c>
      <c r="U10" s="102">
        <f ca="1">IF($A10="S",VTOTAL1,IF($A10=0,0,ROUND(SomaAgrup,2)))</f>
        <v>0</v>
      </c>
      <c r="W10" s="1" t="str">
        <f ca="1">IF(OR($A10=0,$A10="S",$A10&gt;CFF!$A$9),"",MAX(W$11:OFFSET(W10,-1,0))+1)</f>
        <v/>
      </c>
      <c r="X10" s="3" t="b">
        <f>IF(AND($J10=$G$2,$N10&lt;&gt;"",$M10&lt;&gt;""),CONCATENATE($M10,"-",$N10))</f>
        <v>0</v>
      </c>
      <c r="Y10" s="1" t="b">
        <f ca="1">IF(X10&lt;&gt;FALSE,MATCH(X10,OFFSET(Banco,0,0,,1),0))</f>
        <v>0</v>
      </c>
      <c r="AA10" s="106">
        <f>IF($J10=$G$2,ROUND(IF(ISNUMBER(S10),S10,IF(LEFT(S10,2)="DI",HLOOKUP(S10,DADOS!$T$29:$X$30,2,FALSE),0)),4),"")</f>
        <v>0.25</v>
      </c>
      <c r="AB10" s="1"/>
    </row>
    <row r="11" spans="1:28" x14ac:dyDescent="0.2">
      <c r="A11">
        <v>0</v>
      </c>
      <c r="B11">
        <f ca="1">COUNTA(OFFSET(B11,1,0):B$367)</f>
        <v>355</v>
      </c>
      <c r="J11" s="26" t="s">
        <v>72</v>
      </c>
      <c r="K11" s="58">
        <v>0</v>
      </c>
      <c r="L11" s="5"/>
      <c r="M11" s="5"/>
      <c r="N11" s="5"/>
      <c r="O11" s="32" t="s">
        <v>72</v>
      </c>
      <c r="P11" s="5"/>
      <c r="Q11" s="6"/>
      <c r="R11" s="6"/>
      <c r="S11" s="7"/>
      <c r="T11" s="6"/>
      <c r="U11" s="35">
        <f ca="1">SUMIF(OFFSET($J11,1,0,ROW(U367)-ROW(U11)-1),$G$2,OFFSET(U11,1,0,ROW(U367)-ROW(U11)-1))</f>
        <v>266575.54999999993</v>
      </c>
      <c r="W11" s="1">
        <v>0</v>
      </c>
      <c r="X11" s="3"/>
      <c r="Y11" s="1"/>
      <c r="AA11" s="42"/>
      <c r="AB11" s="1"/>
    </row>
    <row r="12" spans="1:28" x14ac:dyDescent="0.2">
      <c r="A12">
        <f t="shared" ref="A12:A44" si="0">CHOOSE(1+LOG(1+2*(J12=$C$2)+4*(J12=$D$2)+8*(J12=$E$2)+16*(J12=$F$2)+32*(J12=$G$2),2),0,1,2,3,4,"S")</f>
        <v>1</v>
      </c>
      <c r="B12">
        <f t="shared" ref="B12:B44" ca="1" si="1">IF(OR(A12="S",A12=0),0,IF(ISERROR(I12),H12,SMALL(H12:I12,1)))</f>
        <v>52</v>
      </c>
      <c r="C12">
        <f t="shared" ref="C12:C44" ca="1" si="2">IF($A12=1,OFFSET(C12,-1,0)+1,OFFSET(C12,-1,0))</f>
        <v>1</v>
      </c>
      <c r="D12">
        <f t="shared" ref="D12:D44" ca="1" si="3">IF($A12=1,0,IF($A12=2,OFFSET(D12,-1,0)+1,OFFSET(D12,-1,0)))</f>
        <v>0</v>
      </c>
      <c r="E12">
        <f t="shared" ref="E12:E44" ca="1" si="4">IF(AND($A12&lt;=2,$A12&lt;&gt;0),0,IF($A12=3,OFFSET(E12,-1,0)+1,OFFSET(E12,-1,0)))</f>
        <v>0</v>
      </c>
      <c r="F12">
        <f t="shared" ref="F12:F44" ca="1" si="5">IF(AND($A12&lt;=3,$A12&lt;&gt;0),0,IF($A12=4,OFFSET(F12,-1,0)+1,OFFSET(F12,-1,0)))</f>
        <v>0</v>
      </c>
      <c r="G12">
        <f t="shared" ref="G12:G44" ca="1" si="6">IF(AND($A12&lt;=4,$A12&lt;&gt;0),0,IF($A12="S",OFFSET(G12,-1,0)+1,OFFSET(G12,-1,0)))</f>
        <v>0</v>
      </c>
      <c r="H12">
        <f t="shared" ref="H12:H75" ca="1" si="7">IF(OR($A12="S",$A12=0),0,MATCH(0,OFFSET($B12,1,$A12,ROW($A$367)-ROW($A12)),0))</f>
        <v>355</v>
      </c>
      <c r="I12">
        <f t="shared" ref="I12:I75" ca="1" si="8">IF(OR($A12="S",$A12=0),0,MATCH(OFFSET($B12,0,$A12)+1,OFFSET($B12,1,$A12,ROW($A$367)-ROW($A12)),0))</f>
        <v>52</v>
      </c>
      <c r="J12" s="105" t="s">
        <v>67</v>
      </c>
      <c r="K12" s="97" t="str">
        <f t="shared" ref="K12:K44" ca="1" si="9">IF($A12=0,"-",CONCATENATE(C12&amp;".",IF(AND($A$5&gt;=2,$A12&gt;=2),D12&amp;".",""),IF(AND($A$5&gt;=3,$A12&gt;=3),E12&amp;".",""),IF(AND($A$5&gt;=4,$A12&gt;=4),F12&amp;".",""),IF($A12="S",G12&amp;".","")))</f>
        <v>1.</v>
      </c>
      <c r="L12" s="98" t="str">
        <f t="shared" ref="L12:L44" ca="1" si="10">IF(NOT(ISERROR($Y12)),IF($Y12&lt;&gt;FALSE,INDEX(Banco,$Y12,4),""),"")</f>
        <v/>
      </c>
      <c r="M12" s="98"/>
      <c r="N12" s="112"/>
      <c r="O12" s="108" t="s">
        <v>216</v>
      </c>
      <c r="P12" s="103" t="str">
        <f t="shared" ref="P12:P44" ca="1" si="11">IF(NOT(ISERROR($Y12)),IF($Y12&lt;&gt;FALSE,INDEX(Banco,$Y12,6),""),"")</f>
        <v/>
      </c>
      <c r="Q12" s="123"/>
      <c r="R12" s="100">
        <f t="shared" ref="R12:R44" ca="1" si="12">IF(NOT(ISERROR($Y12)),IF($Y12&lt;&gt;FALSE,INDEX(Banco,$Y12,7),0),0)</f>
        <v>0</v>
      </c>
      <c r="S12" s="101" t="s">
        <v>62</v>
      </c>
      <c r="T12" s="99">
        <f t="shared" ref="T12:T44" si="13">IF($J12=$G$2,ROUND(ROUND($R12,2)*IF($R$9="Preço Unitário (R$)",1,1+$AA12),2),0)</f>
        <v>0</v>
      </c>
      <c r="U12" s="102">
        <f t="shared" ref="U12:U44" ca="1" si="14">IF($A12="S",VTOTAL1,IF($A12=0,0,ROUND(SomaAgrup,2)))</f>
        <v>27928.81</v>
      </c>
      <c r="W12" s="1">
        <f ca="1">IF(OR($A12=0,$A12="S",$A12&gt;CFF!$A$9),"",MAX(W$11:OFFSET(W12,-1,0))+1)</f>
        <v>1</v>
      </c>
      <c r="X12" s="3" t="b">
        <f t="shared" ref="X12:X44" si="15">IF(AND($J12=$G$2,$N12&lt;&gt;"",$M12&lt;&gt;""),CONCATENATE($M12,"-",$N12))</f>
        <v>0</v>
      </c>
      <c r="Y12" s="1" t="b">
        <f t="shared" ref="Y12:Y44" ca="1" si="16">IF(X12&lt;&gt;FALSE,MATCH(X12,OFFSET(Banco,0,0,,1),0))</f>
        <v>0</v>
      </c>
      <c r="AA12" s="106" t="str">
        <f>IF($J12=$G$2,ROUND(IF(ISNUMBER(S12),S12,IF(LEFT(S12,2)="DI",HLOOKUP(S12,DADOS!$T$29:$X$30,2,FALSE),0)),4),"")</f>
        <v/>
      </c>
      <c r="AB12" s="1"/>
    </row>
    <row r="13" spans="1:28" x14ac:dyDescent="0.2">
      <c r="A13">
        <f t="shared" si="0"/>
        <v>2</v>
      </c>
      <c r="B13">
        <f t="shared" ca="1" si="1"/>
        <v>20</v>
      </c>
      <c r="C13">
        <f t="shared" ca="1" si="2"/>
        <v>1</v>
      </c>
      <c r="D13">
        <f t="shared" ca="1" si="3"/>
        <v>1</v>
      </c>
      <c r="E13">
        <f t="shared" ca="1" si="4"/>
        <v>0</v>
      </c>
      <c r="F13">
        <f t="shared" ca="1" si="5"/>
        <v>0</v>
      </c>
      <c r="G13">
        <f t="shared" ca="1" si="6"/>
        <v>0</v>
      </c>
      <c r="H13">
        <f t="shared" ca="1" si="7"/>
        <v>51</v>
      </c>
      <c r="I13">
        <f t="shared" ca="1" si="8"/>
        <v>20</v>
      </c>
      <c r="J13" s="105" t="s">
        <v>68</v>
      </c>
      <c r="K13" s="97" t="str">
        <f t="shared" ca="1" si="9"/>
        <v>1.1.</v>
      </c>
      <c r="L13" s="110" t="str">
        <f t="shared" ca="1" si="10"/>
        <v/>
      </c>
      <c r="M13" s="98"/>
      <c r="N13" s="112"/>
      <c r="O13" s="110" t="s">
        <v>217</v>
      </c>
      <c r="P13" s="111" t="str">
        <f t="shared" ca="1" si="11"/>
        <v/>
      </c>
      <c r="Q13" s="107"/>
      <c r="R13" s="100">
        <f t="shared" ca="1" si="12"/>
        <v>0</v>
      </c>
      <c r="S13" s="109" t="s">
        <v>62</v>
      </c>
      <c r="T13" s="99">
        <f t="shared" si="13"/>
        <v>0</v>
      </c>
      <c r="U13" s="102">
        <f t="shared" ca="1" si="14"/>
        <v>11484.46</v>
      </c>
      <c r="W13" s="1">
        <f ca="1">IF(OR($A13=0,$A13="S",$A13&gt;CFF!$A$9),"",MAX(W$11:OFFSET(W13,-1,0))+1)</f>
        <v>2</v>
      </c>
      <c r="X13" s="3" t="b">
        <f t="shared" si="15"/>
        <v>0</v>
      </c>
      <c r="Y13" s="1" t="b">
        <f t="shared" ca="1" si="16"/>
        <v>0</v>
      </c>
      <c r="AA13" s="106" t="str">
        <f>IF($J13=$G$2,ROUND(IF(ISNUMBER(S13),S13,IF(LEFT(S13,2)="DI",HLOOKUP(S13,DADOS!$T$29:$X$30,2,FALSE),0)),4),"")</f>
        <v/>
      </c>
      <c r="AB13" s="1"/>
    </row>
    <row r="14" spans="1:28" x14ac:dyDescent="0.2">
      <c r="A14" t="str">
        <f t="shared" si="0"/>
        <v>S</v>
      </c>
      <c r="B14">
        <f t="shared" si="1"/>
        <v>0</v>
      </c>
      <c r="C14">
        <f t="shared" ca="1" si="2"/>
        <v>1</v>
      </c>
      <c r="D14">
        <f t="shared" ca="1" si="3"/>
        <v>1</v>
      </c>
      <c r="E14">
        <f t="shared" ca="1" si="4"/>
        <v>0</v>
      </c>
      <c r="F14">
        <f t="shared" ca="1" si="5"/>
        <v>0</v>
      </c>
      <c r="G14">
        <f t="shared" ca="1" si="6"/>
        <v>1</v>
      </c>
      <c r="H14">
        <f t="shared" ca="1" si="7"/>
        <v>0</v>
      </c>
      <c r="I14">
        <f t="shared" ca="1" si="8"/>
        <v>0</v>
      </c>
      <c r="J14" s="105" t="s">
        <v>29</v>
      </c>
      <c r="K14" s="97" t="str">
        <f t="shared" ca="1" si="9"/>
        <v>1.1.1.</v>
      </c>
      <c r="L14" s="110" t="str">
        <f t="shared" ca="1" si="10"/>
        <v>CRESS</v>
      </c>
      <c r="M14" s="98" t="s">
        <v>78</v>
      </c>
      <c r="N14" s="112" t="s">
        <v>218</v>
      </c>
      <c r="O14" s="110" t="str">
        <f t="shared" ref="O14:O31" ca="1" si="17">IF(NOT(ISERROR($Y14)),IF($Y14&lt;&gt;FALSE,INDEX(Banco,$Y14,5),""),"")</f>
        <v>RT</v>
      </c>
      <c r="P14" s="111" t="str">
        <f t="shared" ca="1" si="11"/>
        <v>hora</v>
      </c>
      <c r="Q14" s="107">
        <v>20</v>
      </c>
      <c r="R14" s="100">
        <f t="shared" ca="1" si="12"/>
        <v>150.28</v>
      </c>
      <c r="S14" s="109" t="s">
        <v>62</v>
      </c>
      <c r="T14" s="99">
        <f t="shared" ca="1" si="13"/>
        <v>187.85</v>
      </c>
      <c r="U14" s="102">
        <f t="shared" ca="1" si="14"/>
        <v>3757</v>
      </c>
      <c r="W14" s="1" t="str">
        <f ca="1">IF(OR($A14=0,$A14="S",$A14&gt;CFF!$A$9),"",MAX(W$11:OFFSET(W14,-1,0))+1)</f>
        <v/>
      </c>
      <c r="X14" s="3" t="str">
        <f t="shared" si="15"/>
        <v>Rec. Humanos-001</v>
      </c>
      <c r="Y14" s="1">
        <f t="shared" ca="1" si="16"/>
        <v>3</v>
      </c>
      <c r="AA14" s="106">
        <f>IF($J14=$G$2,ROUND(IF(ISNUMBER(S14),S14,IF(LEFT(S14,2)="DI",HLOOKUP(S14,DADOS!$T$29:$X$30,2,FALSE),0)),4),"")</f>
        <v>0.25</v>
      </c>
      <c r="AB14" s="1"/>
    </row>
    <row r="15" spans="1:28" x14ac:dyDescent="0.2">
      <c r="A15" t="str">
        <f t="shared" si="0"/>
        <v>S</v>
      </c>
      <c r="B15">
        <f t="shared" si="1"/>
        <v>0</v>
      </c>
      <c r="C15">
        <f t="shared" ca="1" si="2"/>
        <v>1</v>
      </c>
      <c r="D15">
        <f t="shared" ca="1" si="3"/>
        <v>1</v>
      </c>
      <c r="E15">
        <f t="shared" ca="1" si="4"/>
        <v>0</v>
      </c>
      <c r="F15">
        <f t="shared" ca="1" si="5"/>
        <v>0</v>
      </c>
      <c r="G15">
        <f t="shared" ca="1" si="6"/>
        <v>2</v>
      </c>
      <c r="H15">
        <f t="shared" ca="1" si="7"/>
        <v>0</v>
      </c>
      <c r="I15">
        <f t="shared" ca="1" si="8"/>
        <v>0</v>
      </c>
      <c r="J15" s="105" t="s">
        <v>29</v>
      </c>
      <c r="K15" s="97" t="str">
        <f t="shared" ca="1" si="9"/>
        <v>1.1.2.</v>
      </c>
      <c r="L15" s="110">
        <f t="shared" ca="1" si="10"/>
        <v>0</v>
      </c>
      <c r="M15" s="98" t="s">
        <v>78</v>
      </c>
      <c r="N15" s="112" t="s">
        <v>219</v>
      </c>
      <c r="O15" s="110" t="str">
        <f t="shared" ca="1" si="17"/>
        <v>Assistente Social</v>
      </c>
      <c r="P15" s="111" t="str">
        <f t="shared" ca="1" si="11"/>
        <v>hora</v>
      </c>
      <c r="Q15" s="107">
        <v>20</v>
      </c>
      <c r="R15" s="100">
        <f t="shared" ca="1" si="12"/>
        <v>133.81</v>
      </c>
      <c r="S15" s="109" t="s">
        <v>62</v>
      </c>
      <c r="T15" s="99">
        <f t="shared" ca="1" si="13"/>
        <v>167.26</v>
      </c>
      <c r="U15" s="102">
        <f t="shared" ca="1" si="14"/>
        <v>3345.2</v>
      </c>
      <c r="W15" s="1" t="str">
        <f ca="1">IF(OR($A15=0,$A15="S",$A15&gt;CFF!$A$9),"",MAX(W$11:OFFSET(W15,-1,0))+1)</f>
        <v/>
      </c>
      <c r="X15" s="3" t="str">
        <f t="shared" si="15"/>
        <v>Rec. Humanos-002</v>
      </c>
      <c r="Y15" s="1">
        <f t="shared" ca="1" si="16"/>
        <v>4</v>
      </c>
      <c r="AA15" s="106">
        <f>IF($J15=$G$2,ROUND(IF(ISNUMBER(S15),S15,IF(LEFT(S15,2)="DI",HLOOKUP(S15,DADOS!$T$29:$X$30,2,FALSE),0)),4),"")</f>
        <v>0.25</v>
      </c>
      <c r="AB15" s="1"/>
    </row>
    <row r="16" spans="1:28" x14ac:dyDescent="0.2">
      <c r="A16" t="str">
        <f>CHOOSE(1+LOG(1+2*(J16=$C$2)+4*(J16=$D$2)+8*(J16=$E$2)+16*(J16=$F$2)+32*(J16=$G$2),2),0,1,2,3,4,"S")</f>
        <v>S</v>
      </c>
      <c r="B16">
        <f>IF(OR(A16="S",A16=0),0,IF(ISERROR(I16),H16,SMALL(H16:I16,1)))</f>
        <v>0</v>
      </c>
      <c r="C16">
        <f ca="1">IF($A16=1,OFFSET(C16,-1,0)+1,OFFSET(C16,-1,0))</f>
        <v>1</v>
      </c>
      <c r="D16">
        <f ca="1">IF($A16=1,0,IF($A16=2,OFFSET(D16,-1,0)+1,OFFSET(D16,-1,0)))</f>
        <v>1</v>
      </c>
      <c r="E16">
        <f ca="1">IF(AND($A16&lt;=2,$A16&lt;&gt;0),0,IF($A16=3,OFFSET(E16,-1,0)+1,OFFSET(E16,-1,0)))</f>
        <v>0</v>
      </c>
      <c r="F16">
        <f ca="1">IF(AND($A16&lt;=3,$A16&lt;&gt;0),0,IF($A16=4,OFFSET(F16,-1,0)+1,OFFSET(F16,-1,0)))</f>
        <v>0</v>
      </c>
      <c r="G16">
        <f ca="1">IF(AND($A16&lt;=4,$A16&lt;&gt;0),0,IF($A16="S",OFFSET(G16,-1,0)+1,OFFSET(G16,-1,0)))</f>
        <v>3</v>
      </c>
      <c r="H16">
        <f t="shared" ca="1" si="7"/>
        <v>0</v>
      </c>
      <c r="I16">
        <f t="shared" ca="1" si="8"/>
        <v>0</v>
      </c>
      <c r="J16" s="105" t="s">
        <v>29</v>
      </c>
      <c r="K16" s="97" t="str">
        <f ca="1">IF($A16=0,"-",CONCATENATE(C16&amp;".",IF(AND($A$5&gt;=2,$A16&gt;=2),D16&amp;".",""),IF(AND($A$5&gt;=3,$A16&gt;=3),E16&amp;".",""),IF(AND($A$5&gt;=4,$A16&gt;=4),F16&amp;".",""),IF($A16="S",G16&amp;".","")))</f>
        <v>1.1.3.</v>
      </c>
      <c r="L16" s="110">
        <f ca="1">IF(NOT(ISERROR($Y16)),IF($Y16&lt;&gt;FALSE,INDEX(Banco,$Y16,4),""),"")</f>
        <v>0</v>
      </c>
      <c r="M16" s="98" t="s">
        <v>78</v>
      </c>
      <c r="N16" s="112" t="s">
        <v>231</v>
      </c>
      <c r="O16" s="110" t="str">
        <f ca="1">IF(NOT(ISERROR($Y16)),IF($Y16&lt;&gt;FALSE,INDEX(Banco,$Y16,5),""),"")</f>
        <v>Biólogo</v>
      </c>
      <c r="P16" s="111" t="str">
        <f ca="1">IF(NOT(ISERROR($Y16)),IF($Y16&lt;&gt;FALSE,INDEX(Banco,$Y16,6),""),"")</f>
        <v>hora</v>
      </c>
      <c r="Q16" s="107">
        <v>20</v>
      </c>
      <c r="R16" s="100">
        <f ca="1">IF(NOT(ISERROR($Y16)),IF($Y16&lt;&gt;FALSE,INDEX(Banco,$Y16,7),0),0)</f>
        <v>14.97</v>
      </c>
      <c r="S16" s="109" t="s">
        <v>62</v>
      </c>
      <c r="T16" s="99">
        <f ca="1">IF($J16=$G$2,ROUND(ROUND($R16,2)*IF($R$9="Preço Unitário (R$)",1,1+$AA16),2),0)</f>
        <v>18.71</v>
      </c>
      <c r="U16" s="102">
        <f ca="1">IF($A16="S",VTOTAL1,IF($A16=0,0,ROUND(SomaAgrup,2)))</f>
        <v>374.2</v>
      </c>
      <c r="W16" s="1" t="str">
        <f ca="1">IF(OR($A16=0,$A16="S",$A16&gt;CFF!$A$9),"",MAX(W$11:OFFSET(W16,-1,0))+1)</f>
        <v/>
      </c>
      <c r="X16" s="3" t="str">
        <f>IF(AND($J16=$G$2,$N16&lt;&gt;"",$M16&lt;&gt;""),CONCATENATE($M16,"-",$N16))</f>
        <v>Rec. Humanos-004</v>
      </c>
      <c r="Y16" s="1">
        <f ca="1">IF(X16&lt;&gt;FALSE,MATCH(X16,OFFSET(Banco,0,0,,1),0))</f>
        <v>6</v>
      </c>
      <c r="AA16" s="106">
        <f>IF($J16=$G$2,ROUND(IF(ISNUMBER(S16),S16,IF(LEFT(S16,2)="DI",HLOOKUP(S16,DADOS!$T$29:$X$30,2,FALSE),0)),4),"")</f>
        <v>0.25</v>
      </c>
      <c r="AB16" s="1"/>
    </row>
    <row r="17" spans="1:28" x14ac:dyDescent="0.2">
      <c r="A17" t="str">
        <f t="shared" si="0"/>
        <v>S</v>
      </c>
      <c r="B17">
        <f t="shared" si="1"/>
        <v>0</v>
      </c>
      <c r="C17">
        <f t="shared" ca="1" si="2"/>
        <v>1</v>
      </c>
      <c r="D17">
        <f t="shared" ca="1" si="3"/>
        <v>1</v>
      </c>
      <c r="E17">
        <f t="shared" ca="1" si="4"/>
        <v>0</v>
      </c>
      <c r="F17">
        <f t="shared" ca="1" si="5"/>
        <v>0</v>
      </c>
      <c r="G17">
        <f t="shared" ca="1" si="6"/>
        <v>4</v>
      </c>
      <c r="H17">
        <f t="shared" ca="1" si="7"/>
        <v>0</v>
      </c>
      <c r="I17">
        <f t="shared" ca="1" si="8"/>
        <v>0</v>
      </c>
      <c r="J17" s="105" t="s">
        <v>29</v>
      </c>
      <c r="K17" s="97" t="str">
        <f t="shared" ca="1" si="9"/>
        <v>1.1.4.</v>
      </c>
      <c r="L17" s="110">
        <f t="shared" ca="1" si="10"/>
        <v>0</v>
      </c>
      <c r="M17" s="98" t="s">
        <v>78</v>
      </c>
      <c r="N17" s="112" t="s">
        <v>220</v>
      </c>
      <c r="O17" s="110" t="str">
        <f t="shared" ca="1" si="17"/>
        <v>Administrativo</v>
      </c>
      <c r="P17" s="111" t="str">
        <f t="shared" ca="1" si="11"/>
        <v>mensal</v>
      </c>
      <c r="Q17" s="107">
        <v>1</v>
      </c>
      <c r="R17" s="100">
        <f t="shared" ca="1" si="12"/>
        <v>1463.5</v>
      </c>
      <c r="S17" s="109" t="s">
        <v>62</v>
      </c>
      <c r="T17" s="99">
        <f t="shared" ca="1" si="13"/>
        <v>1829.38</v>
      </c>
      <c r="U17" s="102">
        <f t="shared" ca="1" si="14"/>
        <v>1829.38</v>
      </c>
      <c r="W17" s="1" t="str">
        <f ca="1">IF(OR($A17=0,$A17="S",$A17&gt;CFF!$A$9),"",MAX(W$11:OFFSET(W17,-1,0))+1)</f>
        <v/>
      </c>
      <c r="X17" s="3" t="str">
        <f t="shared" si="15"/>
        <v>Rec. Humanos-003</v>
      </c>
      <c r="Y17" s="1">
        <f t="shared" ca="1" si="16"/>
        <v>5</v>
      </c>
      <c r="AA17" s="106">
        <f>IF($J17=$G$2,ROUND(IF(ISNUMBER(S17),S17,IF(LEFT(S17,2)="DI",HLOOKUP(S17,DADOS!$T$29:$X$30,2,FALSE),0)),4),"")</f>
        <v>0.25</v>
      </c>
      <c r="AB17" s="1"/>
    </row>
    <row r="18" spans="1:28" x14ac:dyDescent="0.2">
      <c r="A18" t="str">
        <f t="shared" si="0"/>
        <v>S</v>
      </c>
      <c r="B18">
        <f t="shared" si="1"/>
        <v>0</v>
      </c>
      <c r="C18">
        <f t="shared" ca="1" si="2"/>
        <v>1</v>
      </c>
      <c r="D18">
        <f t="shared" ca="1" si="3"/>
        <v>1</v>
      </c>
      <c r="E18">
        <f t="shared" ca="1" si="4"/>
        <v>0</v>
      </c>
      <c r="F18">
        <f t="shared" ca="1" si="5"/>
        <v>0</v>
      </c>
      <c r="G18">
        <f t="shared" ca="1" si="6"/>
        <v>5</v>
      </c>
      <c r="H18">
        <f t="shared" ca="1" si="7"/>
        <v>0</v>
      </c>
      <c r="I18">
        <f t="shared" ca="1" si="8"/>
        <v>0</v>
      </c>
      <c r="J18" s="105" t="s">
        <v>29</v>
      </c>
      <c r="K18" s="97" t="str">
        <f t="shared" ca="1" si="9"/>
        <v>1.1.5.</v>
      </c>
      <c r="L18" s="110">
        <f t="shared" ca="1" si="10"/>
        <v>0</v>
      </c>
      <c r="M18" s="98" t="s">
        <v>78</v>
      </c>
      <c r="N18" s="112" t="s">
        <v>221</v>
      </c>
      <c r="O18" s="110" t="str">
        <f t="shared" ca="1" si="17"/>
        <v>Estagiarios</v>
      </c>
      <c r="P18" s="111" t="str">
        <f t="shared" ca="1" si="11"/>
        <v>hora</v>
      </c>
      <c r="Q18" s="107">
        <v>10</v>
      </c>
      <c r="R18" s="100">
        <f t="shared" ca="1" si="12"/>
        <v>8.26</v>
      </c>
      <c r="S18" s="109" t="s">
        <v>62</v>
      </c>
      <c r="T18" s="99">
        <f t="shared" ca="1" si="13"/>
        <v>10.33</v>
      </c>
      <c r="U18" s="102">
        <f t="shared" ca="1" si="14"/>
        <v>103.3</v>
      </c>
      <c r="W18" s="1" t="str">
        <f ca="1">IF(OR($A18=0,$A18="S",$A18&gt;CFF!$A$9),"",MAX(W$11:OFFSET(W18,-1,0))+1)</f>
        <v/>
      </c>
      <c r="X18" s="3" t="str">
        <f t="shared" si="15"/>
        <v>Rec. Humanos-005</v>
      </c>
      <c r="Y18" s="1">
        <f t="shared" ca="1" si="16"/>
        <v>7</v>
      </c>
      <c r="AA18" s="106">
        <f>IF($J18=$G$2,ROUND(IF(ISNUMBER(S18),S18,IF(LEFT(S18,2)="DI",HLOOKUP(S18,DADOS!$T$29:$X$30,2,FALSE),0)),4),"")</f>
        <v>0.25</v>
      </c>
      <c r="AB18" s="1"/>
    </row>
    <row r="19" spans="1:28" x14ac:dyDescent="0.2">
      <c r="A19" t="str">
        <f t="shared" si="0"/>
        <v>S</v>
      </c>
      <c r="B19">
        <f t="shared" si="1"/>
        <v>0</v>
      </c>
      <c r="C19">
        <f t="shared" ca="1" si="2"/>
        <v>1</v>
      </c>
      <c r="D19">
        <f t="shared" ca="1" si="3"/>
        <v>1</v>
      </c>
      <c r="E19">
        <f t="shared" ca="1" si="4"/>
        <v>0</v>
      </c>
      <c r="F19">
        <f t="shared" ca="1" si="5"/>
        <v>0</v>
      </c>
      <c r="G19">
        <f t="shared" ca="1" si="6"/>
        <v>6</v>
      </c>
      <c r="H19">
        <f t="shared" ca="1" si="7"/>
        <v>0</v>
      </c>
      <c r="I19">
        <f t="shared" ca="1" si="8"/>
        <v>0</v>
      </c>
      <c r="J19" s="105" t="s">
        <v>29</v>
      </c>
      <c r="K19" s="97" t="str">
        <f t="shared" ca="1" si="9"/>
        <v>1.1.6.</v>
      </c>
      <c r="L19" s="110">
        <f t="shared" ca="1" si="10"/>
        <v>0</v>
      </c>
      <c r="M19" s="98" t="s">
        <v>78</v>
      </c>
      <c r="N19" s="112" t="s">
        <v>221</v>
      </c>
      <c r="O19" s="110" t="str">
        <f t="shared" ca="1" si="17"/>
        <v>Estagiarios</v>
      </c>
      <c r="P19" s="111" t="str">
        <f t="shared" ca="1" si="11"/>
        <v>hora</v>
      </c>
      <c r="Q19" s="107">
        <v>10</v>
      </c>
      <c r="R19" s="100">
        <f t="shared" ca="1" si="12"/>
        <v>8.26</v>
      </c>
      <c r="S19" s="109" t="s">
        <v>62</v>
      </c>
      <c r="T19" s="99">
        <f t="shared" ca="1" si="13"/>
        <v>10.33</v>
      </c>
      <c r="U19" s="102">
        <f t="shared" ca="1" si="14"/>
        <v>103.3</v>
      </c>
      <c r="W19" s="1" t="str">
        <f ca="1">IF(OR($A19=0,$A19="S",$A19&gt;CFF!$A$9),"",MAX(W$11:OFFSET(W19,-1,0))+1)</f>
        <v/>
      </c>
      <c r="X19" s="3" t="str">
        <f t="shared" si="15"/>
        <v>Rec. Humanos-005</v>
      </c>
      <c r="Y19" s="1">
        <f t="shared" ca="1" si="16"/>
        <v>7</v>
      </c>
      <c r="AA19" s="106">
        <f>IF($J19=$G$2,ROUND(IF(ISNUMBER(S19),S19,IF(LEFT(S19,2)="DI",HLOOKUP(S19,DADOS!$T$29:$X$30,2,FALSE),0)),4),"")</f>
        <v>0.25</v>
      </c>
      <c r="AB19" s="1"/>
    </row>
    <row r="20" spans="1:28" x14ac:dyDescent="0.2">
      <c r="A20" t="str">
        <f t="shared" si="0"/>
        <v>S</v>
      </c>
      <c r="B20">
        <f t="shared" si="1"/>
        <v>0</v>
      </c>
      <c r="C20">
        <f t="shared" ca="1" si="2"/>
        <v>1</v>
      </c>
      <c r="D20">
        <f t="shared" ca="1" si="3"/>
        <v>1</v>
      </c>
      <c r="E20">
        <f t="shared" ca="1" si="4"/>
        <v>0</v>
      </c>
      <c r="F20">
        <f t="shared" ca="1" si="5"/>
        <v>0</v>
      </c>
      <c r="G20">
        <f t="shared" ca="1" si="6"/>
        <v>7</v>
      </c>
      <c r="H20">
        <f t="shared" ca="1" si="7"/>
        <v>0</v>
      </c>
      <c r="I20">
        <f t="shared" ca="1" si="8"/>
        <v>0</v>
      </c>
      <c r="J20" s="105" t="s">
        <v>29</v>
      </c>
      <c r="K20" s="97" t="str">
        <f t="shared" ca="1" si="9"/>
        <v>1.1.7.</v>
      </c>
      <c r="L20" s="110">
        <f t="shared" ca="1" si="10"/>
        <v>0</v>
      </c>
      <c r="M20" s="98" t="s">
        <v>79</v>
      </c>
      <c r="N20" s="112" t="s">
        <v>218</v>
      </c>
      <c r="O20" s="110" t="str">
        <f t="shared" ca="1" si="17"/>
        <v>Papel A4 (Internatonal Paper) 500 folhas</v>
      </c>
      <c r="P20" s="111" t="str">
        <f t="shared" ca="1" si="11"/>
        <v>resma</v>
      </c>
      <c r="Q20" s="107">
        <v>1</v>
      </c>
      <c r="R20" s="100">
        <f t="shared" ca="1" si="12"/>
        <v>25.8</v>
      </c>
      <c r="S20" s="109" t="s">
        <v>62</v>
      </c>
      <c r="T20" s="99">
        <f t="shared" ca="1" si="13"/>
        <v>32.25</v>
      </c>
      <c r="U20" s="102">
        <f t="shared" ca="1" si="14"/>
        <v>32.25</v>
      </c>
      <c r="W20" s="1" t="str">
        <f ca="1">IF(OR($A20=0,$A20="S",$A20&gt;CFF!$A$9),"",MAX(W$11:OFFSET(W20,-1,0))+1)</f>
        <v/>
      </c>
      <c r="X20" s="3" t="str">
        <f t="shared" si="15"/>
        <v>Rec. Materiais-001</v>
      </c>
      <c r="Y20" s="1">
        <f t="shared" ca="1" si="16"/>
        <v>8</v>
      </c>
      <c r="AA20" s="106">
        <f>IF($J20=$G$2,ROUND(IF(ISNUMBER(S20),S20,IF(LEFT(S20,2)="DI",HLOOKUP(S20,DADOS!$T$29:$X$30,2,FALSE),0)),4),"")</f>
        <v>0.25</v>
      </c>
      <c r="AB20" s="1"/>
    </row>
    <row r="21" spans="1:28" x14ac:dyDescent="0.2">
      <c r="A21" t="str">
        <f t="shared" si="0"/>
        <v>S</v>
      </c>
      <c r="B21">
        <f t="shared" si="1"/>
        <v>0</v>
      </c>
      <c r="C21">
        <f t="shared" ca="1" si="2"/>
        <v>1</v>
      </c>
      <c r="D21">
        <f t="shared" ca="1" si="3"/>
        <v>1</v>
      </c>
      <c r="E21">
        <f t="shared" ca="1" si="4"/>
        <v>0</v>
      </c>
      <c r="F21">
        <f t="shared" ca="1" si="5"/>
        <v>0</v>
      </c>
      <c r="G21">
        <f t="shared" ca="1" si="6"/>
        <v>8</v>
      </c>
      <c r="H21">
        <f t="shared" ca="1" si="7"/>
        <v>0</v>
      </c>
      <c r="I21">
        <f t="shared" ca="1" si="8"/>
        <v>0</v>
      </c>
      <c r="J21" s="105" t="s">
        <v>29</v>
      </c>
      <c r="K21" s="97" t="str">
        <f t="shared" ca="1" si="9"/>
        <v>1.1.8.</v>
      </c>
      <c r="L21" s="110">
        <f t="shared" ca="1" si="10"/>
        <v>0</v>
      </c>
      <c r="M21" s="98" t="s">
        <v>79</v>
      </c>
      <c r="N21" s="112" t="s">
        <v>219</v>
      </c>
      <c r="O21" s="110" t="str">
        <f t="shared" ca="1" si="17"/>
        <v>Cartucho Preto (Maxprint  cod 46506)</v>
      </c>
      <c r="P21" s="111" t="str">
        <f t="shared" ca="1" si="11"/>
        <v>unidade</v>
      </c>
      <c r="Q21" s="107">
        <v>1</v>
      </c>
      <c r="R21" s="100">
        <f t="shared" ca="1" si="12"/>
        <v>110</v>
      </c>
      <c r="S21" s="109" t="s">
        <v>62</v>
      </c>
      <c r="T21" s="99">
        <f t="shared" ca="1" si="13"/>
        <v>137.5</v>
      </c>
      <c r="U21" s="102">
        <f t="shared" ca="1" si="14"/>
        <v>137.5</v>
      </c>
      <c r="W21" s="1" t="str">
        <f ca="1">IF(OR($A21=0,$A21="S",$A21&gt;CFF!$A$9),"",MAX(W$11:OFFSET(W21,-1,0))+1)</f>
        <v/>
      </c>
      <c r="X21" s="3" t="str">
        <f t="shared" si="15"/>
        <v>Rec. Materiais-002</v>
      </c>
      <c r="Y21" s="1">
        <f t="shared" ca="1" si="16"/>
        <v>9</v>
      </c>
      <c r="AA21" s="106">
        <f>IF($J21=$G$2,ROUND(IF(ISNUMBER(S21),S21,IF(LEFT(S21,2)="DI",HLOOKUP(S21,DADOS!$T$29:$X$30,2,FALSE),0)),4),"")</f>
        <v>0.25</v>
      </c>
      <c r="AB21" s="1"/>
    </row>
    <row r="22" spans="1:28" x14ac:dyDescent="0.2">
      <c r="A22" t="str">
        <f t="shared" si="0"/>
        <v>S</v>
      </c>
      <c r="B22">
        <f t="shared" si="1"/>
        <v>0</v>
      </c>
      <c r="C22">
        <f t="shared" ca="1" si="2"/>
        <v>1</v>
      </c>
      <c r="D22">
        <f t="shared" ca="1" si="3"/>
        <v>1</v>
      </c>
      <c r="E22">
        <f t="shared" ca="1" si="4"/>
        <v>0</v>
      </c>
      <c r="F22">
        <f t="shared" ca="1" si="5"/>
        <v>0</v>
      </c>
      <c r="G22">
        <f t="shared" ca="1" si="6"/>
        <v>9</v>
      </c>
      <c r="H22">
        <f t="shared" ca="1" si="7"/>
        <v>0</v>
      </c>
      <c r="I22">
        <f t="shared" ca="1" si="8"/>
        <v>0</v>
      </c>
      <c r="J22" s="105" t="s">
        <v>29</v>
      </c>
      <c r="K22" s="97" t="str">
        <f t="shared" ca="1" si="9"/>
        <v>1.1.9.</v>
      </c>
      <c r="L22" s="110">
        <f t="shared" ca="1" si="10"/>
        <v>0</v>
      </c>
      <c r="M22" s="98" t="s">
        <v>80</v>
      </c>
      <c r="N22" s="112" t="s">
        <v>222</v>
      </c>
      <c r="O22" s="110" t="str">
        <f t="shared" ca="1" si="17"/>
        <v>Mesa de plastico</v>
      </c>
      <c r="P22" s="111" t="str">
        <f t="shared" ca="1" si="11"/>
        <v>unidade</v>
      </c>
      <c r="Q22" s="107">
        <v>5</v>
      </c>
      <c r="R22" s="100">
        <f t="shared" ca="1" si="12"/>
        <v>2</v>
      </c>
      <c r="S22" s="109" t="s">
        <v>62</v>
      </c>
      <c r="T22" s="99">
        <f t="shared" ca="1" si="13"/>
        <v>2.5</v>
      </c>
      <c r="U22" s="102">
        <f t="shared" ca="1" si="14"/>
        <v>12.5</v>
      </c>
      <c r="W22" s="1" t="str">
        <f ca="1">IF(OR($A22=0,$A22="S",$A22&gt;CFF!$A$9),"",MAX(W$11:OFFSET(W22,-1,0))+1)</f>
        <v/>
      </c>
      <c r="X22" s="3" t="str">
        <f t="shared" si="15"/>
        <v>Serv. Terc.-006</v>
      </c>
      <c r="Y22" s="1">
        <f t="shared" ca="1" si="16"/>
        <v>52</v>
      </c>
      <c r="AA22" s="106">
        <f>IF($J22=$G$2,ROUND(IF(ISNUMBER(S22),S22,IF(LEFT(S22,2)="DI",HLOOKUP(S22,DADOS!$T$29:$X$30,2,FALSE),0)),4),"")</f>
        <v>0.25</v>
      </c>
      <c r="AB22" s="1"/>
    </row>
    <row r="23" spans="1:28" x14ac:dyDescent="0.2">
      <c r="A23" t="str">
        <f t="shared" si="0"/>
        <v>S</v>
      </c>
      <c r="B23">
        <f t="shared" si="1"/>
        <v>0</v>
      </c>
      <c r="C23">
        <f t="shared" ca="1" si="2"/>
        <v>1</v>
      </c>
      <c r="D23">
        <f t="shared" ca="1" si="3"/>
        <v>1</v>
      </c>
      <c r="E23">
        <f t="shared" ca="1" si="4"/>
        <v>0</v>
      </c>
      <c r="F23">
        <f t="shared" ca="1" si="5"/>
        <v>0</v>
      </c>
      <c r="G23">
        <f t="shared" ca="1" si="6"/>
        <v>10</v>
      </c>
      <c r="H23">
        <f t="shared" ca="1" si="7"/>
        <v>0</v>
      </c>
      <c r="I23">
        <f t="shared" ca="1" si="8"/>
        <v>0</v>
      </c>
      <c r="J23" s="105" t="s">
        <v>29</v>
      </c>
      <c r="K23" s="97" t="str">
        <f t="shared" ca="1" si="9"/>
        <v>1.1.10.</v>
      </c>
      <c r="L23" s="110">
        <f t="shared" ca="1" si="10"/>
        <v>0</v>
      </c>
      <c r="M23" s="98" t="s">
        <v>80</v>
      </c>
      <c r="N23" s="112" t="s">
        <v>218</v>
      </c>
      <c r="O23" s="110" t="str">
        <f t="shared" ca="1" si="17"/>
        <v>Salgado</v>
      </c>
      <c r="P23" s="111" t="str">
        <f t="shared" ca="1" si="11"/>
        <v>cento</v>
      </c>
      <c r="Q23" s="107">
        <v>4</v>
      </c>
      <c r="R23" s="100">
        <f t="shared" ca="1" si="12"/>
        <v>59</v>
      </c>
      <c r="S23" s="109" t="s">
        <v>62</v>
      </c>
      <c r="T23" s="99">
        <f t="shared" ca="1" si="13"/>
        <v>73.75</v>
      </c>
      <c r="U23" s="102">
        <f t="shared" ca="1" si="14"/>
        <v>295</v>
      </c>
      <c r="W23" s="1" t="str">
        <f ca="1">IF(OR($A23=0,$A23="S",$A23&gt;CFF!$A$9),"",MAX(W$11:OFFSET(W23,-1,0))+1)</f>
        <v/>
      </c>
      <c r="X23" s="3" t="str">
        <f t="shared" si="15"/>
        <v>Serv. Terc.-001</v>
      </c>
      <c r="Y23" s="1">
        <f t="shared" ca="1" si="16"/>
        <v>47</v>
      </c>
      <c r="AA23" s="106">
        <f>IF($J23=$G$2,ROUND(IF(ISNUMBER(S23),S23,IF(LEFT(S23,2)="DI",HLOOKUP(S23,DADOS!$T$29:$X$30,2,FALSE),0)),4),"")</f>
        <v>0.25</v>
      </c>
      <c r="AB23" s="1"/>
    </row>
    <row r="24" spans="1:28" x14ac:dyDescent="0.2">
      <c r="A24" t="str">
        <f t="shared" si="0"/>
        <v>S</v>
      </c>
      <c r="B24">
        <f t="shared" si="1"/>
        <v>0</v>
      </c>
      <c r="C24">
        <f t="shared" ca="1" si="2"/>
        <v>1</v>
      </c>
      <c r="D24">
        <f t="shared" ca="1" si="3"/>
        <v>1</v>
      </c>
      <c r="E24">
        <f t="shared" ca="1" si="4"/>
        <v>0</v>
      </c>
      <c r="F24">
        <f t="shared" ca="1" si="5"/>
        <v>0</v>
      </c>
      <c r="G24">
        <f t="shared" ca="1" si="6"/>
        <v>11</v>
      </c>
      <c r="H24">
        <f t="shared" ca="1" si="7"/>
        <v>0</v>
      </c>
      <c r="I24">
        <f t="shared" ca="1" si="8"/>
        <v>0</v>
      </c>
      <c r="J24" s="105" t="s">
        <v>29</v>
      </c>
      <c r="K24" s="97" t="str">
        <f t="shared" ca="1" si="9"/>
        <v>1.1.11.</v>
      </c>
      <c r="L24" s="110">
        <f t="shared" ca="1" si="10"/>
        <v>0</v>
      </c>
      <c r="M24" s="98" t="s">
        <v>79</v>
      </c>
      <c r="N24" s="112" t="s">
        <v>223</v>
      </c>
      <c r="O24" s="110" t="str">
        <f t="shared" ca="1" si="17"/>
        <v>Caixa de caneta Esferografica 1.0mm Cristal Azul Bic cx 50</v>
      </c>
      <c r="P24" s="111" t="str">
        <f t="shared" ca="1" si="11"/>
        <v>caixa</v>
      </c>
      <c r="Q24" s="107">
        <v>1</v>
      </c>
      <c r="R24" s="100">
        <f t="shared" ca="1" si="12"/>
        <v>47.5</v>
      </c>
      <c r="S24" s="109" t="s">
        <v>62</v>
      </c>
      <c r="T24" s="99">
        <f t="shared" ca="1" si="13"/>
        <v>59.38</v>
      </c>
      <c r="U24" s="102">
        <f t="shared" ca="1" si="14"/>
        <v>59.38</v>
      </c>
      <c r="W24" s="1" t="str">
        <f ca="1">IF(OR($A24=0,$A24="S",$A24&gt;CFF!$A$9),"",MAX(W$11:OFFSET(W24,-1,0))+1)</f>
        <v/>
      </c>
      <c r="X24" s="3" t="str">
        <f t="shared" si="15"/>
        <v>Rec. Materiais-017</v>
      </c>
      <c r="Y24" s="1">
        <f t="shared" ca="1" si="16"/>
        <v>24</v>
      </c>
      <c r="AA24" s="106">
        <f>IF($J24=$G$2,ROUND(IF(ISNUMBER(S24),S24,IF(LEFT(S24,2)="DI",HLOOKUP(S24,DADOS!$T$29:$X$30,2,FALSE),0)),4),"")</f>
        <v>0.25</v>
      </c>
      <c r="AB24" s="1"/>
    </row>
    <row r="25" spans="1:28" x14ac:dyDescent="0.2">
      <c r="A25" t="str">
        <f t="shared" si="0"/>
        <v>S</v>
      </c>
      <c r="B25">
        <f t="shared" si="1"/>
        <v>0</v>
      </c>
      <c r="C25">
        <f t="shared" ca="1" si="2"/>
        <v>1</v>
      </c>
      <c r="D25">
        <f t="shared" ca="1" si="3"/>
        <v>1</v>
      </c>
      <c r="E25">
        <f t="shared" ca="1" si="4"/>
        <v>0</v>
      </c>
      <c r="F25">
        <f t="shared" ca="1" si="5"/>
        <v>0</v>
      </c>
      <c r="G25">
        <f t="shared" ca="1" si="6"/>
        <v>12</v>
      </c>
      <c r="H25">
        <f t="shared" ca="1" si="7"/>
        <v>0</v>
      </c>
      <c r="I25">
        <f t="shared" ca="1" si="8"/>
        <v>0</v>
      </c>
      <c r="J25" s="105" t="s">
        <v>29</v>
      </c>
      <c r="K25" s="97" t="str">
        <f t="shared" ca="1" si="9"/>
        <v>1.1.12.</v>
      </c>
      <c r="L25" s="110">
        <f t="shared" ca="1" si="10"/>
        <v>0</v>
      </c>
      <c r="M25" s="98" t="s">
        <v>79</v>
      </c>
      <c r="N25" s="112" t="s">
        <v>224</v>
      </c>
      <c r="O25" s="110" t="str">
        <f t="shared" ca="1" si="17"/>
        <v xml:space="preserve">Cracha horizontal transparente presilha fixa 70x100mm 232 Plastpark </v>
      </c>
      <c r="P25" s="111" t="str">
        <f t="shared" ca="1" si="11"/>
        <v>UNIDADE</v>
      </c>
      <c r="Q25" s="107">
        <v>30</v>
      </c>
      <c r="R25" s="100">
        <f t="shared" ca="1" si="12"/>
        <v>1</v>
      </c>
      <c r="S25" s="109" t="s">
        <v>62</v>
      </c>
      <c r="T25" s="99">
        <f t="shared" ca="1" si="13"/>
        <v>1.25</v>
      </c>
      <c r="U25" s="102">
        <f t="shared" ca="1" si="14"/>
        <v>37.5</v>
      </c>
      <c r="W25" s="1" t="str">
        <f ca="1">IF(OR($A25=0,$A25="S",$A25&gt;CFF!$A$9),"",MAX(W$11:OFFSET(W25,-1,0))+1)</f>
        <v/>
      </c>
      <c r="X25" s="3" t="str">
        <f t="shared" si="15"/>
        <v>Rec. Materiais-025</v>
      </c>
      <c r="Y25" s="1">
        <f t="shared" ca="1" si="16"/>
        <v>32</v>
      </c>
      <c r="AA25" s="106">
        <f>IF($J25=$G$2,ROUND(IF(ISNUMBER(S25),S25,IF(LEFT(S25,2)="DI",HLOOKUP(S25,DADOS!$T$29:$X$30,2,FALSE),0)),4),"")</f>
        <v>0.25</v>
      </c>
      <c r="AB25" s="1"/>
    </row>
    <row r="26" spans="1:28" x14ac:dyDescent="0.2">
      <c r="A26" t="str">
        <f t="shared" si="0"/>
        <v>S</v>
      </c>
      <c r="B26">
        <f t="shared" si="1"/>
        <v>0</v>
      </c>
      <c r="C26">
        <f t="shared" ca="1" si="2"/>
        <v>1</v>
      </c>
      <c r="D26">
        <f t="shared" ca="1" si="3"/>
        <v>1</v>
      </c>
      <c r="E26">
        <f t="shared" ca="1" si="4"/>
        <v>0</v>
      </c>
      <c r="F26">
        <f t="shared" ca="1" si="5"/>
        <v>0</v>
      </c>
      <c r="G26">
        <f t="shared" ca="1" si="6"/>
        <v>13</v>
      </c>
      <c r="H26">
        <f t="shared" ca="1" si="7"/>
        <v>0</v>
      </c>
      <c r="I26">
        <f t="shared" ca="1" si="8"/>
        <v>0</v>
      </c>
      <c r="J26" s="105" t="s">
        <v>29</v>
      </c>
      <c r="K26" s="97" t="str">
        <f t="shared" ca="1" si="9"/>
        <v>1.1.13.</v>
      </c>
      <c r="L26" s="110">
        <f t="shared" ca="1" si="10"/>
        <v>0</v>
      </c>
      <c r="M26" s="98" t="s">
        <v>80</v>
      </c>
      <c r="N26" s="112" t="s">
        <v>225</v>
      </c>
      <c r="O26" s="110" t="str">
        <f t="shared" ca="1" si="17"/>
        <v>Coca cola 2 litros</v>
      </c>
      <c r="P26" s="111" t="str">
        <f t="shared" ca="1" si="11"/>
        <v>unidade</v>
      </c>
      <c r="Q26" s="107">
        <v>3</v>
      </c>
      <c r="R26" s="100">
        <f t="shared" ca="1" si="12"/>
        <v>7</v>
      </c>
      <c r="S26" s="109" t="s">
        <v>62</v>
      </c>
      <c r="T26" s="99">
        <f t="shared" ca="1" si="13"/>
        <v>8.75</v>
      </c>
      <c r="U26" s="102">
        <f t="shared" ca="1" si="14"/>
        <v>26.25</v>
      </c>
      <c r="W26" s="1" t="str">
        <f ca="1">IF(OR($A26=0,$A26="S",$A26&gt;CFF!$A$9),"",MAX(W$11:OFFSET(W26,-1,0))+1)</f>
        <v/>
      </c>
      <c r="X26" s="3" t="str">
        <f t="shared" si="15"/>
        <v>Serv. Terc.-020</v>
      </c>
      <c r="Y26" s="1">
        <f t="shared" ca="1" si="16"/>
        <v>66</v>
      </c>
      <c r="AA26" s="106">
        <f>IF($J26=$G$2,ROUND(IF(ISNUMBER(S26),S26,IF(LEFT(S26,2)="DI",HLOOKUP(S26,DADOS!$T$29:$X$30,2,FALSE),0)),4),"")</f>
        <v>0.25</v>
      </c>
      <c r="AB26" s="1"/>
    </row>
    <row r="27" spans="1:28" x14ac:dyDescent="0.2">
      <c r="A27" t="str">
        <f t="shared" si="0"/>
        <v>S</v>
      </c>
      <c r="B27">
        <f t="shared" si="1"/>
        <v>0</v>
      </c>
      <c r="C27">
        <f t="shared" ca="1" si="2"/>
        <v>1</v>
      </c>
      <c r="D27">
        <f t="shared" ca="1" si="3"/>
        <v>1</v>
      </c>
      <c r="E27">
        <f t="shared" ca="1" si="4"/>
        <v>0</v>
      </c>
      <c r="F27">
        <f t="shared" ca="1" si="5"/>
        <v>0</v>
      </c>
      <c r="G27">
        <f t="shared" ca="1" si="6"/>
        <v>14</v>
      </c>
      <c r="H27">
        <f t="shared" ca="1" si="7"/>
        <v>0</v>
      </c>
      <c r="I27">
        <f t="shared" ca="1" si="8"/>
        <v>0</v>
      </c>
      <c r="J27" s="105" t="s">
        <v>29</v>
      </c>
      <c r="K27" s="97" t="str">
        <f t="shared" ca="1" si="9"/>
        <v>1.1.14.</v>
      </c>
      <c r="L27" s="110">
        <f t="shared" ca="1" si="10"/>
        <v>0</v>
      </c>
      <c r="M27" s="98" t="s">
        <v>80</v>
      </c>
      <c r="N27" s="112" t="s">
        <v>226</v>
      </c>
      <c r="O27" s="110" t="str">
        <f t="shared" ca="1" si="17"/>
        <v>Copo descartavel 180 ml pacote com 100 unidade</v>
      </c>
      <c r="P27" s="111" t="str">
        <f t="shared" ca="1" si="11"/>
        <v>pacote</v>
      </c>
      <c r="Q27" s="107">
        <v>1</v>
      </c>
      <c r="R27" s="100">
        <f t="shared" ca="1" si="12"/>
        <v>3.83</v>
      </c>
      <c r="S27" s="109" t="s">
        <v>62</v>
      </c>
      <c r="T27" s="99">
        <f t="shared" ca="1" si="13"/>
        <v>4.79</v>
      </c>
      <c r="U27" s="102">
        <f t="shared" ca="1" si="14"/>
        <v>4.79</v>
      </c>
      <c r="W27" s="1" t="str">
        <f ca="1">IF(OR($A27=0,$A27="S",$A27&gt;CFF!$A$9),"",MAX(W$11:OFFSET(W27,-1,0))+1)</f>
        <v/>
      </c>
      <c r="X27" s="3" t="str">
        <f t="shared" si="15"/>
        <v>Serv. Terc.-022</v>
      </c>
      <c r="Y27" s="1">
        <f t="shared" ca="1" si="16"/>
        <v>68</v>
      </c>
      <c r="AA27" s="106">
        <f>IF($J27=$G$2,ROUND(IF(ISNUMBER(S27),S27,IF(LEFT(S27,2)="DI",HLOOKUP(S27,DADOS!$T$29:$X$30,2,FALSE),0)),4),"")</f>
        <v>0.25</v>
      </c>
      <c r="AB27" s="1"/>
    </row>
    <row r="28" spans="1:28" x14ac:dyDescent="0.2">
      <c r="A28" t="str">
        <f t="shared" si="0"/>
        <v>S</v>
      </c>
      <c r="B28">
        <f t="shared" si="1"/>
        <v>0</v>
      </c>
      <c r="C28">
        <f t="shared" ca="1" si="2"/>
        <v>1</v>
      </c>
      <c r="D28">
        <f t="shared" ca="1" si="3"/>
        <v>1</v>
      </c>
      <c r="E28">
        <f t="shared" ca="1" si="4"/>
        <v>0</v>
      </c>
      <c r="F28">
        <f t="shared" ca="1" si="5"/>
        <v>0</v>
      </c>
      <c r="G28">
        <f t="shared" ca="1" si="6"/>
        <v>15</v>
      </c>
      <c r="H28">
        <f t="shared" ca="1" si="7"/>
        <v>0</v>
      </c>
      <c r="I28">
        <f t="shared" ca="1" si="8"/>
        <v>0</v>
      </c>
      <c r="J28" s="105" t="s">
        <v>29</v>
      </c>
      <c r="K28" s="97" t="str">
        <f t="shared" ca="1" si="9"/>
        <v>1.1.15.</v>
      </c>
      <c r="L28" s="110">
        <f t="shared" ca="1" si="10"/>
        <v>0</v>
      </c>
      <c r="M28" s="98" t="s">
        <v>79</v>
      </c>
      <c r="N28" s="112" t="s">
        <v>227</v>
      </c>
      <c r="O28" s="110" t="str">
        <f t="shared" ca="1" si="17"/>
        <v>Copo de agua 300 ml Lebrinha/Brunado</v>
      </c>
      <c r="P28" s="111" t="str">
        <f t="shared" ca="1" si="11"/>
        <v>UNIDADE</v>
      </c>
      <c r="Q28" s="107">
        <v>100</v>
      </c>
      <c r="R28" s="100">
        <f t="shared" ca="1" si="12"/>
        <v>4.2</v>
      </c>
      <c r="S28" s="109" t="s">
        <v>62</v>
      </c>
      <c r="T28" s="99">
        <f t="shared" ca="1" si="13"/>
        <v>5.25</v>
      </c>
      <c r="U28" s="102">
        <f t="shared" ca="1" si="14"/>
        <v>525</v>
      </c>
      <c r="W28" s="1" t="str">
        <f ca="1">IF(OR($A28=0,$A28="S",$A28&gt;CFF!$A$9),"",MAX(W$11:OFFSET(W28,-1,0))+1)</f>
        <v/>
      </c>
      <c r="X28" s="3" t="str">
        <f t="shared" si="15"/>
        <v>Rec. Materiais-014</v>
      </c>
      <c r="Y28" s="1">
        <f t="shared" ca="1" si="16"/>
        <v>21</v>
      </c>
      <c r="AA28" s="106">
        <f>IF($J28=$G$2,ROUND(IF(ISNUMBER(S28),S28,IF(LEFT(S28,2)="DI",HLOOKUP(S28,DADOS!$T$29:$X$30,2,FALSE),0)),4),"")</f>
        <v>0.25</v>
      </c>
      <c r="AB28" s="1"/>
    </row>
    <row r="29" spans="1:28" x14ac:dyDescent="0.2">
      <c r="A29" t="str">
        <f t="shared" si="0"/>
        <v>S</v>
      </c>
      <c r="B29">
        <f t="shared" si="1"/>
        <v>0</v>
      </c>
      <c r="C29">
        <f t="shared" ca="1" si="2"/>
        <v>1</v>
      </c>
      <c r="D29">
        <f t="shared" ca="1" si="3"/>
        <v>1</v>
      </c>
      <c r="E29">
        <f t="shared" ca="1" si="4"/>
        <v>0</v>
      </c>
      <c r="F29">
        <f t="shared" ca="1" si="5"/>
        <v>0</v>
      </c>
      <c r="G29">
        <f t="shared" ca="1" si="6"/>
        <v>16</v>
      </c>
      <c r="H29">
        <f t="shared" ca="1" si="7"/>
        <v>0</v>
      </c>
      <c r="I29">
        <f t="shared" ca="1" si="8"/>
        <v>0</v>
      </c>
      <c r="J29" s="105" t="s">
        <v>29</v>
      </c>
      <c r="K29" s="97" t="str">
        <f t="shared" ca="1" si="9"/>
        <v>1.1.16.</v>
      </c>
      <c r="L29" s="110">
        <f t="shared" ca="1" si="10"/>
        <v>0</v>
      </c>
      <c r="M29" s="98" t="s">
        <v>79</v>
      </c>
      <c r="N29" s="112" t="s">
        <v>228</v>
      </c>
      <c r="O29" s="110" t="str">
        <f t="shared" ca="1" si="17"/>
        <v>Prancheta poliepropileno transparente oficio cristal Waleu</v>
      </c>
      <c r="P29" s="111" t="str">
        <f t="shared" ca="1" si="11"/>
        <v>UNIDADE</v>
      </c>
      <c r="Q29" s="107">
        <v>15</v>
      </c>
      <c r="R29" s="100">
        <f t="shared" ca="1" si="12"/>
        <v>15.24</v>
      </c>
      <c r="S29" s="109" t="s">
        <v>62</v>
      </c>
      <c r="T29" s="99">
        <f t="shared" ca="1" si="13"/>
        <v>19.05</v>
      </c>
      <c r="U29" s="102">
        <f t="shared" ca="1" si="14"/>
        <v>285.75</v>
      </c>
      <c r="W29" s="1" t="str">
        <f ca="1">IF(OR($A29=0,$A29="S",$A29&gt;CFF!$A$9),"",MAX(W$11:OFFSET(W29,-1,0))+1)</f>
        <v/>
      </c>
      <c r="X29" s="3" t="str">
        <f t="shared" si="15"/>
        <v>Rec. Materiais-016</v>
      </c>
      <c r="Y29" s="1">
        <f t="shared" ca="1" si="16"/>
        <v>23</v>
      </c>
      <c r="AA29" s="106">
        <f>IF($J29=$G$2,ROUND(IF(ISNUMBER(S29),S29,IF(LEFT(S29,2)="DI",HLOOKUP(S29,DADOS!$T$29:$X$30,2,FALSE),0)),4),"")</f>
        <v>0.25</v>
      </c>
      <c r="AB29" s="1"/>
    </row>
    <row r="30" spans="1:28" x14ac:dyDescent="0.2">
      <c r="A30" t="str">
        <f t="shared" si="0"/>
        <v>S</v>
      </c>
      <c r="B30">
        <f t="shared" si="1"/>
        <v>0</v>
      </c>
      <c r="C30">
        <f t="shared" ca="1" si="2"/>
        <v>1</v>
      </c>
      <c r="D30">
        <f t="shared" ca="1" si="3"/>
        <v>1</v>
      </c>
      <c r="E30">
        <f t="shared" ca="1" si="4"/>
        <v>0</v>
      </c>
      <c r="F30">
        <f t="shared" ca="1" si="5"/>
        <v>0</v>
      </c>
      <c r="G30">
        <f t="shared" ca="1" si="6"/>
        <v>17</v>
      </c>
      <c r="H30">
        <f t="shared" ca="1" si="7"/>
        <v>0</v>
      </c>
      <c r="I30">
        <f t="shared" ca="1" si="8"/>
        <v>0</v>
      </c>
      <c r="J30" s="105" t="s">
        <v>29</v>
      </c>
      <c r="K30" s="97" t="str">
        <f t="shared" ca="1" si="9"/>
        <v>1.1.17.</v>
      </c>
      <c r="L30" s="110">
        <f t="shared" ca="1" si="10"/>
        <v>0</v>
      </c>
      <c r="M30" s="98" t="s">
        <v>79</v>
      </c>
      <c r="N30" s="112" t="s">
        <v>229</v>
      </c>
      <c r="O30" s="110" t="str">
        <f t="shared" ca="1" si="17"/>
        <v>Pasta simples polipropileno 350x235mm transparente  A02 Plascony</v>
      </c>
      <c r="P30" s="111" t="str">
        <f t="shared" ca="1" si="11"/>
        <v>UNIDADE</v>
      </c>
      <c r="Q30" s="107">
        <v>30</v>
      </c>
      <c r="R30" s="100">
        <f t="shared" ca="1" si="12"/>
        <v>2</v>
      </c>
      <c r="S30" s="109" t="s">
        <v>62</v>
      </c>
      <c r="T30" s="99">
        <f t="shared" ca="1" si="13"/>
        <v>2.5</v>
      </c>
      <c r="U30" s="102">
        <f t="shared" ca="1" si="14"/>
        <v>75</v>
      </c>
      <c r="W30" s="1" t="str">
        <f ca="1">IF(OR($A30=0,$A30="S",$A30&gt;CFF!$A$9),"",MAX(W$11:OFFSET(W30,-1,0))+1)</f>
        <v/>
      </c>
      <c r="X30" s="3" t="str">
        <f t="shared" si="15"/>
        <v>Rec. Materiais-018</v>
      </c>
      <c r="Y30" s="1">
        <f t="shared" ca="1" si="16"/>
        <v>25</v>
      </c>
      <c r="AA30" s="106">
        <f>IF($J30=$G$2,ROUND(IF(ISNUMBER(S30),S30,IF(LEFT(S30,2)="DI",HLOOKUP(S30,DADOS!$T$29:$X$30,2,FALSE),0)),4),"")</f>
        <v>0.25</v>
      </c>
      <c r="AB30" s="1"/>
    </row>
    <row r="31" spans="1:28" x14ac:dyDescent="0.2">
      <c r="A31" t="str">
        <f t="shared" si="0"/>
        <v>S</v>
      </c>
      <c r="B31">
        <f t="shared" si="1"/>
        <v>0</v>
      </c>
      <c r="C31">
        <f t="shared" ca="1" si="2"/>
        <v>1</v>
      </c>
      <c r="D31">
        <f t="shared" ca="1" si="3"/>
        <v>1</v>
      </c>
      <c r="E31">
        <f t="shared" ca="1" si="4"/>
        <v>0</v>
      </c>
      <c r="F31">
        <f t="shared" ca="1" si="5"/>
        <v>0</v>
      </c>
      <c r="G31">
        <f t="shared" ca="1" si="6"/>
        <v>18</v>
      </c>
      <c r="H31">
        <f t="shared" ca="1" si="7"/>
        <v>0</v>
      </c>
      <c r="I31">
        <f t="shared" ca="1" si="8"/>
        <v>0</v>
      </c>
      <c r="J31" s="105" t="s">
        <v>29</v>
      </c>
      <c r="K31" s="97" t="str">
        <f t="shared" ca="1" si="9"/>
        <v>1.1.18.</v>
      </c>
      <c r="L31" s="110">
        <f t="shared" ca="1" si="10"/>
        <v>0</v>
      </c>
      <c r="M31" s="98" t="s">
        <v>80</v>
      </c>
      <c r="N31" s="112" t="s">
        <v>221</v>
      </c>
      <c r="O31" s="110" t="str">
        <f t="shared" ca="1" si="17"/>
        <v>Cadeira de Plastico</v>
      </c>
      <c r="P31" s="111" t="str">
        <f t="shared" ca="1" si="11"/>
        <v>unidade</v>
      </c>
      <c r="Q31" s="107">
        <v>31</v>
      </c>
      <c r="R31" s="100">
        <f t="shared" ca="1" si="12"/>
        <v>1.6</v>
      </c>
      <c r="S31" s="109" t="s">
        <v>62</v>
      </c>
      <c r="T31" s="99">
        <f t="shared" ca="1" si="13"/>
        <v>2</v>
      </c>
      <c r="U31" s="102">
        <f t="shared" ca="1" si="14"/>
        <v>62</v>
      </c>
      <c r="W31" s="1" t="str">
        <f ca="1">IF(OR($A31=0,$A31="S",$A31&gt;CFF!$A$9),"",MAX(W$11:OFFSET(W31,-1,0))+1)</f>
        <v/>
      </c>
      <c r="X31" s="3" t="str">
        <f t="shared" si="15"/>
        <v>Serv. Terc.-005</v>
      </c>
      <c r="Y31" s="1">
        <f t="shared" ca="1" si="16"/>
        <v>51</v>
      </c>
      <c r="AA31" s="106">
        <f>IF($J31=$G$2,ROUND(IF(ISNUMBER(S31),S31,IF(LEFT(S31,2)="DI",HLOOKUP(S31,DADOS!$T$29:$X$30,2,FALSE),0)),4),"")</f>
        <v>0.25</v>
      </c>
      <c r="AB31" s="1"/>
    </row>
    <row r="32" spans="1:28" x14ac:dyDescent="0.2">
      <c r="A32" t="str">
        <f>CHOOSE(1+LOG(1+2*(J32=$C$2)+4*(J32=$D$2)+8*(J32=$E$2)+16*(J32=$F$2)+32*(J32=$G$2),2),0,1,2,3,4,"S")</f>
        <v>S</v>
      </c>
      <c r="B32">
        <f>IF(OR(A32="S",A32=0),0,IF(ISERROR(I32),H32,SMALL(H32:I32,1)))</f>
        <v>0</v>
      </c>
      <c r="C32">
        <f ca="1">IF($A32=1,OFFSET(C32,-1,0)+1,OFFSET(C32,-1,0))</f>
        <v>1</v>
      </c>
      <c r="D32">
        <f ca="1">IF($A32=1,0,IF($A32=2,OFFSET(D32,-1,0)+1,OFFSET(D32,-1,0)))</f>
        <v>1</v>
      </c>
      <c r="E32">
        <f ca="1">IF(AND($A32&lt;=2,$A32&lt;&gt;0),0,IF($A32=3,OFFSET(E32,-1,0)+1,OFFSET(E32,-1,0)))</f>
        <v>0</v>
      </c>
      <c r="F32">
        <f ca="1">IF(AND($A32&lt;=3,$A32&lt;&gt;0),0,IF($A32=4,OFFSET(F32,-1,0)+1,OFFSET(F32,-1,0)))</f>
        <v>0</v>
      </c>
      <c r="G32">
        <f ca="1">IF(AND($A32&lt;=4,$A32&lt;&gt;0),0,IF($A32="S",OFFSET(G32,-1,0)+1,OFFSET(G32,-1,0)))</f>
        <v>19</v>
      </c>
      <c r="H32">
        <f t="shared" ca="1" si="7"/>
        <v>0</v>
      </c>
      <c r="I32">
        <f t="shared" ca="1" si="8"/>
        <v>0</v>
      </c>
      <c r="J32" s="105" t="s">
        <v>29</v>
      </c>
      <c r="K32" s="97" t="str">
        <f ca="1">IF($A32=0,"-",CONCATENATE(C32&amp;".",IF(AND($A$5&gt;=2,$A32&gt;=2),D32&amp;".",""),IF(AND($A$5&gt;=3,$A32&gt;=3),E32&amp;".",""),IF(AND($A$5&gt;=4,$A32&gt;=4),F32&amp;".",""),IF($A32="S",G32&amp;".","")))</f>
        <v>1.1.19.</v>
      </c>
      <c r="L32" s="110">
        <f ca="1">IF(NOT(ISERROR($Y32)),IF($Y32&lt;&gt;FALSE,INDEX(Banco,$Y32,4),""),"")</f>
        <v>0</v>
      </c>
      <c r="M32" s="98" t="s">
        <v>80</v>
      </c>
      <c r="N32" s="112" t="s">
        <v>240</v>
      </c>
      <c r="O32" s="110" t="str">
        <f ca="1">IF(NOT(ISERROR($Y32)),IF($Y32&lt;&gt;FALSE,INDEX(Banco,$Y32,5),""),"")</f>
        <v>Combustivel</v>
      </c>
      <c r="P32" s="111" t="str">
        <f ca="1">IF(NOT(ISERROR($Y32)),IF($Y32&lt;&gt;FALSE,INDEX(Banco,$Y32,6),""),"")</f>
        <v>litro</v>
      </c>
      <c r="Q32" s="107">
        <v>84</v>
      </c>
      <c r="R32" s="100">
        <f ca="1">IF(NOT(ISERROR($Y32)),IF($Y32&lt;&gt;FALSE,INDEX(Banco,$Y32,7),0),0)</f>
        <v>3.99</v>
      </c>
      <c r="S32" s="109" t="s">
        <v>62</v>
      </c>
      <c r="T32" s="99">
        <f ca="1">IF($J32=$G$2,ROUND(ROUND($R32,2)*IF($R$9="Preço Unitário (R$)",1,1+$AA32),2),0)</f>
        <v>4.99</v>
      </c>
      <c r="U32" s="102">
        <f ca="1">IF($A32="S",VTOTAL1,IF($A32=0,0,ROUND(SomaAgrup,2)))</f>
        <v>419.16</v>
      </c>
      <c r="W32" s="1" t="str">
        <f ca="1">IF(OR($A32=0,$A32="S",$A32&gt;CFF!$A$9),"",MAX(W$11:OFFSET(W32,-1,0))+1)</f>
        <v/>
      </c>
      <c r="X32" s="3" t="str">
        <f>IF(AND($J32=$G$2,$N32&lt;&gt;"",$M32&lt;&gt;""),CONCATENATE($M32,"-",$N32))</f>
        <v>Serv. Terc.-027</v>
      </c>
      <c r="Y32" s="1">
        <f ca="1">IF(X32&lt;&gt;FALSE,MATCH(X32,OFFSET(Banco,0,0,,1),0))</f>
        <v>73</v>
      </c>
      <c r="AA32" s="106">
        <f>IF($J32=$G$2,ROUND(IF(ISNUMBER(S32),S32,IF(LEFT(S32,2)="DI",HLOOKUP(S32,DADOS!$T$29:$X$30,2,FALSE),0)),4),"")</f>
        <v>0.25</v>
      </c>
      <c r="AB32" s="1"/>
    </row>
    <row r="33" spans="1:28" x14ac:dyDescent="0.2">
      <c r="A33">
        <f t="shared" si="0"/>
        <v>2</v>
      </c>
      <c r="B33">
        <f t="shared" ca="1" si="1"/>
        <v>31</v>
      </c>
      <c r="C33">
        <f t="shared" ca="1" si="2"/>
        <v>1</v>
      </c>
      <c r="D33">
        <f t="shared" ca="1" si="3"/>
        <v>2</v>
      </c>
      <c r="E33">
        <f t="shared" ca="1" si="4"/>
        <v>0</v>
      </c>
      <c r="F33">
        <f t="shared" ca="1" si="5"/>
        <v>0</v>
      </c>
      <c r="G33">
        <f t="shared" ca="1" si="6"/>
        <v>0</v>
      </c>
      <c r="H33">
        <f t="shared" ca="1" si="7"/>
        <v>31</v>
      </c>
      <c r="I33" t="e">
        <f t="shared" ca="1" si="8"/>
        <v>#N/A</v>
      </c>
      <c r="J33" s="105" t="s">
        <v>68</v>
      </c>
      <c r="K33" s="97" t="str">
        <f t="shared" ca="1" si="9"/>
        <v>1.2.</v>
      </c>
      <c r="L33" s="110" t="str">
        <f t="shared" ca="1" si="10"/>
        <v/>
      </c>
      <c r="M33" s="98"/>
      <c r="N33" s="112"/>
      <c r="O33" s="110" t="s">
        <v>230</v>
      </c>
      <c r="P33" s="111" t="str">
        <f t="shared" ca="1" si="11"/>
        <v/>
      </c>
      <c r="Q33" s="107"/>
      <c r="R33" s="100">
        <f t="shared" ca="1" si="12"/>
        <v>0</v>
      </c>
      <c r="S33" s="109" t="s">
        <v>62</v>
      </c>
      <c r="T33" s="99">
        <f t="shared" si="13"/>
        <v>0</v>
      </c>
      <c r="U33" s="102">
        <f t="shared" ca="1" si="14"/>
        <v>16444.349999999999</v>
      </c>
      <c r="W33" s="1">
        <f ca="1">IF(OR($A33=0,$A33="S",$A33&gt;CFF!$A$9),"",MAX(W$11:OFFSET(W33,-1,0))+1)</f>
        <v>3</v>
      </c>
      <c r="X33" s="3" t="b">
        <f t="shared" si="15"/>
        <v>0</v>
      </c>
      <c r="Y33" s="1" t="b">
        <f t="shared" ca="1" si="16"/>
        <v>0</v>
      </c>
      <c r="AA33" s="106" t="str">
        <f>IF($J33=$G$2,ROUND(IF(ISNUMBER(S33),S33,IF(LEFT(S33,2)="DI",HLOOKUP(S33,DADOS!$T$29:$X$30,2,FALSE),0)),4),"")</f>
        <v/>
      </c>
      <c r="AB33" s="1"/>
    </row>
    <row r="34" spans="1:28" x14ac:dyDescent="0.2">
      <c r="A34" t="str">
        <f t="shared" si="0"/>
        <v>S</v>
      </c>
      <c r="B34">
        <f t="shared" si="1"/>
        <v>0</v>
      </c>
      <c r="C34">
        <f t="shared" ca="1" si="2"/>
        <v>1</v>
      </c>
      <c r="D34">
        <f t="shared" ca="1" si="3"/>
        <v>2</v>
      </c>
      <c r="E34">
        <f t="shared" ca="1" si="4"/>
        <v>0</v>
      </c>
      <c r="F34">
        <f t="shared" ca="1" si="5"/>
        <v>0</v>
      </c>
      <c r="G34">
        <f t="shared" ca="1" si="6"/>
        <v>1</v>
      </c>
      <c r="H34">
        <f t="shared" ca="1" si="7"/>
        <v>0</v>
      </c>
      <c r="I34">
        <f t="shared" ca="1" si="8"/>
        <v>0</v>
      </c>
      <c r="J34" s="105" t="s">
        <v>29</v>
      </c>
      <c r="K34" s="97" t="str">
        <f t="shared" ca="1" si="9"/>
        <v>1.2.1.</v>
      </c>
      <c r="L34" s="110" t="str">
        <f t="shared" ca="1" si="10"/>
        <v>CRESS</v>
      </c>
      <c r="M34" s="98" t="s">
        <v>78</v>
      </c>
      <c r="N34" s="112" t="s">
        <v>218</v>
      </c>
      <c r="O34" s="110" t="str">
        <f t="shared" ref="O34:O63" ca="1" si="18">IF(NOT(ISERROR($Y34)),IF($Y34&lt;&gt;FALSE,INDEX(Banco,$Y34,5),""),"")</f>
        <v>RT</v>
      </c>
      <c r="P34" s="111" t="str">
        <f t="shared" ca="1" si="11"/>
        <v>hora</v>
      </c>
      <c r="Q34" s="107">
        <v>20</v>
      </c>
      <c r="R34" s="100">
        <f t="shared" ca="1" si="12"/>
        <v>150.28</v>
      </c>
      <c r="S34" s="109" t="s">
        <v>62</v>
      </c>
      <c r="T34" s="99">
        <f t="shared" ca="1" si="13"/>
        <v>187.85</v>
      </c>
      <c r="U34" s="102">
        <f t="shared" ca="1" si="14"/>
        <v>3757</v>
      </c>
      <c r="W34" s="1" t="str">
        <f ca="1">IF(OR($A34=0,$A34="S",$A34&gt;CFF!$A$9),"",MAX(W$11:OFFSET(W34,-1,0))+1)</f>
        <v/>
      </c>
      <c r="X34" s="3" t="str">
        <f t="shared" si="15"/>
        <v>Rec. Humanos-001</v>
      </c>
      <c r="Y34" s="1">
        <f t="shared" ca="1" si="16"/>
        <v>3</v>
      </c>
      <c r="AA34" s="106">
        <f>IF($J34=$G$2,ROUND(IF(ISNUMBER(S34),S34,IF(LEFT(S34,2)="DI",HLOOKUP(S34,DADOS!$T$29:$X$30,2,FALSE),0)),4),"")</f>
        <v>0.25</v>
      </c>
      <c r="AB34" s="1"/>
    </row>
    <row r="35" spans="1:28" x14ac:dyDescent="0.2">
      <c r="A35" t="str">
        <f t="shared" si="0"/>
        <v>S</v>
      </c>
      <c r="B35">
        <f t="shared" si="1"/>
        <v>0</v>
      </c>
      <c r="C35">
        <f t="shared" ca="1" si="2"/>
        <v>1</v>
      </c>
      <c r="D35">
        <f t="shared" ca="1" si="3"/>
        <v>2</v>
      </c>
      <c r="E35">
        <f t="shared" ca="1" si="4"/>
        <v>0</v>
      </c>
      <c r="F35">
        <f t="shared" ca="1" si="5"/>
        <v>0</v>
      </c>
      <c r="G35">
        <f t="shared" ca="1" si="6"/>
        <v>2</v>
      </c>
      <c r="H35">
        <f t="shared" ca="1" si="7"/>
        <v>0</v>
      </c>
      <c r="I35">
        <f t="shared" ca="1" si="8"/>
        <v>0</v>
      </c>
      <c r="J35" s="105" t="s">
        <v>29</v>
      </c>
      <c r="K35" s="97" t="str">
        <f t="shared" ca="1" si="9"/>
        <v>1.2.2.</v>
      </c>
      <c r="L35" s="110">
        <f t="shared" ca="1" si="10"/>
        <v>0</v>
      </c>
      <c r="M35" s="98" t="s">
        <v>78</v>
      </c>
      <c r="N35" s="112" t="s">
        <v>219</v>
      </c>
      <c r="O35" s="110" t="str">
        <f t="shared" ca="1" si="18"/>
        <v>Assistente Social</v>
      </c>
      <c r="P35" s="111" t="str">
        <f t="shared" ca="1" si="11"/>
        <v>hora</v>
      </c>
      <c r="Q35" s="107">
        <v>20</v>
      </c>
      <c r="R35" s="100">
        <f t="shared" ca="1" si="12"/>
        <v>133.81</v>
      </c>
      <c r="S35" s="109" t="s">
        <v>62</v>
      </c>
      <c r="T35" s="99">
        <f t="shared" ca="1" si="13"/>
        <v>167.26</v>
      </c>
      <c r="U35" s="102">
        <f t="shared" ca="1" si="14"/>
        <v>3345.2</v>
      </c>
      <c r="W35" s="1" t="str">
        <f ca="1">IF(OR($A35=0,$A35="S",$A35&gt;CFF!$A$9),"",MAX(W$11:OFFSET(W35,-1,0))+1)</f>
        <v/>
      </c>
      <c r="X35" s="3" t="str">
        <f t="shared" si="15"/>
        <v>Rec. Humanos-002</v>
      </c>
      <c r="Y35" s="1">
        <f t="shared" ca="1" si="16"/>
        <v>4</v>
      </c>
      <c r="AA35" s="106">
        <f>IF($J35=$G$2,ROUND(IF(ISNUMBER(S35),S35,IF(LEFT(S35,2)="DI",HLOOKUP(S35,DADOS!$T$29:$X$30,2,FALSE),0)),4),"")</f>
        <v>0.25</v>
      </c>
      <c r="AB35" s="1"/>
    </row>
    <row r="36" spans="1:28" x14ac:dyDescent="0.2">
      <c r="A36" t="str">
        <f t="shared" si="0"/>
        <v>S</v>
      </c>
      <c r="B36">
        <f t="shared" si="1"/>
        <v>0</v>
      </c>
      <c r="C36">
        <f t="shared" ca="1" si="2"/>
        <v>1</v>
      </c>
      <c r="D36">
        <f t="shared" ca="1" si="3"/>
        <v>2</v>
      </c>
      <c r="E36">
        <f t="shared" ca="1" si="4"/>
        <v>0</v>
      </c>
      <c r="F36">
        <f t="shared" ca="1" si="5"/>
        <v>0</v>
      </c>
      <c r="G36">
        <f t="shared" ca="1" si="6"/>
        <v>3</v>
      </c>
      <c r="H36">
        <f t="shared" ca="1" si="7"/>
        <v>0</v>
      </c>
      <c r="I36">
        <f t="shared" ca="1" si="8"/>
        <v>0</v>
      </c>
      <c r="J36" s="105" t="s">
        <v>29</v>
      </c>
      <c r="K36" s="97" t="str">
        <f t="shared" ca="1" si="9"/>
        <v>1.2.3.</v>
      </c>
      <c r="L36" s="110">
        <f t="shared" ca="1" si="10"/>
        <v>0</v>
      </c>
      <c r="M36" s="98" t="s">
        <v>78</v>
      </c>
      <c r="N36" s="112" t="s">
        <v>231</v>
      </c>
      <c r="O36" s="110" t="str">
        <f t="shared" ca="1" si="18"/>
        <v>Biólogo</v>
      </c>
      <c r="P36" s="111" t="str">
        <f t="shared" ca="1" si="11"/>
        <v>hora</v>
      </c>
      <c r="Q36" s="107">
        <v>15</v>
      </c>
      <c r="R36" s="100">
        <f t="shared" ca="1" si="12"/>
        <v>14.97</v>
      </c>
      <c r="S36" s="109" t="s">
        <v>62</v>
      </c>
      <c r="T36" s="99">
        <f t="shared" ca="1" si="13"/>
        <v>18.71</v>
      </c>
      <c r="U36" s="102">
        <f t="shared" ca="1" si="14"/>
        <v>280.64999999999998</v>
      </c>
      <c r="W36" s="1" t="str">
        <f ca="1">IF(OR($A36=0,$A36="S",$A36&gt;CFF!$A$9),"",MAX(W$11:OFFSET(W36,-1,0))+1)</f>
        <v/>
      </c>
      <c r="X36" s="3" t="str">
        <f t="shared" si="15"/>
        <v>Rec. Humanos-004</v>
      </c>
      <c r="Y36" s="1">
        <f t="shared" ca="1" si="16"/>
        <v>6</v>
      </c>
      <c r="AA36" s="106">
        <f>IF($J36=$G$2,ROUND(IF(ISNUMBER(S36),S36,IF(LEFT(S36,2)="DI",HLOOKUP(S36,DADOS!$T$29:$X$30,2,FALSE),0)),4),"")</f>
        <v>0.25</v>
      </c>
      <c r="AB36" s="1"/>
    </row>
    <row r="37" spans="1:28" x14ac:dyDescent="0.2">
      <c r="A37" t="str">
        <f t="shared" si="0"/>
        <v>S</v>
      </c>
      <c r="B37">
        <f t="shared" si="1"/>
        <v>0</v>
      </c>
      <c r="C37">
        <f t="shared" ca="1" si="2"/>
        <v>1</v>
      </c>
      <c r="D37">
        <f t="shared" ca="1" si="3"/>
        <v>2</v>
      </c>
      <c r="E37">
        <f t="shared" ca="1" si="4"/>
        <v>0</v>
      </c>
      <c r="F37">
        <f t="shared" ca="1" si="5"/>
        <v>0</v>
      </c>
      <c r="G37">
        <f t="shared" ca="1" si="6"/>
        <v>4</v>
      </c>
      <c r="H37">
        <f t="shared" ca="1" si="7"/>
        <v>0</v>
      </c>
      <c r="I37">
        <f t="shared" ca="1" si="8"/>
        <v>0</v>
      </c>
      <c r="J37" s="105" t="s">
        <v>29</v>
      </c>
      <c r="K37" s="97" t="str">
        <f t="shared" ca="1" si="9"/>
        <v>1.2.4.</v>
      </c>
      <c r="L37" s="110">
        <f t="shared" ca="1" si="10"/>
        <v>0</v>
      </c>
      <c r="M37" s="98" t="s">
        <v>78</v>
      </c>
      <c r="N37" s="112" t="s">
        <v>221</v>
      </c>
      <c r="O37" s="110" t="str">
        <f t="shared" ca="1" si="18"/>
        <v>Estagiarios</v>
      </c>
      <c r="P37" s="111" t="str">
        <f t="shared" ca="1" si="11"/>
        <v>hora</v>
      </c>
      <c r="Q37" s="107">
        <v>10</v>
      </c>
      <c r="R37" s="100">
        <f t="shared" ca="1" si="12"/>
        <v>8.26</v>
      </c>
      <c r="S37" s="109" t="s">
        <v>62</v>
      </c>
      <c r="T37" s="99">
        <f t="shared" ca="1" si="13"/>
        <v>10.33</v>
      </c>
      <c r="U37" s="102">
        <f t="shared" ca="1" si="14"/>
        <v>103.3</v>
      </c>
      <c r="W37" s="1" t="str">
        <f ca="1">IF(OR($A37=0,$A37="S",$A37&gt;CFF!$A$9),"",MAX(W$11:OFFSET(W37,-1,0))+1)</f>
        <v/>
      </c>
      <c r="X37" s="3" t="str">
        <f t="shared" si="15"/>
        <v>Rec. Humanos-005</v>
      </c>
      <c r="Y37" s="1">
        <f t="shared" ca="1" si="16"/>
        <v>7</v>
      </c>
      <c r="AA37" s="106">
        <f>IF($J37=$G$2,ROUND(IF(ISNUMBER(S37),S37,IF(LEFT(S37,2)="DI",HLOOKUP(S37,DADOS!$T$29:$X$30,2,FALSE),0)),4),"")</f>
        <v>0.25</v>
      </c>
      <c r="AB37" s="1"/>
    </row>
    <row r="38" spans="1:28" x14ac:dyDescent="0.2">
      <c r="A38" t="str">
        <f t="shared" si="0"/>
        <v>S</v>
      </c>
      <c r="B38">
        <f t="shared" si="1"/>
        <v>0</v>
      </c>
      <c r="C38">
        <f t="shared" ca="1" si="2"/>
        <v>1</v>
      </c>
      <c r="D38">
        <f t="shared" ca="1" si="3"/>
        <v>2</v>
      </c>
      <c r="E38">
        <f t="shared" ca="1" si="4"/>
        <v>0</v>
      </c>
      <c r="F38">
        <f t="shared" ca="1" si="5"/>
        <v>0</v>
      </c>
      <c r="G38">
        <f t="shared" ca="1" si="6"/>
        <v>5</v>
      </c>
      <c r="H38">
        <f t="shared" ca="1" si="7"/>
        <v>0</v>
      </c>
      <c r="I38">
        <f t="shared" ca="1" si="8"/>
        <v>0</v>
      </c>
      <c r="J38" s="105" t="s">
        <v>29</v>
      </c>
      <c r="K38" s="97" t="str">
        <f t="shared" ca="1" si="9"/>
        <v>1.2.5.</v>
      </c>
      <c r="L38" s="110">
        <f t="shared" ca="1" si="10"/>
        <v>0</v>
      </c>
      <c r="M38" s="98" t="s">
        <v>78</v>
      </c>
      <c r="N38" s="112" t="s">
        <v>221</v>
      </c>
      <c r="O38" s="110" t="str">
        <f t="shared" ca="1" si="18"/>
        <v>Estagiarios</v>
      </c>
      <c r="P38" s="111" t="str">
        <f t="shared" ca="1" si="11"/>
        <v>hora</v>
      </c>
      <c r="Q38" s="107">
        <v>10</v>
      </c>
      <c r="R38" s="100">
        <f t="shared" ca="1" si="12"/>
        <v>8.26</v>
      </c>
      <c r="S38" s="109" t="s">
        <v>62</v>
      </c>
      <c r="T38" s="99">
        <f t="shared" ca="1" si="13"/>
        <v>10.33</v>
      </c>
      <c r="U38" s="102">
        <f t="shared" ca="1" si="14"/>
        <v>103.3</v>
      </c>
      <c r="W38" s="1" t="str">
        <f ca="1">IF(OR($A38=0,$A38="S",$A38&gt;CFF!$A$9),"",MAX(W$11:OFFSET(W38,-1,0))+1)</f>
        <v/>
      </c>
      <c r="X38" s="3" t="str">
        <f t="shared" si="15"/>
        <v>Rec. Humanos-005</v>
      </c>
      <c r="Y38" s="1">
        <f t="shared" ca="1" si="16"/>
        <v>7</v>
      </c>
      <c r="AA38" s="106">
        <f>IF($J38=$G$2,ROUND(IF(ISNUMBER(S38),S38,IF(LEFT(S38,2)="DI",HLOOKUP(S38,DADOS!$T$29:$X$30,2,FALSE),0)),4),"")</f>
        <v>0.25</v>
      </c>
      <c r="AB38" s="1"/>
    </row>
    <row r="39" spans="1:28" x14ac:dyDescent="0.2">
      <c r="A39" t="str">
        <f t="shared" si="0"/>
        <v>S</v>
      </c>
      <c r="B39">
        <f t="shared" si="1"/>
        <v>0</v>
      </c>
      <c r="C39">
        <f t="shared" ca="1" si="2"/>
        <v>1</v>
      </c>
      <c r="D39">
        <f t="shared" ca="1" si="3"/>
        <v>2</v>
      </c>
      <c r="E39">
        <f t="shared" ca="1" si="4"/>
        <v>0</v>
      </c>
      <c r="F39">
        <f t="shared" ca="1" si="5"/>
        <v>0</v>
      </c>
      <c r="G39">
        <f t="shared" ca="1" si="6"/>
        <v>6</v>
      </c>
      <c r="H39">
        <f t="shared" ca="1" si="7"/>
        <v>0</v>
      </c>
      <c r="I39">
        <f t="shared" ca="1" si="8"/>
        <v>0</v>
      </c>
      <c r="J39" s="105" t="s">
        <v>29</v>
      </c>
      <c r="K39" s="97" t="str">
        <f t="shared" ca="1" si="9"/>
        <v>1.2.6.</v>
      </c>
      <c r="L39" s="110">
        <f t="shared" ca="1" si="10"/>
        <v>0</v>
      </c>
      <c r="M39" s="98" t="s">
        <v>78</v>
      </c>
      <c r="N39" s="112" t="s">
        <v>221</v>
      </c>
      <c r="O39" s="110" t="str">
        <f t="shared" ca="1" si="18"/>
        <v>Estagiarios</v>
      </c>
      <c r="P39" s="111" t="str">
        <f t="shared" ca="1" si="11"/>
        <v>hora</v>
      </c>
      <c r="Q39" s="107">
        <v>10</v>
      </c>
      <c r="R39" s="100">
        <f t="shared" ca="1" si="12"/>
        <v>8.26</v>
      </c>
      <c r="S39" s="109" t="s">
        <v>62</v>
      </c>
      <c r="T39" s="99">
        <f t="shared" ca="1" si="13"/>
        <v>10.33</v>
      </c>
      <c r="U39" s="102">
        <f t="shared" ca="1" si="14"/>
        <v>103.3</v>
      </c>
      <c r="W39" s="1" t="str">
        <f ca="1">IF(OR($A39=0,$A39="S",$A39&gt;CFF!$A$9),"",MAX(W$11:OFFSET(W39,-1,0))+1)</f>
        <v/>
      </c>
      <c r="X39" s="3" t="str">
        <f t="shared" si="15"/>
        <v>Rec. Humanos-005</v>
      </c>
      <c r="Y39" s="1">
        <f t="shared" ca="1" si="16"/>
        <v>7</v>
      </c>
      <c r="AA39" s="106">
        <f>IF($J39=$G$2,ROUND(IF(ISNUMBER(S39),S39,IF(LEFT(S39,2)="DI",HLOOKUP(S39,DADOS!$T$29:$X$30,2,FALSE),0)),4),"")</f>
        <v>0.25</v>
      </c>
      <c r="AB39" s="1"/>
    </row>
    <row r="40" spans="1:28" x14ac:dyDescent="0.2">
      <c r="A40" t="str">
        <f t="shared" si="0"/>
        <v>S</v>
      </c>
      <c r="B40">
        <f t="shared" si="1"/>
        <v>0</v>
      </c>
      <c r="C40">
        <f t="shared" ca="1" si="2"/>
        <v>1</v>
      </c>
      <c r="D40">
        <f t="shared" ca="1" si="3"/>
        <v>2</v>
      </c>
      <c r="E40">
        <f t="shared" ca="1" si="4"/>
        <v>0</v>
      </c>
      <c r="F40">
        <f t="shared" ca="1" si="5"/>
        <v>0</v>
      </c>
      <c r="G40">
        <f t="shared" ca="1" si="6"/>
        <v>7</v>
      </c>
      <c r="H40">
        <f t="shared" ca="1" si="7"/>
        <v>0</v>
      </c>
      <c r="I40">
        <f t="shared" ca="1" si="8"/>
        <v>0</v>
      </c>
      <c r="J40" s="105" t="s">
        <v>29</v>
      </c>
      <c r="K40" s="97" t="str">
        <f t="shared" ca="1" si="9"/>
        <v>1.2.7.</v>
      </c>
      <c r="L40" s="110">
        <f t="shared" ca="1" si="10"/>
        <v>0</v>
      </c>
      <c r="M40" s="98" t="s">
        <v>78</v>
      </c>
      <c r="N40" s="112" t="s">
        <v>221</v>
      </c>
      <c r="O40" s="110" t="str">
        <f t="shared" ca="1" si="18"/>
        <v>Estagiarios</v>
      </c>
      <c r="P40" s="111" t="str">
        <f t="shared" ca="1" si="11"/>
        <v>hora</v>
      </c>
      <c r="Q40" s="107">
        <v>10</v>
      </c>
      <c r="R40" s="100">
        <f t="shared" ca="1" si="12"/>
        <v>8.26</v>
      </c>
      <c r="S40" s="109" t="s">
        <v>62</v>
      </c>
      <c r="T40" s="99">
        <f t="shared" ca="1" si="13"/>
        <v>10.33</v>
      </c>
      <c r="U40" s="102">
        <f t="shared" ca="1" si="14"/>
        <v>103.3</v>
      </c>
      <c r="W40" s="1" t="str">
        <f ca="1">IF(OR($A40=0,$A40="S",$A40&gt;CFF!$A$9),"",MAX(W$11:OFFSET(W40,-1,0))+1)</f>
        <v/>
      </c>
      <c r="X40" s="3" t="str">
        <f t="shared" si="15"/>
        <v>Rec. Humanos-005</v>
      </c>
      <c r="Y40" s="1">
        <f t="shared" ca="1" si="16"/>
        <v>7</v>
      </c>
      <c r="AA40" s="106">
        <f>IF($J40=$G$2,ROUND(IF(ISNUMBER(S40),S40,IF(LEFT(S40,2)="DI",HLOOKUP(S40,DADOS!$T$29:$X$30,2,FALSE),0)),4),"")</f>
        <v>0.25</v>
      </c>
      <c r="AB40" s="1"/>
    </row>
    <row r="41" spans="1:28" x14ac:dyDescent="0.2">
      <c r="A41" t="str">
        <f t="shared" si="0"/>
        <v>S</v>
      </c>
      <c r="B41">
        <f t="shared" si="1"/>
        <v>0</v>
      </c>
      <c r="C41">
        <f t="shared" ca="1" si="2"/>
        <v>1</v>
      </c>
      <c r="D41">
        <f t="shared" ca="1" si="3"/>
        <v>2</v>
      </c>
      <c r="E41">
        <f t="shared" ca="1" si="4"/>
        <v>0</v>
      </c>
      <c r="F41">
        <f t="shared" ca="1" si="5"/>
        <v>0</v>
      </c>
      <c r="G41">
        <f t="shared" ca="1" si="6"/>
        <v>8</v>
      </c>
      <c r="H41">
        <f t="shared" ca="1" si="7"/>
        <v>0</v>
      </c>
      <c r="I41">
        <f t="shared" ca="1" si="8"/>
        <v>0</v>
      </c>
      <c r="J41" s="105" t="s">
        <v>29</v>
      </c>
      <c r="K41" s="97" t="str">
        <f t="shared" ca="1" si="9"/>
        <v>1.2.8.</v>
      </c>
      <c r="L41" s="110">
        <f t="shared" ca="1" si="10"/>
        <v>0</v>
      </c>
      <c r="M41" s="98" t="s">
        <v>79</v>
      </c>
      <c r="N41" s="112" t="s">
        <v>218</v>
      </c>
      <c r="O41" s="110" t="str">
        <f t="shared" ca="1" si="18"/>
        <v>Papel A4 (Internatonal Paper) 500 folhas</v>
      </c>
      <c r="P41" s="111" t="str">
        <f t="shared" ca="1" si="11"/>
        <v>resma</v>
      </c>
      <c r="Q41" s="107">
        <v>1</v>
      </c>
      <c r="R41" s="100">
        <f t="shared" ca="1" si="12"/>
        <v>25.8</v>
      </c>
      <c r="S41" s="109" t="s">
        <v>62</v>
      </c>
      <c r="T41" s="99">
        <f t="shared" ca="1" si="13"/>
        <v>32.25</v>
      </c>
      <c r="U41" s="102">
        <f t="shared" ca="1" si="14"/>
        <v>32.25</v>
      </c>
      <c r="W41" s="1" t="str">
        <f ca="1">IF(OR($A41=0,$A41="S",$A41&gt;CFF!$A$9),"",MAX(W$11:OFFSET(W41,-1,0))+1)</f>
        <v/>
      </c>
      <c r="X41" s="3" t="str">
        <f t="shared" si="15"/>
        <v>Rec. Materiais-001</v>
      </c>
      <c r="Y41" s="1">
        <f t="shared" ca="1" si="16"/>
        <v>8</v>
      </c>
      <c r="AA41" s="106">
        <f>IF($J41=$G$2,ROUND(IF(ISNUMBER(S41),S41,IF(LEFT(S41,2)="DI",HLOOKUP(S41,DADOS!$T$29:$X$30,2,FALSE),0)),4),"")</f>
        <v>0.25</v>
      </c>
      <c r="AB41" s="1"/>
    </row>
    <row r="42" spans="1:28" x14ac:dyDescent="0.2">
      <c r="A42" t="str">
        <f t="shared" si="0"/>
        <v>S</v>
      </c>
      <c r="B42">
        <f t="shared" si="1"/>
        <v>0</v>
      </c>
      <c r="C42">
        <f t="shared" ca="1" si="2"/>
        <v>1</v>
      </c>
      <c r="D42">
        <f t="shared" ca="1" si="3"/>
        <v>2</v>
      </c>
      <c r="E42">
        <f t="shared" ca="1" si="4"/>
        <v>0</v>
      </c>
      <c r="F42">
        <f t="shared" ca="1" si="5"/>
        <v>0</v>
      </c>
      <c r="G42">
        <f t="shared" ca="1" si="6"/>
        <v>9</v>
      </c>
      <c r="H42">
        <f t="shared" ca="1" si="7"/>
        <v>0</v>
      </c>
      <c r="I42">
        <f t="shared" ca="1" si="8"/>
        <v>0</v>
      </c>
      <c r="J42" s="105" t="s">
        <v>29</v>
      </c>
      <c r="K42" s="97" t="str">
        <f t="shared" ca="1" si="9"/>
        <v>1.2.9.</v>
      </c>
      <c r="L42" s="110">
        <f t="shared" ca="1" si="10"/>
        <v>0</v>
      </c>
      <c r="M42" s="98" t="s">
        <v>80</v>
      </c>
      <c r="N42" s="112" t="s">
        <v>226</v>
      </c>
      <c r="O42" s="110" t="str">
        <f t="shared" ca="1" si="18"/>
        <v>Copo descartavel 180 ml pacote com 100 unidade</v>
      </c>
      <c r="P42" s="111" t="str">
        <f t="shared" ca="1" si="11"/>
        <v>pacote</v>
      </c>
      <c r="Q42" s="107">
        <v>6</v>
      </c>
      <c r="R42" s="100">
        <f t="shared" ca="1" si="12"/>
        <v>3.83</v>
      </c>
      <c r="S42" s="109" t="s">
        <v>62</v>
      </c>
      <c r="T42" s="99">
        <f t="shared" ca="1" si="13"/>
        <v>4.79</v>
      </c>
      <c r="U42" s="102">
        <f t="shared" ca="1" si="14"/>
        <v>28.74</v>
      </c>
      <c r="W42" s="1" t="str">
        <f ca="1">IF(OR($A42=0,$A42="S",$A42&gt;CFF!$A$9),"",MAX(W$11:OFFSET(W42,-1,0))+1)</f>
        <v/>
      </c>
      <c r="X42" s="3" t="str">
        <f t="shared" si="15"/>
        <v>Serv. Terc.-022</v>
      </c>
      <c r="Y42" s="1">
        <f t="shared" ca="1" si="16"/>
        <v>68</v>
      </c>
      <c r="AA42" s="106">
        <f>IF($J42=$G$2,ROUND(IF(ISNUMBER(S42),S42,IF(LEFT(S42,2)="DI",HLOOKUP(S42,DADOS!$T$29:$X$30,2,FALSE),0)),4),"")</f>
        <v>0.25</v>
      </c>
      <c r="AB42" s="1"/>
    </row>
    <row r="43" spans="1:28" x14ac:dyDescent="0.2">
      <c r="A43" t="str">
        <f t="shared" si="0"/>
        <v>S</v>
      </c>
      <c r="B43">
        <f t="shared" si="1"/>
        <v>0</v>
      </c>
      <c r="C43">
        <f t="shared" ca="1" si="2"/>
        <v>1</v>
      </c>
      <c r="D43">
        <f t="shared" ca="1" si="3"/>
        <v>2</v>
      </c>
      <c r="E43">
        <f t="shared" ca="1" si="4"/>
        <v>0</v>
      </c>
      <c r="F43">
        <f t="shared" ca="1" si="5"/>
        <v>0</v>
      </c>
      <c r="G43">
        <f t="shared" ca="1" si="6"/>
        <v>10</v>
      </c>
      <c r="H43">
        <f t="shared" ca="1" si="7"/>
        <v>0</v>
      </c>
      <c r="I43">
        <f t="shared" ca="1" si="8"/>
        <v>0</v>
      </c>
      <c r="J43" s="105" t="s">
        <v>29</v>
      </c>
      <c r="K43" s="97" t="str">
        <f t="shared" ca="1" si="9"/>
        <v>1.2.10.</v>
      </c>
      <c r="L43" s="110">
        <f t="shared" ca="1" si="10"/>
        <v>0</v>
      </c>
      <c r="M43" s="98" t="s">
        <v>79</v>
      </c>
      <c r="N43" s="112" t="s">
        <v>227</v>
      </c>
      <c r="O43" s="110" t="str">
        <f t="shared" ca="1" si="18"/>
        <v>Copo de agua 300 ml Lebrinha/Brunado</v>
      </c>
      <c r="P43" s="111" t="str">
        <f t="shared" ca="1" si="11"/>
        <v>UNIDADE</v>
      </c>
      <c r="Q43" s="107">
        <v>300</v>
      </c>
      <c r="R43" s="100">
        <f t="shared" ca="1" si="12"/>
        <v>4.2</v>
      </c>
      <c r="S43" s="109" t="s">
        <v>62</v>
      </c>
      <c r="T43" s="99">
        <f t="shared" ca="1" si="13"/>
        <v>5.25</v>
      </c>
      <c r="U43" s="102">
        <f t="shared" ca="1" si="14"/>
        <v>1575</v>
      </c>
      <c r="W43" s="1" t="str">
        <f ca="1">IF(OR($A43=0,$A43="S",$A43&gt;CFF!$A$9),"",MAX(W$11:OFFSET(W43,-1,0))+1)</f>
        <v/>
      </c>
      <c r="X43" s="3" t="str">
        <f t="shared" si="15"/>
        <v>Rec. Materiais-014</v>
      </c>
      <c r="Y43" s="1">
        <f t="shared" ca="1" si="16"/>
        <v>21</v>
      </c>
      <c r="AA43" s="106">
        <f>IF($J43=$G$2,ROUND(IF(ISNUMBER(S43),S43,IF(LEFT(S43,2)="DI",HLOOKUP(S43,DADOS!$T$29:$X$30,2,FALSE),0)),4),"")</f>
        <v>0.25</v>
      </c>
      <c r="AB43" s="1"/>
    </row>
    <row r="44" spans="1:28" x14ac:dyDescent="0.2">
      <c r="A44" t="str">
        <f t="shared" si="0"/>
        <v>S</v>
      </c>
      <c r="B44">
        <f t="shared" si="1"/>
        <v>0</v>
      </c>
      <c r="C44">
        <f t="shared" ca="1" si="2"/>
        <v>1</v>
      </c>
      <c r="D44">
        <f t="shared" ca="1" si="3"/>
        <v>2</v>
      </c>
      <c r="E44">
        <f t="shared" ca="1" si="4"/>
        <v>0</v>
      </c>
      <c r="F44">
        <f t="shared" ca="1" si="5"/>
        <v>0</v>
      </c>
      <c r="G44">
        <f t="shared" ca="1" si="6"/>
        <v>11</v>
      </c>
      <c r="H44">
        <f t="shared" ca="1" si="7"/>
        <v>0</v>
      </c>
      <c r="I44">
        <f t="shared" ca="1" si="8"/>
        <v>0</v>
      </c>
      <c r="J44" s="105" t="s">
        <v>29</v>
      </c>
      <c r="K44" s="97" t="str">
        <f t="shared" ca="1" si="9"/>
        <v>1.2.11.</v>
      </c>
      <c r="L44" s="110">
        <f t="shared" ca="1" si="10"/>
        <v>0</v>
      </c>
      <c r="M44" s="98" t="s">
        <v>80</v>
      </c>
      <c r="N44" s="112" t="s">
        <v>218</v>
      </c>
      <c r="O44" s="110" t="str">
        <f t="shared" ca="1" si="18"/>
        <v>Salgado</v>
      </c>
      <c r="P44" s="111" t="str">
        <f t="shared" ca="1" si="11"/>
        <v>cento</v>
      </c>
      <c r="Q44" s="107">
        <v>8</v>
      </c>
      <c r="R44" s="100">
        <f t="shared" ca="1" si="12"/>
        <v>59</v>
      </c>
      <c r="S44" s="109" t="s">
        <v>62</v>
      </c>
      <c r="T44" s="99">
        <f t="shared" ca="1" si="13"/>
        <v>73.75</v>
      </c>
      <c r="U44" s="102">
        <f t="shared" ca="1" si="14"/>
        <v>590</v>
      </c>
      <c r="W44" s="1" t="str">
        <f ca="1">IF(OR($A44=0,$A44="S",$A44&gt;CFF!$A$9),"",MAX(W$11:OFFSET(W44,-1,0))+1)</f>
        <v/>
      </c>
      <c r="X44" s="3" t="str">
        <f t="shared" si="15"/>
        <v>Serv. Terc.-001</v>
      </c>
      <c r="Y44" s="1">
        <f t="shared" ca="1" si="16"/>
        <v>47</v>
      </c>
      <c r="AA44" s="106">
        <f>IF($J44=$G$2,ROUND(IF(ISNUMBER(S44),S44,IF(LEFT(S44,2)="DI",HLOOKUP(S44,DADOS!$T$29:$X$30,2,FALSE),0)),4),"")</f>
        <v>0.25</v>
      </c>
      <c r="AB44" s="1"/>
    </row>
    <row r="45" spans="1:28" x14ac:dyDescent="0.2">
      <c r="A45" t="str">
        <f t="shared" ref="A45:A77" si="19">CHOOSE(1+LOG(1+2*(J45=$C$2)+4*(J45=$D$2)+8*(J45=$E$2)+16*(J45=$F$2)+32*(J45=$G$2),2),0,1,2,3,4,"S")</f>
        <v>S</v>
      </c>
      <c r="B45">
        <f t="shared" ref="B45:B77" si="20">IF(OR(A45="S",A45=0),0,IF(ISERROR(I45),H45,SMALL(H45:I45,1)))</f>
        <v>0</v>
      </c>
      <c r="C45">
        <f t="shared" ref="C45:C77" ca="1" si="21">IF($A45=1,OFFSET(C45,-1,0)+1,OFFSET(C45,-1,0))</f>
        <v>1</v>
      </c>
      <c r="D45">
        <f t="shared" ref="D45:D77" ca="1" si="22">IF($A45=1,0,IF($A45=2,OFFSET(D45,-1,0)+1,OFFSET(D45,-1,0)))</f>
        <v>2</v>
      </c>
      <c r="E45">
        <f t="shared" ref="E45:E77" ca="1" si="23">IF(AND($A45&lt;=2,$A45&lt;&gt;0),0,IF($A45=3,OFFSET(E45,-1,0)+1,OFFSET(E45,-1,0)))</f>
        <v>0</v>
      </c>
      <c r="F45">
        <f t="shared" ref="F45:F77" ca="1" si="24">IF(AND($A45&lt;=3,$A45&lt;&gt;0),0,IF($A45=4,OFFSET(F45,-1,0)+1,OFFSET(F45,-1,0)))</f>
        <v>0</v>
      </c>
      <c r="G45">
        <f t="shared" ref="G45:G77" ca="1" si="25">IF(AND($A45&lt;=4,$A45&lt;&gt;0),0,IF($A45="S",OFFSET(G45,-1,0)+1,OFFSET(G45,-1,0)))</f>
        <v>12</v>
      </c>
      <c r="H45">
        <f t="shared" ca="1" si="7"/>
        <v>0</v>
      </c>
      <c r="I45">
        <f t="shared" ca="1" si="8"/>
        <v>0</v>
      </c>
      <c r="J45" s="105" t="s">
        <v>29</v>
      </c>
      <c r="K45" s="97" t="str">
        <f t="shared" ref="K45:K77" ca="1" si="26">IF($A45=0,"-",CONCATENATE(C45&amp;".",IF(AND($A$5&gt;=2,$A45&gt;=2),D45&amp;".",""),IF(AND($A$5&gt;=3,$A45&gt;=3),E45&amp;".",""),IF(AND($A$5&gt;=4,$A45&gt;=4),F45&amp;".",""),IF($A45="S",G45&amp;".","")))</f>
        <v>1.2.12.</v>
      </c>
      <c r="L45" s="110">
        <f t="shared" ref="L45:L77" ca="1" si="27">IF(NOT(ISERROR($Y45)),IF($Y45&lt;&gt;FALSE,INDEX(Banco,$Y45,4),""),"")</f>
        <v>0</v>
      </c>
      <c r="M45" s="98" t="s">
        <v>80</v>
      </c>
      <c r="N45" s="112" t="s">
        <v>222</v>
      </c>
      <c r="O45" s="110" t="str">
        <f t="shared" ca="1" si="18"/>
        <v>Mesa de plastico</v>
      </c>
      <c r="P45" s="111" t="str">
        <f t="shared" ref="P45:P77" ca="1" si="28">IF(NOT(ISERROR($Y45)),IF($Y45&lt;&gt;FALSE,INDEX(Banco,$Y45,6),""),"")</f>
        <v>unidade</v>
      </c>
      <c r="Q45" s="107">
        <v>20</v>
      </c>
      <c r="R45" s="100">
        <f t="shared" ref="R45:R77" ca="1" si="29">IF(NOT(ISERROR($Y45)),IF($Y45&lt;&gt;FALSE,INDEX(Banco,$Y45,7),0),0)</f>
        <v>2</v>
      </c>
      <c r="S45" s="109" t="s">
        <v>62</v>
      </c>
      <c r="T45" s="99">
        <f t="shared" ref="T45:T77" ca="1" si="30">IF($J45=$G$2,ROUND(ROUND($R45,2)*IF($R$9="Preço Unitário (R$)",1,1+$AA45),2),0)</f>
        <v>2.5</v>
      </c>
      <c r="U45" s="102">
        <f t="shared" ref="U45:U77" ca="1" si="31">IF($A45="S",VTOTAL1,IF($A45=0,0,ROUND(SomaAgrup,2)))</f>
        <v>50</v>
      </c>
      <c r="W45" s="1" t="str">
        <f ca="1">IF(OR($A45=0,$A45="S",$A45&gt;CFF!$A$9),"",MAX(W$11:OFFSET(W45,-1,0))+1)</f>
        <v/>
      </c>
      <c r="X45" s="3" t="str">
        <f t="shared" ref="X45:X77" si="32">IF(AND($J45=$G$2,$N45&lt;&gt;"",$M45&lt;&gt;""),CONCATENATE($M45,"-",$N45))</f>
        <v>Serv. Terc.-006</v>
      </c>
      <c r="Y45" s="1">
        <f t="shared" ref="Y45:Y77" ca="1" si="33">IF(X45&lt;&gt;FALSE,MATCH(X45,OFFSET(Banco,0,0,,1),0))</f>
        <v>52</v>
      </c>
      <c r="AA45" s="106">
        <f>IF($J45=$G$2,ROUND(IF(ISNUMBER(S45),S45,IF(LEFT(S45,2)="DI",HLOOKUP(S45,DADOS!$T$29:$X$30,2,FALSE),0)),4),"")</f>
        <v>0.25</v>
      </c>
      <c r="AB45" s="1"/>
    </row>
    <row r="46" spans="1:28" x14ac:dyDescent="0.2">
      <c r="A46" t="str">
        <f t="shared" si="19"/>
        <v>S</v>
      </c>
      <c r="B46">
        <f t="shared" si="20"/>
        <v>0</v>
      </c>
      <c r="C46">
        <f t="shared" ca="1" si="21"/>
        <v>1</v>
      </c>
      <c r="D46">
        <f t="shared" ca="1" si="22"/>
        <v>2</v>
      </c>
      <c r="E46">
        <f t="shared" ca="1" si="23"/>
        <v>0</v>
      </c>
      <c r="F46">
        <f t="shared" ca="1" si="24"/>
        <v>0</v>
      </c>
      <c r="G46">
        <f t="shared" ca="1" si="25"/>
        <v>13</v>
      </c>
      <c r="H46">
        <f t="shared" ca="1" si="7"/>
        <v>0</v>
      </c>
      <c r="I46">
        <f t="shared" ca="1" si="8"/>
        <v>0</v>
      </c>
      <c r="J46" s="105" t="s">
        <v>29</v>
      </c>
      <c r="K46" s="97" t="str">
        <f t="shared" ca="1" si="26"/>
        <v>1.2.13.</v>
      </c>
      <c r="L46" s="110">
        <f t="shared" ca="1" si="27"/>
        <v>0</v>
      </c>
      <c r="M46" s="98" t="s">
        <v>80</v>
      </c>
      <c r="N46" s="112" t="s">
        <v>221</v>
      </c>
      <c r="O46" s="110" t="str">
        <f t="shared" ca="1" si="18"/>
        <v>Cadeira de Plastico</v>
      </c>
      <c r="P46" s="111" t="str">
        <f t="shared" ca="1" si="28"/>
        <v>unidade</v>
      </c>
      <c r="Q46" s="107">
        <v>300</v>
      </c>
      <c r="R46" s="100">
        <f t="shared" ca="1" si="29"/>
        <v>1.6</v>
      </c>
      <c r="S46" s="109" t="s">
        <v>62</v>
      </c>
      <c r="T46" s="99">
        <f t="shared" ca="1" si="30"/>
        <v>2</v>
      </c>
      <c r="U46" s="102">
        <f t="shared" ca="1" si="31"/>
        <v>600</v>
      </c>
      <c r="W46" s="1" t="str">
        <f ca="1">IF(OR($A46=0,$A46="S",$A46&gt;CFF!$A$9),"",MAX(W$11:OFFSET(W46,-1,0))+1)</f>
        <v/>
      </c>
      <c r="X46" s="3" t="str">
        <f t="shared" si="32"/>
        <v>Serv. Terc.-005</v>
      </c>
      <c r="Y46" s="1">
        <f t="shared" ca="1" si="33"/>
        <v>51</v>
      </c>
      <c r="AA46" s="106">
        <f>IF($J46=$G$2,ROUND(IF(ISNUMBER(S46),S46,IF(LEFT(S46,2)="DI",HLOOKUP(S46,DADOS!$T$29:$X$30,2,FALSE),0)),4),"")</f>
        <v>0.25</v>
      </c>
      <c r="AB46" s="1"/>
    </row>
    <row r="47" spans="1:28" x14ac:dyDescent="0.2">
      <c r="A47" t="str">
        <f t="shared" si="19"/>
        <v>S</v>
      </c>
      <c r="B47">
        <f t="shared" si="20"/>
        <v>0</v>
      </c>
      <c r="C47">
        <f t="shared" ca="1" si="21"/>
        <v>1</v>
      </c>
      <c r="D47">
        <f t="shared" ca="1" si="22"/>
        <v>2</v>
      </c>
      <c r="E47">
        <f t="shared" ca="1" si="23"/>
        <v>0</v>
      </c>
      <c r="F47">
        <f t="shared" ca="1" si="24"/>
        <v>0</v>
      </c>
      <c r="G47">
        <f t="shared" ca="1" si="25"/>
        <v>14</v>
      </c>
      <c r="H47">
        <f t="shared" ca="1" si="7"/>
        <v>0</v>
      </c>
      <c r="I47">
        <f t="shared" ca="1" si="8"/>
        <v>0</v>
      </c>
      <c r="J47" s="105" t="s">
        <v>29</v>
      </c>
      <c r="K47" s="97" t="str">
        <f t="shared" ca="1" si="26"/>
        <v>1.2.14.</v>
      </c>
      <c r="L47" s="110">
        <f t="shared" ca="1" si="27"/>
        <v>0</v>
      </c>
      <c r="M47" s="98" t="s">
        <v>80</v>
      </c>
      <c r="N47" s="112" t="s">
        <v>225</v>
      </c>
      <c r="O47" s="110" t="str">
        <f t="shared" ca="1" si="18"/>
        <v>Coca cola 2 litros</v>
      </c>
      <c r="P47" s="111" t="str">
        <f t="shared" ca="1" si="28"/>
        <v>unidade</v>
      </c>
      <c r="Q47" s="107">
        <v>16</v>
      </c>
      <c r="R47" s="100">
        <f t="shared" ca="1" si="29"/>
        <v>7</v>
      </c>
      <c r="S47" s="109" t="s">
        <v>62</v>
      </c>
      <c r="T47" s="99">
        <f t="shared" ca="1" si="30"/>
        <v>8.75</v>
      </c>
      <c r="U47" s="102">
        <f t="shared" ca="1" si="31"/>
        <v>140</v>
      </c>
      <c r="W47" s="1" t="str">
        <f ca="1">IF(OR($A47=0,$A47="S",$A47&gt;CFF!$A$9),"",MAX(W$11:OFFSET(W47,-1,0))+1)</f>
        <v/>
      </c>
      <c r="X47" s="3" t="str">
        <f t="shared" si="32"/>
        <v>Serv. Terc.-020</v>
      </c>
      <c r="Y47" s="1">
        <f t="shared" ca="1" si="33"/>
        <v>66</v>
      </c>
      <c r="AA47" s="106">
        <f>IF($J47=$G$2,ROUND(IF(ISNUMBER(S47),S47,IF(LEFT(S47,2)="DI",HLOOKUP(S47,DADOS!$T$29:$X$30,2,FALSE),0)),4),"")</f>
        <v>0.25</v>
      </c>
      <c r="AB47" s="1"/>
    </row>
    <row r="48" spans="1:28" x14ac:dyDescent="0.2">
      <c r="A48" t="str">
        <f t="shared" si="19"/>
        <v>S</v>
      </c>
      <c r="B48">
        <f t="shared" si="20"/>
        <v>0</v>
      </c>
      <c r="C48">
        <f t="shared" ca="1" si="21"/>
        <v>1</v>
      </c>
      <c r="D48">
        <f t="shared" ca="1" si="22"/>
        <v>2</v>
      </c>
      <c r="E48">
        <f t="shared" ca="1" si="23"/>
        <v>0</v>
      </c>
      <c r="F48">
        <f t="shared" ca="1" si="24"/>
        <v>0</v>
      </c>
      <c r="G48">
        <f t="shared" ca="1" si="25"/>
        <v>15</v>
      </c>
      <c r="H48">
        <f t="shared" ca="1" si="7"/>
        <v>0</v>
      </c>
      <c r="I48">
        <f t="shared" ca="1" si="8"/>
        <v>0</v>
      </c>
      <c r="J48" s="105" t="s">
        <v>29</v>
      </c>
      <c r="K48" s="97" t="str">
        <f t="shared" ca="1" si="26"/>
        <v>1.2.15.</v>
      </c>
      <c r="L48" s="110">
        <f t="shared" ca="1" si="27"/>
        <v>0</v>
      </c>
      <c r="M48" s="98" t="s">
        <v>80</v>
      </c>
      <c r="N48" s="112" t="s">
        <v>232</v>
      </c>
      <c r="O48" s="110" t="str">
        <f t="shared" ca="1" si="18"/>
        <v>Fanta 2 litros</v>
      </c>
      <c r="P48" s="111" t="str">
        <f t="shared" ca="1" si="28"/>
        <v>unidade</v>
      </c>
      <c r="Q48" s="107">
        <v>16</v>
      </c>
      <c r="R48" s="100">
        <f t="shared" ca="1" si="29"/>
        <v>6.3</v>
      </c>
      <c r="S48" s="109" t="s">
        <v>62</v>
      </c>
      <c r="T48" s="99">
        <f t="shared" ca="1" si="30"/>
        <v>7.88</v>
      </c>
      <c r="U48" s="102">
        <f t="shared" ca="1" si="31"/>
        <v>126.08</v>
      </c>
      <c r="W48" s="1" t="str">
        <f ca="1">IF(OR($A48=0,$A48="S",$A48&gt;CFF!$A$9),"",MAX(W$11:OFFSET(W48,-1,0))+1)</f>
        <v/>
      </c>
      <c r="X48" s="3" t="str">
        <f t="shared" si="32"/>
        <v>Serv. Terc.-021</v>
      </c>
      <c r="Y48" s="1">
        <f t="shared" ca="1" si="33"/>
        <v>67</v>
      </c>
      <c r="AA48" s="106">
        <f>IF($J48=$G$2,ROUND(IF(ISNUMBER(S48),S48,IF(LEFT(S48,2)="DI",HLOOKUP(S48,DADOS!$T$29:$X$30,2,FALSE),0)),4),"")</f>
        <v>0.25</v>
      </c>
      <c r="AB48" s="1"/>
    </row>
    <row r="49" spans="1:28" x14ac:dyDescent="0.2">
      <c r="A49" t="str">
        <f t="shared" si="19"/>
        <v>S</v>
      </c>
      <c r="B49">
        <f t="shared" si="20"/>
        <v>0</v>
      </c>
      <c r="C49">
        <f t="shared" ca="1" si="21"/>
        <v>1</v>
      </c>
      <c r="D49">
        <f t="shared" ca="1" si="22"/>
        <v>2</v>
      </c>
      <c r="E49">
        <f t="shared" ca="1" si="23"/>
        <v>0</v>
      </c>
      <c r="F49">
        <f t="shared" ca="1" si="24"/>
        <v>0</v>
      </c>
      <c r="G49">
        <f t="shared" ca="1" si="25"/>
        <v>16</v>
      </c>
      <c r="H49">
        <f t="shared" ca="1" si="7"/>
        <v>0</v>
      </c>
      <c r="I49">
        <f t="shared" ca="1" si="8"/>
        <v>0</v>
      </c>
      <c r="J49" s="105" t="s">
        <v>29</v>
      </c>
      <c r="K49" s="97" t="str">
        <f t="shared" ca="1" si="26"/>
        <v>1.2.16.</v>
      </c>
      <c r="L49" s="110">
        <f t="shared" ca="1" si="27"/>
        <v>0</v>
      </c>
      <c r="M49" s="98" t="s">
        <v>80</v>
      </c>
      <c r="N49" s="112" t="s">
        <v>233</v>
      </c>
      <c r="O49" s="110" t="str">
        <f t="shared" ca="1" si="18"/>
        <v>Tenda 5x5 m2</v>
      </c>
      <c r="P49" s="111" t="str">
        <f t="shared" ca="1" si="28"/>
        <v>unidade</v>
      </c>
      <c r="Q49" s="107">
        <v>4</v>
      </c>
      <c r="R49" s="100">
        <f t="shared" ca="1" si="29"/>
        <v>540</v>
      </c>
      <c r="S49" s="109" t="s">
        <v>62</v>
      </c>
      <c r="T49" s="99">
        <f t="shared" ca="1" si="30"/>
        <v>675</v>
      </c>
      <c r="U49" s="102">
        <f t="shared" ca="1" si="31"/>
        <v>2700</v>
      </c>
      <c r="W49" s="1" t="str">
        <f ca="1">IF(OR($A49=0,$A49="S",$A49&gt;CFF!$A$9),"",MAX(W$11:OFFSET(W49,-1,0))+1)</f>
        <v/>
      </c>
      <c r="X49" s="3" t="str">
        <f t="shared" si="32"/>
        <v>Serv. Terc.-009</v>
      </c>
      <c r="Y49" s="1">
        <f t="shared" ca="1" si="33"/>
        <v>55</v>
      </c>
      <c r="AA49" s="106">
        <f>IF($J49=$G$2,ROUND(IF(ISNUMBER(S49),S49,IF(LEFT(S49,2)="DI",HLOOKUP(S49,DADOS!$T$29:$X$30,2,FALSE),0)),4),"")</f>
        <v>0.25</v>
      </c>
      <c r="AB49" s="1"/>
    </row>
    <row r="50" spans="1:28" x14ac:dyDescent="0.2">
      <c r="A50" t="str">
        <f t="shared" si="19"/>
        <v>S</v>
      </c>
      <c r="B50">
        <f t="shared" si="20"/>
        <v>0</v>
      </c>
      <c r="C50">
        <f t="shared" ca="1" si="21"/>
        <v>1</v>
      </c>
      <c r="D50">
        <f t="shared" ca="1" si="22"/>
        <v>2</v>
      </c>
      <c r="E50">
        <f t="shared" ca="1" si="23"/>
        <v>0</v>
      </c>
      <c r="F50">
        <f t="shared" ca="1" si="24"/>
        <v>0</v>
      </c>
      <c r="G50">
        <f t="shared" ca="1" si="25"/>
        <v>17</v>
      </c>
      <c r="H50">
        <f t="shared" ca="1" si="7"/>
        <v>0</v>
      </c>
      <c r="I50">
        <f t="shared" ca="1" si="8"/>
        <v>0</v>
      </c>
      <c r="J50" s="105" t="s">
        <v>29</v>
      </c>
      <c r="K50" s="97" t="str">
        <f t="shared" ca="1" si="26"/>
        <v>1.2.17.</v>
      </c>
      <c r="L50" s="110">
        <f t="shared" ca="1" si="27"/>
        <v>0</v>
      </c>
      <c r="M50" s="98" t="s">
        <v>80</v>
      </c>
      <c r="N50" s="112" t="s">
        <v>220</v>
      </c>
      <c r="O50" s="110" t="str">
        <f t="shared" ca="1" si="18"/>
        <v>Som (2 caixas de som, 2 microfones, mesa de som, cabos)</v>
      </c>
      <c r="P50" s="111" t="str">
        <f t="shared" ca="1" si="28"/>
        <v>unidade</v>
      </c>
      <c r="Q50" s="107">
        <v>1</v>
      </c>
      <c r="R50" s="100">
        <f t="shared" ca="1" si="29"/>
        <v>350</v>
      </c>
      <c r="S50" s="109" t="s">
        <v>62</v>
      </c>
      <c r="T50" s="99">
        <f t="shared" ca="1" si="30"/>
        <v>437.5</v>
      </c>
      <c r="U50" s="102">
        <f t="shared" ca="1" si="31"/>
        <v>437.5</v>
      </c>
      <c r="W50" s="1" t="str">
        <f ca="1">IF(OR($A50=0,$A50="S",$A50&gt;CFF!$A$9),"",MAX(W$11:OFFSET(W50,-1,0))+1)</f>
        <v/>
      </c>
      <c r="X50" s="3" t="str">
        <f t="shared" si="32"/>
        <v>Serv. Terc.-003</v>
      </c>
      <c r="Y50" s="1">
        <f t="shared" ca="1" si="33"/>
        <v>49</v>
      </c>
      <c r="AA50" s="106">
        <f>IF($J50=$G$2,ROUND(IF(ISNUMBER(S50),S50,IF(LEFT(S50,2)="DI",HLOOKUP(S50,DADOS!$T$29:$X$30,2,FALSE),0)),4),"")</f>
        <v>0.25</v>
      </c>
      <c r="AB50" s="1"/>
    </row>
    <row r="51" spans="1:28" x14ac:dyDescent="0.2">
      <c r="A51" t="str">
        <f t="shared" si="19"/>
        <v>S</v>
      </c>
      <c r="B51">
        <f t="shared" si="20"/>
        <v>0</v>
      </c>
      <c r="C51">
        <f t="shared" ca="1" si="21"/>
        <v>1</v>
      </c>
      <c r="D51">
        <f t="shared" ca="1" si="22"/>
        <v>2</v>
      </c>
      <c r="E51">
        <f t="shared" ca="1" si="23"/>
        <v>0</v>
      </c>
      <c r="F51">
        <f t="shared" ca="1" si="24"/>
        <v>0</v>
      </c>
      <c r="G51">
        <f t="shared" ca="1" si="25"/>
        <v>18</v>
      </c>
      <c r="H51">
        <f t="shared" ca="1" si="7"/>
        <v>0</v>
      </c>
      <c r="I51">
        <f t="shared" ca="1" si="8"/>
        <v>0</v>
      </c>
      <c r="J51" s="105" t="s">
        <v>29</v>
      </c>
      <c r="K51" s="97" t="str">
        <f t="shared" ca="1" si="26"/>
        <v>1.2.18.</v>
      </c>
      <c r="L51" s="110">
        <f t="shared" ca="1" si="27"/>
        <v>0</v>
      </c>
      <c r="M51" s="98" t="s">
        <v>80</v>
      </c>
      <c r="N51" s="112" t="s">
        <v>234</v>
      </c>
      <c r="O51" s="110" t="str">
        <f t="shared" ca="1" si="18"/>
        <v>Recreadora infantil</v>
      </c>
      <c r="P51" s="111" t="str">
        <f t="shared" ca="1" si="28"/>
        <v>diaria</v>
      </c>
      <c r="Q51" s="107">
        <v>4</v>
      </c>
      <c r="R51" s="100">
        <f t="shared" ca="1" si="29"/>
        <v>100</v>
      </c>
      <c r="S51" s="109" t="s">
        <v>62</v>
      </c>
      <c r="T51" s="99">
        <f t="shared" ca="1" si="30"/>
        <v>125</v>
      </c>
      <c r="U51" s="102">
        <f t="shared" ca="1" si="31"/>
        <v>500</v>
      </c>
      <c r="W51" s="1" t="str">
        <f ca="1">IF(OR($A51=0,$A51="S",$A51&gt;CFF!$A$9),"",MAX(W$11:OFFSET(W51,-1,0))+1)</f>
        <v/>
      </c>
      <c r="X51" s="3" t="str">
        <f t="shared" si="32"/>
        <v>Serv. Terc.-012</v>
      </c>
      <c r="Y51" s="1">
        <f t="shared" ca="1" si="33"/>
        <v>58</v>
      </c>
      <c r="AA51" s="106">
        <f>IF($J51=$G$2,ROUND(IF(ISNUMBER(S51),S51,IF(LEFT(S51,2)="DI",HLOOKUP(S51,DADOS!$T$29:$X$30,2,FALSE),0)),4),"")</f>
        <v>0.25</v>
      </c>
      <c r="AB51" s="1"/>
    </row>
    <row r="52" spans="1:28" x14ac:dyDescent="0.2">
      <c r="A52" t="str">
        <f t="shared" si="19"/>
        <v>S</v>
      </c>
      <c r="B52">
        <f t="shared" si="20"/>
        <v>0</v>
      </c>
      <c r="C52">
        <f t="shared" ca="1" si="21"/>
        <v>1</v>
      </c>
      <c r="D52">
        <f t="shared" ca="1" si="22"/>
        <v>2</v>
      </c>
      <c r="E52">
        <f t="shared" ca="1" si="23"/>
        <v>0</v>
      </c>
      <c r="F52">
        <f t="shared" ca="1" si="24"/>
        <v>0</v>
      </c>
      <c r="G52">
        <f t="shared" ca="1" si="25"/>
        <v>19</v>
      </c>
      <c r="H52">
        <f t="shared" ca="1" si="7"/>
        <v>0</v>
      </c>
      <c r="I52">
        <f t="shared" ca="1" si="8"/>
        <v>0</v>
      </c>
      <c r="J52" s="105" t="s">
        <v>29</v>
      </c>
      <c r="K52" s="97" t="str">
        <f t="shared" ca="1" si="26"/>
        <v>1.2.19.</v>
      </c>
      <c r="L52" s="110">
        <f t="shared" ca="1" si="27"/>
        <v>0</v>
      </c>
      <c r="M52" s="98" t="s">
        <v>80</v>
      </c>
      <c r="N52" s="112" t="s">
        <v>235</v>
      </c>
      <c r="O52" s="110" t="str">
        <f t="shared" ca="1" si="18"/>
        <v>Pula pula</v>
      </c>
      <c r="P52" s="111" t="str">
        <f t="shared" ca="1" si="28"/>
        <v>unidade</v>
      </c>
      <c r="Q52" s="107">
        <v>2</v>
      </c>
      <c r="R52" s="100">
        <f t="shared" ca="1" si="29"/>
        <v>150</v>
      </c>
      <c r="S52" s="109" t="s">
        <v>62</v>
      </c>
      <c r="T52" s="99">
        <f t="shared" ca="1" si="30"/>
        <v>187.5</v>
      </c>
      <c r="U52" s="102">
        <f t="shared" ca="1" si="31"/>
        <v>375</v>
      </c>
      <c r="W52" s="1" t="str">
        <f ca="1">IF(OR($A52=0,$A52="S",$A52&gt;CFF!$A$9),"",MAX(W$11:OFFSET(W52,-1,0))+1)</f>
        <v/>
      </c>
      <c r="X52" s="3" t="str">
        <f t="shared" si="32"/>
        <v>Serv. Terc.-008</v>
      </c>
      <c r="Y52" s="1">
        <f t="shared" ca="1" si="33"/>
        <v>54</v>
      </c>
      <c r="AA52" s="106">
        <f>IF($J52=$G$2,ROUND(IF(ISNUMBER(S52),S52,IF(LEFT(S52,2)="DI",HLOOKUP(S52,DADOS!$T$29:$X$30,2,FALSE),0)),4),"")</f>
        <v>0.25</v>
      </c>
      <c r="AB52" s="1"/>
    </row>
    <row r="53" spans="1:28" x14ac:dyDescent="0.2">
      <c r="A53" t="str">
        <f t="shared" si="19"/>
        <v>S</v>
      </c>
      <c r="B53">
        <f t="shared" si="20"/>
        <v>0</v>
      </c>
      <c r="C53">
        <f t="shared" ca="1" si="21"/>
        <v>1</v>
      </c>
      <c r="D53">
        <f t="shared" ca="1" si="22"/>
        <v>2</v>
      </c>
      <c r="E53">
        <f t="shared" ca="1" si="23"/>
        <v>0</v>
      </c>
      <c r="F53">
        <f t="shared" ca="1" si="24"/>
        <v>0</v>
      </c>
      <c r="G53">
        <f t="shared" ca="1" si="25"/>
        <v>20</v>
      </c>
      <c r="H53">
        <f t="shared" ca="1" si="7"/>
        <v>0</v>
      </c>
      <c r="I53">
        <f t="shared" ca="1" si="8"/>
        <v>0</v>
      </c>
      <c r="J53" s="105" t="s">
        <v>29</v>
      </c>
      <c r="K53" s="97" t="str">
        <f t="shared" ca="1" si="26"/>
        <v>1.2.20.</v>
      </c>
      <c r="L53" s="110">
        <f t="shared" ca="1" si="27"/>
        <v>0</v>
      </c>
      <c r="M53" s="98" t="s">
        <v>80</v>
      </c>
      <c r="N53" s="112" t="s">
        <v>236</v>
      </c>
      <c r="O53" s="110" t="str">
        <f t="shared" ca="1" si="18"/>
        <v>Gravação de spot</v>
      </c>
      <c r="P53" s="111" t="str">
        <f t="shared" ca="1" si="28"/>
        <v>gravação</v>
      </c>
      <c r="Q53" s="107">
        <v>1</v>
      </c>
      <c r="R53" s="100">
        <f t="shared" ca="1" si="29"/>
        <v>50</v>
      </c>
      <c r="S53" s="109" t="s">
        <v>62</v>
      </c>
      <c r="T53" s="99">
        <f t="shared" ca="1" si="30"/>
        <v>62.5</v>
      </c>
      <c r="U53" s="102">
        <f t="shared" ca="1" si="31"/>
        <v>62.5</v>
      </c>
      <c r="W53" s="1" t="str">
        <f ca="1">IF(OR($A53=0,$A53="S",$A53&gt;CFF!$A$9),"",MAX(W$11:OFFSET(W53,-1,0))+1)</f>
        <v/>
      </c>
      <c r="X53" s="3" t="str">
        <f t="shared" si="32"/>
        <v>Serv. Terc.-010</v>
      </c>
      <c r="Y53" s="1">
        <f t="shared" ca="1" si="33"/>
        <v>56</v>
      </c>
      <c r="AA53" s="106">
        <f>IF($J53=$G$2,ROUND(IF(ISNUMBER(S53),S53,IF(LEFT(S53,2)="DI",HLOOKUP(S53,DADOS!$T$29:$X$30,2,FALSE),0)),4),"")</f>
        <v>0.25</v>
      </c>
      <c r="AB53" s="1"/>
    </row>
    <row r="54" spans="1:28" x14ac:dyDescent="0.2">
      <c r="A54" t="str">
        <f t="shared" si="19"/>
        <v>S</v>
      </c>
      <c r="B54">
        <f t="shared" si="20"/>
        <v>0</v>
      </c>
      <c r="C54">
        <f t="shared" ca="1" si="21"/>
        <v>1</v>
      </c>
      <c r="D54">
        <f t="shared" ca="1" si="22"/>
        <v>2</v>
      </c>
      <c r="E54">
        <f t="shared" ca="1" si="23"/>
        <v>0</v>
      </c>
      <c r="F54">
        <f t="shared" ca="1" si="24"/>
        <v>0</v>
      </c>
      <c r="G54">
        <f t="shared" ca="1" si="25"/>
        <v>21</v>
      </c>
      <c r="H54">
        <f t="shared" ca="1" si="7"/>
        <v>0</v>
      </c>
      <c r="I54">
        <f t="shared" ca="1" si="8"/>
        <v>0</v>
      </c>
      <c r="J54" s="105" t="s">
        <v>29</v>
      </c>
      <c r="K54" s="97" t="str">
        <f t="shared" ca="1" si="26"/>
        <v>1.2.21.</v>
      </c>
      <c r="L54" s="110">
        <f t="shared" ca="1" si="27"/>
        <v>0</v>
      </c>
      <c r="M54" s="98" t="s">
        <v>80</v>
      </c>
      <c r="N54" s="112" t="s">
        <v>237</v>
      </c>
      <c r="O54" s="110" t="str">
        <f t="shared" ca="1" si="18"/>
        <v>Carro de som</v>
      </c>
      <c r="P54" s="111" t="str">
        <f t="shared" ca="1" si="28"/>
        <v>hora</v>
      </c>
      <c r="Q54" s="107">
        <v>3</v>
      </c>
      <c r="R54" s="100">
        <f t="shared" ca="1" si="29"/>
        <v>40</v>
      </c>
      <c r="S54" s="109" t="s">
        <v>62</v>
      </c>
      <c r="T54" s="99">
        <f t="shared" ca="1" si="30"/>
        <v>50</v>
      </c>
      <c r="U54" s="102">
        <f t="shared" ca="1" si="31"/>
        <v>150</v>
      </c>
      <c r="W54" s="1" t="str">
        <f ca="1">IF(OR($A54=0,$A54="S",$A54&gt;CFF!$A$9),"",MAX(W$11:OFFSET(W54,-1,0))+1)</f>
        <v/>
      </c>
      <c r="X54" s="3" t="str">
        <f t="shared" si="32"/>
        <v>Serv. Terc.-011</v>
      </c>
      <c r="Y54" s="1">
        <f t="shared" ca="1" si="33"/>
        <v>57</v>
      </c>
      <c r="AA54" s="106">
        <f>IF($J54=$G$2,ROUND(IF(ISNUMBER(S54),S54,IF(LEFT(S54,2)="DI",HLOOKUP(S54,DADOS!$T$29:$X$30,2,FALSE),0)),4),"")</f>
        <v>0.25</v>
      </c>
      <c r="AB54" s="1"/>
    </row>
    <row r="55" spans="1:28" x14ac:dyDescent="0.2">
      <c r="A55" t="str">
        <f t="shared" si="19"/>
        <v>S</v>
      </c>
      <c r="B55">
        <f t="shared" si="20"/>
        <v>0</v>
      </c>
      <c r="C55">
        <f t="shared" ca="1" si="21"/>
        <v>1</v>
      </c>
      <c r="D55">
        <f t="shared" ca="1" si="22"/>
        <v>2</v>
      </c>
      <c r="E55">
        <f t="shared" ca="1" si="23"/>
        <v>0</v>
      </c>
      <c r="F55">
        <f t="shared" ca="1" si="24"/>
        <v>0</v>
      </c>
      <c r="G55">
        <f t="shared" ca="1" si="25"/>
        <v>22</v>
      </c>
      <c r="H55">
        <f t="shared" ca="1" si="7"/>
        <v>0</v>
      </c>
      <c r="I55">
        <f t="shared" ca="1" si="8"/>
        <v>0</v>
      </c>
      <c r="J55" s="105" t="s">
        <v>29</v>
      </c>
      <c r="K55" s="97" t="str">
        <f t="shared" ca="1" si="26"/>
        <v>1.2.22.</v>
      </c>
      <c r="L55" s="110">
        <f t="shared" ca="1" si="27"/>
        <v>0</v>
      </c>
      <c r="M55" s="98" t="s">
        <v>80</v>
      </c>
      <c r="N55" s="112" t="s">
        <v>240</v>
      </c>
      <c r="O55" s="110" t="str">
        <f t="shared" ca="1" si="18"/>
        <v>Combustivel</v>
      </c>
      <c r="P55" s="111" t="str">
        <f t="shared" ca="1" si="28"/>
        <v>litro</v>
      </c>
      <c r="Q55" s="107">
        <v>80</v>
      </c>
      <c r="R55" s="100">
        <f t="shared" ca="1" si="29"/>
        <v>3.99</v>
      </c>
      <c r="S55" s="109" t="s">
        <v>62</v>
      </c>
      <c r="T55" s="99">
        <f t="shared" ca="1" si="30"/>
        <v>4.99</v>
      </c>
      <c r="U55" s="102">
        <f t="shared" ca="1" si="31"/>
        <v>399.2</v>
      </c>
      <c r="W55" s="1" t="str">
        <f ca="1">IF(OR($A55=0,$A55="S",$A55&gt;CFF!$A$9),"",MAX(W$11:OFFSET(W55,-1,0))+1)</f>
        <v/>
      </c>
      <c r="X55" s="3" t="str">
        <f t="shared" si="32"/>
        <v>Serv. Terc.-027</v>
      </c>
      <c r="Y55" s="1">
        <f t="shared" ca="1" si="33"/>
        <v>73</v>
      </c>
      <c r="AA55" s="106">
        <f>IF($J55=$G$2,ROUND(IF(ISNUMBER(S55),S55,IF(LEFT(S55,2)="DI",HLOOKUP(S55,DADOS!$T$29:$X$30,2,FALSE),0)),4),"")</f>
        <v>0.25</v>
      </c>
      <c r="AB55" s="1"/>
    </row>
    <row r="56" spans="1:28" x14ac:dyDescent="0.2">
      <c r="A56" t="str">
        <f t="shared" si="19"/>
        <v>S</v>
      </c>
      <c r="B56">
        <f t="shared" si="20"/>
        <v>0</v>
      </c>
      <c r="C56">
        <f t="shared" ca="1" si="21"/>
        <v>1</v>
      </c>
      <c r="D56">
        <f t="shared" ca="1" si="22"/>
        <v>2</v>
      </c>
      <c r="E56">
        <f t="shared" ca="1" si="23"/>
        <v>0</v>
      </c>
      <c r="F56">
        <f t="shared" ca="1" si="24"/>
        <v>0</v>
      </c>
      <c r="G56">
        <f t="shared" ca="1" si="25"/>
        <v>23</v>
      </c>
      <c r="H56">
        <f t="shared" ca="1" si="7"/>
        <v>0</v>
      </c>
      <c r="I56">
        <f t="shared" ca="1" si="8"/>
        <v>0</v>
      </c>
      <c r="J56" s="105" t="s">
        <v>29</v>
      </c>
      <c r="K56" s="97" t="str">
        <f t="shared" ca="1" si="26"/>
        <v>1.2.23.</v>
      </c>
      <c r="L56" s="110">
        <f t="shared" ca="1" si="27"/>
        <v>0</v>
      </c>
      <c r="M56" s="98" t="s">
        <v>80</v>
      </c>
      <c r="N56" s="112" t="s">
        <v>231</v>
      </c>
      <c r="O56" s="110" t="str">
        <f t="shared" ca="1" si="18"/>
        <v xml:space="preserve">Impressão Colorida 1 folha </v>
      </c>
      <c r="P56" s="111" t="str">
        <f t="shared" ca="1" si="28"/>
        <v>unidade</v>
      </c>
      <c r="Q56" s="107">
        <v>200</v>
      </c>
      <c r="R56" s="100">
        <f t="shared" ca="1" si="29"/>
        <v>2.5</v>
      </c>
      <c r="S56" s="109" t="s">
        <v>62</v>
      </c>
      <c r="T56" s="99">
        <f t="shared" ca="1" si="30"/>
        <v>3.13</v>
      </c>
      <c r="U56" s="102">
        <f t="shared" ca="1" si="31"/>
        <v>626</v>
      </c>
      <c r="W56" s="1" t="str">
        <f ca="1">IF(OR($A56=0,$A56="S",$A56&gt;CFF!$A$9),"",MAX(W$11:OFFSET(W56,-1,0))+1)</f>
        <v/>
      </c>
      <c r="X56" s="3" t="str">
        <f t="shared" si="32"/>
        <v>Serv. Terc.-004</v>
      </c>
      <c r="Y56" s="1">
        <f t="shared" ca="1" si="33"/>
        <v>50</v>
      </c>
      <c r="AA56" s="106">
        <f>IF($J56=$G$2,ROUND(IF(ISNUMBER(S56),S56,IF(LEFT(S56,2)="DI",HLOOKUP(S56,DADOS!$T$29:$X$30,2,FALSE),0)),4),"")</f>
        <v>0.25</v>
      </c>
      <c r="AB56" s="1"/>
    </row>
    <row r="57" spans="1:28" x14ac:dyDescent="0.2">
      <c r="A57" t="str">
        <f t="shared" si="19"/>
        <v>S</v>
      </c>
      <c r="B57">
        <f t="shared" si="20"/>
        <v>0</v>
      </c>
      <c r="C57">
        <f t="shared" ca="1" si="21"/>
        <v>1</v>
      </c>
      <c r="D57">
        <f t="shared" ca="1" si="22"/>
        <v>2</v>
      </c>
      <c r="E57">
        <f t="shared" ca="1" si="23"/>
        <v>0</v>
      </c>
      <c r="F57">
        <f t="shared" ca="1" si="24"/>
        <v>0</v>
      </c>
      <c r="G57">
        <f t="shared" ca="1" si="25"/>
        <v>24</v>
      </c>
      <c r="H57">
        <f t="shared" ca="1" si="7"/>
        <v>0</v>
      </c>
      <c r="I57">
        <f t="shared" ca="1" si="8"/>
        <v>0</v>
      </c>
      <c r="J57" s="105" t="s">
        <v>29</v>
      </c>
      <c r="K57" s="97" t="str">
        <f t="shared" ca="1" si="26"/>
        <v>1.2.24.</v>
      </c>
      <c r="L57" s="110">
        <f t="shared" ca="1" si="27"/>
        <v>0</v>
      </c>
      <c r="M57" s="98" t="s">
        <v>79</v>
      </c>
      <c r="N57" s="112" t="s">
        <v>241</v>
      </c>
      <c r="O57" s="110" t="str">
        <f t="shared" ca="1" si="18"/>
        <v>Fotocopia preto e branco</v>
      </c>
      <c r="P57" s="111" t="str">
        <f t="shared" ca="1" si="28"/>
        <v>UNIDADE</v>
      </c>
      <c r="Q57" s="107">
        <v>101.69</v>
      </c>
      <c r="R57" s="100">
        <f t="shared" ca="1" si="29"/>
        <v>0.25</v>
      </c>
      <c r="S57" s="109" t="s">
        <v>62</v>
      </c>
      <c r="T57" s="99">
        <f t="shared" ca="1" si="30"/>
        <v>0.31</v>
      </c>
      <c r="U57" s="102">
        <f t="shared" ca="1" si="31"/>
        <v>31.52</v>
      </c>
      <c r="W57" s="1" t="str">
        <f ca="1">IF(OR($A57=0,$A57="S",$A57&gt;CFF!$A$9),"",MAX(W$11:OFFSET(W57,-1,0))+1)</f>
        <v/>
      </c>
      <c r="X57" s="3" t="str">
        <f t="shared" si="32"/>
        <v>Rec. Materiais-015</v>
      </c>
      <c r="Y57" s="1">
        <f t="shared" ca="1" si="33"/>
        <v>22</v>
      </c>
      <c r="AA57" s="106">
        <f>IF($J57=$G$2,ROUND(IF(ISNUMBER(S57),S57,IF(LEFT(S57,2)="DI",HLOOKUP(S57,DADOS!$T$29:$X$30,2,FALSE),0)),4),"")</f>
        <v>0.25</v>
      </c>
      <c r="AB57" s="1"/>
    </row>
    <row r="58" spans="1:28" x14ac:dyDescent="0.2">
      <c r="A58" t="str">
        <f t="shared" si="19"/>
        <v>S</v>
      </c>
      <c r="B58">
        <f t="shared" si="20"/>
        <v>0</v>
      </c>
      <c r="C58">
        <f t="shared" ca="1" si="21"/>
        <v>1</v>
      </c>
      <c r="D58">
        <f t="shared" ca="1" si="22"/>
        <v>2</v>
      </c>
      <c r="E58">
        <f t="shared" ca="1" si="23"/>
        <v>0</v>
      </c>
      <c r="F58">
        <f t="shared" ca="1" si="24"/>
        <v>0</v>
      </c>
      <c r="G58">
        <f t="shared" ca="1" si="25"/>
        <v>25</v>
      </c>
      <c r="H58">
        <f t="shared" ca="1" si="7"/>
        <v>0</v>
      </c>
      <c r="I58">
        <f t="shared" ca="1" si="8"/>
        <v>0</v>
      </c>
      <c r="J58" s="105" t="s">
        <v>29</v>
      </c>
      <c r="K58" s="97" t="str">
        <f t="shared" ca="1" si="26"/>
        <v>1.2.25.</v>
      </c>
      <c r="L58" s="110">
        <f t="shared" ca="1" si="27"/>
        <v>0</v>
      </c>
      <c r="M58" s="98" t="s">
        <v>79</v>
      </c>
      <c r="N58" s="112" t="s">
        <v>242</v>
      </c>
      <c r="O58" s="110" t="str">
        <f t="shared" ca="1" si="18"/>
        <v xml:space="preserve">Saco plástico PP A4 4 furos 0,10mm A410-50 Spiral </v>
      </c>
      <c r="P58" s="111" t="str">
        <f t="shared" ca="1" si="28"/>
        <v>UNIDADE</v>
      </c>
      <c r="Q58" s="107">
        <v>50</v>
      </c>
      <c r="R58" s="100">
        <f t="shared" ca="1" si="29"/>
        <v>0.28999999999999998</v>
      </c>
      <c r="S58" s="109" t="s">
        <v>62</v>
      </c>
      <c r="T58" s="99">
        <f t="shared" ca="1" si="30"/>
        <v>0.36</v>
      </c>
      <c r="U58" s="102">
        <f t="shared" ca="1" si="31"/>
        <v>18</v>
      </c>
      <c r="W58" s="1" t="str">
        <f ca="1">IF(OR($A58=0,$A58="S",$A58&gt;CFF!$A$9),"",MAX(W$11:OFFSET(W58,-1,0))+1)</f>
        <v/>
      </c>
      <c r="X58" s="3" t="str">
        <f t="shared" si="32"/>
        <v>Rec. Materiais-026</v>
      </c>
      <c r="Y58" s="1">
        <f t="shared" ca="1" si="33"/>
        <v>33</v>
      </c>
      <c r="AA58" s="106">
        <f>IF($J58=$G$2,ROUND(IF(ISNUMBER(S58),S58,IF(LEFT(S58,2)="DI",HLOOKUP(S58,DADOS!$T$29:$X$30,2,FALSE),0)),4),"")</f>
        <v>0.25</v>
      </c>
      <c r="AB58" s="1"/>
    </row>
    <row r="59" spans="1:28" x14ac:dyDescent="0.2">
      <c r="A59" t="str">
        <f t="shared" si="19"/>
        <v>S</v>
      </c>
      <c r="B59">
        <f t="shared" si="20"/>
        <v>0</v>
      </c>
      <c r="C59">
        <f t="shared" ca="1" si="21"/>
        <v>1</v>
      </c>
      <c r="D59">
        <f t="shared" ca="1" si="22"/>
        <v>2</v>
      </c>
      <c r="E59">
        <f t="shared" ca="1" si="23"/>
        <v>0</v>
      </c>
      <c r="F59">
        <f t="shared" ca="1" si="24"/>
        <v>0</v>
      </c>
      <c r="G59">
        <f t="shared" ca="1" si="25"/>
        <v>26</v>
      </c>
      <c r="H59">
        <f t="shared" ca="1" si="7"/>
        <v>0</v>
      </c>
      <c r="I59">
        <f t="shared" ca="1" si="8"/>
        <v>0</v>
      </c>
      <c r="J59" s="105" t="s">
        <v>29</v>
      </c>
      <c r="K59" s="97" t="str">
        <f t="shared" ca="1" si="26"/>
        <v>1.2.26.</v>
      </c>
      <c r="L59" s="110">
        <f t="shared" ca="1" si="27"/>
        <v>0</v>
      </c>
      <c r="M59" s="98" t="s">
        <v>79</v>
      </c>
      <c r="N59" s="112" t="s">
        <v>243</v>
      </c>
      <c r="O59" s="110" t="str">
        <f t="shared" ca="1" si="18"/>
        <v xml:space="preserve">Garrafa squeeze Splash 700ml azul A0501 Fresko </v>
      </c>
      <c r="P59" s="111" t="str">
        <f t="shared" ca="1" si="28"/>
        <v>UNIDADE</v>
      </c>
      <c r="Q59" s="107">
        <v>10</v>
      </c>
      <c r="R59" s="100">
        <f t="shared" ca="1" si="29"/>
        <v>10</v>
      </c>
      <c r="S59" s="109" t="s">
        <v>62</v>
      </c>
      <c r="T59" s="99">
        <f t="shared" ca="1" si="30"/>
        <v>12.5</v>
      </c>
      <c r="U59" s="102">
        <f t="shared" ca="1" si="31"/>
        <v>125</v>
      </c>
      <c r="W59" s="1" t="str">
        <f ca="1">IF(OR($A59=0,$A59="S",$A59&gt;CFF!$A$9),"",MAX(W$11:OFFSET(W59,-1,0))+1)</f>
        <v/>
      </c>
      <c r="X59" s="3" t="str">
        <f t="shared" si="32"/>
        <v>Rec. Materiais-030</v>
      </c>
      <c r="Y59" s="1">
        <f t="shared" ca="1" si="33"/>
        <v>37</v>
      </c>
      <c r="AA59" s="106">
        <f>IF($J59=$G$2,ROUND(IF(ISNUMBER(S59),S59,IF(LEFT(S59,2)="DI",HLOOKUP(S59,DADOS!$T$29:$X$30,2,FALSE),0)),4),"")</f>
        <v>0.25</v>
      </c>
      <c r="AB59" s="1"/>
    </row>
    <row r="60" spans="1:28" x14ac:dyDescent="0.2">
      <c r="A60" t="str">
        <f t="shared" si="19"/>
        <v>S</v>
      </c>
      <c r="B60">
        <f t="shared" si="20"/>
        <v>0</v>
      </c>
      <c r="C60">
        <f t="shared" ca="1" si="21"/>
        <v>1</v>
      </c>
      <c r="D60">
        <f t="shared" ca="1" si="22"/>
        <v>2</v>
      </c>
      <c r="E60">
        <f t="shared" ca="1" si="23"/>
        <v>0</v>
      </c>
      <c r="F60">
        <f t="shared" ca="1" si="24"/>
        <v>0</v>
      </c>
      <c r="G60">
        <f t="shared" ca="1" si="25"/>
        <v>27</v>
      </c>
      <c r="H60">
        <f t="shared" ca="1" si="7"/>
        <v>0</v>
      </c>
      <c r="I60">
        <f t="shared" ca="1" si="8"/>
        <v>0</v>
      </c>
      <c r="J60" s="105" t="s">
        <v>29</v>
      </c>
      <c r="K60" s="97" t="str">
        <f t="shared" ca="1" si="26"/>
        <v>1.2.27.</v>
      </c>
      <c r="L60" s="110">
        <f t="shared" ca="1" si="27"/>
        <v>0</v>
      </c>
      <c r="M60" s="98" t="s">
        <v>79</v>
      </c>
      <c r="N60" s="112" t="s">
        <v>226</v>
      </c>
      <c r="O60" s="110" t="str">
        <f t="shared" ca="1" si="18"/>
        <v xml:space="preserve">Fita p/ demarcação área 70mmx200m zebrada preto/amarelo Adelbras </v>
      </c>
      <c r="P60" s="111" t="str">
        <f t="shared" ca="1" si="28"/>
        <v>UNIDADE</v>
      </c>
      <c r="Q60" s="107">
        <v>1</v>
      </c>
      <c r="R60" s="100">
        <f t="shared" ca="1" si="29"/>
        <v>19.989999999999998</v>
      </c>
      <c r="S60" s="109" t="s">
        <v>62</v>
      </c>
      <c r="T60" s="99">
        <f t="shared" ca="1" si="30"/>
        <v>24.99</v>
      </c>
      <c r="U60" s="102">
        <f t="shared" ca="1" si="31"/>
        <v>24.99</v>
      </c>
      <c r="W60" s="1" t="str">
        <f ca="1">IF(OR($A60=0,$A60="S",$A60&gt;CFF!$A$9),"",MAX(W$11:OFFSET(W60,-1,0))+1)</f>
        <v/>
      </c>
      <c r="X60" s="3" t="str">
        <f t="shared" si="32"/>
        <v>Rec. Materiais-022</v>
      </c>
      <c r="Y60" s="1">
        <f t="shared" ca="1" si="33"/>
        <v>29</v>
      </c>
      <c r="AA60" s="106">
        <f>IF($J60=$G$2,ROUND(IF(ISNUMBER(S60),S60,IF(LEFT(S60,2)="DI",HLOOKUP(S60,DADOS!$T$29:$X$30,2,FALSE),0)),4),"")</f>
        <v>0.25</v>
      </c>
      <c r="AB60" s="1"/>
    </row>
    <row r="61" spans="1:28" x14ac:dyDescent="0.2">
      <c r="A61" t="str">
        <f t="shared" si="19"/>
        <v>S</v>
      </c>
      <c r="B61">
        <f t="shared" si="20"/>
        <v>0</v>
      </c>
      <c r="C61">
        <f t="shared" ca="1" si="21"/>
        <v>1</v>
      </c>
      <c r="D61">
        <f t="shared" ca="1" si="22"/>
        <v>2</v>
      </c>
      <c r="E61">
        <f t="shared" ca="1" si="23"/>
        <v>0</v>
      </c>
      <c r="F61">
        <f t="shared" ca="1" si="24"/>
        <v>0</v>
      </c>
      <c r="G61">
        <f t="shared" ca="1" si="25"/>
        <v>28</v>
      </c>
      <c r="H61">
        <f t="shared" ca="1" si="7"/>
        <v>0</v>
      </c>
      <c r="I61">
        <f t="shared" ca="1" si="8"/>
        <v>0</v>
      </c>
      <c r="J61" s="105" t="s">
        <v>29</v>
      </c>
      <c r="K61" s="97" t="str">
        <f t="shared" ca="1" si="26"/>
        <v>1.2.28.</v>
      </c>
      <c r="L61" s="110">
        <f t="shared" ca="1" si="27"/>
        <v>0</v>
      </c>
      <c r="M61" s="98" t="s">
        <v>79</v>
      </c>
      <c r="N61" s="112" t="s">
        <v>234</v>
      </c>
      <c r="O61" s="110" t="str">
        <f t="shared" ca="1" si="18"/>
        <v>Giz de cera cores gizão 09111 Acrilex</v>
      </c>
      <c r="P61" s="111" t="str">
        <f t="shared" ca="1" si="28"/>
        <v>caixa</v>
      </c>
      <c r="Q61" s="107">
        <v>4</v>
      </c>
      <c r="R61" s="100">
        <f t="shared" ca="1" si="29"/>
        <v>2.4</v>
      </c>
      <c r="S61" s="109" t="s">
        <v>62</v>
      </c>
      <c r="T61" s="99">
        <f t="shared" ca="1" si="30"/>
        <v>3</v>
      </c>
      <c r="U61" s="102">
        <f t="shared" ca="1" si="31"/>
        <v>12</v>
      </c>
      <c r="W61" s="1" t="str">
        <f ca="1">IF(OR($A61=0,$A61="S",$A61&gt;CFF!$A$9),"",MAX(W$11:OFFSET(W61,-1,0))+1)</f>
        <v/>
      </c>
      <c r="X61" s="3" t="str">
        <f t="shared" si="32"/>
        <v>Rec. Materiais-012</v>
      </c>
      <c r="Y61" s="1">
        <f t="shared" ca="1" si="33"/>
        <v>19</v>
      </c>
      <c r="AA61" s="106">
        <f>IF($J61=$G$2,ROUND(IF(ISNUMBER(S61),S61,IF(LEFT(S61,2)="DI",HLOOKUP(S61,DADOS!$T$29:$X$30,2,FALSE),0)),4),"")</f>
        <v>0.25</v>
      </c>
      <c r="AB61" s="1"/>
    </row>
    <row r="62" spans="1:28" x14ac:dyDescent="0.2">
      <c r="A62" t="str">
        <f t="shared" si="19"/>
        <v>S</v>
      </c>
      <c r="B62">
        <f t="shared" si="20"/>
        <v>0</v>
      </c>
      <c r="C62">
        <f t="shared" ca="1" si="21"/>
        <v>1</v>
      </c>
      <c r="D62">
        <f t="shared" ca="1" si="22"/>
        <v>2</v>
      </c>
      <c r="E62">
        <f t="shared" ca="1" si="23"/>
        <v>0</v>
      </c>
      <c r="F62">
        <f t="shared" ca="1" si="24"/>
        <v>0</v>
      </c>
      <c r="G62">
        <f t="shared" ca="1" si="25"/>
        <v>29</v>
      </c>
      <c r="H62">
        <f t="shared" ca="1" si="7"/>
        <v>0</v>
      </c>
      <c r="I62">
        <f t="shared" ca="1" si="8"/>
        <v>0</v>
      </c>
      <c r="J62" s="105" t="s">
        <v>29</v>
      </c>
      <c r="K62" s="97" t="str">
        <f t="shared" ca="1" si="26"/>
        <v>1.2.29.</v>
      </c>
      <c r="L62" s="110">
        <f t="shared" ca="1" si="27"/>
        <v>0</v>
      </c>
      <c r="M62" s="98" t="s">
        <v>79</v>
      </c>
      <c r="N62" s="112" t="s">
        <v>237</v>
      </c>
      <c r="O62" s="110" t="str">
        <f t="shared" ca="1" si="18"/>
        <v>Lapis de cor 12 cores 1201122N Faber Castell</v>
      </c>
      <c r="P62" s="111" t="str">
        <f t="shared" ca="1" si="28"/>
        <v>caixa</v>
      </c>
      <c r="Q62" s="107">
        <v>4</v>
      </c>
      <c r="R62" s="100">
        <f t="shared" ca="1" si="29"/>
        <v>5.9</v>
      </c>
      <c r="S62" s="109" t="s">
        <v>62</v>
      </c>
      <c r="T62" s="99">
        <f t="shared" ca="1" si="30"/>
        <v>7.38</v>
      </c>
      <c r="U62" s="102">
        <f t="shared" ca="1" si="31"/>
        <v>29.52</v>
      </c>
      <c r="W62" s="1" t="str">
        <f ca="1">IF(OR($A62=0,$A62="S",$A62&gt;CFF!$A$9),"",MAX(W$11:OFFSET(W62,-1,0))+1)</f>
        <v/>
      </c>
      <c r="X62" s="3" t="str">
        <f t="shared" si="32"/>
        <v>Rec. Materiais-011</v>
      </c>
      <c r="Y62" s="1">
        <f t="shared" ca="1" si="33"/>
        <v>18</v>
      </c>
      <c r="AA62" s="106">
        <f>IF($J62=$G$2,ROUND(IF(ISNUMBER(S62),S62,IF(LEFT(S62,2)="DI",HLOOKUP(S62,DADOS!$T$29:$X$30,2,FALSE),0)),4),"")</f>
        <v>0.25</v>
      </c>
      <c r="AB62" s="1"/>
    </row>
    <row r="63" spans="1:28" x14ac:dyDescent="0.2">
      <c r="A63" t="str">
        <f t="shared" si="19"/>
        <v>S</v>
      </c>
      <c r="B63">
        <f t="shared" si="20"/>
        <v>0</v>
      </c>
      <c r="C63">
        <f t="shared" ca="1" si="21"/>
        <v>1</v>
      </c>
      <c r="D63">
        <f t="shared" ca="1" si="22"/>
        <v>2</v>
      </c>
      <c r="E63">
        <f t="shared" ca="1" si="23"/>
        <v>0</v>
      </c>
      <c r="F63">
        <f t="shared" ca="1" si="24"/>
        <v>0</v>
      </c>
      <c r="G63">
        <f t="shared" ca="1" si="25"/>
        <v>30</v>
      </c>
      <c r="H63">
        <f t="shared" ca="1" si="7"/>
        <v>0</v>
      </c>
      <c r="I63">
        <f t="shared" ca="1" si="8"/>
        <v>0</v>
      </c>
      <c r="J63" s="105" t="s">
        <v>29</v>
      </c>
      <c r="K63" s="97" t="str">
        <f t="shared" ca="1" si="26"/>
        <v>1.2.30.</v>
      </c>
      <c r="L63" s="110">
        <f t="shared" ca="1" si="27"/>
        <v>0</v>
      </c>
      <c r="M63" s="98" t="s">
        <v>79</v>
      </c>
      <c r="N63" s="112" t="s">
        <v>240</v>
      </c>
      <c r="O63" s="110" t="str">
        <f t="shared" ca="1" si="18"/>
        <v xml:space="preserve">Lapis preto n.2 redondo HT Happy-time </v>
      </c>
      <c r="P63" s="111" t="str">
        <f t="shared" ca="1" si="28"/>
        <v>UNIDADE</v>
      </c>
      <c r="Q63" s="107">
        <v>20</v>
      </c>
      <c r="R63" s="100">
        <f t="shared" ca="1" si="29"/>
        <v>0.6</v>
      </c>
      <c r="S63" s="109" t="s">
        <v>62</v>
      </c>
      <c r="T63" s="99">
        <f t="shared" ca="1" si="30"/>
        <v>0.75</v>
      </c>
      <c r="U63" s="102">
        <f t="shared" ca="1" si="31"/>
        <v>15</v>
      </c>
      <c r="W63" s="1" t="str">
        <f ca="1">IF(OR($A63=0,$A63="S",$A63&gt;CFF!$A$9),"",MAX(W$11:OFFSET(W63,-1,0))+1)</f>
        <v/>
      </c>
      <c r="X63" s="3" t="str">
        <f t="shared" si="32"/>
        <v>Rec. Materiais-027</v>
      </c>
      <c r="Y63" s="1">
        <f t="shared" ca="1" si="33"/>
        <v>34</v>
      </c>
      <c r="AA63" s="106">
        <f>IF($J63=$G$2,ROUND(IF(ISNUMBER(S63),S63,IF(LEFT(S63,2)="DI",HLOOKUP(S63,DADOS!$T$29:$X$30,2,FALSE),0)),4),"")</f>
        <v>0.25</v>
      </c>
      <c r="AB63" s="1"/>
    </row>
    <row r="64" spans="1:28" x14ac:dyDescent="0.2">
      <c r="A64">
        <f t="shared" si="19"/>
        <v>1</v>
      </c>
      <c r="B64">
        <f t="shared" ca="1" si="20"/>
        <v>25</v>
      </c>
      <c r="C64">
        <f t="shared" ca="1" si="21"/>
        <v>2</v>
      </c>
      <c r="D64">
        <f t="shared" ca="1" si="22"/>
        <v>0</v>
      </c>
      <c r="E64">
        <f t="shared" ca="1" si="23"/>
        <v>0</v>
      </c>
      <c r="F64">
        <f t="shared" ca="1" si="24"/>
        <v>0</v>
      </c>
      <c r="G64">
        <f t="shared" ca="1" si="25"/>
        <v>0</v>
      </c>
      <c r="H64">
        <f t="shared" ca="1" si="7"/>
        <v>303</v>
      </c>
      <c r="I64">
        <f t="shared" ca="1" si="8"/>
        <v>25</v>
      </c>
      <c r="J64" s="105" t="s">
        <v>67</v>
      </c>
      <c r="K64" s="97" t="str">
        <f t="shared" ca="1" si="26"/>
        <v>2.</v>
      </c>
      <c r="L64" s="110" t="str">
        <f t="shared" ca="1" si="27"/>
        <v/>
      </c>
      <c r="M64" s="98"/>
      <c r="N64" s="112"/>
      <c r="O64" s="110" t="s">
        <v>244</v>
      </c>
      <c r="P64" s="111" t="str">
        <f t="shared" ca="1" si="28"/>
        <v/>
      </c>
      <c r="Q64" s="107"/>
      <c r="R64" s="100">
        <f t="shared" ca="1" si="29"/>
        <v>0</v>
      </c>
      <c r="S64" s="109" t="s">
        <v>62</v>
      </c>
      <c r="T64" s="99">
        <f t="shared" si="30"/>
        <v>0</v>
      </c>
      <c r="U64" s="102">
        <f t="shared" ca="1" si="31"/>
        <v>24537.88</v>
      </c>
      <c r="W64" s="1">
        <f ca="1">IF(OR($A64=0,$A64="S",$A64&gt;CFF!$A$9),"",MAX(W$11:OFFSET(W64,-1,0))+1)</f>
        <v>4</v>
      </c>
      <c r="X64" s="3" t="b">
        <f t="shared" si="32"/>
        <v>0</v>
      </c>
      <c r="Y64" s="1" t="b">
        <f t="shared" ca="1" si="33"/>
        <v>0</v>
      </c>
      <c r="AA64" s="106" t="str">
        <f>IF($J64=$G$2,ROUND(IF(ISNUMBER(S64),S64,IF(LEFT(S64,2)="DI",HLOOKUP(S64,DADOS!$T$29:$X$30,2,FALSE),0)),4),"")</f>
        <v/>
      </c>
      <c r="AB64" s="1"/>
    </row>
    <row r="65" spans="1:28" x14ac:dyDescent="0.2">
      <c r="A65">
        <f t="shared" si="19"/>
        <v>2</v>
      </c>
      <c r="B65">
        <f t="shared" ca="1" si="20"/>
        <v>12</v>
      </c>
      <c r="C65">
        <f t="shared" ca="1" si="21"/>
        <v>2</v>
      </c>
      <c r="D65">
        <f t="shared" ca="1" si="22"/>
        <v>1</v>
      </c>
      <c r="E65">
        <f t="shared" ca="1" si="23"/>
        <v>0</v>
      </c>
      <c r="F65">
        <f t="shared" ca="1" si="24"/>
        <v>0</v>
      </c>
      <c r="G65">
        <f t="shared" ca="1" si="25"/>
        <v>0</v>
      </c>
      <c r="H65">
        <f t="shared" ca="1" si="7"/>
        <v>24</v>
      </c>
      <c r="I65">
        <f t="shared" ca="1" si="8"/>
        <v>12</v>
      </c>
      <c r="J65" s="105" t="s">
        <v>68</v>
      </c>
      <c r="K65" s="97" t="str">
        <f t="shared" ca="1" si="26"/>
        <v>2.1.</v>
      </c>
      <c r="L65" s="110" t="str">
        <f t="shared" ca="1" si="27"/>
        <v/>
      </c>
      <c r="M65" s="98"/>
      <c r="N65" s="112"/>
      <c r="O65" s="110" t="s">
        <v>245</v>
      </c>
      <c r="P65" s="111" t="str">
        <f t="shared" ca="1" si="28"/>
        <v/>
      </c>
      <c r="Q65" s="107"/>
      <c r="R65" s="100">
        <f t="shared" ca="1" si="29"/>
        <v>0</v>
      </c>
      <c r="S65" s="109" t="s">
        <v>62</v>
      </c>
      <c r="T65" s="99">
        <f t="shared" si="30"/>
        <v>0</v>
      </c>
      <c r="U65" s="102">
        <f t="shared" ca="1" si="31"/>
        <v>10609.28</v>
      </c>
      <c r="W65" s="1">
        <f ca="1">IF(OR($A65=0,$A65="S",$A65&gt;CFF!$A$9),"",MAX(W$11:OFFSET(W65,-1,0))+1)</f>
        <v>5</v>
      </c>
      <c r="X65" s="3" t="b">
        <f t="shared" si="32"/>
        <v>0</v>
      </c>
      <c r="Y65" s="1" t="b">
        <f t="shared" ca="1" si="33"/>
        <v>0</v>
      </c>
      <c r="AA65" s="106" t="str">
        <f>IF($J65=$G$2,ROUND(IF(ISNUMBER(S65),S65,IF(LEFT(S65,2)="DI",HLOOKUP(S65,DADOS!$T$29:$X$30,2,FALSE),0)),4),"")</f>
        <v/>
      </c>
      <c r="AB65" s="1"/>
    </row>
    <row r="66" spans="1:28" x14ac:dyDescent="0.2">
      <c r="A66" t="str">
        <f t="shared" si="19"/>
        <v>S</v>
      </c>
      <c r="B66">
        <f t="shared" si="20"/>
        <v>0</v>
      </c>
      <c r="C66">
        <f t="shared" ca="1" si="21"/>
        <v>2</v>
      </c>
      <c r="D66">
        <f t="shared" ca="1" si="22"/>
        <v>1</v>
      </c>
      <c r="E66">
        <f t="shared" ca="1" si="23"/>
        <v>0</v>
      </c>
      <c r="F66">
        <f t="shared" ca="1" si="24"/>
        <v>0</v>
      </c>
      <c r="G66">
        <f t="shared" ca="1" si="25"/>
        <v>1</v>
      </c>
      <c r="H66">
        <f t="shared" ca="1" si="7"/>
        <v>0</v>
      </c>
      <c r="I66">
        <f t="shared" ca="1" si="8"/>
        <v>0</v>
      </c>
      <c r="J66" s="105" t="s">
        <v>29</v>
      </c>
      <c r="K66" s="97" t="str">
        <f t="shared" ca="1" si="26"/>
        <v>2.1.1.</v>
      </c>
      <c r="L66" s="110" t="str">
        <f t="shared" ca="1" si="27"/>
        <v>CRESS</v>
      </c>
      <c r="M66" s="98" t="s">
        <v>78</v>
      </c>
      <c r="N66" s="112" t="s">
        <v>218</v>
      </c>
      <c r="O66" s="110" t="str">
        <f t="shared" ref="O66:O76" ca="1" si="34">IF(NOT(ISERROR($Y66)),IF($Y66&lt;&gt;FALSE,INDEX(Banco,$Y66,5),""),"")</f>
        <v>RT</v>
      </c>
      <c r="P66" s="111" t="str">
        <f t="shared" ca="1" si="28"/>
        <v>hora</v>
      </c>
      <c r="Q66" s="107">
        <v>20</v>
      </c>
      <c r="R66" s="100">
        <f t="shared" ca="1" si="29"/>
        <v>150.28</v>
      </c>
      <c r="S66" s="109" t="s">
        <v>62</v>
      </c>
      <c r="T66" s="99">
        <f t="shared" ca="1" si="30"/>
        <v>187.85</v>
      </c>
      <c r="U66" s="102">
        <f t="shared" ca="1" si="31"/>
        <v>3757</v>
      </c>
      <c r="W66" s="1" t="str">
        <f ca="1">IF(OR($A66=0,$A66="S",$A66&gt;CFF!$A$9),"",MAX(W$11:OFFSET(W66,-1,0))+1)</f>
        <v/>
      </c>
      <c r="X66" s="3" t="str">
        <f t="shared" si="32"/>
        <v>Rec. Humanos-001</v>
      </c>
      <c r="Y66" s="1">
        <f t="shared" ca="1" si="33"/>
        <v>3</v>
      </c>
      <c r="AA66" s="106">
        <f>IF($J66=$G$2,ROUND(IF(ISNUMBER(S66),S66,IF(LEFT(S66,2)="DI",HLOOKUP(S66,DADOS!$T$29:$X$30,2,FALSE),0)),4),"")</f>
        <v>0.25</v>
      </c>
      <c r="AB66" s="1"/>
    </row>
    <row r="67" spans="1:28" x14ac:dyDescent="0.2">
      <c r="A67" t="str">
        <f t="shared" si="19"/>
        <v>S</v>
      </c>
      <c r="B67">
        <f t="shared" si="20"/>
        <v>0</v>
      </c>
      <c r="C67">
        <f t="shared" ca="1" si="21"/>
        <v>2</v>
      </c>
      <c r="D67">
        <f t="shared" ca="1" si="22"/>
        <v>1</v>
      </c>
      <c r="E67">
        <f t="shared" ca="1" si="23"/>
        <v>0</v>
      </c>
      <c r="F67">
        <f t="shared" ca="1" si="24"/>
        <v>0</v>
      </c>
      <c r="G67">
        <f t="shared" ca="1" si="25"/>
        <v>2</v>
      </c>
      <c r="H67">
        <f t="shared" ca="1" si="7"/>
        <v>0</v>
      </c>
      <c r="I67">
        <f t="shared" ca="1" si="8"/>
        <v>0</v>
      </c>
      <c r="J67" s="105" t="s">
        <v>29</v>
      </c>
      <c r="K67" s="97" t="str">
        <f t="shared" ca="1" si="26"/>
        <v>2.1.2.</v>
      </c>
      <c r="L67" s="110">
        <f t="shared" ca="1" si="27"/>
        <v>0</v>
      </c>
      <c r="M67" s="98" t="s">
        <v>78</v>
      </c>
      <c r="N67" s="112" t="s">
        <v>219</v>
      </c>
      <c r="O67" s="110" t="str">
        <f t="shared" ca="1" si="34"/>
        <v>Assistente Social</v>
      </c>
      <c r="P67" s="111" t="str">
        <f t="shared" ca="1" si="28"/>
        <v>hora</v>
      </c>
      <c r="Q67" s="107">
        <v>20</v>
      </c>
      <c r="R67" s="100">
        <f t="shared" ca="1" si="29"/>
        <v>133.81</v>
      </c>
      <c r="S67" s="109" t="s">
        <v>62</v>
      </c>
      <c r="T67" s="99">
        <f t="shared" ca="1" si="30"/>
        <v>167.26</v>
      </c>
      <c r="U67" s="102">
        <f t="shared" ca="1" si="31"/>
        <v>3345.2</v>
      </c>
      <c r="W67" s="1" t="str">
        <f ca="1">IF(OR($A67=0,$A67="S",$A67&gt;CFF!$A$9),"",MAX(W$11:OFFSET(W67,-1,0))+1)</f>
        <v/>
      </c>
      <c r="X67" s="3" t="str">
        <f t="shared" si="32"/>
        <v>Rec. Humanos-002</v>
      </c>
      <c r="Y67" s="1">
        <f t="shared" ca="1" si="33"/>
        <v>4</v>
      </c>
      <c r="AA67" s="106">
        <f>IF($J67=$G$2,ROUND(IF(ISNUMBER(S67),S67,IF(LEFT(S67,2)="DI",HLOOKUP(S67,DADOS!$T$29:$X$30,2,FALSE),0)),4),"")</f>
        <v>0.25</v>
      </c>
      <c r="AB67" s="1"/>
    </row>
    <row r="68" spans="1:28" x14ac:dyDescent="0.2">
      <c r="A68" t="str">
        <f t="shared" si="19"/>
        <v>S</v>
      </c>
      <c r="B68">
        <f t="shared" si="20"/>
        <v>0</v>
      </c>
      <c r="C68">
        <f t="shared" ca="1" si="21"/>
        <v>2</v>
      </c>
      <c r="D68">
        <f t="shared" ca="1" si="22"/>
        <v>1</v>
      </c>
      <c r="E68">
        <f t="shared" ca="1" si="23"/>
        <v>0</v>
      </c>
      <c r="F68">
        <f t="shared" ca="1" si="24"/>
        <v>0</v>
      </c>
      <c r="G68">
        <f t="shared" ca="1" si="25"/>
        <v>3</v>
      </c>
      <c r="H68">
        <f t="shared" ca="1" si="7"/>
        <v>0</v>
      </c>
      <c r="I68">
        <f t="shared" ca="1" si="8"/>
        <v>0</v>
      </c>
      <c r="J68" s="105" t="s">
        <v>29</v>
      </c>
      <c r="K68" s="97" t="str">
        <f t="shared" ca="1" si="26"/>
        <v>2.1.3.</v>
      </c>
      <c r="L68" s="110">
        <f t="shared" ca="1" si="27"/>
        <v>0</v>
      </c>
      <c r="M68" s="98" t="s">
        <v>78</v>
      </c>
      <c r="N68" s="112" t="s">
        <v>220</v>
      </c>
      <c r="O68" s="110" t="str">
        <f t="shared" ca="1" si="34"/>
        <v>Administrativo</v>
      </c>
      <c r="P68" s="111" t="str">
        <f t="shared" ca="1" si="28"/>
        <v>mensal</v>
      </c>
      <c r="Q68" s="107">
        <v>1</v>
      </c>
      <c r="R68" s="100">
        <f t="shared" ca="1" si="29"/>
        <v>1463.5</v>
      </c>
      <c r="S68" s="109" t="s">
        <v>62</v>
      </c>
      <c r="T68" s="99">
        <f t="shared" ca="1" si="30"/>
        <v>1829.38</v>
      </c>
      <c r="U68" s="102">
        <f t="shared" ca="1" si="31"/>
        <v>1829.38</v>
      </c>
      <c r="W68" s="1" t="str">
        <f ca="1">IF(OR($A68=0,$A68="S",$A68&gt;CFF!$A$9),"",MAX(W$11:OFFSET(W68,-1,0))+1)</f>
        <v/>
      </c>
      <c r="X68" s="3" t="str">
        <f t="shared" si="32"/>
        <v>Rec. Humanos-003</v>
      </c>
      <c r="Y68" s="1">
        <f t="shared" ca="1" si="33"/>
        <v>5</v>
      </c>
      <c r="AA68" s="106">
        <f>IF($J68=$G$2,ROUND(IF(ISNUMBER(S68),S68,IF(LEFT(S68,2)="DI",HLOOKUP(S68,DADOS!$T$29:$X$30,2,FALSE),0)),4),"")</f>
        <v>0.25</v>
      </c>
      <c r="AB68" s="1"/>
    </row>
    <row r="69" spans="1:28" x14ac:dyDescent="0.2">
      <c r="A69" t="str">
        <f t="shared" si="19"/>
        <v>S</v>
      </c>
      <c r="B69">
        <f t="shared" si="20"/>
        <v>0</v>
      </c>
      <c r="C69">
        <f t="shared" ca="1" si="21"/>
        <v>2</v>
      </c>
      <c r="D69">
        <f t="shared" ca="1" si="22"/>
        <v>1</v>
      </c>
      <c r="E69">
        <f t="shared" ca="1" si="23"/>
        <v>0</v>
      </c>
      <c r="F69">
        <f t="shared" ca="1" si="24"/>
        <v>0</v>
      </c>
      <c r="G69">
        <f t="shared" ca="1" si="25"/>
        <v>4</v>
      </c>
      <c r="H69">
        <f t="shared" ca="1" si="7"/>
        <v>0</v>
      </c>
      <c r="I69">
        <f t="shared" ca="1" si="8"/>
        <v>0</v>
      </c>
      <c r="J69" s="105" t="s">
        <v>29</v>
      </c>
      <c r="K69" s="97" t="str">
        <f t="shared" ca="1" si="26"/>
        <v>2.1.4.</v>
      </c>
      <c r="L69" s="110">
        <f t="shared" ca="1" si="27"/>
        <v>0</v>
      </c>
      <c r="M69" s="98" t="s">
        <v>80</v>
      </c>
      <c r="N69" s="112" t="s">
        <v>221</v>
      </c>
      <c r="O69" s="110" t="str">
        <f t="shared" ca="1" si="34"/>
        <v>Cadeira de Plastico</v>
      </c>
      <c r="P69" s="111" t="str">
        <f t="shared" ca="1" si="28"/>
        <v>unidade</v>
      </c>
      <c r="Q69" s="107">
        <v>4</v>
      </c>
      <c r="R69" s="100">
        <f t="shared" ca="1" si="29"/>
        <v>1.6</v>
      </c>
      <c r="S69" s="109" t="s">
        <v>62</v>
      </c>
      <c r="T69" s="99">
        <f t="shared" ca="1" si="30"/>
        <v>2</v>
      </c>
      <c r="U69" s="102">
        <f t="shared" ca="1" si="31"/>
        <v>8</v>
      </c>
      <c r="W69" s="1" t="str">
        <f ca="1">IF(OR($A69=0,$A69="S",$A69&gt;CFF!$A$9),"",MAX(W$11:OFFSET(W69,-1,0))+1)</f>
        <v/>
      </c>
      <c r="X69" s="3" t="str">
        <f t="shared" si="32"/>
        <v>Serv. Terc.-005</v>
      </c>
      <c r="Y69" s="1">
        <f t="shared" ca="1" si="33"/>
        <v>51</v>
      </c>
      <c r="AA69" s="106">
        <f>IF($J69=$G$2,ROUND(IF(ISNUMBER(S69),S69,IF(LEFT(S69,2)="DI",HLOOKUP(S69,DADOS!$T$29:$X$30,2,FALSE),0)),4),"")</f>
        <v>0.25</v>
      </c>
      <c r="AB69" s="1"/>
    </row>
    <row r="70" spans="1:28" x14ac:dyDescent="0.2">
      <c r="A70" t="str">
        <f t="shared" si="19"/>
        <v>S</v>
      </c>
      <c r="B70">
        <f t="shared" si="20"/>
        <v>0</v>
      </c>
      <c r="C70">
        <f t="shared" ca="1" si="21"/>
        <v>2</v>
      </c>
      <c r="D70">
        <f t="shared" ca="1" si="22"/>
        <v>1</v>
      </c>
      <c r="E70">
        <f t="shared" ca="1" si="23"/>
        <v>0</v>
      </c>
      <c r="F70">
        <f t="shared" ca="1" si="24"/>
        <v>0</v>
      </c>
      <c r="G70">
        <f t="shared" ca="1" si="25"/>
        <v>5</v>
      </c>
      <c r="H70">
        <f t="shared" ca="1" si="7"/>
        <v>0</v>
      </c>
      <c r="I70">
        <f t="shared" ca="1" si="8"/>
        <v>0</v>
      </c>
      <c r="J70" s="105" t="s">
        <v>29</v>
      </c>
      <c r="K70" s="97" t="str">
        <f t="shared" ca="1" si="26"/>
        <v>2.1.5.</v>
      </c>
      <c r="L70" s="110">
        <f t="shared" ca="1" si="27"/>
        <v>0</v>
      </c>
      <c r="M70" s="98" t="s">
        <v>80</v>
      </c>
      <c r="N70" s="112" t="s">
        <v>222</v>
      </c>
      <c r="O70" s="110" t="str">
        <f t="shared" ca="1" si="34"/>
        <v>Mesa de plastico</v>
      </c>
      <c r="P70" s="111" t="str">
        <f t="shared" ca="1" si="28"/>
        <v>unidade</v>
      </c>
      <c r="Q70" s="107">
        <v>1</v>
      </c>
      <c r="R70" s="100">
        <f t="shared" ca="1" si="29"/>
        <v>2</v>
      </c>
      <c r="S70" s="109" t="s">
        <v>62</v>
      </c>
      <c r="T70" s="99">
        <f t="shared" ca="1" si="30"/>
        <v>2.5</v>
      </c>
      <c r="U70" s="102">
        <f t="shared" ca="1" si="31"/>
        <v>2.5</v>
      </c>
      <c r="W70" s="1" t="str">
        <f ca="1">IF(OR($A70=0,$A70="S",$A70&gt;CFF!$A$9),"",MAX(W$11:OFFSET(W70,-1,0))+1)</f>
        <v/>
      </c>
      <c r="X70" s="3" t="str">
        <f t="shared" si="32"/>
        <v>Serv. Terc.-006</v>
      </c>
      <c r="Y70" s="1">
        <f t="shared" ca="1" si="33"/>
        <v>52</v>
      </c>
      <c r="AA70" s="106">
        <f>IF($J70=$G$2,ROUND(IF(ISNUMBER(S70),S70,IF(LEFT(S70,2)="DI",HLOOKUP(S70,DADOS!$T$29:$X$30,2,FALSE),0)),4),"")</f>
        <v>0.25</v>
      </c>
      <c r="AB70" s="1"/>
    </row>
    <row r="71" spans="1:28" x14ac:dyDescent="0.2">
      <c r="A71" t="str">
        <f t="shared" si="19"/>
        <v>S</v>
      </c>
      <c r="B71">
        <f t="shared" si="20"/>
        <v>0</v>
      </c>
      <c r="C71">
        <f t="shared" ca="1" si="21"/>
        <v>2</v>
      </c>
      <c r="D71">
        <f t="shared" ca="1" si="22"/>
        <v>1</v>
      </c>
      <c r="E71">
        <f t="shared" ca="1" si="23"/>
        <v>0</v>
      </c>
      <c r="F71">
        <f t="shared" ca="1" si="24"/>
        <v>0</v>
      </c>
      <c r="G71">
        <f t="shared" ca="1" si="25"/>
        <v>6</v>
      </c>
      <c r="H71">
        <f t="shared" ca="1" si="7"/>
        <v>0</v>
      </c>
      <c r="I71">
        <f t="shared" ca="1" si="8"/>
        <v>0</v>
      </c>
      <c r="J71" s="105" t="s">
        <v>29</v>
      </c>
      <c r="K71" s="97" t="str">
        <f t="shared" ca="1" si="26"/>
        <v>2.1.6.</v>
      </c>
      <c r="L71" s="110">
        <f t="shared" ca="1" si="27"/>
        <v>0</v>
      </c>
      <c r="M71" s="98" t="s">
        <v>78</v>
      </c>
      <c r="N71" s="112" t="s">
        <v>221</v>
      </c>
      <c r="O71" s="110" t="str">
        <f t="shared" ca="1" si="34"/>
        <v>Estagiarios</v>
      </c>
      <c r="P71" s="111" t="str">
        <f t="shared" ca="1" si="28"/>
        <v>hora</v>
      </c>
      <c r="Q71" s="107">
        <v>10</v>
      </c>
      <c r="R71" s="100">
        <f t="shared" ca="1" si="29"/>
        <v>8.26</v>
      </c>
      <c r="S71" s="109" t="s">
        <v>62</v>
      </c>
      <c r="T71" s="99">
        <f t="shared" ca="1" si="30"/>
        <v>10.33</v>
      </c>
      <c r="U71" s="102">
        <f t="shared" ca="1" si="31"/>
        <v>103.3</v>
      </c>
      <c r="W71" s="1" t="str">
        <f ca="1">IF(OR($A71=0,$A71="S",$A71&gt;CFF!$A$9),"",MAX(W$11:OFFSET(W71,-1,0))+1)</f>
        <v/>
      </c>
      <c r="X71" s="3" t="str">
        <f t="shared" si="32"/>
        <v>Rec. Humanos-005</v>
      </c>
      <c r="Y71" s="1">
        <f t="shared" ca="1" si="33"/>
        <v>7</v>
      </c>
      <c r="AA71" s="106">
        <f>IF($J71=$G$2,ROUND(IF(ISNUMBER(S71),S71,IF(LEFT(S71,2)="DI",HLOOKUP(S71,DADOS!$T$29:$X$30,2,FALSE),0)),4),"")</f>
        <v>0.25</v>
      </c>
      <c r="AB71" s="1"/>
    </row>
    <row r="72" spans="1:28" x14ac:dyDescent="0.2">
      <c r="A72" t="str">
        <f t="shared" si="19"/>
        <v>S</v>
      </c>
      <c r="B72">
        <f t="shared" si="20"/>
        <v>0</v>
      </c>
      <c r="C72">
        <f t="shared" ca="1" si="21"/>
        <v>2</v>
      </c>
      <c r="D72">
        <f t="shared" ca="1" si="22"/>
        <v>1</v>
      </c>
      <c r="E72">
        <f t="shared" ca="1" si="23"/>
        <v>0</v>
      </c>
      <c r="F72">
        <f t="shared" ca="1" si="24"/>
        <v>0</v>
      </c>
      <c r="G72">
        <f t="shared" ca="1" si="25"/>
        <v>7</v>
      </c>
      <c r="H72">
        <f t="shared" ca="1" si="7"/>
        <v>0</v>
      </c>
      <c r="I72">
        <f t="shared" ca="1" si="8"/>
        <v>0</v>
      </c>
      <c r="J72" s="105" t="s">
        <v>29</v>
      </c>
      <c r="K72" s="97" t="str">
        <f t="shared" ca="1" si="26"/>
        <v>2.1.7.</v>
      </c>
      <c r="L72" s="110">
        <f t="shared" ca="1" si="27"/>
        <v>0</v>
      </c>
      <c r="M72" s="98" t="s">
        <v>78</v>
      </c>
      <c r="N72" s="112" t="s">
        <v>221</v>
      </c>
      <c r="O72" s="110" t="str">
        <f t="shared" ca="1" si="34"/>
        <v>Estagiarios</v>
      </c>
      <c r="P72" s="111" t="str">
        <f t="shared" ca="1" si="28"/>
        <v>hora</v>
      </c>
      <c r="Q72" s="107">
        <v>10</v>
      </c>
      <c r="R72" s="100">
        <f t="shared" ca="1" si="29"/>
        <v>8.26</v>
      </c>
      <c r="S72" s="109" t="s">
        <v>62</v>
      </c>
      <c r="T72" s="99">
        <f t="shared" ca="1" si="30"/>
        <v>10.33</v>
      </c>
      <c r="U72" s="102">
        <f t="shared" ca="1" si="31"/>
        <v>103.3</v>
      </c>
      <c r="W72" s="1" t="str">
        <f ca="1">IF(OR($A72=0,$A72="S",$A72&gt;CFF!$A$9),"",MAX(W$11:OFFSET(W72,-1,0))+1)</f>
        <v/>
      </c>
      <c r="X72" s="3" t="str">
        <f t="shared" si="32"/>
        <v>Rec. Humanos-005</v>
      </c>
      <c r="Y72" s="1">
        <f t="shared" ca="1" si="33"/>
        <v>7</v>
      </c>
      <c r="AA72" s="106">
        <f>IF($J72=$G$2,ROUND(IF(ISNUMBER(S72),S72,IF(LEFT(S72,2)="DI",HLOOKUP(S72,DADOS!$T$29:$X$30,2,FALSE),0)),4),"")</f>
        <v>0.25</v>
      </c>
      <c r="AB72" s="1"/>
    </row>
    <row r="73" spans="1:28" x14ac:dyDescent="0.2">
      <c r="A73" t="str">
        <f t="shared" si="19"/>
        <v>S</v>
      </c>
      <c r="B73">
        <f t="shared" si="20"/>
        <v>0</v>
      </c>
      <c r="C73">
        <f t="shared" ca="1" si="21"/>
        <v>2</v>
      </c>
      <c r="D73">
        <f t="shared" ca="1" si="22"/>
        <v>1</v>
      </c>
      <c r="E73">
        <f t="shared" ca="1" si="23"/>
        <v>0</v>
      </c>
      <c r="F73">
        <f t="shared" ca="1" si="24"/>
        <v>0</v>
      </c>
      <c r="G73">
        <f t="shared" ca="1" si="25"/>
        <v>8</v>
      </c>
      <c r="H73">
        <f t="shared" ca="1" si="7"/>
        <v>0</v>
      </c>
      <c r="I73">
        <f t="shared" ca="1" si="8"/>
        <v>0</v>
      </c>
      <c r="J73" s="105" t="s">
        <v>29</v>
      </c>
      <c r="K73" s="97" t="str">
        <f t="shared" ca="1" si="26"/>
        <v>2.1.8.</v>
      </c>
      <c r="L73" s="110">
        <f t="shared" ca="1" si="27"/>
        <v>0</v>
      </c>
      <c r="M73" s="98" t="s">
        <v>78</v>
      </c>
      <c r="N73" s="112" t="s">
        <v>221</v>
      </c>
      <c r="O73" s="110" t="str">
        <f t="shared" ca="1" si="34"/>
        <v>Estagiarios</v>
      </c>
      <c r="P73" s="111" t="str">
        <f t="shared" ca="1" si="28"/>
        <v>hora</v>
      </c>
      <c r="Q73" s="107">
        <v>10</v>
      </c>
      <c r="R73" s="100">
        <f t="shared" ca="1" si="29"/>
        <v>8.26</v>
      </c>
      <c r="S73" s="109" t="s">
        <v>62</v>
      </c>
      <c r="T73" s="99">
        <f t="shared" ca="1" si="30"/>
        <v>10.33</v>
      </c>
      <c r="U73" s="102">
        <f t="shared" ca="1" si="31"/>
        <v>103.3</v>
      </c>
      <c r="W73" s="1" t="str">
        <f ca="1">IF(OR($A73=0,$A73="S",$A73&gt;CFF!$A$9),"",MAX(W$11:OFFSET(W73,-1,0))+1)</f>
        <v/>
      </c>
      <c r="X73" s="3" t="str">
        <f t="shared" si="32"/>
        <v>Rec. Humanos-005</v>
      </c>
      <c r="Y73" s="1">
        <f t="shared" ca="1" si="33"/>
        <v>7</v>
      </c>
      <c r="AA73" s="106">
        <f>IF($J73=$G$2,ROUND(IF(ISNUMBER(S73),S73,IF(LEFT(S73,2)="DI",HLOOKUP(S73,DADOS!$T$29:$X$30,2,FALSE),0)),4),"")</f>
        <v>0.25</v>
      </c>
      <c r="AB73" s="1"/>
    </row>
    <row r="74" spans="1:28" x14ac:dyDescent="0.2">
      <c r="A74" t="str">
        <f t="shared" si="19"/>
        <v>S</v>
      </c>
      <c r="B74">
        <f t="shared" si="20"/>
        <v>0</v>
      </c>
      <c r="C74">
        <f t="shared" ca="1" si="21"/>
        <v>2</v>
      </c>
      <c r="D74">
        <f t="shared" ca="1" si="22"/>
        <v>1</v>
      </c>
      <c r="E74">
        <f t="shared" ca="1" si="23"/>
        <v>0</v>
      </c>
      <c r="F74">
        <f t="shared" ca="1" si="24"/>
        <v>0</v>
      </c>
      <c r="G74">
        <f t="shared" ca="1" si="25"/>
        <v>9</v>
      </c>
      <c r="H74">
        <f t="shared" ca="1" si="7"/>
        <v>0</v>
      </c>
      <c r="I74">
        <f t="shared" ca="1" si="8"/>
        <v>0</v>
      </c>
      <c r="J74" s="105" t="s">
        <v>29</v>
      </c>
      <c r="K74" s="97" t="str">
        <f t="shared" ca="1" si="26"/>
        <v>2.1.9.</v>
      </c>
      <c r="L74" s="110">
        <f t="shared" ca="1" si="27"/>
        <v>0</v>
      </c>
      <c r="M74" s="98" t="s">
        <v>78</v>
      </c>
      <c r="N74" s="112" t="s">
        <v>221</v>
      </c>
      <c r="O74" s="110" t="str">
        <f t="shared" ca="1" si="34"/>
        <v>Estagiarios</v>
      </c>
      <c r="P74" s="111" t="str">
        <f t="shared" ca="1" si="28"/>
        <v>hora</v>
      </c>
      <c r="Q74" s="107">
        <v>10</v>
      </c>
      <c r="R74" s="100">
        <f t="shared" ca="1" si="29"/>
        <v>8.26</v>
      </c>
      <c r="S74" s="109" t="s">
        <v>62</v>
      </c>
      <c r="T74" s="99">
        <f t="shared" ca="1" si="30"/>
        <v>10.33</v>
      </c>
      <c r="U74" s="102">
        <f t="shared" ca="1" si="31"/>
        <v>103.3</v>
      </c>
      <c r="W74" s="1" t="str">
        <f ca="1">IF(OR($A74=0,$A74="S",$A74&gt;CFF!$A$9),"",MAX(W$11:OFFSET(W74,-1,0))+1)</f>
        <v/>
      </c>
      <c r="X74" s="3" t="str">
        <f t="shared" si="32"/>
        <v>Rec. Humanos-005</v>
      </c>
      <c r="Y74" s="1">
        <f t="shared" ca="1" si="33"/>
        <v>7</v>
      </c>
      <c r="AA74" s="106">
        <f>IF($J74=$G$2,ROUND(IF(ISNUMBER(S74),S74,IF(LEFT(S74,2)="DI",HLOOKUP(S74,DADOS!$T$29:$X$30,2,FALSE),0)),4),"")</f>
        <v>0.25</v>
      </c>
      <c r="AB74" s="1"/>
    </row>
    <row r="75" spans="1:28" x14ac:dyDescent="0.2">
      <c r="A75" t="str">
        <f>CHOOSE(1+LOG(1+2*(J75=$C$2)+4*(J75=$D$2)+8*(J75=$E$2)+16*(J75=$F$2)+32*(J75=$G$2),2),0,1,2,3,4,"S")</f>
        <v>S</v>
      </c>
      <c r="B75">
        <f>IF(OR(A75="S",A75=0),0,IF(ISERROR(I75),H75,SMALL(H75:I75,1)))</f>
        <v>0</v>
      </c>
      <c r="C75">
        <f ca="1">IF($A75=1,OFFSET(C75,-1,0)+1,OFFSET(C75,-1,0))</f>
        <v>2</v>
      </c>
      <c r="D75">
        <f ca="1">IF($A75=1,0,IF($A75=2,OFFSET(D75,-1,0)+1,OFFSET(D75,-1,0)))</f>
        <v>1</v>
      </c>
      <c r="E75">
        <f ca="1">IF(AND($A75&lt;=2,$A75&lt;&gt;0),0,IF($A75=3,OFFSET(E75,-1,0)+1,OFFSET(E75,-1,0)))</f>
        <v>0</v>
      </c>
      <c r="F75">
        <f ca="1">IF(AND($A75&lt;=3,$A75&lt;&gt;0),0,IF($A75=4,OFFSET(F75,-1,0)+1,OFFSET(F75,-1,0)))</f>
        <v>0</v>
      </c>
      <c r="G75">
        <f ca="1">IF(AND($A75&lt;=4,$A75&lt;&gt;0),0,IF($A75="S",OFFSET(G75,-1,0)+1,OFFSET(G75,-1,0)))</f>
        <v>10</v>
      </c>
      <c r="H75">
        <f t="shared" ca="1" si="7"/>
        <v>0</v>
      </c>
      <c r="I75">
        <f t="shared" ca="1" si="8"/>
        <v>0</v>
      </c>
      <c r="J75" s="105" t="s">
        <v>29</v>
      </c>
      <c r="K75" s="97" t="str">
        <f ca="1">IF($A75=0,"-",CONCATENATE(C75&amp;".",IF(AND($A$5&gt;=2,$A75&gt;=2),D75&amp;".",""),IF(AND($A$5&gt;=3,$A75&gt;=3),E75&amp;".",""),IF(AND($A$5&gt;=4,$A75&gt;=4),F75&amp;".",""),IF($A75="S",G75&amp;".","")))</f>
        <v>2.1.10.</v>
      </c>
      <c r="L75" s="110">
        <f ca="1">IF(NOT(ISERROR($Y75)),IF($Y75&lt;&gt;FALSE,INDEX(Banco,$Y75,4),""),"")</f>
        <v>0</v>
      </c>
      <c r="M75" s="98" t="s">
        <v>80</v>
      </c>
      <c r="N75" s="112" t="s">
        <v>231</v>
      </c>
      <c r="O75" s="110" t="str">
        <f ca="1">IF(NOT(ISERROR($Y75)),IF($Y75&lt;&gt;FALSE,INDEX(Banco,$Y75,5),""),"")</f>
        <v xml:space="preserve">Impressão Colorida 1 folha </v>
      </c>
      <c r="P75" s="111" t="str">
        <f ca="1">IF(NOT(ISERROR($Y75)),IF($Y75&lt;&gt;FALSE,INDEX(Banco,$Y75,6),""),"")</f>
        <v>unidade</v>
      </c>
      <c r="Q75" s="107">
        <v>300</v>
      </c>
      <c r="R75" s="100">
        <f ca="1">IF(NOT(ISERROR($Y75)),IF($Y75&lt;&gt;FALSE,INDEX(Banco,$Y75,7),0),0)</f>
        <v>2.5</v>
      </c>
      <c r="S75" s="109" t="s">
        <v>62</v>
      </c>
      <c r="T75" s="99">
        <f ca="1">IF($J75=$G$2,ROUND(ROUND($R75,2)*IF($R$9="Preço Unitário (R$)",1,1+$AA75),2),0)</f>
        <v>3.13</v>
      </c>
      <c r="U75" s="102">
        <f ca="1">IF($A75="S",VTOTAL1,IF($A75=0,0,ROUND(SomaAgrup,2)))</f>
        <v>939</v>
      </c>
      <c r="W75" s="1" t="str">
        <f ca="1">IF(OR($A75=0,$A75="S",$A75&gt;CFF!$A$9),"",MAX(W$11:OFFSET(W75,-1,0))+1)</f>
        <v/>
      </c>
      <c r="X75" s="3" t="str">
        <f>IF(AND($J75=$G$2,$N75&lt;&gt;"",$M75&lt;&gt;""),CONCATENATE($M75,"-",$N75))</f>
        <v>Serv. Terc.-004</v>
      </c>
      <c r="Y75" s="1">
        <f ca="1">IF(X75&lt;&gt;FALSE,MATCH(X75,OFFSET(Banco,0,0,,1),0))</f>
        <v>50</v>
      </c>
      <c r="AA75" s="106">
        <f>IF($J75=$G$2,ROUND(IF(ISNUMBER(S75),S75,IF(LEFT(S75,2)="DI",HLOOKUP(S75,DADOS!$T$29:$X$30,2,FALSE),0)),4),"")</f>
        <v>0.25</v>
      </c>
      <c r="AB75" s="1"/>
    </row>
    <row r="76" spans="1:28" x14ac:dyDescent="0.2">
      <c r="A76" t="str">
        <f t="shared" si="19"/>
        <v>S</v>
      </c>
      <c r="B76">
        <f t="shared" si="20"/>
        <v>0</v>
      </c>
      <c r="C76">
        <f t="shared" ca="1" si="21"/>
        <v>2</v>
      </c>
      <c r="D76">
        <f t="shared" ca="1" si="22"/>
        <v>1</v>
      </c>
      <c r="E76">
        <f t="shared" ca="1" si="23"/>
        <v>0</v>
      </c>
      <c r="F76">
        <f t="shared" ca="1" si="24"/>
        <v>0</v>
      </c>
      <c r="G76">
        <f t="shared" ca="1" si="25"/>
        <v>11</v>
      </c>
      <c r="H76">
        <f t="shared" ref="H76:H139" ca="1" si="35">IF(OR($A76="S",$A76=0),0,MATCH(0,OFFSET($B76,1,$A76,ROW($A$367)-ROW($A76)),0))</f>
        <v>0</v>
      </c>
      <c r="I76">
        <f t="shared" ref="I76:I139" ca="1" si="36">IF(OR($A76="S",$A76=0),0,MATCH(OFFSET($B76,0,$A76)+1,OFFSET($B76,1,$A76,ROW($A$367)-ROW($A76)),0))</f>
        <v>0</v>
      </c>
      <c r="J76" s="105" t="s">
        <v>29</v>
      </c>
      <c r="K76" s="97" t="str">
        <f t="shared" ca="1" si="26"/>
        <v>2.1.11.</v>
      </c>
      <c r="L76" s="110">
        <f t="shared" ca="1" si="27"/>
        <v>0</v>
      </c>
      <c r="M76" s="98" t="s">
        <v>79</v>
      </c>
      <c r="N76" s="112" t="s">
        <v>227</v>
      </c>
      <c r="O76" s="110" t="str">
        <f t="shared" ca="1" si="34"/>
        <v>Copo de agua 300 ml Lebrinha/Brunado</v>
      </c>
      <c r="P76" s="111" t="str">
        <f t="shared" ca="1" si="28"/>
        <v>UNIDADE</v>
      </c>
      <c r="Q76" s="107">
        <v>60</v>
      </c>
      <c r="R76" s="100">
        <f t="shared" ca="1" si="29"/>
        <v>4.2</v>
      </c>
      <c r="S76" s="109" t="s">
        <v>62</v>
      </c>
      <c r="T76" s="99">
        <f t="shared" ca="1" si="30"/>
        <v>5.25</v>
      </c>
      <c r="U76" s="102">
        <f t="shared" ca="1" si="31"/>
        <v>315</v>
      </c>
      <c r="W76" s="1" t="str">
        <f ca="1">IF(OR($A76=0,$A76="S",$A76&gt;CFF!$A$9),"",MAX(W$11:OFFSET(W76,-1,0))+1)</f>
        <v/>
      </c>
      <c r="X76" s="3" t="str">
        <f t="shared" si="32"/>
        <v>Rec. Materiais-014</v>
      </c>
      <c r="Y76" s="1">
        <f t="shared" ca="1" si="33"/>
        <v>21</v>
      </c>
      <c r="AA76" s="106">
        <f>IF($J76=$G$2,ROUND(IF(ISNUMBER(S76),S76,IF(LEFT(S76,2)="DI",HLOOKUP(S76,DADOS!$T$29:$X$30,2,FALSE),0)),4),"")</f>
        <v>0.25</v>
      </c>
      <c r="AB76" s="1"/>
    </row>
    <row r="77" spans="1:28" x14ac:dyDescent="0.2">
      <c r="A77">
        <f t="shared" si="19"/>
        <v>2</v>
      </c>
      <c r="B77">
        <f t="shared" ca="1" si="20"/>
        <v>12</v>
      </c>
      <c r="C77">
        <f t="shared" ca="1" si="21"/>
        <v>2</v>
      </c>
      <c r="D77">
        <f t="shared" ca="1" si="22"/>
        <v>2</v>
      </c>
      <c r="E77">
        <f t="shared" ca="1" si="23"/>
        <v>0</v>
      </c>
      <c r="F77">
        <f t="shared" ca="1" si="24"/>
        <v>0</v>
      </c>
      <c r="G77">
        <f t="shared" ca="1" si="25"/>
        <v>0</v>
      </c>
      <c r="H77">
        <f t="shared" ca="1" si="35"/>
        <v>12</v>
      </c>
      <c r="I77" t="e">
        <f t="shared" ca="1" si="36"/>
        <v>#N/A</v>
      </c>
      <c r="J77" s="105" t="s">
        <v>68</v>
      </c>
      <c r="K77" s="97" t="str">
        <f t="shared" ca="1" si="26"/>
        <v>2.2.</v>
      </c>
      <c r="L77" s="110" t="str">
        <f t="shared" ca="1" si="27"/>
        <v/>
      </c>
      <c r="M77" s="98"/>
      <c r="N77" s="112"/>
      <c r="O77" s="110" t="s">
        <v>246</v>
      </c>
      <c r="P77" s="111" t="str">
        <f t="shared" ca="1" si="28"/>
        <v/>
      </c>
      <c r="Q77" s="107"/>
      <c r="R77" s="100">
        <f t="shared" ca="1" si="29"/>
        <v>0</v>
      </c>
      <c r="S77" s="109" t="s">
        <v>62</v>
      </c>
      <c r="T77" s="99">
        <f t="shared" si="30"/>
        <v>0</v>
      </c>
      <c r="U77" s="102">
        <f t="shared" ca="1" si="31"/>
        <v>13928.6</v>
      </c>
      <c r="W77" s="1">
        <f ca="1">IF(OR($A77=0,$A77="S",$A77&gt;CFF!$A$9),"",MAX(W$11:OFFSET(W77,-1,0))+1)</f>
        <v>6</v>
      </c>
      <c r="X77" s="3" t="b">
        <f t="shared" si="32"/>
        <v>0</v>
      </c>
      <c r="Y77" s="1" t="b">
        <f t="shared" ca="1" si="33"/>
        <v>0</v>
      </c>
      <c r="AA77" s="106" t="str">
        <f>IF($J77=$G$2,ROUND(IF(ISNUMBER(S77),S77,IF(LEFT(S77,2)="DI",HLOOKUP(S77,DADOS!$T$29:$X$30,2,FALSE),0)),4),"")</f>
        <v/>
      </c>
      <c r="AB77" s="1"/>
    </row>
    <row r="78" spans="1:28" x14ac:dyDescent="0.2">
      <c r="A78" t="str">
        <f t="shared" ref="A78:A98" si="37">CHOOSE(1+LOG(1+2*(J78=$C$2)+4*(J78=$D$2)+8*(J78=$E$2)+16*(J78=$F$2)+32*(J78=$G$2),2),0,1,2,3,4,"S")</f>
        <v>S</v>
      </c>
      <c r="B78">
        <f t="shared" ref="B78:B98" si="38">IF(OR(A78="S",A78=0),0,IF(ISERROR(I78),H78,SMALL(H78:I78,1)))</f>
        <v>0</v>
      </c>
      <c r="C78">
        <f t="shared" ref="C78:C98" ca="1" si="39">IF($A78=1,OFFSET(C78,-1,0)+1,OFFSET(C78,-1,0))</f>
        <v>2</v>
      </c>
      <c r="D78">
        <f t="shared" ref="D78:D98" ca="1" si="40">IF($A78=1,0,IF($A78=2,OFFSET(D78,-1,0)+1,OFFSET(D78,-1,0)))</f>
        <v>2</v>
      </c>
      <c r="E78">
        <f t="shared" ref="E78:E98" ca="1" si="41">IF(AND($A78&lt;=2,$A78&lt;&gt;0),0,IF($A78=3,OFFSET(E78,-1,0)+1,OFFSET(E78,-1,0)))</f>
        <v>0</v>
      </c>
      <c r="F78">
        <f t="shared" ref="F78:F98" ca="1" si="42">IF(AND($A78&lt;=3,$A78&lt;&gt;0),0,IF($A78=4,OFFSET(F78,-1,0)+1,OFFSET(F78,-1,0)))</f>
        <v>0</v>
      </c>
      <c r="G78">
        <f t="shared" ref="G78:G98" ca="1" si="43">IF(AND($A78&lt;=4,$A78&lt;&gt;0),0,IF($A78="S",OFFSET(G78,-1,0)+1,OFFSET(G78,-1,0)))</f>
        <v>1</v>
      </c>
      <c r="H78">
        <f t="shared" ca="1" si="35"/>
        <v>0</v>
      </c>
      <c r="I78">
        <f t="shared" ca="1" si="36"/>
        <v>0</v>
      </c>
      <c r="J78" s="105" t="s">
        <v>29</v>
      </c>
      <c r="K78" s="97" t="str">
        <f t="shared" ref="K78:K98" ca="1" si="44">IF($A78=0,"-",CONCATENATE(C78&amp;".",IF(AND($A$5&gt;=2,$A78&gt;=2),D78&amp;".",""),IF(AND($A$5&gt;=3,$A78&gt;=3),E78&amp;".",""),IF(AND($A$5&gt;=4,$A78&gt;=4),F78&amp;".",""),IF($A78="S",G78&amp;".","")))</f>
        <v>2.2.1.</v>
      </c>
      <c r="L78" s="110" t="str">
        <f t="shared" ref="L78:L98" ca="1" si="45">IF(NOT(ISERROR($Y78)),IF($Y78&lt;&gt;FALSE,INDEX(Banco,$Y78,4),""),"")</f>
        <v>CRESS</v>
      </c>
      <c r="M78" s="98" t="s">
        <v>78</v>
      </c>
      <c r="N78" s="112" t="s">
        <v>218</v>
      </c>
      <c r="O78" s="110" t="str">
        <f t="shared" ref="O78:O88" ca="1" si="46">IF(NOT(ISERROR($Y78)),IF($Y78&lt;&gt;FALSE,INDEX(Banco,$Y78,5),""),"")</f>
        <v>RT</v>
      </c>
      <c r="P78" s="111" t="str">
        <f t="shared" ref="P78:P98" ca="1" si="47">IF(NOT(ISERROR($Y78)),IF($Y78&lt;&gt;FALSE,INDEX(Banco,$Y78,6),""),"")</f>
        <v>hora</v>
      </c>
      <c r="Q78" s="107">
        <v>40</v>
      </c>
      <c r="R78" s="100">
        <f t="shared" ref="R78:R98" ca="1" si="48">IF(NOT(ISERROR($Y78)),IF($Y78&lt;&gt;FALSE,INDEX(Banco,$Y78,7),0),0)</f>
        <v>150.28</v>
      </c>
      <c r="S78" s="109" t="s">
        <v>62</v>
      </c>
      <c r="T78" s="99">
        <f t="shared" ref="T78:T98" ca="1" si="49">IF($J78=$G$2,ROUND(ROUND($R78,2)*IF($R$9="Preço Unitário (R$)",1,1+$AA78),2),0)</f>
        <v>187.85</v>
      </c>
      <c r="U78" s="102">
        <f t="shared" ref="U78:U98" ca="1" si="50">IF($A78="S",VTOTAL1,IF($A78=0,0,ROUND(SomaAgrup,2)))</f>
        <v>7514</v>
      </c>
      <c r="W78" s="1" t="str">
        <f ca="1">IF(OR($A78=0,$A78="S",$A78&gt;CFF!$A$9),"",MAX(W$11:OFFSET(W78,-1,0))+1)</f>
        <v/>
      </c>
      <c r="X78" s="3" t="str">
        <f t="shared" ref="X78:X98" si="51">IF(AND($J78=$G$2,$N78&lt;&gt;"",$M78&lt;&gt;""),CONCATENATE($M78,"-",$N78))</f>
        <v>Rec. Humanos-001</v>
      </c>
      <c r="Y78" s="1">
        <f t="shared" ref="Y78:Y98" ca="1" si="52">IF(X78&lt;&gt;FALSE,MATCH(X78,OFFSET(Banco,0,0,,1),0))</f>
        <v>3</v>
      </c>
      <c r="AA78" s="106">
        <f>IF($J78=$G$2,ROUND(IF(ISNUMBER(S78),S78,IF(LEFT(S78,2)="DI",HLOOKUP(S78,DADOS!$T$29:$X$30,2,FALSE),0)),4),"")</f>
        <v>0.25</v>
      </c>
      <c r="AB78" s="1"/>
    </row>
    <row r="79" spans="1:28" x14ac:dyDescent="0.2">
      <c r="A79" t="str">
        <f t="shared" si="37"/>
        <v>S</v>
      </c>
      <c r="B79">
        <f t="shared" si="38"/>
        <v>0</v>
      </c>
      <c r="C79">
        <f t="shared" ca="1" si="39"/>
        <v>2</v>
      </c>
      <c r="D79">
        <f t="shared" ca="1" si="40"/>
        <v>2</v>
      </c>
      <c r="E79">
        <f t="shared" ca="1" si="41"/>
        <v>0</v>
      </c>
      <c r="F79">
        <f t="shared" ca="1" si="42"/>
        <v>0</v>
      </c>
      <c r="G79">
        <f t="shared" ca="1" si="43"/>
        <v>2</v>
      </c>
      <c r="H79">
        <f t="shared" ca="1" si="35"/>
        <v>0</v>
      </c>
      <c r="I79">
        <f t="shared" ca="1" si="36"/>
        <v>0</v>
      </c>
      <c r="J79" s="105" t="s">
        <v>29</v>
      </c>
      <c r="K79" s="97" t="str">
        <f t="shared" ca="1" si="44"/>
        <v>2.2.2.</v>
      </c>
      <c r="L79" s="110">
        <f t="shared" ca="1" si="45"/>
        <v>0</v>
      </c>
      <c r="M79" s="98" t="s">
        <v>78</v>
      </c>
      <c r="N79" s="112" t="s">
        <v>219</v>
      </c>
      <c r="O79" s="110" t="str">
        <f t="shared" ca="1" si="46"/>
        <v>Assistente Social</v>
      </c>
      <c r="P79" s="111" t="str">
        <f t="shared" ca="1" si="47"/>
        <v>hora</v>
      </c>
      <c r="Q79" s="107">
        <v>20</v>
      </c>
      <c r="R79" s="100">
        <f t="shared" ca="1" si="48"/>
        <v>133.81</v>
      </c>
      <c r="S79" s="109" t="s">
        <v>62</v>
      </c>
      <c r="T79" s="99">
        <f t="shared" ca="1" si="49"/>
        <v>167.26</v>
      </c>
      <c r="U79" s="102">
        <f t="shared" ca="1" si="50"/>
        <v>3345.2</v>
      </c>
      <c r="W79" s="1" t="str">
        <f ca="1">IF(OR($A79=0,$A79="S",$A79&gt;CFF!$A$9),"",MAX(W$11:OFFSET(W79,-1,0))+1)</f>
        <v/>
      </c>
      <c r="X79" s="3" t="str">
        <f t="shared" si="51"/>
        <v>Rec. Humanos-002</v>
      </c>
      <c r="Y79" s="1">
        <f t="shared" ca="1" si="52"/>
        <v>4</v>
      </c>
      <c r="AA79" s="106">
        <f>IF($J79=$G$2,ROUND(IF(ISNUMBER(S79),S79,IF(LEFT(S79,2)="DI",HLOOKUP(S79,DADOS!$T$29:$X$30,2,FALSE),0)),4),"")</f>
        <v>0.25</v>
      </c>
      <c r="AB79" s="1"/>
    </row>
    <row r="80" spans="1:28" x14ac:dyDescent="0.2">
      <c r="A80" t="str">
        <f t="shared" si="37"/>
        <v>S</v>
      </c>
      <c r="B80">
        <f t="shared" si="38"/>
        <v>0</v>
      </c>
      <c r="C80">
        <f t="shared" ca="1" si="39"/>
        <v>2</v>
      </c>
      <c r="D80">
        <f t="shared" ca="1" si="40"/>
        <v>2</v>
      </c>
      <c r="E80">
        <f t="shared" ca="1" si="41"/>
        <v>0</v>
      </c>
      <c r="F80">
        <f t="shared" ca="1" si="42"/>
        <v>0</v>
      </c>
      <c r="G80">
        <f t="shared" ca="1" si="43"/>
        <v>3</v>
      </c>
      <c r="H80">
        <f t="shared" ca="1" si="35"/>
        <v>0</v>
      </c>
      <c r="I80">
        <f t="shared" ca="1" si="36"/>
        <v>0</v>
      </c>
      <c r="J80" s="105" t="s">
        <v>29</v>
      </c>
      <c r="K80" s="97" t="str">
        <f t="shared" ca="1" si="44"/>
        <v>2.2.3.</v>
      </c>
      <c r="L80" s="110">
        <f t="shared" ca="1" si="45"/>
        <v>0</v>
      </c>
      <c r="M80" s="98" t="s">
        <v>78</v>
      </c>
      <c r="N80" s="112" t="s">
        <v>231</v>
      </c>
      <c r="O80" s="110" t="str">
        <f t="shared" ca="1" si="46"/>
        <v>Biólogo</v>
      </c>
      <c r="P80" s="111" t="str">
        <f t="shared" ca="1" si="47"/>
        <v>hora</v>
      </c>
      <c r="Q80" s="107">
        <v>20</v>
      </c>
      <c r="R80" s="100">
        <f t="shared" ca="1" si="48"/>
        <v>14.97</v>
      </c>
      <c r="S80" s="109" t="s">
        <v>62</v>
      </c>
      <c r="T80" s="99">
        <f t="shared" ca="1" si="49"/>
        <v>18.71</v>
      </c>
      <c r="U80" s="102">
        <f t="shared" ca="1" si="50"/>
        <v>374.2</v>
      </c>
      <c r="W80" s="1" t="str">
        <f ca="1">IF(OR($A80=0,$A80="S",$A80&gt;CFF!$A$9),"",MAX(W$11:OFFSET(W80,-1,0))+1)</f>
        <v/>
      </c>
      <c r="X80" s="3" t="str">
        <f t="shared" si="51"/>
        <v>Rec. Humanos-004</v>
      </c>
      <c r="Y80" s="1">
        <f t="shared" ca="1" si="52"/>
        <v>6</v>
      </c>
      <c r="AA80" s="106">
        <f>IF($J80=$G$2,ROUND(IF(ISNUMBER(S80),S80,IF(LEFT(S80,2)="DI",HLOOKUP(S80,DADOS!$T$29:$X$30,2,FALSE),0)),4),"")</f>
        <v>0.25</v>
      </c>
      <c r="AB80" s="1"/>
    </row>
    <row r="81" spans="1:28" x14ac:dyDescent="0.2">
      <c r="A81" t="str">
        <f t="shared" si="37"/>
        <v>S</v>
      </c>
      <c r="B81">
        <f t="shared" si="38"/>
        <v>0</v>
      </c>
      <c r="C81">
        <f t="shared" ca="1" si="39"/>
        <v>2</v>
      </c>
      <c r="D81">
        <f t="shared" ca="1" si="40"/>
        <v>2</v>
      </c>
      <c r="E81">
        <f t="shared" ca="1" si="41"/>
        <v>0</v>
      </c>
      <c r="F81">
        <f t="shared" ca="1" si="42"/>
        <v>0</v>
      </c>
      <c r="G81">
        <f t="shared" ca="1" si="43"/>
        <v>4</v>
      </c>
      <c r="H81">
        <f t="shared" ca="1" si="35"/>
        <v>0</v>
      </c>
      <c r="I81">
        <f t="shared" ca="1" si="36"/>
        <v>0</v>
      </c>
      <c r="J81" s="105" t="s">
        <v>29</v>
      </c>
      <c r="K81" s="97" t="str">
        <f t="shared" ca="1" si="44"/>
        <v>2.2.4.</v>
      </c>
      <c r="L81" s="110">
        <f t="shared" ca="1" si="45"/>
        <v>0</v>
      </c>
      <c r="M81" s="98" t="s">
        <v>78</v>
      </c>
      <c r="N81" s="112" t="s">
        <v>221</v>
      </c>
      <c r="O81" s="110" t="str">
        <f t="shared" ca="1" si="46"/>
        <v>Estagiarios</v>
      </c>
      <c r="P81" s="111" t="str">
        <f t="shared" ca="1" si="47"/>
        <v>hora</v>
      </c>
      <c r="Q81" s="107">
        <v>20</v>
      </c>
      <c r="R81" s="100">
        <f t="shared" ca="1" si="48"/>
        <v>8.26</v>
      </c>
      <c r="S81" s="109" t="s">
        <v>62</v>
      </c>
      <c r="T81" s="99">
        <f t="shared" ca="1" si="49"/>
        <v>10.33</v>
      </c>
      <c r="U81" s="102">
        <f t="shared" ca="1" si="50"/>
        <v>206.6</v>
      </c>
      <c r="W81" s="1" t="str">
        <f ca="1">IF(OR($A81=0,$A81="S",$A81&gt;CFF!$A$9),"",MAX(W$11:OFFSET(W81,-1,0))+1)</f>
        <v/>
      </c>
      <c r="X81" s="3" t="str">
        <f t="shared" si="51"/>
        <v>Rec. Humanos-005</v>
      </c>
      <c r="Y81" s="1">
        <f t="shared" ca="1" si="52"/>
        <v>7</v>
      </c>
      <c r="AA81" s="106">
        <f>IF($J81=$G$2,ROUND(IF(ISNUMBER(S81),S81,IF(LEFT(S81,2)="DI",HLOOKUP(S81,DADOS!$T$29:$X$30,2,FALSE),0)),4),"")</f>
        <v>0.25</v>
      </c>
      <c r="AB81" s="1"/>
    </row>
    <row r="82" spans="1:28" x14ac:dyDescent="0.2">
      <c r="A82" t="str">
        <f t="shared" si="37"/>
        <v>S</v>
      </c>
      <c r="B82">
        <f t="shared" si="38"/>
        <v>0</v>
      </c>
      <c r="C82">
        <f t="shared" ca="1" si="39"/>
        <v>2</v>
      </c>
      <c r="D82">
        <f t="shared" ca="1" si="40"/>
        <v>2</v>
      </c>
      <c r="E82">
        <f t="shared" ca="1" si="41"/>
        <v>0</v>
      </c>
      <c r="F82">
        <f t="shared" ca="1" si="42"/>
        <v>0</v>
      </c>
      <c r="G82">
        <f t="shared" ca="1" si="43"/>
        <v>5</v>
      </c>
      <c r="H82">
        <f t="shared" ca="1" si="35"/>
        <v>0</v>
      </c>
      <c r="I82">
        <f t="shared" ca="1" si="36"/>
        <v>0</v>
      </c>
      <c r="J82" s="105" t="s">
        <v>29</v>
      </c>
      <c r="K82" s="97" t="str">
        <f t="shared" ca="1" si="44"/>
        <v>2.2.5.</v>
      </c>
      <c r="L82" s="110">
        <f t="shared" ca="1" si="45"/>
        <v>0</v>
      </c>
      <c r="M82" s="98" t="s">
        <v>78</v>
      </c>
      <c r="N82" s="112" t="s">
        <v>221</v>
      </c>
      <c r="O82" s="110" t="str">
        <f t="shared" ca="1" si="46"/>
        <v>Estagiarios</v>
      </c>
      <c r="P82" s="111" t="str">
        <f t="shared" ca="1" si="47"/>
        <v>hora</v>
      </c>
      <c r="Q82" s="107">
        <v>20</v>
      </c>
      <c r="R82" s="100">
        <f t="shared" ca="1" si="48"/>
        <v>8.26</v>
      </c>
      <c r="S82" s="109" t="s">
        <v>62</v>
      </c>
      <c r="T82" s="99">
        <f t="shared" ca="1" si="49"/>
        <v>10.33</v>
      </c>
      <c r="U82" s="102">
        <f t="shared" ca="1" si="50"/>
        <v>206.6</v>
      </c>
      <c r="W82" s="1" t="str">
        <f ca="1">IF(OR($A82=0,$A82="S",$A82&gt;CFF!$A$9),"",MAX(W$11:OFFSET(W82,-1,0))+1)</f>
        <v/>
      </c>
      <c r="X82" s="3" t="str">
        <f t="shared" si="51"/>
        <v>Rec. Humanos-005</v>
      </c>
      <c r="Y82" s="1">
        <f t="shared" ca="1" si="52"/>
        <v>7</v>
      </c>
      <c r="AA82" s="106">
        <f>IF($J82=$G$2,ROUND(IF(ISNUMBER(S82),S82,IF(LEFT(S82,2)="DI",HLOOKUP(S82,DADOS!$T$29:$X$30,2,FALSE),0)),4),"")</f>
        <v>0.25</v>
      </c>
      <c r="AB82" s="1"/>
    </row>
    <row r="83" spans="1:28" x14ac:dyDescent="0.2">
      <c r="A83" t="str">
        <f t="shared" si="37"/>
        <v>S</v>
      </c>
      <c r="B83">
        <f t="shared" si="38"/>
        <v>0</v>
      </c>
      <c r="C83">
        <f t="shared" ca="1" si="39"/>
        <v>2</v>
      </c>
      <c r="D83">
        <f t="shared" ca="1" si="40"/>
        <v>2</v>
      </c>
      <c r="E83">
        <f t="shared" ca="1" si="41"/>
        <v>0</v>
      </c>
      <c r="F83">
        <f t="shared" ca="1" si="42"/>
        <v>0</v>
      </c>
      <c r="G83">
        <f t="shared" ca="1" si="43"/>
        <v>6</v>
      </c>
      <c r="H83">
        <f t="shared" ca="1" si="35"/>
        <v>0</v>
      </c>
      <c r="I83">
        <f t="shared" ca="1" si="36"/>
        <v>0</v>
      </c>
      <c r="J83" s="105" t="s">
        <v>29</v>
      </c>
      <c r="K83" s="97" t="str">
        <f t="shared" ca="1" si="44"/>
        <v>2.2.6.</v>
      </c>
      <c r="L83" s="110">
        <f t="shared" ca="1" si="45"/>
        <v>0</v>
      </c>
      <c r="M83" s="98" t="s">
        <v>78</v>
      </c>
      <c r="N83" s="112" t="s">
        <v>221</v>
      </c>
      <c r="O83" s="110" t="str">
        <f t="shared" ca="1" si="46"/>
        <v>Estagiarios</v>
      </c>
      <c r="P83" s="111" t="str">
        <f t="shared" ca="1" si="47"/>
        <v>hora</v>
      </c>
      <c r="Q83" s="107">
        <v>20</v>
      </c>
      <c r="R83" s="100">
        <f t="shared" ca="1" si="48"/>
        <v>8.26</v>
      </c>
      <c r="S83" s="109" t="s">
        <v>62</v>
      </c>
      <c r="T83" s="99">
        <f t="shared" ca="1" si="49"/>
        <v>10.33</v>
      </c>
      <c r="U83" s="102">
        <f t="shared" ca="1" si="50"/>
        <v>206.6</v>
      </c>
      <c r="W83" s="1" t="str">
        <f ca="1">IF(OR($A83=0,$A83="S",$A83&gt;CFF!$A$9),"",MAX(W$11:OFFSET(W83,-1,0))+1)</f>
        <v/>
      </c>
      <c r="X83" s="3" t="str">
        <f t="shared" si="51"/>
        <v>Rec. Humanos-005</v>
      </c>
      <c r="Y83" s="1">
        <f t="shared" ca="1" si="52"/>
        <v>7</v>
      </c>
      <c r="AA83" s="106">
        <f>IF($J83=$G$2,ROUND(IF(ISNUMBER(S83),S83,IF(LEFT(S83,2)="DI",HLOOKUP(S83,DADOS!$T$29:$X$30,2,FALSE),0)),4),"")</f>
        <v>0.25</v>
      </c>
      <c r="AB83" s="1"/>
    </row>
    <row r="84" spans="1:28" x14ac:dyDescent="0.2">
      <c r="A84" t="str">
        <f t="shared" si="37"/>
        <v>S</v>
      </c>
      <c r="B84">
        <f t="shared" si="38"/>
        <v>0</v>
      </c>
      <c r="C84">
        <f t="shared" ca="1" si="39"/>
        <v>2</v>
      </c>
      <c r="D84">
        <f t="shared" ca="1" si="40"/>
        <v>2</v>
      </c>
      <c r="E84">
        <f t="shared" ca="1" si="41"/>
        <v>0</v>
      </c>
      <c r="F84">
        <f t="shared" ca="1" si="42"/>
        <v>0</v>
      </c>
      <c r="G84">
        <f t="shared" ca="1" si="43"/>
        <v>7</v>
      </c>
      <c r="H84">
        <f t="shared" ca="1" si="35"/>
        <v>0</v>
      </c>
      <c r="I84">
        <f t="shared" ca="1" si="36"/>
        <v>0</v>
      </c>
      <c r="J84" s="105" t="s">
        <v>29</v>
      </c>
      <c r="K84" s="97" t="str">
        <f t="shared" ca="1" si="44"/>
        <v>2.2.7.</v>
      </c>
      <c r="L84" s="110">
        <f t="shared" ca="1" si="45"/>
        <v>0</v>
      </c>
      <c r="M84" s="98" t="s">
        <v>78</v>
      </c>
      <c r="N84" s="112" t="s">
        <v>221</v>
      </c>
      <c r="O84" s="110" t="str">
        <f t="shared" ca="1" si="46"/>
        <v>Estagiarios</v>
      </c>
      <c r="P84" s="111" t="str">
        <f t="shared" ca="1" si="47"/>
        <v>hora</v>
      </c>
      <c r="Q84" s="107">
        <v>20</v>
      </c>
      <c r="R84" s="100">
        <f t="shared" ca="1" si="48"/>
        <v>8.26</v>
      </c>
      <c r="S84" s="109" t="s">
        <v>62</v>
      </c>
      <c r="T84" s="99">
        <f t="shared" ca="1" si="49"/>
        <v>10.33</v>
      </c>
      <c r="U84" s="102">
        <f t="shared" ca="1" si="50"/>
        <v>206.6</v>
      </c>
      <c r="W84" s="1" t="str">
        <f ca="1">IF(OR($A84=0,$A84="S",$A84&gt;CFF!$A$9),"",MAX(W$11:OFFSET(W84,-1,0))+1)</f>
        <v/>
      </c>
      <c r="X84" s="3" t="str">
        <f t="shared" si="51"/>
        <v>Rec. Humanos-005</v>
      </c>
      <c r="Y84" s="1">
        <f t="shared" ca="1" si="52"/>
        <v>7</v>
      </c>
      <c r="AA84" s="106">
        <f>IF($J84=$G$2,ROUND(IF(ISNUMBER(S84),S84,IF(LEFT(S84,2)="DI",HLOOKUP(S84,DADOS!$T$29:$X$30,2,FALSE),0)),4),"")</f>
        <v>0.25</v>
      </c>
      <c r="AB84" s="1"/>
    </row>
    <row r="85" spans="1:28" x14ac:dyDescent="0.2">
      <c r="A85" t="str">
        <f t="shared" si="37"/>
        <v>S</v>
      </c>
      <c r="B85">
        <f t="shared" si="38"/>
        <v>0</v>
      </c>
      <c r="C85">
        <f t="shared" ca="1" si="39"/>
        <v>2</v>
      </c>
      <c r="D85">
        <f t="shared" ca="1" si="40"/>
        <v>2</v>
      </c>
      <c r="E85">
        <f t="shared" ca="1" si="41"/>
        <v>0</v>
      </c>
      <c r="F85">
        <f t="shared" ca="1" si="42"/>
        <v>0</v>
      </c>
      <c r="G85">
        <f t="shared" ca="1" si="43"/>
        <v>8</v>
      </c>
      <c r="H85">
        <f t="shared" ca="1" si="35"/>
        <v>0</v>
      </c>
      <c r="I85">
        <f t="shared" ca="1" si="36"/>
        <v>0</v>
      </c>
      <c r="J85" s="105" t="s">
        <v>29</v>
      </c>
      <c r="K85" s="97" t="str">
        <f t="shared" ca="1" si="44"/>
        <v>2.2.8.</v>
      </c>
      <c r="L85" s="110">
        <f t="shared" ca="1" si="45"/>
        <v>0</v>
      </c>
      <c r="M85" s="98" t="s">
        <v>79</v>
      </c>
      <c r="N85" s="112" t="s">
        <v>227</v>
      </c>
      <c r="O85" s="110" t="str">
        <f t="shared" ca="1" si="46"/>
        <v>Copo de agua 300 ml Lebrinha/Brunado</v>
      </c>
      <c r="P85" s="111" t="str">
        <f t="shared" ca="1" si="47"/>
        <v>UNIDADE</v>
      </c>
      <c r="Q85" s="107">
        <v>100</v>
      </c>
      <c r="R85" s="100">
        <f t="shared" ca="1" si="48"/>
        <v>4.2</v>
      </c>
      <c r="S85" s="109" t="s">
        <v>62</v>
      </c>
      <c r="T85" s="99">
        <f t="shared" ca="1" si="49"/>
        <v>5.25</v>
      </c>
      <c r="U85" s="102">
        <f t="shared" ca="1" si="50"/>
        <v>525</v>
      </c>
      <c r="W85" s="1" t="str">
        <f ca="1">IF(OR($A85=0,$A85="S",$A85&gt;CFF!$A$9),"",MAX(W$11:OFFSET(W85,-1,0))+1)</f>
        <v/>
      </c>
      <c r="X85" s="3" t="str">
        <f t="shared" si="51"/>
        <v>Rec. Materiais-014</v>
      </c>
      <c r="Y85" s="1">
        <f t="shared" ca="1" si="52"/>
        <v>21</v>
      </c>
      <c r="AA85" s="106">
        <f>IF($J85=$G$2,ROUND(IF(ISNUMBER(S85),S85,IF(LEFT(S85,2)="DI",HLOOKUP(S85,DADOS!$T$29:$X$30,2,FALSE),0)),4),"")</f>
        <v>0.25</v>
      </c>
      <c r="AB85" s="1"/>
    </row>
    <row r="86" spans="1:28" x14ac:dyDescent="0.2">
      <c r="A86" t="str">
        <f t="shared" si="37"/>
        <v>S</v>
      </c>
      <c r="B86">
        <f t="shared" si="38"/>
        <v>0</v>
      </c>
      <c r="C86">
        <f t="shared" ca="1" si="39"/>
        <v>2</v>
      </c>
      <c r="D86">
        <f t="shared" ca="1" si="40"/>
        <v>2</v>
      </c>
      <c r="E86">
        <f t="shared" ca="1" si="41"/>
        <v>0</v>
      </c>
      <c r="F86">
        <f t="shared" ca="1" si="42"/>
        <v>0</v>
      </c>
      <c r="G86">
        <f t="shared" ca="1" si="43"/>
        <v>9</v>
      </c>
      <c r="H86">
        <f t="shared" ca="1" si="35"/>
        <v>0</v>
      </c>
      <c r="I86">
        <f t="shared" ca="1" si="36"/>
        <v>0</v>
      </c>
      <c r="J86" s="105" t="s">
        <v>29</v>
      </c>
      <c r="K86" s="97" t="str">
        <f t="shared" ca="1" si="44"/>
        <v>2.2.9.</v>
      </c>
      <c r="L86" s="110">
        <f t="shared" ca="1" si="45"/>
        <v>0</v>
      </c>
      <c r="M86" s="98" t="s">
        <v>79</v>
      </c>
      <c r="N86" s="112" t="s">
        <v>241</v>
      </c>
      <c r="O86" s="110" t="str">
        <f t="shared" ca="1" si="46"/>
        <v>Fotocopia preto e branco</v>
      </c>
      <c r="P86" s="111" t="str">
        <f t="shared" ca="1" si="47"/>
        <v>UNIDADE</v>
      </c>
      <c r="Q86" s="107">
        <v>100</v>
      </c>
      <c r="R86" s="100">
        <f t="shared" ca="1" si="48"/>
        <v>0.25</v>
      </c>
      <c r="S86" s="109" t="s">
        <v>62</v>
      </c>
      <c r="T86" s="99">
        <f t="shared" ca="1" si="49"/>
        <v>0.31</v>
      </c>
      <c r="U86" s="102">
        <f t="shared" ca="1" si="50"/>
        <v>31</v>
      </c>
      <c r="W86" s="1" t="str">
        <f ca="1">IF(OR($A86=0,$A86="S",$A86&gt;CFF!$A$9),"",MAX(W$11:OFFSET(W86,-1,0))+1)</f>
        <v/>
      </c>
      <c r="X86" s="3" t="str">
        <f t="shared" si="51"/>
        <v>Rec. Materiais-015</v>
      </c>
      <c r="Y86" s="1">
        <f t="shared" ca="1" si="52"/>
        <v>22</v>
      </c>
      <c r="AA86" s="106">
        <f>IF($J86=$G$2,ROUND(IF(ISNUMBER(S86),S86,IF(LEFT(S86,2)="DI",HLOOKUP(S86,DADOS!$T$29:$X$30,2,FALSE),0)),4),"")</f>
        <v>0.25</v>
      </c>
      <c r="AB86" s="1"/>
    </row>
    <row r="87" spans="1:28" x14ac:dyDescent="0.2">
      <c r="A87" t="str">
        <f t="shared" si="37"/>
        <v>S</v>
      </c>
      <c r="B87">
        <f t="shared" si="38"/>
        <v>0</v>
      </c>
      <c r="C87">
        <f t="shared" ca="1" si="39"/>
        <v>2</v>
      </c>
      <c r="D87">
        <f t="shared" ca="1" si="40"/>
        <v>2</v>
      </c>
      <c r="E87">
        <f t="shared" ca="1" si="41"/>
        <v>0</v>
      </c>
      <c r="F87">
        <f t="shared" ca="1" si="42"/>
        <v>0</v>
      </c>
      <c r="G87">
        <f t="shared" ca="1" si="43"/>
        <v>10</v>
      </c>
      <c r="H87">
        <f t="shared" ca="1" si="35"/>
        <v>0</v>
      </c>
      <c r="I87">
        <f t="shared" ca="1" si="36"/>
        <v>0</v>
      </c>
      <c r="J87" s="105" t="s">
        <v>29</v>
      </c>
      <c r="K87" s="97" t="str">
        <f t="shared" ca="1" si="44"/>
        <v>2.2.10.</v>
      </c>
      <c r="L87" s="110">
        <f t="shared" ca="1" si="45"/>
        <v>0</v>
      </c>
      <c r="M87" s="98" t="s">
        <v>80</v>
      </c>
      <c r="N87" s="112" t="s">
        <v>231</v>
      </c>
      <c r="O87" s="110" t="str">
        <f t="shared" ca="1" si="46"/>
        <v xml:space="preserve">Impressão Colorida 1 folha </v>
      </c>
      <c r="P87" s="111" t="str">
        <f t="shared" ca="1" si="47"/>
        <v>unidade</v>
      </c>
      <c r="Q87" s="107">
        <v>260</v>
      </c>
      <c r="R87" s="100">
        <f t="shared" ca="1" si="48"/>
        <v>2.5</v>
      </c>
      <c r="S87" s="109" t="s">
        <v>62</v>
      </c>
      <c r="T87" s="99">
        <f t="shared" ca="1" si="49"/>
        <v>3.13</v>
      </c>
      <c r="U87" s="102">
        <f t="shared" ca="1" si="50"/>
        <v>813.8</v>
      </c>
      <c r="W87" s="1" t="str">
        <f ca="1">IF(OR($A87=0,$A87="S",$A87&gt;CFF!$A$9),"",MAX(W$11:OFFSET(W87,-1,0))+1)</f>
        <v/>
      </c>
      <c r="X87" s="3" t="str">
        <f t="shared" si="51"/>
        <v>Serv. Terc.-004</v>
      </c>
      <c r="Y87" s="1">
        <f t="shared" ca="1" si="52"/>
        <v>50</v>
      </c>
      <c r="AA87" s="106">
        <f>IF($J87=$G$2,ROUND(IF(ISNUMBER(S87),S87,IF(LEFT(S87,2)="DI",HLOOKUP(S87,DADOS!$T$29:$X$30,2,FALSE),0)),4),"")</f>
        <v>0.25</v>
      </c>
      <c r="AB87" s="1"/>
    </row>
    <row r="88" spans="1:28" x14ac:dyDescent="0.2">
      <c r="A88" t="str">
        <f t="shared" si="37"/>
        <v>S</v>
      </c>
      <c r="B88">
        <f t="shared" si="38"/>
        <v>0</v>
      </c>
      <c r="C88">
        <f t="shared" ca="1" si="39"/>
        <v>2</v>
      </c>
      <c r="D88">
        <f t="shared" ca="1" si="40"/>
        <v>2</v>
      </c>
      <c r="E88">
        <f t="shared" ca="1" si="41"/>
        <v>0</v>
      </c>
      <c r="F88">
        <f t="shared" ca="1" si="42"/>
        <v>0</v>
      </c>
      <c r="G88">
        <f t="shared" ca="1" si="43"/>
        <v>11</v>
      </c>
      <c r="H88">
        <f t="shared" ca="1" si="35"/>
        <v>0</v>
      </c>
      <c r="I88">
        <f t="shared" ca="1" si="36"/>
        <v>0</v>
      </c>
      <c r="J88" s="105" t="s">
        <v>29</v>
      </c>
      <c r="K88" s="97" t="str">
        <f t="shared" ca="1" si="44"/>
        <v>2.2.11.</v>
      </c>
      <c r="L88" s="110">
        <f t="shared" ca="1" si="45"/>
        <v>0</v>
      </c>
      <c r="M88" s="98" t="s">
        <v>80</v>
      </c>
      <c r="N88" s="112" t="s">
        <v>240</v>
      </c>
      <c r="O88" s="110" t="str">
        <f t="shared" ca="1" si="46"/>
        <v>Combustivel</v>
      </c>
      <c r="P88" s="111" t="str">
        <f t="shared" ca="1" si="47"/>
        <v>litro</v>
      </c>
      <c r="Q88" s="107">
        <v>100</v>
      </c>
      <c r="R88" s="100">
        <f t="shared" ca="1" si="48"/>
        <v>3.99</v>
      </c>
      <c r="S88" s="109" t="s">
        <v>62</v>
      </c>
      <c r="T88" s="99">
        <f t="shared" ca="1" si="49"/>
        <v>4.99</v>
      </c>
      <c r="U88" s="102">
        <f t="shared" ca="1" si="50"/>
        <v>499</v>
      </c>
      <c r="W88" s="1" t="str">
        <f ca="1">IF(OR($A88=0,$A88="S",$A88&gt;CFF!$A$9),"",MAX(W$11:OFFSET(W88,-1,0))+1)</f>
        <v/>
      </c>
      <c r="X88" s="3" t="str">
        <f t="shared" si="51"/>
        <v>Serv. Terc.-027</v>
      </c>
      <c r="Y88" s="1">
        <f t="shared" ca="1" si="52"/>
        <v>73</v>
      </c>
      <c r="AA88" s="106">
        <f>IF($J88=$G$2,ROUND(IF(ISNUMBER(S88),S88,IF(LEFT(S88,2)="DI",HLOOKUP(S88,DADOS!$T$29:$X$30,2,FALSE),0)),4),"")</f>
        <v>0.25</v>
      </c>
      <c r="AB88" s="1"/>
    </row>
    <row r="89" spans="1:28" x14ac:dyDescent="0.2">
      <c r="A89">
        <f>CHOOSE(1+LOG(1+2*(J89=$C$2)+4*(J89=$D$2)+8*(J89=$E$2)+16*(J89=$F$2)+32*(J89=$G$2),2),0,1,2,3,4,"S")</f>
        <v>1</v>
      </c>
      <c r="B89">
        <f ca="1">IF(OR(A89="S",A89=0),0,IF(ISERROR(I89),H89,SMALL(H89:I89,1)))</f>
        <v>36</v>
      </c>
      <c r="C89">
        <f ca="1">IF($A89=1,OFFSET(C89,-1,0)+1,OFFSET(C89,-1,0))</f>
        <v>3</v>
      </c>
      <c r="D89">
        <f ca="1">IF($A89=1,0,IF($A89=2,OFFSET(D89,-1,0)+1,OFFSET(D89,-1,0)))</f>
        <v>0</v>
      </c>
      <c r="E89">
        <f ca="1">IF(AND($A89&lt;=2,$A89&lt;&gt;0),0,IF($A89=3,OFFSET(E89,-1,0)+1,OFFSET(E89,-1,0)))</f>
        <v>0</v>
      </c>
      <c r="F89">
        <f ca="1">IF(AND($A89&lt;=3,$A89&lt;&gt;0),0,IF($A89=4,OFFSET(F89,-1,0)+1,OFFSET(F89,-1,0)))</f>
        <v>0</v>
      </c>
      <c r="G89">
        <f ca="1">IF(AND($A89&lt;=4,$A89&lt;&gt;0),0,IF($A89="S",OFFSET(G89,-1,0)+1,OFFSET(G89,-1,0)))</f>
        <v>0</v>
      </c>
      <c r="H89">
        <f t="shared" ca="1" si="35"/>
        <v>278</v>
      </c>
      <c r="I89">
        <f t="shared" ca="1" si="36"/>
        <v>36</v>
      </c>
      <c r="J89" s="105" t="s">
        <v>67</v>
      </c>
      <c r="K89" s="97" t="str">
        <f ca="1">IF($A89=0,"-",CONCATENATE(C89&amp;".",IF(AND($A$5&gt;=2,$A89&gt;=2),D89&amp;".",""),IF(AND($A$5&gt;=3,$A89&gt;=3),E89&amp;".",""),IF(AND($A$5&gt;=4,$A89&gt;=4),F89&amp;".",""),IF($A89="S",G89&amp;".","")))</f>
        <v>3.</v>
      </c>
      <c r="L89" s="110" t="str">
        <f ca="1">IF(NOT(ISERROR($Y89)),IF($Y89&lt;&gt;FALSE,INDEX(Banco,$Y89,4),""),"")</f>
        <v/>
      </c>
      <c r="M89" s="98"/>
      <c r="N89" s="112"/>
      <c r="O89" s="110" t="s">
        <v>270</v>
      </c>
      <c r="P89" s="111" t="str">
        <f ca="1">IF(NOT(ISERROR($Y89)),IF($Y89&lt;&gt;FALSE,INDEX(Banco,$Y89,6),""),"")</f>
        <v/>
      </c>
      <c r="Q89" s="107"/>
      <c r="R89" s="100">
        <f ca="1">IF(NOT(ISERROR($Y89)),IF($Y89&lt;&gt;FALSE,INDEX(Banco,$Y89,7),0),0)</f>
        <v>0</v>
      </c>
      <c r="S89" s="109" t="s">
        <v>62</v>
      </c>
      <c r="T89" s="99">
        <f>IF($J89=$G$2,ROUND(ROUND($R89,2)*IF($R$9="Preço Unitário (R$)",1,1+$AA89),2),0)</f>
        <v>0</v>
      </c>
      <c r="U89" s="102">
        <f ca="1">IF($A89="S",VTOTAL1,IF($A89=0,0,ROUND(SomaAgrup,2)))</f>
        <v>16393.32</v>
      </c>
      <c r="W89" s="1">
        <f ca="1">IF(OR($A89=0,$A89="S",$A89&gt;CFF!$A$9),"",MAX(W$11:OFFSET(W89,-1,0))+1)</f>
        <v>7</v>
      </c>
      <c r="X89" s="3" t="b">
        <f>IF(AND($J89=$G$2,$N89&lt;&gt;"",$M89&lt;&gt;""),CONCATENATE($M89,"-",$N89))</f>
        <v>0</v>
      </c>
      <c r="Y89" s="1" t="b">
        <f ca="1">IF(X89&lt;&gt;FALSE,MATCH(X89,OFFSET(Banco,0,0,,1),0))</f>
        <v>0</v>
      </c>
      <c r="AA89" s="106" t="str">
        <f>IF($J89=$G$2,ROUND(IF(ISNUMBER(S89),S89,IF(LEFT(S89,2)="DI",HLOOKUP(S89,DADOS!$T$29:$X$30,2,FALSE),0)),4),"")</f>
        <v/>
      </c>
      <c r="AB89" s="1"/>
    </row>
    <row r="90" spans="1:28" x14ac:dyDescent="0.2">
      <c r="A90">
        <f>CHOOSE(1+LOG(1+2*(J90=$C$2)+4*(J90=$D$2)+8*(J90=$E$2)+16*(J90=$F$2)+32*(J90=$G$2),2),0,1,2,3,4,"S")</f>
        <v>2</v>
      </c>
      <c r="B90">
        <f ca="1">IF(OR(A90="S",A90=0),0,IF(ISERROR(I90),H90,SMALL(H90:I90,1)))</f>
        <v>35</v>
      </c>
      <c r="C90">
        <f ca="1">IF($A90=1,OFFSET(C90,-1,0)+1,OFFSET(C90,-1,0))</f>
        <v>3</v>
      </c>
      <c r="D90">
        <f ca="1">IF($A90=1,0,IF($A90=2,OFFSET(D90,-1,0)+1,OFFSET(D90,-1,0)))</f>
        <v>1</v>
      </c>
      <c r="E90">
        <f ca="1">IF(AND($A90&lt;=2,$A90&lt;&gt;0),0,IF($A90=3,OFFSET(E90,-1,0)+1,OFFSET(E90,-1,0)))</f>
        <v>0</v>
      </c>
      <c r="F90">
        <f ca="1">IF(AND($A90&lt;=3,$A90&lt;&gt;0),0,IF($A90=4,OFFSET(F90,-1,0)+1,OFFSET(F90,-1,0)))</f>
        <v>0</v>
      </c>
      <c r="G90">
        <f ca="1">IF(AND($A90&lt;=4,$A90&lt;&gt;0),0,IF($A90="S",OFFSET(G90,-1,0)+1,OFFSET(G90,-1,0)))</f>
        <v>0</v>
      </c>
      <c r="H90">
        <f t="shared" ca="1" si="35"/>
        <v>35</v>
      </c>
      <c r="I90">
        <f t="shared" ca="1" si="36"/>
        <v>48</v>
      </c>
      <c r="J90" s="105" t="s">
        <v>68</v>
      </c>
      <c r="K90" s="97" t="str">
        <f ca="1">IF($A90=0,"-",CONCATENATE(C90&amp;".",IF(AND($A$5&gt;=2,$A90&gt;=2),D90&amp;".",""),IF(AND($A$5&gt;=3,$A90&gt;=3),E90&amp;".",""),IF(AND($A$5&gt;=4,$A90&gt;=4),F90&amp;".",""),IF($A90="S",G90&amp;".","")))</f>
        <v>3.1.</v>
      </c>
      <c r="L90" s="110" t="str">
        <f ca="1">IF(NOT(ISERROR($Y90)),IF($Y90&lt;&gt;FALSE,INDEX(Banco,$Y90,4),""),"")</f>
        <v/>
      </c>
      <c r="M90" s="98"/>
      <c r="N90" s="112"/>
      <c r="O90" s="110" t="s">
        <v>271</v>
      </c>
      <c r="P90" s="111" t="str">
        <f ca="1">IF(NOT(ISERROR($Y90)),IF($Y90&lt;&gt;FALSE,INDEX(Banco,$Y90,6),""),"")</f>
        <v/>
      </c>
      <c r="Q90" s="107"/>
      <c r="R90" s="100">
        <f ca="1">IF(NOT(ISERROR($Y90)),IF($Y90&lt;&gt;FALSE,INDEX(Banco,$Y90,7),0),0)</f>
        <v>0</v>
      </c>
      <c r="S90" s="109" t="s">
        <v>62</v>
      </c>
      <c r="T90" s="99">
        <f>IF($J90=$G$2,ROUND(ROUND($R90,2)*IF($R$9="Preço Unitário (R$)",1,1+$AA90),2),0)</f>
        <v>0</v>
      </c>
      <c r="U90" s="102">
        <f ca="1">IF($A90="S",VTOTAL1,IF($A90=0,0,ROUND(SomaAgrup,2)))</f>
        <v>16393.32</v>
      </c>
      <c r="W90" s="1">
        <f ca="1">IF(OR($A90=0,$A90="S",$A90&gt;CFF!$A$9),"",MAX(W$11:OFFSET(W90,-1,0))+1)</f>
        <v>8</v>
      </c>
      <c r="X90" s="3" t="b">
        <f>IF(AND($J90=$G$2,$N90&lt;&gt;"",$M90&lt;&gt;""),CONCATENATE($M90,"-",$N90))</f>
        <v>0</v>
      </c>
      <c r="Y90" s="1" t="b">
        <f ca="1">IF(X90&lt;&gt;FALSE,MATCH(X90,OFFSET(Banco,0,0,,1),0))</f>
        <v>0</v>
      </c>
      <c r="AA90" s="106" t="str">
        <f>IF($J90=$G$2,ROUND(IF(ISNUMBER(S90),S90,IF(LEFT(S90,2)="DI",HLOOKUP(S90,DADOS!$T$29:$X$30,2,FALSE),0)),4),"")</f>
        <v/>
      </c>
      <c r="AB90" s="1"/>
    </row>
    <row r="91" spans="1:28" x14ac:dyDescent="0.2">
      <c r="A91" t="str">
        <f t="shared" si="37"/>
        <v>S</v>
      </c>
      <c r="B91">
        <f t="shared" si="38"/>
        <v>0</v>
      </c>
      <c r="C91">
        <f t="shared" ca="1" si="39"/>
        <v>3</v>
      </c>
      <c r="D91">
        <f t="shared" ca="1" si="40"/>
        <v>1</v>
      </c>
      <c r="E91">
        <f t="shared" ca="1" si="41"/>
        <v>0</v>
      </c>
      <c r="F91">
        <f t="shared" ca="1" si="42"/>
        <v>0</v>
      </c>
      <c r="G91">
        <f t="shared" ca="1" si="43"/>
        <v>1</v>
      </c>
      <c r="H91">
        <f t="shared" ca="1" si="35"/>
        <v>0</v>
      </c>
      <c r="I91">
        <f t="shared" ca="1" si="36"/>
        <v>0</v>
      </c>
      <c r="J91" s="105" t="s">
        <v>29</v>
      </c>
      <c r="K91" s="97" t="str">
        <f t="shared" ca="1" si="44"/>
        <v>3.1.1.</v>
      </c>
      <c r="L91" s="110" t="str">
        <f t="shared" ca="1" si="45"/>
        <v>CRESS</v>
      </c>
      <c r="M91" s="98" t="s">
        <v>78</v>
      </c>
      <c r="N91" s="112" t="s">
        <v>218</v>
      </c>
      <c r="O91" s="110" t="str">
        <f t="shared" ref="O91:O124" ca="1" si="53">IF(NOT(ISERROR($Y91)),IF($Y91&lt;&gt;FALSE,INDEX(Banco,$Y91,5),""),"")</f>
        <v>RT</v>
      </c>
      <c r="P91" s="111" t="str">
        <f t="shared" ca="1" si="47"/>
        <v>hora</v>
      </c>
      <c r="Q91" s="107">
        <v>20</v>
      </c>
      <c r="R91" s="100">
        <f t="shared" ca="1" si="48"/>
        <v>150.28</v>
      </c>
      <c r="S91" s="109" t="s">
        <v>62</v>
      </c>
      <c r="T91" s="99">
        <f t="shared" ca="1" si="49"/>
        <v>187.85</v>
      </c>
      <c r="U91" s="102">
        <f t="shared" ca="1" si="50"/>
        <v>3757</v>
      </c>
      <c r="W91" s="1" t="str">
        <f ca="1">IF(OR($A91=0,$A91="S",$A91&gt;CFF!$A$9),"",MAX(W$11:OFFSET(W91,-1,0))+1)</f>
        <v/>
      </c>
      <c r="X91" s="3" t="str">
        <f t="shared" si="51"/>
        <v>Rec. Humanos-001</v>
      </c>
      <c r="Y91" s="1">
        <f t="shared" ca="1" si="52"/>
        <v>3</v>
      </c>
      <c r="AA91" s="106">
        <f>IF($J91=$G$2,ROUND(IF(ISNUMBER(S91),S91,IF(LEFT(S91,2)="DI",HLOOKUP(S91,DADOS!$T$29:$X$30,2,FALSE),0)),4),"")</f>
        <v>0.25</v>
      </c>
      <c r="AB91" s="1"/>
    </row>
    <row r="92" spans="1:28" x14ac:dyDescent="0.2">
      <c r="A92" t="str">
        <f t="shared" si="37"/>
        <v>S</v>
      </c>
      <c r="B92">
        <f t="shared" si="38"/>
        <v>0</v>
      </c>
      <c r="C92">
        <f t="shared" ca="1" si="39"/>
        <v>3</v>
      </c>
      <c r="D92">
        <f t="shared" ca="1" si="40"/>
        <v>1</v>
      </c>
      <c r="E92">
        <f t="shared" ca="1" si="41"/>
        <v>0</v>
      </c>
      <c r="F92">
        <f t="shared" ca="1" si="42"/>
        <v>0</v>
      </c>
      <c r="G92">
        <f t="shared" ca="1" si="43"/>
        <v>2</v>
      </c>
      <c r="H92">
        <f t="shared" ca="1" si="35"/>
        <v>0</v>
      </c>
      <c r="I92">
        <f t="shared" ca="1" si="36"/>
        <v>0</v>
      </c>
      <c r="J92" s="105" t="s">
        <v>29</v>
      </c>
      <c r="K92" s="97" t="str">
        <f t="shared" ca="1" si="44"/>
        <v>3.1.2.</v>
      </c>
      <c r="L92" s="110">
        <f t="shared" ca="1" si="45"/>
        <v>0</v>
      </c>
      <c r="M92" s="98" t="s">
        <v>78</v>
      </c>
      <c r="N92" s="112" t="s">
        <v>219</v>
      </c>
      <c r="O92" s="110" t="str">
        <f t="shared" ca="1" si="53"/>
        <v>Assistente Social</v>
      </c>
      <c r="P92" s="111" t="str">
        <f t="shared" ca="1" si="47"/>
        <v>hora</v>
      </c>
      <c r="Q92" s="107">
        <v>15</v>
      </c>
      <c r="R92" s="100">
        <f t="shared" ca="1" si="48"/>
        <v>133.81</v>
      </c>
      <c r="S92" s="109" t="s">
        <v>62</v>
      </c>
      <c r="T92" s="99">
        <f t="shared" ca="1" si="49"/>
        <v>167.26</v>
      </c>
      <c r="U92" s="102">
        <f t="shared" ca="1" si="50"/>
        <v>2508.9</v>
      </c>
      <c r="W92" s="1" t="str">
        <f ca="1">IF(OR($A92=0,$A92="S",$A92&gt;CFF!$A$9),"",MAX(W$11:OFFSET(W92,-1,0))+1)</f>
        <v/>
      </c>
      <c r="X92" s="3" t="str">
        <f t="shared" si="51"/>
        <v>Rec. Humanos-002</v>
      </c>
      <c r="Y92" s="1">
        <f t="shared" ca="1" si="52"/>
        <v>4</v>
      </c>
      <c r="AA92" s="106">
        <f>IF($J92=$G$2,ROUND(IF(ISNUMBER(S92),S92,IF(LEFT(S92,2)="DI",HLOOKUP(S92,DADOS!$T$29:$X$30,2,FALSE),0)),4),"")</f>
        <v>0.25</v>
      </c>
      <c r="AB92" s="1"/>
    </row>
    <row r="93" spans="1:28" x14ac:dyDescent="0.2">
      <c r="A93" t="str">
        <f>CHOOSE(1+LOG(1+2*(J93=$C$2)+4*(J93=$D$2)+8*(J93=$E$2)+16*(J93=$F$2)+32*(J93=$G$2),2),0,1,2,3,4,"S")</f>
        <v>S</v>
      </c>
      <c r="B93">
        <f>IF(OR(A93="S",A93=0),0,IF(ISERROR(I93),H93,SMALL(H93:I93,1)))</f>
        <v>0</v>
      </c>
      <c r="C93">
        <f ca="1">IF($A93=1,OFFSET(C93,-1,0)+1,OFFSET(C93,-1,0))</f>
        <v>3</v>
      </c>
      <c r="D93">
        <f ca="1">IF($A93=1,0,IF($A93=2,OFFSET(D93,-1,0)+1,OFFSET(D93,-1,0)))</f>
        <v>1</v>
      </c>
      <c r="E93">
        <f ca="1">IF(AND($A93&lt;=2,$A93&lt;&gt;0),0,IF($A93=3,OFFSET(E93,-1,0)+1,OFFSET(E93,-1,0)))</f>
        <v>0</v>
      </c>
      <c r="F93">
        <f ca="1">IF(AND($A93&lt;=3,$A93&lt;&gt;0),0,IF($A93=4,OFFSET(F93,-1,0)+1,OFFSET(F93,-1,0)))</f>
        <v>0</v>
      </c>
      <c r="G93">
        <f ca="1">IF(AND($A93&lt;=4,$A93&lt;&gt;0),0,IF($A93="S",OFFSET(G93,-1,0)+1,OFFSET(G93,-1,0)))</f>
        <v>3</v>
      </c>
      <c r="H93">
        <f t="shared" ca="1" si="35"/>
        <v>0</v>
      </c>
      <c r="I93">
        <f t="shared" ca="1" si="36"/>
        <v>0</v>
      </c>
      <c r="J93" s="105" t="s">
        <v>29</v>
      </c>
      <c r="K93" s="97" t="str">
        <f ca="1">IF($A93=0,"-",CONCATENATE(C93&amp;".",IF(AND($A$5&gt;=2,$A93&gt;=2),D93&amp;".",""),IF(AND($A$5&gt;=3,$A93&gt;=3),E93&amp;".",""),IF(AND($A$5&gt;=4,$A93&gt;=4),F93&amp;".",""),IF($A93="S",G93&amp;".","")))</f>
        <v>3.1.3.</v>
      </c>
      <c r="L93" s="110">
        <f ca="1">IF(NOT(ISERROR($Y93)),IF($Y93&lt;&gt;FALSE,INDEX(Banco,$Y93,4),""),"")</f>
        <v>0</v>
      </c>
      <c r="M93" s="98" t="s">
        <v>78</v>
      </c>
      <c r="N93" s="112" t="s">
        <v>220</v>
      </c>
      <c r="O93" s="110" t="str">
        <f ca="1">IF(NOT(ISERROR($Y93)),IF($Y93&lt;&gt;FALSE,INDEX(Banco,$Y93,5),""),"")</f>
        <v>Administrativo</v>
      </c>
      <c r="P93" s="111" t="str">
        <f ca="1">IF(NOT(ISERROR($Y93)),IF($Y93&lt;&gt;FALSE,INDEX(Banco,$Y93,6),""),"")</f>
        <v>mensal</v>
      </c>
      <c r="Q93" s="107">
        <v>1</v>
      </c>
      <c r="R93" s="100">
        <f ca="1">IF(NOT(ISERROR($Y93)),IF($Y93&lt;&gt;FALSE,INDEX(Banco,$Y93,7),0),0)</f>
        <v>1463.5</v>
      </c>
      <c r="S93" s="109" t="s">
        <v>62</v>
      </c>
      <c r="T93" s="99">
        <f ca="1">IF($J93=$G$2,ROUND(ROUND($R93,2)*IF($R$9="Preço Unitário (R$)",1,1+$AA93),2),0)</f>
        <v>1829.38</v>
      </c>
      <c r="U93" s="102">
        <f ca="1">IF($A93="S",VTOTAL1,IF($A93=0,0,ROUND(SomaAgrup,2)))</f>
        <v>1829.38</v>
      </c>
      <c r="W93" s="1" t="str">
        <f ca="1">IF(OR($A93=0,$A93="S",$A93&gt;CFF!$A$9),"",MAX(W$11:OFFSET(W93,-1,0))+1)</f>
        <v/>
      </c>
      <c r="X93" s="3" t="str">
        <f>IF(AND($J93=$G$2,$N93&lt;&gt;"",$M93&lt;&gt;""),CONCATENATE($M93,"-",$N93))</f>
        <v>Rec. Humanos-003</v>
      </c>
      <c r="Y93" s="1">
        <f ca="1">IF(X93&lt;&gt;FALSE,MATCH(X93,OFFSET(Banco,0,0,,1),0))</f>
        <v>5</v>
      </c>
      <c r="AA93" s="106">
        <f>IF($J93=$G$2,ROUND(IF(ISNUMBER(S93),S93,IF(LEFT(S93,2)="DI",HLOOKUP(S93,DADOS!$T$29:$X$30,2,FALSE),0)),4),"")</f>
        <v>0.25</v>
      </c>
      <c r="AB93" s="1"/>
    </row>
    <row r="94" spans="1:28" x14ac:dyDescent="0.2">
      <c r="A94" t="str">
        <f t="shared" si="37"/>
        <v>S</v>
      </c>
      <c r="B94">
        <f t="shared" si="38"/>
        <v>0</v>
      </c>
      <c r="C94">
        <f t="shared" ca="1" si="39"/>
        <v>3</v>
      </c>
      <c r="D94">
        <f t="shared" ca="1" si="40"/>
        <v>1</v>
      </c>
      <c r="E94">
        <f t="shared" ca="1" si="41"/>
        <v>0</v>
      </c>
      <c r="F94">
        <f t="shared" ca="1" si="42"/>
        <v>0</v>
      </c>
      <c r="G94">
        <f t="shared" ca="1" si="43"/>
        <v>4</v>
      </c>
      <c r="H94">
        <f t="shared" ca="1" si="35"/>
        <v>0</v>
      </c>
      <c r="I94">
        <f t="shared" ca="1" si="36"/>
        <v>0</v>
      </c>
      <c r="J94" s="105" t="s">
        <v>29</v>
      </c>
      <c r="K94" s="97" t="str">
        <f t="shared" ca="1" si="44"/>
        <v>3.1.4.</v>
      </c>
      <c r="L94" s="110">
        <f t="shared" ca="1" si="45"/>
        <v>0</v>
      </c>
      <c r="M94" s="98" t="s">
        <v>78</v>
      </c>
      <c r="N94" s="112" t="s">
        <v>231</v>
      </c>
      <c r="O94" s="110" t="str">
        <f t="shared" ca="1" si="53"/>
        <v>Biólogo</v>
      </c>
      <c r="P94" s="111" t="str">
        <f t="shared" ca="1" si="47"/>
        <v>hora</v>
      </c>
      <c r="Q94" s="107">
        <v>15</v>
      </c>
      <c r="R94" s="100">
        <f t="shared" ca="1" si="48"/>
        <v>14.97</v>
      </c>
      <c r="S94" s="109" t="s">
        <v>62</v>
      </c>
      <c r="T94" s="99">
        <f t="shared" ca="1" si="49"/>
        <v>18.71</v>
      </c>
      <c r="U94" s="102">
        <f t="shared" ca="1" si="50"/>
        <v>280.64999999999998</v>
      </c>
      <c r="W94" s="1" t="str">
        <f ca="1">IF(OR($A94=0,$A94="S",$A94&gt;CFF!$A$9),"",MAX(W$11:OFFSET(W94,-1,0))+1)</f>
        <v/>
      </c>
      <c r="X94" s="3" t="str">
        <f t="shared" si="51"/>
        <v>Rec. Humanos-004</v>
      </c>
      <c r="Y94" s="1">
        <f t="shared" ca="1" si="52"/>
        <v>6</v>
      </c>
      <c r="AA94" s="106">
        <f>IF($J94=$G$2,ROUND(IF(ISNUMBER(S94),S94,IF(LEFT(S94,2)="DI",HLOOKUP(S94,DADOS!$T$29:$X$30,2,FALSE),0)),4),"")</f>
        <v>0.25</v>
      </c>
      <c r="AB94" s="1"/>
    </row>
    <row r="95" spans="1:28" x14ac:dyDescent="0.2">
      <c r="A95" t="str">
        <f t="shared" si="37"/>
        <v>S</v>
      </c>
      <c r="B95">
        <f t="shared" si="38"/>
        <v>0</v>
      </c>
      <c r="C95">
        <f t="shared" ca="1" si="39"/>
        <v>3</v>
      </c>
      <c r="D95">
        <f t="shared" ca="1" si="40"/>
        <v>1</v>
      </c>
      <c r="E95">
        <f t="shared" ca="1" si="41"/>
        <v>0</v>
      </c>
      <c r="F95">
        <f t="shared" ca="1" si="42"/>
        <v>0</v>
      </c>
      <c r="G95">
        <f t="shared" ca="1" si="43"/>
        <v>5</v>
      </c>
      <c r="H95">
        <f t="shared" ca="1" si="35"/>
        <v>0</v>
      </c>
      <c r="I95">
        <f t="shared" ca="1" si="36"/>
        <v>0</v>
      </c>
      <c r="J95" s="105" t="s">
        <v>29</v>
      </c>
      <c r="K95" s="97" t="str">
        <f t="shared" ca="1" si="44"/>
        <v>3.1.5.</v>
      </c>
      <c r="L95" s="110">
        <f t="shared" ca="1" si="45"/>
        <v>0</v>
      </c>
      <c r="M95" s="98" t="s">
        <v>78</v>
      </c>
      <c r="N95" s="112" t="s">
        <v>221</v>
      </c>
      <c r="O95" s="110" t="str">
        <f t="shared" ca="1" si="53"/>
        <v>Estagiarios</v>
      </c>
      <c r="P95" s="111" t="str">
        <f t="shared" ca="1" si="47"/>
        <v>hora</v>
      </c>
      <c r="Q95" s="107">
        <v>10</v>
      </c>
      <c r="R95" s="100">
        <f t="shared" ca="1" si="48"/>
        <v>8.26</v>
      </c>
      <c r="S95" s="109" t="s">
        <v>62</v>
      </c>
      <c r="T95" s="99">
        <f t="shared" ca="1" si="49"/>
        <v>10.33</v>
      </c>
      <c r="U95" s="102">
        <f t="shared" ca="1" si="50"/>
        <v>103.3</v>
      </c>
      <c r="W95" s="1" t="str">
        <f ca="1">IF(OR($A95=0,$A95="S",$A95&gt;CFF!$A$9),"",MAX(W$11:OFFSET(W95,-1,0))+1)</f>
        <v/>
      </c>
      <c r="X95" s="3" t="str">
        <f t="shared" si="51"/>
        <v>Rec. Humanos-005</v>
      </c>
      <c r="Y95" s="1">
        <f t="shared" ca="1" si="52"/>
        <v>7</v>
      </c>
      <c r="AA95" s="106">
        <f>IF($J95=$G$2,ROUND(IF(ISNUMBER(S95),S95,IF(LEFT(S95,2)="DI",HLOOKUP(S95,DADOS!$T$29:$X$30,2,FALSE),0)),4),"")</f>
        <v>0.25</v>
      </c>
      <c r="AB95" s="1"/>
    </row>
    <row r="96" spans="1:28" x14ac:dyDescent="0.2">
      <c r="A96" t="str">
        <f t="shared" si="37"/>
        <v>S</v>
      </c>
      <c r="B96">
        <f t="shared" si="38"/>
        <v>0</v>
      </c>
      <c r="C96">
        <f t="shared" ca="1" si="39"/>
        <v>3</v>
      </c>
      <c r="D96">
        <f t="shared" ca="1" si="40"/>
        <v>1</v>
      </c>
      <c r="E96">
        <f t="shared" ca="1" si="41"/>
        <v>0</v>
      </c>
      <c r="F96">
        <f t="shared" ca="1" si="42"/>
        <v>0</v>
      </c>
      <c r="G96">
        <f t="shared" ca="1" si="43"/>
        <v>6</v>
      </c>
      <c r="H96">
        <f t="shared" ca="1" si="35"/>
        <v>0</v>
      </c>
      <c r="I96">
        <f t="shared" ca="1" si="36"/>
        <v>0</v>
      </c>
      <c r="J96" s="105" t="s">
        <v>29</v>
      </c>
      <c r="K96" s="97" t="str">
        <f t="shared" ca="1" si="44"/>
        <v>3.1.6.</v>
      </c>
      <c r="L96" s="110">
        <f t="shared" ca="1" si="45"/>
        <v>0</v>
      </c>
      <c r="M96" s="98" t="s">
        <v>78</v>
      </c>
      <c r="N96" s="112" t="s">
        <v>221</v>
      </c>
      <c r="O96" s="110" t="str">
        <f t="shared" ca="1" si="53"/>
        <v>Estagiarios</v>
      </c>
      <c r="P96" s="111" t="str">
        <f t="shared" ca="1" si="47"/>
        <v>hora</v>
      </c>
      <c r="Q96" s="107">
        <v>10</v>
      </c>
      <c r="R96" s="100">
        <f t="shared" ca="1" si="48"/>
        <v>8.26</v>
      </c>
      <c r="S96" s="109" t="s">
        <v>62</v>
      </c>
      <c r="T96" s="99">
        <f t="shared" ca="1" si="49"/>
        <v>10.33</v>
      </c>
      <c r="U96" s="102">
        <f t="shared" ca="1" si="50"/>
        <v>103.3</v>
      </c>
      <c r="W96" s="1" t="str">
        <f ca="1">IF(OR($A96=0,$A96="S",$A96&gt;CFF!$A$9),"",MAX(W$11:OFFSET(W96,-1,0))+1)</f>
        <v/>
      </c>
      <c r="X96" s="3" t="str">
        <f t="shared" si="51"/>
        <v>Rec. Humanos-005</v>
      </c>
      <c r="Y96" s="1">
        <f t="shared" ca="1" si="52"/>
        <v>7</v>
      </c>
      <c r="AA96" s="106">
        <f>IF($J96=$G$2,ROUND(IF(ISNUMBER(S96),S96,IF(LEFT(S96,2)="DI",HLOOKUP(S96,DADOS!$T$29:$X$30,2,FALSE),0)),4),"")</f>
        <v>0.25</v>
      </c>
      <c r="AB96" s="1"/>
    </row>
    <row r="97" spans="1:28" x14ac:dyDescent="0.2">
      <c r="A97" t="str">
        <f t="shared" si="37"/>
        <v>S</v>
      </c>
      <c r="B97">
        <f t="shared" si="38"/>
        <v>0</v>
      </c>
      <c r="C97">
        <f t="shared" ca="1" si="39"/>
        <v>3</v>
      </c>
      <c r="D97">
        <f t="shared" ca="1" si="40"/>
        <v>1</v>
      </c>
      <c r="E97">
        <f t="shared" ca="1" si="41"/>
        <v>0</v>
      </c>
      <c r="F97">
        <f t="shared" ca="1" si="42"/>
        <v>0</v>
      </c>
      <c r="G97">
        <f t="shared" ca="1" si="43"/>
        <v>7</v>
      </c>
      <c r="H97">
        <f t="shared" ca="1" si="35"/>
        <v>0</v>
      </c>
      <c r="I97">
        <f t="shared" ca="1" si="36"/>
        <v>0</v>
      </c>
      <c r="J97" s="105" t="s">
        <v>29</v>
      </c>
      <c r="K97" s="97" t="str">
        <f t="shared" ca="1" si="44"/>
        <v>3.1.7.</v>
      </c>
      <c r="L97" s="110">
        <f t="shared" ca="1" si="45"/>
        <v>0</v>
      </c>
      <c r="M97" s="98" t="s">
        <v>78</v>
      </c>
      <c r="N97" s="112" t="s">
        <v>221</v>
      </c>
      <c r="O97" s="110" t="str">
        <f t="shared" ca="1" si="53"/>
        <v>Estagiarios</v>
      </c>
      <c r="P97" s="111" t="str">
        <f t="shared" ca="1" si="47"/>
        <v>hora</v>
      </c>
      <c r="Q97" s="107">
        <v>10</v>
      </c>
      <c r="R97" s="100">
        <f t="shared" ca="1" si="48"/>
        <v>8.26</v>
      </c>
      <c r="S97" s="109" t="s">
        <v>62</v>
      </c>
      <c r="T97" s="99">
        <f t="shared" ca="1" si="49"/>
        <v>10.33</v>
      </c>
      <c r="U97" s="102">
        <f t="shared" ca="1" si="50"/>
        <v>103.3</v>
      </c>
      <c r="W97" s="1" t="str">
        <f ca="1">IF(OR($A97=0,$A97="S",$A97&gt;CFF!$A$9),"",MAX(W$11:OFFSET(W97,-1,0))+1)</f>
        <v/>
      </c>
      <c r="X97" s="3" t="str">
        <f t="shared" si="51"/>
        <v>Rec. Humanos-005</v>
      </c>
      <c r="Y97" s="1">
        <f t="shared" ca="1" si="52"/>
        <v>7</v>
      </c>
      <c r="AA97" s="106">
        <f>IF($J97=$G$2,ROUND(IF(ISNUMBER(S97),S97,IF(LEFT(S97,2)="DI",HLOOKUP(S97,DADOS!$T$29:$X$30,2,FALSE),0)),4),"")</f>
        <v>0.25</v>
      </c>
      <c r="AB97" s="1"/>
    </row>
    <row r="98" spans="1:28" x14ac:dyDescent="0.2">
      <c r="A98" t="str">
        <f t="shared" si="37"/>
        <v>S</v>
      </c>
      <c r="B98">
        <f t="shared" si="38"/>
        <v>0</v>
      </c>
      <c r="C98">
        <f t="shared" ca="1" si="39"/>
        <v>3</v>
      </c>
      <c r="D98">
        <f t="shared" ca="1" si="40"/>
        <v>1</v>
      </c>
      <c r="E98">
        <f t="shared" ca="1" si="41"/>
        <v>0</v>
      </c>
      <c r="F98">
        <f t="shared" ca="1" si="42"/>
        <v>0</v>
      </c>
      <c r="G98">
        <f t="shared" ca="1" si="43"/>
        <v>8</v>
      </c>
      <c r="H98">
        <f t="shared" ca="1" si="35"/>
        <v>0</v>
      </c>
      <c r="I98">
        <f t="shared" ca="1" si="36"/>
        <v>0</v>
      </c>
      <c r="J98" s="105" t="s">
        <v>29</v>
      </c>
      <c r="K98" s="97" t="str">
        <f t="shared" ca="1" si="44"/>
        <v>3.1.8.</v>
      </c>
      <c r="L98" s="110">
        <f t="shared" ca="1" si="45"/>
        <v>0</v>
      </c>
      <c r="M98" s="98" t="s">
        <v>78</v>
      </c>
      <c r="N98" s="112" t="s">
        <v>221</v>
      </c>
      <c r="O98" s="110" t="str">
        <f t="shared" ca="1" si="53"/>
        <v>Estagiarios</v>
      </c>
      <c r="P98" s="111" t="str">
        <f t="shared" ca="1" si="47"/>
        <v>hora</v>
      </c>
      <c r="Q98" s="107">
        <v>10</v>
      </c>
      <c r="R98" s="100">
        <f t="shared" ca="1" si="48"/>
        <v>8.26</v>
      </c>
      <c r="S98" s="109" t="s">
        <v>62</v>
      </c>
      <c r="T98" s="99">
        <f t="shared" ca="1" si="49"/>
        <v>10.33</v>
      </c>
      <c r="U98" s="102">
        <f t="shared" ca="1" si="50"/>
        <v>103.3</v>
      </c>
      <c r="W98" s="1" t="str">
        <f ca="1">IF(OR($A98=0,$A98="S",$A98&gt;CFF!$A$9),"",MAX(W$11:OFFSET(W98,-1,0))+1)</f>
        <v/>
      </c>
      <c r="X98" s="3" t="str">
        <f t="shared" si="51"/>
        <v>Rec. Humanos-005</v>
      </c>
      <c r="Y98" s="1">
        <f t="shared" ca="1" si="52"/>
        <v>7</v>
      </c>
      <c r="AA98" s="106">
        <f>IF($J98=$G$2,ROUND(IF(ISNUMBER(S98),S98,IF(LEFT(S98,2)="DI",HLOOKUP(S98,DADOS!$T$29:$X$30,2,FALSE),0)),4),"")</f>
        <v>0.25</v>
      </c>
      <c r="AB98" s="1"/>
    </row>
    <row r="99" spans="1:28" x14ac:dyDescent="0.2">
      <c r="A99" t="str">
        <f>CHOOSE(1+LOG(1+2*(J99=$C$2)+4*(J99=$D$2)+8*(J99=$E$2)+16*(J99=$F$2)+32*(J99=$G$2),2),0,1,2,3,4,"S")</f>
        <v>S</v>
      </c>
      <c r="B99">
        <f>IF(OR(A99="S",A99=0),0,IF(ISERROR(I99),H99,SMALL(H99:I99,1)))</f>
        <v>0</v>
      </c>
      <c r="C99">
        <f ca="1">IF($A99=1,OFFSET(C99,-1,0)+1,OFFSET(C99,-1,0))</f>
        <v>3</v>
      </c>
      <c r="D99">
        <f ca="1">IF($A99=1,0,IF($A99=2,OFFSET(D99,-1,0)+1,OFFSET(D99,-1,0)))</f>
        <v>1</v>
      </c>
      <c r="E99">
        <f ca="1">IF(AND($A99&lt;=2,$A99&lt;&gt;0),0,IF($A99=3,OFFSET(E99,-1,0)+1,OFFSET(E99,-1,0)))</f>
        <v>0</v>
      </c>
      <c r="F99">
        <f ca="1">IF(AND($A99&lt;=3,$A99&lt;&gt;0),0,IF($A99=4,OFFSET(F99,-1,0)+1,OFFSET(F99,-1,0)))</f>
        <v>0</v>
      </c>
      <c r="G99">
        <f ca="1">IF(AND($A99&lt;=4,$A99&lt;&gt;0),0,IF($A99="S",OFFSET(G99,-1,0)+1,OFFSET(G99,-1,0)))</f>
        <v>9</v>
      </c>
      <c r="H99">
        <f t="shared" ca="1" si="35"/>
        <v>0</v>
      </c>
      <c r="I99">
        <f t="shared" ca="1" si="36"/>
        <v>0</v>
      </c>
      <c r="J99" s="105" t="s">
        <v>29</v>
      </c>
      <c r="K99" s="97" t="str">
        <f ca="1">IF($A99=0,"-",CONCATENATE(C99&amp;".",IF(AND($A$5&gt;=2,$A99&gt;=2),D99&amp;".",""),IF(AND($A$5&gt;=3,$A99&gt;=3),E99&amp;".",""),IF(AND($A$5&gt;=4,$A99&gt;=4),F99&amp;".",""),IF($A99="S",G99&amp;".","")))</f>
        <v>3.1.9.</v>
      </c>
      <c r="L99" s="110">
        <f ca="1">IF(NOT(ISERROR($Y99)),IF($Y99&lt;&gt;FALSE,INDEX(Banco,$Y99,4),""),"")</f>
        <v>0</v>
      </c>
      <c r="M99" s="98" t="s">
        <v>79</v>
      </c>
      <c r="N99" s="112" t="s">
        <v>241</v>
      </c>
      <c r="O99" s="110" t="str">
        <f ca="1">IF(NOT(ISERROR($Y99)),IF($Y99&lt;&gt;FALSE,INDEX(Banco,$Y99,5),""),"")</f>
        <v>Fotocopia preto e branco</v>
      </c>
      <c r="P99" s="111" t="str">
        <f ca="1">IF(NOT(ISERROR($Y99)),IF($Y99&lt;&gt;FALSE,INDEX(Banco,$Y99,6),""),"")</f>
        <v>UNIDADE</v>
      </c>
      <c r="Q99" s="107">
        <v>89</v>
      </c>
      <c r="R99" s="100">
        <f ca="1">IF(NOT(ISERROR($Y99)),IF($Y99&lt;&gt;FALSE,INDEX(Banco,$Y99,7),0),0)</f>
        <v>0.25</v>
      </c>
      <c r="S99" s="109" t="s">
        <v>62</v>
      </c>
      <c r="T99" s="99">
        <f ca="1">IF($J99=$G$2,ROUND(ROUND($R99,2)*IF($R$9="Preço Unitário (R$)",1,1+$AA99),2),0)</f>
        <v>0.31</v>
      </c>
      <c r="U99" s="102">
        <f ca="1">IF($A99="S",VTOTAL1,IF($A99=0,0,ROUND(SomaAgrup,2)))</f>
        <v>27.59</v>
      </c>
      <c r="W99" s="1" t="str">
        <f ca="1">IF(OR($A99=0,$A99="S",$A99&gt;CFF!$A$9),"",MAX(W$11:OFFSET(W99,-1,0))+1)</f>
        <v/>
      </c>
      <c r="X99" s="3" t="str">
        <f>IF(AND($J99=$G$2,$N99&lt;&gt;"",$M99&lt;&gt;""),CONCATENATE($M99,"-",$N99))</f>
        <v>Rec. Materiais-015</v>
      </c>
      <c r="Y99" s="1">
        <f ca="1">IF(X99&lt;&gt;FALSE,MATCH(X99,OFFSET(Banco,0,0,,1),0))</f>
        <v>22</v>
      </c>
      <c r="AA99" s="106">
        <f>IF($J99=$G$2,ROUND(IF(ISNUMBER(S99),S99,IF(LEFT(S99,2)="DI",HLOOKUP(S99,DADOS!$T$29:$X$30,2,FALSE),0)),4),"")</f>
        <v>0.25</v>
      </c>
      <c r="AB99" s="1"/>
    </row>
    <row r="100" spans="1:28" x14ac:dyDescent="0.2">
      <c r="A100" t="str">
        <f>CHOOSE(1+LOG(1+2*(J100=$C$2)+4*(J100=$D$2)+8*(J100=$E$2)+16*(J100=$F$2)+32*(J100=$G$2),2),0,1,2,3,4,"S")</f>
        <v>S</v>
      </c>
      <c r="B100">
        <f>IF(OR(A100="S",A100=0),0,IF(ISERROR(I100),H100,SMALL(H100:I100,1)))</f>
        <v>0</v>
      </c>
      <c r="C100">
        <f ca="1">IF($A100=1,OFFSET(C100,-1,0)+1,OFFSET(C100,-1,0))</f>
        <v>3</v>
      </c>
      <c r="D100">
        <f ca="1">IF($A100=1,0,IF($A100=2,OFFSET(D100,-1,0)+1,OFFSET(D100,-1,0)))</f>
        <v>1</v>
      </c>
      <c r="E100">
        <f ca="1">IF(AND($A100&lt;=2,$A100&lt;&gt;0),0,IF($A100=3,OFFSET(E100,-1,0)+1,OFFSET(E100,-1,0)))</f>
        <v>0</v>
      </c>
      <c r="F100">
        <f ca="1">IF(AND($A100&lt;=3,$A100&lt;&gt;0),0,IF($A100=4,OFFSET(F100,-1,0)+1,OFFSET(F100,-1,0)))</f>
        <v>0</v>
      </c>
      <c r="G100">
        <f ca="1">IF(AND($A100&lt;=4,$A100&lt;&gt;0),0,IF($A100="S",OFFSET(G100,-1,0)+1,OFFSET(G100,-1,0)))</f>
        <v>10</v>
      </c>
      <c r="H100">
        <f t="shared" ca="1" si="35"/>
        <v>0</v>
      </c>
      <c r="I100">
        <f t="shared" ca="1" si="36"/>
        <v>0</v>
      </c>
      <c r="J100" s="105" t="s">
        <v>29</v>
      </c>
      <c r="K100" s="97" t="str">
        <f ca="1">IF($A100=0,"-",CONCATENATE(C100&amp;".",IF(AND($A$5&gt;=2,$A100&gt;=2),D100&amp;".",""),IF(AND($A$5&gt;=3,$A100&gt;=3),E100&amp;".",""),IF(AND($A$5&gt;=4,$A100&gt;=4),F100&amp;".",""),IF($A100="S",G100&amp;".","")))</f>
        <v>3.1.10.</v>
      </c>
      <c r="L100" s="110">
        <f ca="1">IF(NOT(ISERROR($Y100)),IF($Y100&lt;&gt;FALSE,INDEX(Banco,$Y100,4),""),"")</f>
        <v>0</v>
      </c>
      <c r="M100" s="98" t="s">
        <v>79</v>
      </c>
      <c r="N100" s="112" t="s">
        <v>256</v>
      </c>
      <c r="O100" s="110" t="str">
        <f ca="1">IF(NOT(ISERROR($Y100)),IF($Y100&lt;&gt;FALSE,INDEX(Banco,$Y100,5),""),"")</f>
        <v>Pistola Cola Quente Jocar 10 W</v>
      </c>
      <c r="P100" s="111" t="str">
        <f ca="1">IF(NOT(ISERROR($Y100)),IF($Y100&lt;&gt;FALSE,INDEX(Banco,$Y100,6),""),"")</f>
        <v>UNIDADE</v>
      </c>
      <c r="Q100" s="107">
        <v>5</v>
      </c>
      <c r="R100" s="100">
        <f ca="1">IF(NOT(ISERROR($Y100)),IF($Y100&lt;&gt;FALSE,INDEX(Banco,$Y100,7),0),0)</f>
        <v>15.99</v>
      </c>
      <c r="S100" s="109" t="s">
        <v>62</v>
      </c>
      <c r="T100" s="99">
        <f ca="1">IF($J100=$G$2,ROUND(ROUND($R100,2)*IF($R$9="Preço Unitário (R$)",1,1+$AA100),2),0)</f>
        <v>19.989999999999998</v>
      </c>
      <c r="U100" s="102">
        <f ca="1">IF($A100="S",VTOTAL1,IF($A100=0,0,ROUND(SomaAgrup,2)))</f>
        <v>99.95</v>
      </c>
      <c r="W100" s="1" t="str">
        <f ca="1">IF(OR($A100=0,$A100="S",$A100&gt;CFF!$A$9),"",MAX(W$11:OFFSET(W100,-1,0))+1)</f>
        <v/>
      </c>
      <c r="X100" s="3" t="str">
        <f>IF(AND($J100=$G$2,$N100&lt;&gt;"",$M100&lt;&gt;""),CONCATENATE($M100,"-",$N100))</f>
        <v>Rec. Materiais-007</v>
      </c>
      <c r="Y100" s="1">
        <f ca="1">IF(X100&lt;&gt;FALSE,MATCH(X100,OFFSET(Banco,0,0,,1),0))</f>
        <v>14</v>
      </c>
      <c r="AA100" s="106">
        <f>IF($J100=$G$2,ROUND(IF(ISNUMBER(S100),S100,IF(LEFT(S100,2)="DI",HLOOKUP(S100,DADOS!$T$29:$X$30,2,FALSE),0)),4),"")</f>
        <v>0.25</v>
      </c>
      <c r="AB100" s="1"/>
    </row>
    <row r="101" spans="1:28" x14ac:dyDescent="0.2">
      <c r="A101" t="str">
        <f>CHOOSE(1+LOG(1+2*(J101=$C$2)+4*(J101=$D$2)+8*(J101=$E$2)+16*(J101=$F$2)+32*(J101=$G$2),2),0,1,2,3,4,"S")</f>
        <v>S</v>
      </c>
      <c r="B101">
        <f>IF(OR(A101="S",A101=0),0,IF(ISERROR(I101),H101,SMALL(H101:I101,1)))</f>
        <v>0</v>
      </c>
      <c r="C101">
        <f ca="1">IF($A101=1,OFFSET(C101,-1,0)+1,OFFSET(C101,-1,0))</f>
        <v>3</v>
      </c>
      <c r="D101">
        <f ca="1">IF($A101=1,0,IF($A101=2,OFFSET(D101,-1,0)+1,OFFSET(D101,-1,0)))</f>
        <v>1</v>
      </c>
      <c r="E101">
        <f ca="1">IF(AND($A101&lt;=2,$A101&lt;&gt;0),0,IF($A101=3,OFFSET(E101,-1,0)+1,OFFSET(E101,-1,0)))</f>
        <v>0</v>
      </c>
      <c r="F101">
        <f ca="1">IF(AND($A101&lt;=3,$A101&lt;&gt;0),0,IF($A101=4,OFFSET(F101,-1,0)+1,OFFSET(F101,-1,0)))</f>
        <v>0</v>
      </c>
      <c r="G101">
        <f ca="1">IF(AND($A101&lt;=4,$A101&lt;&gt;0),0,IF($A101="S",OFFSET(G101,-1,0)+1,OFFSET(G101,-1,0)))</f>
        <v>11</v>
      </c>
      <c r="H101">
        <f t="shared" ca="1" si="35"/>
        <v>0</v>
      </c>
      <c r="I101">
        <f t="shared" ca="1" si="36"/>
        <v>0</v>
      </c>
      <c r="J101" s="105" t="s">
        <v>29</v>
      </c>
      <c r="K101" s="97" t="str">
        <f ca="1">IF($A101=0,"-",CONCATENATE(C101&amp;".",IF(AND($A$5&gt;=2,$A101&gt;=2),D101&amp;".",""),IF(AND($A$5&gt;=3,$A101&gt;=3),E101&amp;".",""),IF(AND($A$5&gt;=4,$A101&gt;=4),F101&amp;".",""),IF($A101="S",G101&amp;".","")))</f>
        <v>3.1.11.</v>
      </c>
      <c r="L101" s="110">
        <f ca="1">IF(NOT(ISERROR($Y101)),IF($Y101&lt;&gt;FALSE,INDEX(Banco,$Y101,4),""),"")</f>
        <v>0</v>
      </c>
      <c r="M101" s="98" t="s">
        <v>79</v>
      </c>
      <c r="N101" s="112" t="s">
        <v>235</v>
      </c>
      <c r="O101" s="110" t="str">
        <f ca="1">IF(NOT(ISERROR($Y101)),IF($Y101&lt;&gt;FALSE,INDEX(Banco,$Y101,5),""),"")</f>
        <v>Refil de cola quente - fian transparente Rhamos e Brito</v>
      </c>
      <c r="P101" s="111" t="str">
        <f ca="1">IF(NOT(ISERROR($Y101)),IF($Y101&lt;&gt;FALSE,INDEX(Banco,$Y101,6),""),"")</f>
        <v>UNIDADE</v>
      </c>
      <c r="Q101" s="107">
        <v>100</v>
      </c>
      <c r="R101" s="100">
        <f ca="1">IF(NOT(ISERROR($Y101)),IF($Y101&lt;&gt;FALSE,INDEX(Banco,$Y101,7),0),0)</f>
        <v>0.5</v>
      </c>
      <c r="S101" s="109" t="s">
        <v>62</v>
      </c>
      <c r="T101" s="99">
        <f ca="1">IF($J101=$G$2,ROUND(ROUND($R101,2)*IF($R$9="Preço Unitário (R$)",1,1+$AA101),2),0)</f>
        <v>0.63</v>
      </c>
      <c r="U101" s="102">
        <f ca="1">IF($A101="S",VTOTAL1,IF($A101=0,0,ROUND(SomaAgrup,2)))</f>
        <v>63</v>
      </c>
      <c r="W101" s="1" t="str">
        <f ca="1">IF(OR($A101=0,$A101="S",$A101&gt;CFF!$A$9),"",MAX(W$11:OFFSET(W101,-1,0))+1)</f>
        <v/>
      </c>
      <c r="X101" s="3" t="str">
        <f>IF(AND($J101=$G$2,$N101&lt;&gt;"",$M101&lt;&gt;""),CONCATENATE($M101,"-",$N101))</f>
        <v>Rec. Materiais-008</v>
      </c>
      <c r="Y101" s="1">
        <f ca="1">IF(X101&lt;&gt;FALSE,MATCH(X101,OFFSET(Banco,0,0,,1),0))</f>
        <v>15</v>
      </c>
      <c r="AA101" s="106">
        <f>IF($J101=$G$2,ROUND(IF(ISNUMBER(S101),S101,IF(LEFT(S101,2)="DI",HLOOKUP(S101,DADOS!$T$29:$X$30,2,FALSE),0)),4),"")</f>
        <v>0.25</v>
      </c>
      <c r="AB101" s="1"/>
    </row>
    <row r="102" spans="1:28" x14ac:dyDescent="0.2">
      <c r="A102" t="str">
        <f t="shared" ref="A102:A133" si="54">CHOOSE(1+LOG(1+2*(J102=$C$2)+4*(J102=$D$2)+8*(J102=$E$2)+16*(J102=$F$2)+32*(J102=$G$2),2),0,1,2,3,4,"S")</f>
        <v>S</v>
      </c>
      <c r="B102">
        <f t="shared" ref="B102:B133" si="55">IF(OR(A102="S",A102=0),0,IF(ISERROR(I102),H102,SMALL(H102:I102,1)))</f>
        <v>0</v>
      </c>
      <c r="C102">
        <f t="shared" ref="C102:C133" ca="1" si="56">IF($A102=1,OFFSET(C102,-1,0)+1,OFFSET(C102,-1,0))</f>
        <v>3</v>
      </c>
      <c r="D102">
        <f t="shared" ref="D102:D133" ca="1" si="57">IF($A102=1,0,IF($A102=2,OFFSET(D102,-1,0)+1,OFFSET(D102,-1,0)))</f>
        <v>1</v>
      </c>
      <c r="E102">
        <f t="shared" ref="E102:E133" ca="1" si="58">IF(AND($A102&lt;=2,$A102&lt;&gt;0),0,IF($A102=3,OFFSET(E102,-1,0)+1,OFFSET(E102,-1,0)))</f>
        <v>0</v>
      </c>
      <c r="F102">
        <f t="shared" ref="F102:F133" ca="1" si="59">IF(AND($A102&lt;=3,$A102&lt;&gt;0),0,IF($A102=4,OFFSET(F102,-1,0)+1,OFFSET(F102,-1,0)))</f>
        <v>0</v>
      </c>
      <c r="G102">
        <f t="shared" ref="G102:G133" ca="1" si="60">IF(AND($A102&lt;=4,$A102&lt;&gt;0),0,IF($A102="S",OFFSET(G102,-1,0)+1,OFFSET(G102,-1,0)))</f>
        <v>12</v>
      </c>
      <c r="H102">
        <f t="shared" ca="1" si="35"/>
        <v>0</v>
      </c>
      <c r="I102">
        <f t="shared" ca="1" si="36"/>
        <v>0</v>
      </c>
      <c r="J102" s="105" t="s">
        <v>29</v>
      </c>
      <c r="K102" s="97" t="str">
        <f t="shared" ref="K102:K133" ca="1" si="61">IF($A102=0,"-",CONCATENATE(C102&amp;".",IF(AND($A$5&gt;=2,$A102&gt;=2),D102&amp;".",""),IF(AND($A$5&gt;=3,$A102&gt;=3),E102&amp;".",""),IF(AND($A$5&gt;=4,$A102&gt;=4),F102&amp;".",""),IF($A102="S",G102&amp;".","")))</f>
        <v>3.1.12.</v>
      </c>
      <c r="L102" s="110">
        <f t="shared" ref="L102:L133" ca="1" si="62">IF(NOT(ISERROR($Y102)),IF($Y102&lt;&gt;FALSE,INDEX(Banco,$Y102,4),""),"")</f>
        <v>0</v>
      </c>
      <c r="M102" s="98" t="s">
        <v>79</v>
      </c>
      <c r="N102" s="112" t="s">
        <v>231</v>
      </c>
      <c r="O102" s="110" t="str">
        <f t="shared" ca="1" si="53"/>
        <v>Pincel chato n 16 amarelo 8815-16 tigre</v>
      </c>
      <c r="P102" s="111" t="str">
        <f t="shared" ref="P102:P133" ca="1" si="63">IF(NOT(ISERROR($Y102)),IF($Y102&lt;&gt;FALSE,INDEX(Banco,$Y102,6),""),"")</f>
        <v>unidade</v>
      </c>
      <c r="Q102" s="107">
        <v>5</v>
      </c>
      <c r="R102" s="100">
        <f t="shared" ref="R102:R133" ca="1" si="64">IF(NOT(ISERROR($Y102)),IF($Y102&lt;&gt;FALSE,INDEX(Banco,$Y102,7),0),0)</f>
        <v>4.5</v>
      </c>
      <c r="S102" s="109" t="s">
        <v>62</v>
      </c>
      <c r="T102" s="99">
        <f t="shared" ref="T102:T133" ca="1" si="65">IF($J102=$G$2,ROUND(ROUND($R102,2)*IF($R$9="Preço Unitário (R$)",1,1+$AA102),2),0)</f>
        <v>5.63</v>
      </c>
      <c r="U102" s="102">
        <f t="shared" ref="U102:U133" ca="1" si="66">IF($A102="S",VTOTAL1,IF($A102=0,0,ROUND(SomaAgrup,2)))</f>
        <v>28.15</v>
      </c>
      <c r="W102" s="1" t="str">
        <f ca="1">IF(OR($A102=0,$A102="S",$A102&gt;CFF!$A$9),"",MAX(W$11:OFFSET(W102,-1,0))+1)</f>
        <v/>
      </c>
      <c r="X102" s="3" t="str">
        <f t="shared" ref="X102:X133" si="67">IF(AND($J102=$G$2,$N102&lt;&gt;"",$M102&lt;&gt;""),CONCATENATE($M102,"-",$N102))</f>
        <v>Rec. Materiais-004</v>
      </c>
      <c r="Y102" s="1">
        <f t="shared" ref="Y102:Y133" ca="1" si="68">IF(X102&lt;&gt;FALSE,MATCH(X102,OFFSET(Banco,0,0,,1),0))</f>
        <v>11</v>
      </c>
      <c r="AA102" s="106">
        <f>IF($J102=$G$2,ROUND(IF(ISNUMBER(S102),S102,IF(LEFT(S102,2)="DI",HLOOKUP(S102,DADOS!$T$29:$X$30,2,FALSE),0)),4),"")</f>
        <v>0.25</v>
      </c>
      <c r="AB102" s="1"/>
    </row>
    <row r="103" spans="1:28" x14ac:dyDescent="0.2">
      <c r="A103" t="str">
        <f>CHOOSE(1+LOG(1+2*(J103=$C$2)+4*(J103=$D$2)+8*(J103=$E$2)+16*(J103=$F$2)+32*(J103=$G$2),2),0,1,2,3,4,"S")</f>
        <v>S</v>
      </c>
      <c r="B103">
        <f>IF(OR(A103="S",A103=0),0,IF(ISERROR(I103),H103,SMALL(H103:I103,1)))</f>
        <v>0</v>
      </c>
      <c r="C103">
        <f ca="1">IF($A103=1,OFFSET(C103,-1,0)+1,OFFSET(C103,-1,0))</f>
        <v>3</v>
      </c>
      <c r="D103">
        <f ca="1">IF($A103=1,0,IF($A103=2,OFFSET(D103,-1,0)+1,OFFSET(D103,-1,0)))</f>
        <v>1</v>
      </c>
      <c r="E103">
        <f ca="1">IF(AND($A103&lt;=2,$A103&lt;&gt;0),0,IF($A103=3,OFFSET(E103,-1,0)+1,OFFSET(E103,-1,0)))</f>
        <v>0</v>
      </c>
      <c r="F103">
        <f ca="1">IF(AND($A103&lt;=3,$A103&lt;&gt;0),0,IF($A103=4,OFFSET(F103,-1,0)+1,OFFSET(F103,-1,0)))</f>
        <v>0</v>
      </c>
      <c r="G103">
        <f ca="1">IF(AND($A103&lt;=4,$A103&lt;&gt;0),0,IF($A103="S",OFFSET(G103,-1,0)+1,OFFSET(G103,-1,0)))</f>
        <v>13</v>
      </c>
      <c r="H103">
        <f t="shared" ca="1" si="35"/>
        <v>0</v>
      </c>
      <c r="I103">
        <f t="shared" ca="1" si="36"/>
        <v>0</v>
      </c>
      <c r="J103" s="105" t="s">
        <v>29</v>
      </c>
      <c r="K103" s="97" t="str">
        <f ca="1">IF($A103=0,"-",CONCATENATE(C103&amp;".",IF(AND($A$5&gt;=2,$A103&gt;=2),D103&amp;".",""),IF(AND($A$5&gt;=3,$A103&gt;=3),E103&amp;".",""),IF(AND($A$5&gt;=4,$A103&gt;=4),F103&amp;".",""),IF($A103="S",G103&amp;".","")))</f>
        <v>3.1.13.</v>
      </c>
      <c r="L103" s="110">
        <f ca="1">IF(NOT(ISERROR($Y103)),IF($Y103&lt;&gt;FALSE,INDEX(Banco,$Y103,4),""),"")</f>
        <v>0</v>
      </c>
      <c r="M103" s="98" t="s">
        <v>79</v>
      </c>
      <c r="N103" s="112" t="s">
        <v>236</v>
      </c>
      <c r="O103" s="110" t="str">
        <f ca="1">IF(NOT(ISERROR($Y103)),IF($Y103&lt;&gt;FALSE,INDEX(Banco,$Y103,5),""),"")</f>
        <v>Pincel Atômico preto 1100 -P Pilot</v>
      </c>
      <c r="P103" s="111" t="str">
        <f ca="1">IF(NOT(ISERROR($Y103)),IF($Y103&lt;&gt;FALSE,INDEX(Banco,$Y103,6),""),"")</f>
        <v>UNIDADE</v>
      </c>
      <c r="Q103" s="107">
        <v>6</v>
      </c>
      <c r="R103" s="100">
        <f ca="1">IF(NOT(ISERROR($Y103)),IF($Y103&lt;&gt;FALSE,INDEX(Banco,$Y103,7),0),0)</f>
        <v>5.5</v>
      </c>
      <c r="S103" s="109" t="s">
        <v>62</v>
      </c>
      <c r="T103" s="99">
        <f ca="1">IF($J103=$G$2,ROUND(ROUND($R103,2)*IF($R$9="Preço Unitário (R$)",1,1+$AA103),2),0)</f>
        <v>6.88</v>
      </c>
      <c r="U103" s="102">
        <f ca="1">IF($A103="S",VTOTAL1,IF($A103=0,0,ROUND(SomaAgrup,2)))</f>
        <v>41.28</v>
      </c>
      <c r="W103" s="1" t="str">
        <f ca="1">IF(OR($A103=0,$A103="S",$A103&gt;CFF!$A$9),"",MAX(W$11:OFFSET(W103,-1,0))+1)</f>
        <v/>
      </c>
      <c r="X103" s="3" t="str">
        <f>IF(AND($J103=$G$2,$N103&lt;&gt;"",$M103&lt;&gt;""),CONCATENATE($M103,"-",$N103))</f>
        <v>Rec. Materiais-010</v>
      </c>
      <c r="Y103" s="1">
        <f ca="1">IF(X103&lt;&gt;FALSE,MATCH(X103,OFFSET(Banco,0,0,,1),0))</f>
        <v>17</v>
      </c>
      <c r="AA103" s="106">
        <f>IF($J103=$G$2,ROUND(IF(ISNUMBER(S103),S103,IF(LEFT(S103,2)="DI",HLOOKUP(S103,DADOS!$T$29:$X$30,2,FALSE),0)),4),"")</f>
        <v>0.25</v>
      </c>
      <c r="AB103" s="1"/>
    </row>
    <row r="104" spans="1:28" x14ac:dyDescent="0.2">
      <c r="A104" t="str">
        <f t="shared" si="54"/>
        <v>S</v>
      </c>
      <c r="B104">
        <f t="shared" si="55"/>
        <v>0</v>
      </c>
      <c r="C104">
        <f t="shared" ca="1" si="56"/>
        <v>3</v>
      </c>
      <c r="D104">
        <f t="shared" ca="1" si="57"/>
        <v>1</v>
      </c>
      <c r="E104">
        <f t="shared" ca="1" si="58"/>
        <v>0</v>
      </c>
      <c r="F104">
        <f t="shared" ca="1" si="59"/>
        <v>0</v>
      </c>
      <c r="G104">
        <f t="shared" ca="1" si="60"/>
        <v>14</v>
      </c>
      <c r="H104">
        <f t="shared" ca="1" si="35"/>
        <v>0</v>
      </c>
      <c r="I104">
        <f t="shared" ca="1" si="36"/>
        <v>0</v>
      </c>
      <c r="J104" s="105" t="s">
        <v>29</v>
      </c>
      <c r="K104" s="97" t="str">
        <f t="shared" ca="1" si="61"/>
        <v>3.1.14.</v>
      </c>
      <c r="L104" s="110">
        <f t="shared" ca="1" si="62"/>
        <v>0</v>
      </c>
      <c r="M104" s="98" t="s">
        <v>80</v>
      </c>
      <c r="N104" s="112" t="s">
        <v>226</v>
      </c>
      <c r="O104" s="110" t="str">
        <f t="shared" ca="1" si="53"/>
        <v>Copo descartavel 180 ml pacote com 100 unidade</v>
      </c>
      <c r="P104" s="111" t="str">
        <f t="shared" ca="1" si="63"/>
        <v>pacote</v>
      </c>
      <c r="Q104" s="107">
        <v>10</v>
      </c>
      <c r="R104" s="100">
        <f t="shared" ca="1" si="64"/>
        <v>3.83</v>
      </c>
      <c r="S104" s="109" t="s">
        <v>62</v>
      </c>
      <c r="T104" s="99">
        <f t="shared" ca="1" si="65"/>
        <v>4.79</v>
      </c>
      <c r="U104" s="102">
        <f t="shared" ca="1" si="66"/>
        <v>47.9</v>
      </c>
      <c r="W104" s="1" t="str">
        <f ca="1">IF(OR($A104=0,$A104="S",$A104&gt;CFF!$A$9),"",MAX(W$11:OFFSET(W104,-1,0))+1)</f>
        <v/>
      </c>
      <c r="X104" s="3" t="str">
        <f t="shared" si="67"/>
        <v>Serv. Terc.-022</v>
      </c>
      <c r="Y104" s="1">
        <f t="shared" ca="1" si="68"/>
        <v>68</v>
      </c>
      <c r="AA104" s="106">
        <f>IF($J104=$G$2,ROUND(IF(ISNUMBER(S104),S104,IF(LEFT(S104,2)="DI",HLOOKUP(S104,DADOS!$T$29:$X$30,2,FALSE),0)),4),"")</f>
        <v>0.25</v>
      </c>
      <c r="AB104" s="1"/>
    </row>
    <row r="105" spans="1:28" x14ac:dyDescent="0.2">
      <c r="A105" t="str">
        <f t="shared" si="54"/>
        <v>S</v>
      </c>
      <c r="B105">
        <f t="shared" si="55"/>
        <v>0</v>
      </c>
      <c r="C105">
        <f t="shared" ca="1" si="56"/>
        <v>3</v>
      </c>
      <c r="D105">
        <f t="shared" ca="1" si="57"/>
        <v>1</v>
      </c>
      <c r="E105">
        <f t="shared" ca="1" si="58"/>
        <v>0</v>
      </c>
      <c r="F105">
        <f t="shared" ca="1" si="59"/>
        <v>0</v>
      </c>
      <c r="G105">
        <f t="shared" ca="1" si="60"/>
        <v>15</v>
      </c>
      <c r="H105">
        <f t="shared" ca="1" si="35"/>
        <v>0</v>
      </c>
      <c r="I105">
        <f t="shared" ca="1" si="36"/>
        <v>0</v>
      </c>
      <c r="J105" s="105" t="s">
        <v>29</v>
      </c>
      <c r="K105" s="97" t="str">
        <f t="shared" ca="1" si="61"/>
        <v>3.1.15.</v>
      </c>
      <c r="L105" s="110">
        <f t="shared" ca="1" si="62"/>
        <v>0</v>
      </c>
      <c r="M105" s="98" t="s">
        <v>79</v>
      </c>
      <c r="N105" s="112" t="s">
        <v>237</v>
      </c>
      <c r="O105" s="110" t="str">
        <f t="shared" ca="1" si="53"/>
        <v>Lapis de cor 12 cores 1201122N Faber Castell</v>
      </c>
      <c r="P105" s="111" t="str">
        <f t="shared" ca="1" si="63"/>
        <v>caixa</v>
      </c>
      <c r="Q105" s="107">
        <v>6</v>
      </c>
      <c r="R105" s="100">
        <f t="shared" ca="1" si="64"/>
        <v>5.9</v>
      </c>
      <c r="S105" s="109" t="s">
        <v>62</v>
      </c>
      <c r="T105" s="99">
        <f t="shared" ca="1" si="65"/>
        <v>7.38</v>
      </c>
      <c r="U105" s="102">
        <f t="shared" ca="1" si="66"/>
        <v>44.28</v>
      </c>
      <c r="W105" s="1" t="str">
        <f ca="1">IF(OR($A105=0,$A105="S",$A105&gt;CFF!$A$9),"",MAX(W$11:OFFSET(W105,-1,0))+1)</f>
        <v/>
      </c>
      <c r="X105" s="3" t="str">
        <f t="shared" si="67"/>
        <v>Rec. Materiais-011</v>
      </c>
      <c r="Y105" s="1">
        <f t="shared" ca="1" si="68"/>
        <v>18</v>
      </c>
      <c r="AA105" s="106">
        <f>IF($J105=$G$2,ROUND(IF(ISNUMBER(S105),S105,IF(LEFT(S105,2)="DI",HLOOKUP(S105,DADOS!$T$29:$X$30,2,FALSE),0)),4),"")</f>
        <v>0.25</v>
      </c>
      <c r="AB105" s="1"/>
    </row>
    <row r="106" spans="1:28" x14ac:dyDescent="0.2">
      <c r="A106" t="str">
        <f t="shared" si="54"/>
        <v>S</v>
      </c>
      <c r="B106">
        <f t="shared" si="55"/>
        <v>0</v>
      </c>
      <c r="C106">
        <f t="shared" ca="1" si="56"/>
        <v>3</v>
      </c>
      <c r="D106">
        <f t="shared" ca="1" si="57"/>
        <v>1</v>
      </c>
      <c r="E106">
        <f t="shared" ca="1" si="58"/>
        <v>0</v>
      </c>
      <c r="F106">
        <f t="shared" ca="1" si="59"/>
        <v>0</v>
      </c>
      <c r="G106">
        <f t="shared" ca="1" si="60"/>
        <v>16</v>
      </c>
      <c r="H106">
        <f t="shared" ca="1" si="35"/>
        <v>0</v>
      </c>
      <c r="I106">
        <f t="shared" ca="1" si="36"/>
        <v>0</v>
      </c>
      <c r="J106" s="105" t="s">
        <v>29</v>
      </c>
      <c r="K106" s="97" t="str">
        <f t="shared" ca="1" si="61"/>
        <v>3.1.16.</v>
      </c>
      <c r="L106" s="110">
        <f t="shared" ca="1" si="62"/>
        <v>0</v>
      </c>
      <c r="M106" s="98" t="s">
        <v>79</v>
      </c>
      <c r="N106" s="112" t="s">
        <v>234</v>
      </c>
      <c r="O106" s="110" t="str">
        <f t="shared" ca="1" si="53"/>
        <v>Giz de cera cores gizão 09111 Acrilex</v>
      </c>
      <c r="P106" s="111" t="str">
        <f t="shared" ca="1" si="63"/>
        <v>caixa</v>
      </c>
      <c r="Q106" s="107">
        <v>6</v>
      </c>
      <c r="R106" s="100">
        <f t="shared" ca="1" si="64"/>
        <v>2.4</v>
      </c>
      <c r="S106" s="109" t="s">
        <v>62</v>
      </c>
      <c r="T106" s="99">
        <f t="shared" ca="1" si="65"/>
        <v>3</v>
      </c>
      <c r="U106" s="102">
        <f t="shared" ca="1" si="66"/>
        <v>18</v>
      </c>
      <c r="W106" s="1" t="str">
        <f ca="1">IF(OR($A106=0,$A106="S",$A106&gt;CFF!$A$9),"",MAX(W$11:OFFSET(W106,-1,0))+1)</f>
        <v/>
      </c>
      <c r="X106" s="3" t="str">
        <f t="shared" si="67"/>
        <v>Rec. Materiais-012</v>
      </c>
      <c r="Y106" s="1">
        <f t="shared" ca="1" si="68"/>
        <v>19</v>
      </c>
      <c r="AA106" s="106">
        <f>IF($J106=$G$2,ROUND(IF(ISNUMBER(S106),S106,IF(LEFT(S106,2)="DI",HLOOKUP(S106,DADOS!$T$29:$X$30,2,FALSE),0)),4),"")</f>
        <v>0.25</v>
      </c>
      <c r="AB106" s="1"/>
    </row>
    <row r="107" spans="1:28" x14ac:dyDescent="0.2">
      <c r="A107" t="str">
        <f t="shared" si="54"/>
        <v>S</v>
      </c>
      <c r="B107">
        <f t="shared" si="55"/>
        <v>0</v>
      </c>
      <c r="C107">
        <f t="shared" ca="1" si="56"/>
        <v>3</v>
      </c>
      <c r="D107">
        <f t="shared" ca="1" si="57"/>
        <v>1</v>
      </c>
      <c r="E107">
        <f t="shared" ca="1" si="58"/>
        <v>0</v>
      </c>
      <c r="F107">
        <f t="shared" ca="1" si="59"/>
        <v>0</v>
      </c>
      <c r="G107">
        <f t="shared" ca="1" si="60"/>
        <v>17</v>
      </c>
      <c r="H107">
        <f t="shared" ca="1" si="35"/>
        <v>0</v>
      </c>
      <c r="I107">
        <f t="shared" ca="1" si="36"/>
        <v>0</v>
      </c>
      <c r="J107" s="105" t="s">
        <v>29</v>
      </c>
      <c r="K107" s="97" t="str">
        <f t="shared" ca="1" si="61"/>
        <v>3.1.17.</v>
      </c>
      <c r="L107" s="110">
        <f t="shared" ca="1" si="62"/>
        <v>0</v>
      </c>
      <c r="M107" s="98" t="s">
        <v>79</v>
      </c>
      <c r="N107" s="112" t="s">
        <v>251</v>
      </c>
      <c r="O107" s="110" t="str">
        <f t="shared" ca="1" si="53"/>
        <v>Cartolina 150 g 50x66 canario card set Multiverde</v>
      </c>
      <c r="P107" s="111" t="str">
        <f t="shared" ca="1" si="63"/>
        <v>UNIDADE</v>
      </c>
      <c r="Q107" s="107">
        <v>15</v>
      </c>
      <c r="R107" s="100">
        <f t="shared" ca="1" si="64"/>
        <v>0.9</v>
      </c>
      <c r="S107" s="109" t="s">
        <v>62</v>
      </c>
      <c r="T107" s="99">
        <f t="shared" ca="1" si="65"/>
        <v>1.1299999999999999</v>
      </c>
      <c r="U107" s="102">
        <f t="shared" ca="1" si="66"/>
        <v>16.95</v>
      </c>
      <c r="W107" s="1" t="str">
        <f ca="1">IF(OR($A107=0,$A107="S",$A107&gt;CFF!$A$9),"",MAX(W$11:OFFSET(W107,-1,0))+1)</f>
        <v/>
      </c>
      <c r="X107" s="3" t="str">
        <f t="shared" si="67"/>
        <v>Rec. Materiais-013</v>
      </c>
      <c r="Y107" s="1">
        <f t="shared" ca="1" si="68"/>
        <v>20</v>
      </c>
      <c r="AA107" s="106">
        <f>IF($J107=$G$2,ROUND(IF(ISNUMBER(S107),S107,IF(LEFT(S107,2)="DI",HLOOKUP(S107,DADOS!$T$29:$X$30,2,FALSE),0)),4),"")</f>
        <v>0.25</v>
      </c>
      <c r="AB107" s="1"/>
    </row>
    <row r="108" spans="1:28" x14ac:dyDescent="0.2">
      <c r="A108" t="str">
        <f>CHOOSE(1+LOG(1+2*(J108=$C$2)+4*(J108=$D$2)+8*(J108=$E$2)+16*(J108=$F$2)+32*(J108=$G$2),2),0,1,2,3,4,"S")</f>
        <v>S</v>
      </c>
      <c r="B108">
        <f>IF(OR(A108="S",A108=0),0,IF(ISERROR(I108),H108,SMALL(H108:I108,1)))</f>
        <v>0</v>
      </c>
      <c r="C108">
        <f ca="1">IF($A108=1,OFFSET(C108,-1,0)+1,OFFSET(C108,-1,0))</f>
        <v>3</v>
      </c>
      <c r="D108">
        <f ca="1">IF($A108=1,0,IF($A108=2,OFFSET(D108,-1,0)+1,OFFSET(D108,-1,0)))</f>
        <v>1</v>
      </c>
      <c r="E108">
        <f ca="1">IF(AND($A108&lt;=2,$A108&lt;&gt;0),0,IF($A108=3,OFFSET(E108,-1,0)+1,OFFSET(E108,-1,0)))</f>
        <v>0</v>
      </c>
      <c r="F108">
        <f ca="1">IF(AND($A108&lt;=3,$A108&lt;&gt;0),0,IF($A108=4,OFFSET(F108,-1,0)+1,OFFSET(F108,-1,0)))</f>
        <v>0</v>
      </c>
      <c r="G108">
        <f ca="1">IF(AND($A108&lt;=4,$A108&lt;&gt;0),0,IF($A108="S",OFFSET(G108,-1,0)+1,OFFSET(G108,-1,0)))</f>
        <v>18</v>
      </c>
      <c r="H108">
        <f t="shared" ca="1" si="35"/>
        <v>0</v>
      </c>
      <c r="I108">
        <f t="shared" ca="1" si="36"/>
        <v>0</v>
      </c>
      <c r="J108" s="105" t="s">
        <v>29</v>
      </c>
      <c r="K108" s="97" t="str">
        <f ca="1">IF($A108=0,"-",CONCATENATE(C108&amp;".",IF(AND($A$5&gt;=2,$A108&gt;=2),D108&amp;".",""),IF(AND($A$5&gt;=3,$A108&gt;=3),E108&amp;".",""),IF(AND($A$5&gt;=4,$A108&gt;=4),F108&amp;".",""),IF($A108="S",G108&amp;".","")))</f>
        <v>3.1.18.</v>
      </c>
      <c r="L108" s="110">
        <f ca="1">IF(NOT(ISERROR($Y108)),IF($Y108&lt;&gt;FALSE,INDEX(Banco,$Y108,4),""),"")</f>
        <v>0</v>
      </c>
      <c r="M108" s="98" t="s">
        <v>79</v>
      </c>
      <c r="N108" s="112" t="s">
        <v>219</v>
      </c>
      <c r="O108" s="110" t="str">
        <f ca="1">IF(NOT(ISERROR($Y108)),IF($Y108&lt;&gt;FALSE,INDEX(Banco,$Y108,5),""),"")</f>
        <v>Cartucho Preto (Maxprint  cod 46506)</v>
      </c>
      <c r="P108" s="111" t="str">
        <f ca="1">IF(NOT(ISERROR($Y108)),IF($Y108&lt;&gt;FALSE,INDEX(Banco,$Y108,6),""),"")</f>
        <v>unidade</v>
      </c>
      <c r="Q108" s="107">
        <v>1</v>
      </c>
      <c r="R108" s="100">
        <f ca="1">IF(NOT(ISERROR($Y108)),IF($Y108&lt;&gt;FALSE,INDEX(Banco,$Y108,7),0),0)</f>
        <v>110</v>
      </c>
      <c r="S108" s="109" t="s">
        <v>62</v>
      </c>
      <c r="T108" s="99">
        <f ca="1">IF($J108=$G$2,ROUND(ROUND($R108,2)*IF($R$9="Preço Unitário (R$)",1,1+$AA108),2),0)</f>
        <v>137.5</v>
      </c>
      <c r="U108" s="102">
        <f ca="1">IF($A108="S",VTOTAL1,IF($A108=0,0,ROUND(SomaAgrup,2)))</f>
        <v>137.5</v>
      </c>
      <c r="W108" s="1" t="str">
        <f ca="1">IF(OR($A108=0,$A108="S",$A108&gt;CFF!$A$9),"",MAX(W$11:OFFSET(W108,-1,0))+1)</f>
        <v/>
      </c>
      <c r="X108" s="3" t="str">
        <f>IF(AND($J108=$G$2,$N108&lt;&gt;"",$M108&lt;&gt;""),CONCATENATE($M108,"-",$N108))</f>
        <v>Rec. Materiais-002</v>
      </c>
      <c r="Y108" s="1">
        <f ca="1">IF(X108&lt;&gt;FALSE,MATCH(X108,OFFSET(Banco,0,0,,1),0))</f>
        <v>9</v>
      </c>
      <c r="AA108" s="106">
        <f>IF($J108=$G$2,ROUND(IF(ISNUMBER(S108),S108,IF(LEFT(S108,2)="DI",HLOOKUP(S108,DADOS!$T$29:$X$30,2,FALSE),0)),4),"")</f>
        <v>0.25</v>
      </c>
      <c r="AB108" s="1"/>
    </row>
    <row r="109" spans="1:28" x14ac:dyDescent="0.2">
      <c r="A109" t="str">
        <f t="shared" si="54"/>
        <v>S</v>
      </c>
      <c r="B109">
        <f t="shared" si="55"/>
        <v>0</v>
      </c>
      <c r="C109">
        <f t="shared" ca="1" si="56"/>
        <v>3</v>
      </c>
      <c r="D109">
        <f t="shared" ca="1" si="57"/>
        <v>1</v>
      </c>
      <c r="E109">
        <f t="shared" ca="1" si="58"/>
        <v>0</v>
      </c>
      <c r="F109">
        <f t="shared" ca="1" si="59"/>
        <v>0</v>
      </c>
      <c r="G109">
        <f t="shared" ca="1" si="60"/>
        <v>19</v>
      </c>
      <c r="H109">
        <f t="shared" ca="1" si="35"/>
        <v>0</v>
      </c>
      <c r="I109">
        <f t="shared" ca="1" si="36"/>
        <v>0</v>
      </c>
      <c r="J109" s="105" t="s">
        <v>29</v>
      </c>
      <c r="K109" s="97" t="str">
        <f t="shared" ca="1" si="61"/>
        <v>3.1.19.</v>
      </c>
      <c r="L109" s="110">
        <f t="shared" ca="1" si="62"/>
        <v>0</v>
      </c>
      <c r="M109" s="98" t="s">
        <v>79</v>
      </c>
      <c r="N109" s="112" t="s">
        <v>252</v>
      </c>
      <c r="O109" s="110" t="str">
        <f t="shared" ca="1" si="53"/>
        <v xml:space="preserve">Massa p/modelar 180g c/12 cores soft 07312 Acrilex </v>
      </c>
      <c r="P109" s="111" t="str">
        <f t="shared" ca="1" si="63"/>
        <v>UNIDADE</v>
      </c>
      <c r="Q109" s="107">
        <v>5</v>
      </c>
      <c r="R109" s="100">
        <f t="shared" ca="1" si="64"/>
        <v>3</v>
      </c>
      <c r="S109" s="109" t="s">
        <v>62</v>
      </c>
      <c r="T109" s="99">
        <f t="shared" ca="1" si="65"/>
        <v>3.75</v>
      </c>
      <c r="U109" s="102">
        <f t="shared" ca="1" si="66"/>
        <v>18.75</v>
      </c>
      <c r="W109" s="1" t="str">
        <f ca="1">IF(OR($A109=0,$A109="S",$A109&gt;CFF!$A$9),"",MAX(W$11:OFFSET(W109,-1,0))+1)</f>
        <v/>
      </c>
      <c r="X109" s="3" t="str">
        <f t="shared" si="67"/>
        <v>Rec. Materiais-023</v>
      </c>
      <c r="Y109" s="1">
        <f t="shared" ca="1" si="68"/>
        <v>30</v>
      </c>
      <c r="AA109" s="106">
        <f>IF($J109=$G$2,ROUND(IF(ISNUMBER(S109),S109,IF(LEFT(S109,2)="DI",HLOOKUP(S109,DADOS!$T$29:$X$30,2,FALSE),0)),4),"")</f>
        <v>0.25</v>
      </c>
      <c r="AB109" s="1"/>
    </row>
    <row r="110" spans="1:28" x14ac:dyDescent="0.2">
      <c r="A110" t="str">
        <f t="shared" si="54"/>
        <v>S</v>
      </c>
      <c r="B110">
        <f t="shared" si="55"/>
        <v>0</v>
      </c>
      <c r="C110">
        <f t="shared" ca="1" si="56"/>
        <v>3</v>
      </c>
      <c r="D110">
        <f t="shared" ca="1" si="57"/>
        <v>1</v>
      </c>
      <c r="E110">
        <f t="shared" ca="1" si="58"/>
        <v>0</v>
      </c>
      <c r="F110">
        <f t="shared" ca="1" si="59"/>
        <v>0</v>
      </c>
      <c r="G110">
        <f t="shared" ca="1" si="60"/>
        <v>20</v>
      </c>
      <c r="H110">
        <f t="shared" ca="1" si="35"/>
        <v>0</v>
      </c>
      <c r="I110">
        <f t="shared" ca="1" si="36"/>
        <v>0</v>
      </c>
      <c r="J110" s="105" t="s">
        <v>29</v>
      </c>
      <c r="K110" s="97" t="str">
        <f t="shared" ca="1" si="61"/>
        <v>3.1.20.</v>
      </c>
      <c r="L110" s="110">
        <f t="shared" ca="1" si="62"/>
        <v>0</v>
      </c>
      <c r="M110" s="98" t="s">
        <v>79</v>
      </c>
      <c r="N110" s="112" t="s">
        <v>247</v>
      </c>
      <c r="O110" s="110" t="str">
        <f t="shared" ca="1" si="53"/>
        <v xml:space="preserve">Papel laminado 45x59 sortidos 567541 Cromus </v>
      </c>
      <c r="P110" s="111" t="str">
        <f t="shared" ca="1" si="63"/>
        <v>UNIDADE</v>
      </c>
      <c r="Q110" s="107">
        <v>10</v>
      </c>
      <c r="R110" s="100">
        <f t="shared" ca="1" si="64"/>
        <v>1.1499999999999999</v>
      </c>
      <c r="S110" s="109" t="s">
        <v>62</v>
      </c>
      <c r="T110" s="99">
        <f t="shared" ca="1" si="65"/>
        <v>1.44</v>
      </c>
      <c r="U110" s="102">
        <f t="shared" ca="1" si="66"/>
        <v>14.4</v>
      </c>
      <c r="W110" s="1" t="str">
        <f ca="1">IF(OR($A110=0,$A110="S",$A110&gt;CFF!$A$9),"",MAX(W$11:OFFSET(W110,-1,0))+1)</f>
        <v/>
      </c>
      <c r="X110" s="3" t="str">
        <f t="shared" si="67"/>
        <v>Rec. Materiais-028</v>
      </c>
      <c r="Y110" s="1">
        <f t="shared" ca="1" si="68"/>
        <v>35</v>
      </c>
      <c r="AA110" s="106">
        <f>IF($J110=$G$2,ROUND(IF(ISNUMBER(S110),S110,IF(LEFT(S110,2)="DI",HLOOKUP(S110,DADOS!$T$29:$X$30,2,FALSE),0)),4),"")</f>
        <v>0.25</v>
      </c>
      <c r="AB110" s="1"/>
    </row>
    <row r="111" spans="1:28" x14ac:dyDescent="0.2">
      <c r="A111" t="str">
        <f t="shared" si="54"/>
        <v>S</v>
      </c>
      <c r="B111">
        <f t="shared" si="55"/>
        <v>0</v>
      </c>
      <c r="C111">
        <f t="shared" ca="1" si="56"/>
        <v>3</v>
      </c>
      <c r="D111">
        <f t="shared" ca="1" si="57"/>
        <v>1</v>
      </c>
      <c r="E111">
        <f t="shared" ca="1" si="58"/>
        <v>0</v>
      </c>
      <c r="F111">
        <f t="shared" ca="1" si="59"/>
        <v>0</v>
      </c>
      <c r="G111">
        <f t="shared" ca="1" si="60"/>
        <v>21</v>
      </c>
      <c r="H111">
        <f t="shared" ca="1" si="35"/>
        <v>0</v>
      </c>
      <c r="I111">
        <f t="shared" ca="1" si="36"/>
        <v>0</v>
      </c>
      <c r="J111" s="105" t="s">
        <v>29</v>
      </c>
      <c r="K111" s="97" t="str">
        <f t="shared" ca="1" si="61"/>
        <v>3.1.21.</v>
      </c>
      <c r="L111" s="110">
        <f t="shared" ca="1" si="62"/>
        <v>0</v>
      </c>
      <c r="M111" s="98" t="s">
        <v>79</v>
      </c>
      <c r="N111" s="112" t="s">
        <v>253</v>
      </c>
      <c r="O111" s="110" t="str">
        <f t="shared" ca="1" si="53"/>
        <v>Papel micro ondulado Total Kraft</v>
      </c>
      <c r="P111" s="111" t="str">
        <f t="shared" ca="1" si="63"/>
        <v>UNIDADE</v>
      </c>
      <c r="Q111" s="107">
        <v>10</v>
      </c>
      <c r="R111" s="100">
        <f t="shared" ca="1" si="64"/>
        <v>2.6</v>
      </c>
      <c r="S111" s="109" t="s">
        <v>62</v>
      </c>
      <c r="T111" s="99">
        <f t="shared" ca="1" si="65"/>
        <v>3.25</v>
      </c>
      <c r="U111" s="102">
        <f t="shared" ca="1" si="66"/>
        <v>32.5</v>
      </c>
      <c r="W111" s="1" t="str">
        <f ca="1">IF(OR($A111=0,$A111="S",$A111&gt;CFF!$A$9),"",MAX(W$11:OFFSET(W111,-1,0))+1)</f>
        <v/>
      </c>
      <c r="X111" s="3" t="str">
        <f t="shared" si="67"/>
        <v>Rec. Materiais-024</v>
      </c>
      <c r="Y111" s="1">
        <f t="shared" ca="1" si="68"/>
        <v>31</v>
      </c>
      <c r="AA111" s="106">
        <f>IF($J111=$G$2,ROUND(IF(ISNUMBER(S111),S111,IF(LEFT(S111,2)="DI",HLOOKUP(S111,DADOS!$T$29:$X$30,2,FALSE),0)),4),"")</f>
        <v>0.25</v>
      </c>
      <c r="AB111" s="1"/>
    </row>
    <row r="112" spans="1:28" x14ac:dyDescent="0.2">
      <c r="A112" t="str">
        <f>CHOOSE(1+LOG(1+2*(J112=$C$2)+4*(J112=$D$2)+8*(J112=$E$2)+16*(J112=$F$2)+32*(J112=$G$2),2),0,1,2,3,4,"S")</f>
        <v>S</v>
      </c>
      <c r="B112">
        <f>IF(OR(A112="S",A112=0),0,IF(ISERROR(I112),H112,SMALL(H112:I112,1)))</f>
        <v>0</v>
      </c>
      <c r="C112">
        <f ca="1">IF($A112=1,OFFSET(C112,-1,0)+1,OFFSET(C112,-1,0))</f>
        <v>3</v>
      </c>
      <c r="D112">
        <f ca="1">IF($A112=1,0,IF($A112=2,OFFSET(D112,-1,0)+1,OFFSET(D112,-1,0)))</f>
        <v>1</v>
      </c>
      <c r="E112">
        <f ca="1">IF(AND($A112&lt;=2,$A112&lt;&gt;0),0,IF($A112=3,OFFSET(E112,-1,0)+1,OFFSET(E112,-1,0)))</f>
        <v>0</v>
      </c>
      <c r="F112">
        <f ca="1">IF(AND($A112&lt;=3,$A112&lt;&gt;0),0,IF($A112=4,OFFSET(F112,-1,0)+1,OFFSET(F112,-1,0)))</f>
        <v>0</v>
      </c>
      <c r="G112">
        <f ca="1">IF(AND($A112&lt;=4,$A112&lt;&gt;0),0,IF($A112="S",OFFSET(G112,-1,0)+1,OFFSET(G112,-1,0)))</f>
        <v>22</v>
      </c>
      <c r="H112">
        <f t="shared" ca="1" si="35"/>
        <v>0</v>
      </c>
      <c r="I112">
        <f t="shared" ca="1" si="36"/>
        <v>0</v>
      </c>
      <c r="J112" s="105" t="s">
        <v>29</v>
      </c>
      <c r="K112" s="97" t="str">
        <f ca="1">IF($A112=0,"-",CONCATENATE(C112&amp;".",IF(AND($A$5&gt;=2,$A112&gt;=2),D112&amp;".",""),IF(AND($A$5&gt;=3,$A112&gt;=3),E112&amp;".",""),IF(AND($A$5&gt;=4,$A112&gt;=4),F112&amp;".",""),IF($A112="S",G112&amp;".","")))</f>
        <v>3.1.22.</v>
      </c>
      <c r="L112" s="110">
        <f ca="1">IF(NOT(ISERROR($Y112)),IF($Y112&lt;&gt;FALSE,INDEX(Banco,$Y112,4),""),"")</f>
        <v>0</v>
      </c>
      <c r="M112" s="98" t="s">
        <v>79</v>
      </c>
      <c r="N112" s="112" t="s">
        <v>233</v>
      </c>
      <c r="O112" s="110" t="str">
        <f ca="1">IF(NOT(ISERROR($Y112)),IF($Y112&lt;&gt;FALSE,INDEX(Banco,$Y112,5),""),"")</f>
        <v>Papel cartão fosco 50x70 240gr branco spiral</v>
      </c>
      <c r="P112" s="111" t="str">
        <f ca="1">IF(NOT(ISERROR($Y112)),IF($Y112&lt;&gt;FALSE,INDEX(Banco,$Y112,6),""),"")</f>
        <v>UNIDADE</v>
      </c>
      <c r="Q112" s="107">
        <v>30</v>
      </c>
      <c r="R112" s="100">
        <f ca="1">IF(NOT(ISERROR($Y112)),IF($Y112&lt;&gt;FALSE,INDEX(Banco,$Y112,7),0),0)</f>
        <v>1.25</v>
      </c>
      <c r="S112" s="109" t="s">
        <v>62</v>
      </c>
      <c r="T112" s="99">
        <f ca="1">IF($J112=$G$2,ROUND(ROUND($R112,2)*IF($R$9="Preço Unitário (R$)",1,1+$AA112),2),0)</f>
        <v>1.56</v>
      </c>
      <c r="U112" s="102">
        <f ca="1">IF($A112="S",VTOTAL1,IF($A112=0,0,ROUND(SomaAgrup,2)))</f>
        <v>46.8</v>
      </c>
      <c r="W112" s="1" t="str">
        <f ca="1">IF(OR($A112=0,$A112="S",$A112&gt;CFF!$A$9),"",MAX(W$11:OFFSET(W112,-1,0))+1)</f>
        <v/>
      </c>
      <c r="X112" s="3" t="str">
        <f>IF(AND($J112=$G$2,$N112&lt;&gt;"",$M112&lt;&gt;""),CONCATENATE($M112,"-",$N112))</f>
        <v>Rec. Materiais-009</v>
      </c>
      <c r="Y112" s="1">
        <f ca="1">IF(X112&lt;&gt;FALSE,MATCH(X112,OFFSET(Banco,0,0,,1),0))</f>
        <v>16</v>
      </c>
      <c r="AA112" s="106">
        <f>IF($J112=$G$2,ROUND(IF(ISNUMBER(S112),S112,IF(LEFT(S112,2)="DI",HLOOKUP(S112,DADOS!$T$29:$X$30,2,FALSE),0)),4),"")</f>
        <v>0.25</v>
      </c>
      <c r="AB112" s="1"/>
    </row>
    <row r="113" spans="1:28" x14ac:dyDescent="0.2">
      <c r="A113" t="str">
        <f t="shared" si="54"/>
        <v>S</v>
      </c>
      <c r="B113">
        <f t="shared" si="55"/>
        <v>0</v>
      </c>
      <c r="C113">
        <f t="shared" ca="1" si="56"/>
        <v>3</v>
      </c>
      <c r="D113">
        <f t="shared" ca="1" si="57"/>
        <v>1</v>
      </c>
      <c r="E113">
        <f t="shared" ca="1" si="58"/>
        <v>0</v>
      </c>
      <c r="F113">
        <f t="shared" ca="1" si="59"/>
        <v>0</v>
      </c>
      <c r="G113">
        <f t="shared" ca="1" si="60"/>
        <v>23</v>
      </c>
      <c r="H113">
        <f t="shared" ca="1" si="35"/>
        <v>0</v>
      </c>
      <c r="I113">
        <f t="shared" ca="1" si="36"/>
        <v>0</v>
      </c>
      <c r="J113" s="105" t="s">
        <v>29</v>
      </c>
      <c r="K113" s="97" t="str">
        <f t="shared" ca="1" si="61"/>
        <v>3.1.23.</v>
      </c>
      <c r="L113" s="110">
        <f t="shared" ca="1" si="62"/>
        <v>0</v>
      </c>
      <c r="M113" s="98" t="s">
        <v>79</v>
      </c>
      <c r="N113" s="112" t="s">
        <v>225</v>
      </c>
      <c r="O113" s="110" t="str">
        <f t="shared" ca="1" si="53"/>
        <v xml:space="preserve">Placa de EPS (ísopor) 30mm Isorecort </v>
      </c>
      <c r="P113" s="111" t="str">
        <f t="shared" ca="1" si="63"/>
        <v>UNIDADE</v>
      </c>
      <c r="Q113" s="107">
        <v>30</v>
      </c>
      <c r="R113" s="100">
        <f t="shared" ca="1" si="64"/>
        <v>10</v>
      </c>
      <c r="S113" s="109" t="s">
        <v>62</v>
      </c>
      <c r="T113" s="99">
        <f t="shared" ca="1" si="65"/>
        <v>12.5</v>
      </c>
      <c r="U113" s="102">
        <f t="shared" ca="1" si="66"/>
        <v>375</v>
      </c>
      <c r="W113" s="1" t="str">
        <f ca="1">IF(OR($A113=0,$A113="S",$A113&gt;CFF!$A$9),"",MAX(W$11:OFFSET(W113,-1,0))+1)</f>
        <v/>
      </c>
      <c r="X113" s="3" t="str">
        <f t="shared" si="67"/>
        <v>Rec. Materiais-020</v>
      </c>
      <c r="Y113" s="1">
        <f t="shared" ca="1" si="68"/>
        <v>27</v>
      </c>
      <c r="AA113" s="106">
        <f>IF($J113=$G$2,ROUND(IF(ISNUMBER(S113),S113,IF(LEFT(S113,2)="DI",HLOOKUP(S113,DADOS!$T$29:$X$30,2,FALSE),0)),4),"")</f>
        <v>0.25</v>
      </c>
      <c r="AB113" s="1"/>
    </row>
    <row r="114" spans="1:28" x14ac:dyDescent="0.2">
      <c r="A114" t="str">
        <f t="shared" si="54"/>
        <v>S</v>
      </c>
      <c r="B114">
        <f t="shared" si="55"/>
        <v>0</v>
      </c>
      <c r="C114">
        <f t="shared" ca="1" si="56"/>
        <v>3</v>
      </c>
      <c r="D114">
        <f t="shared" ca="1" si="57"/>
        <v>1</v>
      </c>
      <c r="E114">
        <f t="shared" ca="1" si="58"/>
        <v>0</v>
      </c>
      <c r="F114">
        <f t="shared" ca="1" si="59"/>
        <v>0</v>
      </c>
      <c r="G114">
        <f t="shared" ca="1" si="60"/>
        <v>24</v>
      </c>
      <c r="H114">
        <f t="shared" ca="1" si="35"/>
        <v>0</v>
      </c>
      <c r="I114">
        <f t="shared" ca="1" si="36"/>
        <v>0</v>
      </c>
      <c r="J114" s="105" t="s">
        <v>29</v>
      </c>
      <c r="K114" s="97" t="str">
        <f t="shared" ca="1" si="61"/>
        <v>3.1.24.</v>
      </c>
      <c r="L114" s="110">
        <f t="shared" ca="1" si="62"/>
        <v>0</v>
      </c>
      <c r="M114" s="98" t="s">
        <v>79</v>
      </c>
      <c r="N114" s="112" t="s">
        <v>254</v>
      </c>
      <c r="O114" s="110" t="str">
        <f t="shared" ca="1" si="53"/>
        <v>Barbante pequeno 6 fios 85% algodão c/101 mts Euroroma</v>
      </c>
      <c r="P114" s="111" t="str">
        <f t="shared" ca="1" si="63"/>
        <v>UNIDADE</v>
      </c>
      <c r="Q114" s="107">
        <v>10</v>
      </c>
      <c r="R114" s="100">
        <f t="shared" ca="1" si="64"/>
        <v>2.5</v>
      </c>
      <c r="S114" s="109" t="s">
        <v>62</v>
      </c>
      <c r="T114" s="99">
        <f t="shared" ca="1" si="65"/>
        <v>3.13</v>
      </c>
      <c r="U114" s="102">
        <f t="shared" ca="1" si="66"/>
        <v>31.3</v>
      </c>
      <c r="W114" s="1" t="str">
        <f ca="1">IF(OR($A114=0,$A114="S",$A114&gt;CFF!$A$9),"",MAX(W$11:OFFSET(W114,-1,0))+1)</f>
        <v/>
      </c>
      <c r="X114" s="3" t="str">
        <f t="shared" si="67"/>
        <v>Rec. Materiais-019</v>
      </c>
      <c r="Y114" s="1">
        <f t="shared" ca="1" si="68"/>
        <v>26</v>
      </c>
      <c r="AA114" s="106">
        <f>IF($J114=$G$2,ROUND(IF(ISNUMBER(S114),S114,IF(LEFT(S114,2)="DI",HLOOKUP(S114,DADOS!$T$29:$X$30,2,FALSE),0)),4),"")</f>
        <v>0.25</v>
      </c>
      <c r="AB114" s="1"/>
    </row>
    <row r="115" spans="1:28" x14ac:dyDescent="0.2">
      <c r="A115" t="str">
        <f t="shared" si="54"/>
        <v>S</v>
      </c>
      <c r="B115">
        <f t="shared" si="55"/>
        <v>0</v>
      </c>
      <c r="C115">
        <f t="shared" ca="1" si="56"/>
        <v>3</v>
      </c>
      <c r="D115">
        <f t="shared" ca="1" si="57"/>
        <v>1</v>
      </c>
      <c r="E115">
        <f t="shared" ca="1" si="58"/>
        <v>0</v>
      </c>
      <c r="F115">
        <f t="shared" ca="1" si="59"/>
        <v>0</v>
      </c>
      <c r="G115">
        <f t="shared" ca="1" si="60"/>
        <v>25</v>
      </c>
      <c r="H115">
        <f t="shared" ca="1" si="35"/>
        <v>0</v>
      </c>
      <c r="I115">
        <f t="shared" ca="1" si="36"/>
        <v>0</v>
      </c>
      <c r="J115" s="105" t="s">
        <v>29</v>
      </c>
      <c r="K115" s="97" t="str">
        <f t="shared" ca="1" si="61"/>
        <v>3.1.25.</v>
      </c>
      <c r="L115" s="110">
        <f t="shared" ca="1" si="62"/>
        <v>0</v>
      </c>
      <c r="M115" s="98" t="s">
        <v>79</v>
      </c>
      <c r="N115" s="112" t="s">
        <v>232</v>
      </c>
      <c r="O115" s="110" t="str">
        <f t="shared" ca="1" si="53"/>
        <v xml:space="preserve">Tesoura uso geral 21cm 160/8N Mundial </v>
      </c>
      <c r="P115" s="111" t="str">
        <f t="shared" ca="1" si="63"/>
        <v>UNIDADE</v>
      </c>
      <c r="Q115" s="107">
        <v>5</v>
      </c>
      <c r="R115" s="100">
        <f t="shared" ca="1" si="64"/>
        <v>68.36</v>
      </c>
      <c r="S115" s="109" t="s">
        <v>62</v>
      </c>
      <c r="T115" s="99">
        <f t="shared" ca="1" si="65"/>
        <v>85.45</v>
      </c>
      <c r="U115" s="102">
        <f t="shared" ca="1" si="66"/>
        <v>427.25</v>
      </c>
      <c r="W115" s="1" t="str">
        <f ca="1">IF(OR($A115=0,$A115="S",$A115&gt;CFF!$A$9),"",MAX(W$11:OFFSET(W115,-1,0))+1)</f>
        <v/>
      </c>
      <c r="X115" s="3" t="str">
        <f t="shared" si="67"/>
        <v>Rec. Materiais-021</v>
      </c>
      <c r="Y115" s="1">
        <f t="shared" ca="1" si="68"/>
        <v>28</v>
      </c>
      <c r="AA115" s="106">
        <f>IF($J115=$G$2,ROUND(IF(ISNUMBER(S115),S115,IF(LEFT(S115,2)="DI",HLOOKUP(S115,DADOS!$T$29:$X$30,2,FALSE),0)),4),"")</f>
        <v>0.25</v>
      </c>
      <c r="AB115" s="1"/>
    </row>
    <row r="116" spans="1:28" x14ac:dyDescent="0.2">
      <c r="A116" t="str">
        <f t="shared" si="54"/>
        <v>S</v>
      </c>
      <c r="B116">
        <f t="shared" si="55"/>
        <v>0</v>
      </c>
      <c r="C116">
        <f t="shared" ca="1" si="56"/>
        <v>3</v>
      </c>
      <c r="D116">
        <f t="shared" ca="1" si="57"/>
        <v>1</v>
      </c>
      <c r="E116">
        <f t="shared" ca="1" si="58"/>
        <v>0</v>
      </c>
      <c r="F116">
        <f t="shared" ca="1" si="59"/>
        <v>0</v>
      </c>
      <c r="G116">
        <f t="shared" ca="1" si="60"/>
        <v>26</v>
      </c>
      <c r="H116">
        <f t="shared" ca="1" si="35"/>
        <v>0</v>
      </c>
      <c r="I116">
        <f t="shared" ca="1" si="36"/>
        <v>0</v>
      </c>
      <c r="J116" s="105" t="s">
        <v>29</v>
      </c>
      <c r="K116" s="97" t="str">
        <f t="shared" ca="1" si="61"/>
        <v>3.1.26.</v>
      </c>
      <c r="L116" s="110">
        <f t="shared" ca="1" si="62"/>
        <v>0</v>
      </c>
      <c r="M116" s="98" t="s">
        <v>80</v>
      </c>
      <c r="N116" s="112" t="s">
        <v>243</v>
      </c>
      <c r="O116" s="110" t="str">
        <f t="shared" ca="1" si="53"/>
        <v>Picole de fruta</v>
      </c>
      <c r="P116" s="111" t="str">
        <f t="shared" ca="1" si="63"/>
        <v>unidade</v>
      </c>
      <c r="Q116" s="107">
        <v>500</v>
      </c>
      <c r="R116" s="100">
        <f t="shared" ca="1" si="64"/>
        <v>1</v>
      </c>
      <c r="S116" s="109" t="s">
        <v>62</v>
      </c>
      <c r="T116" s="99">
        <f t="shared" ca="1" si="65"/>
        <v>1.25</v>
      </c>
      <c r="U116" s="102">
        <f t="shared" ca="1" si="66"/>
        <v>625</v>
      </c>
      <c r="W116" s="1" t="str">
        <f ca="1">IF(OR($A116=0,$A116="S",$A116&gt;CFF!$A$9),"",MAX(W$11:OFFSET(W116,-1,0))+1)</f>
        <v/>
      </c>
      <c r="X116" s="3" t="str">
        <f t="shared" si="67"/>
        <v>Serv. Terc.-030</v>
      </c>
      <c r="Y116" s="1">
        <f t="shared" ca="1" si="68"/>
        <v>76</v>
      </c>
      <c r="AA116" s="106">
        <f>IF($J116=$G$2,ROUND(IF(ISNUMBER(S116),S116,IF(LEFT(S116,2)="DI",HLOOKUP(S116,DADOS!$T$29:$X$30,2,FALSE),0)),4),"")</f>
        <v>0.25</v>
      </c>
      <c r="AB116" s="1"/>
    </row>
    <row r="117" spans="1:28" x14ac:dyDescent="0.2">
      <c r="A117" t="str">
        <f>CHOOSE(1+LOG(1+2*(J117=$C$2)+4*(J117=$D$2)+8*(J117=$E$2)+16*(J117=$F$2)+32*(J117=$G$2),2),0,1,2,3,4,"S")</f>
        <v>S</v>
      </c>
      <c r="B117">
        <f>IF(OR(A117="S",A117=0),0,IF(ISERROR(I117),H117,SMALL(H117:I117,1)))</f>
        <v>0</v>
      </c>
      <c r="C117">
        <f ca="1">IF($A117=1,OFFSET(C117,-1,0)+1,OFFSET(C117,-1,0))</f>
        <v>3</v>
      </c>
      <c r="D117">
        <f ca="1">IF($A117=1,0,IF($A117=2,OFFSET(D117,-1,0)+1,OFFSET(D117,-1,0)))</f>
        <v>1</v>
      </c>
      <c r="E117">
        <f ca="1">IF(AND($A117&lt;=2,$A117&lt;&gt;0),0,IF($A117=3,OFFSET(E117,-1,0)+1,OFFSET(E117,-1,0)))</f>
        <v>0</v>
      </c>
      <c r="F117">
        <f ca="1">IF(AND($A117&lt;=3,$A117&lt;&gt;0),0,IF($A117=4,OFFSET(F117,-1,0)+1,OFFSET(F117,-1,0)))</f>
        <v>0</v>
      </c>
      <c r="G117">
        <f ca="1">IF(AND($A117&lt;=4,$A117&lt;&gt;0),0,IF($A117="S",OFFSET(G117,-1,0)+1,OFFSET(G117,-1,0)))</f>
        <v>27</v>
      </c>
      <c r="H117">
        <f t="shared" ca="1" si="35"/>
        <v>0</v>
      </c>
      <c r="I117">
        <f t="shared" ca="1" si="36"/>
        <v>0</v>
      </c>
      <c r="J117" s="105" t="s">
        <v>29</v>
      </c>
      <c r="K117" s="97" t="str">
        <f ca="1">IF($A117=0,"-",CONCATENATE(C117&amp;".",IF(AND($A$5&gt;=2,$A117&gt;=2),D117&amp;".",""),IF(AND($A$5&gt;=3,$A117&gt;=3),E117&amp;".",""),IF(AND($A$5&gt;=4,$A117&gt;=4),F117&amp;".",""),IF($A117="S",G117&amp;".","")))</f>
        <v>3.1.27.</v>
      </c>
      <c r="L117" s="110">
        <f ca="1">IF(NOT(ISERROR($Y117)),IF($Y117&lt;&gt;FALSE,INDEX(Banco,$Y117,4),""),"")</f>
        <v>0</v>
      </c>
      <c r="M117" s="98" t="s">
        <v>80</v>
      </c>
      <c r="N117" s="112" t="s">
        <v>225</v>
      </c>
      <c r="O117" s="110" t="str">
        <f ca="1">IF(NOT(ISERROR($Y117)),IF($Y117&lt;&gt;FALSE,INDEX(Banco,$Y117,5),""),"")</f>
        <v>Coca cola 2 litros</v>
      </c>
      <c r="P117" s="111" t="str">
        <f ca="1">IF(NOT(ISERROR($Y117)),IF($Y117&lt;&gt;FALSE,INDEX(Banco,$Y117,6),""),"")</f>
        <v>unidade</v>
      </c>
      <c r="Q117" s="107">
        <v>17</v>
      </c>
      <c r="R117" s="100">
        <f ca="1">IF(NOT(ISERROR($Y117)),IF($Y117&lt;&gt;FALSE,INDEX(Banco,$Y117,7),0),0)</f>
        <v>7</v>
      </c>
      <c r="S117" s="109" t="s">
        <v>62</v>
      </c>
      <c r="T117" s="99">
        <f ca="1">IF($J117=$G$2,ROUND(ROUND($R117,2)*IF($R$9="Preço Unitário (R$)",1,1+$AA117),2),0)</f>
        <v>8.75</v>
      </c>
      <c r="U117" s="102">
        <f ca="1">IF($A117="S",VTOTAL1,IF($A117=0,0,ROUND(SomaAgrup,2)))</f>
        <v>148.75</v>
      </c>
      <c r="W117" s="1" t="str">
        <f ca="1">IF(OR($A117=0,$A117="S",$A117&gt;CFF!$A$9),"",MAX(W$11:OFFSET(W117,-1,0))+1)</f>
        <v/>
      </c>
      <c r="X117" s="3" t="str">
        <f>IF(AND($J117=$G$2,$N117&lt;&gt;"",$M117&lt;&gt;""),CONCATENATE($M117,"-",$N117))</f>
        <v>Serv. Terc.-020</v>
      </c>
      <c r="Y117" s="1">
        <f ca="1">IF(X117&lt;&gt;FALSE,MATCH(X117,OFFSET(Banco,0,0,,1),0))</f>
        <v>66</v>
      </c>
      <c r="AA117" s="106">
        <f>IF($J117=$G$2,ROUND(IF(ISNUMBER(S117),S117,IF(LEFT(S117,2)="DI",HLOOKUP(S117,DADOS!$T$29:$X$30,2,FALSE),0)),4),"")</f>
        <v>0.25</v>
      </c>
      <c r="AB117" s="1"/>
    </row>
    <row r="118" spans="1:28" x14ac:dyDescent="0.2">
      <c r="A118" t="str">
        <f>CHOOSE(1+LOG(1+2*(J118=$C$2)+4*(J118=$D$2)+8*(J118=$E$2)+16*(J118=$F$2)+32*(J118=$G$2),2),0,1,2,3,4,"S")</f>
        <v>S</v>
      </c>
      <c r="B118">
        <f>IF(OR(A118="S",A118=0),0,IF(ISERROR(I118),H118,SMALL(H118:I118,1)))</f>
        <v>0</v>
      </c>
      <c r="C118">
        <f ca="1">IF($A118=1,OFFSET(C118,-1,0)+1,OFFSET(C118,-1,0))</f>
        <v>3</v>
      </c>
      <c r="D118">
        <f ca="1">IF($A118=1,0,IF($A118=2,OFFSET(D118,-1,0)+1,OFFSET(D118,-1,0)))</f>
        <v>1</v>
      </c>
      <c r="E118">
        <f ca="1">IF(AND($A118&lt;=2,$A118&lt;&gt;0),0,IF($A118=3,OFFSET(E118,-1,0)+1,OFFSET(E118,-1,0)))</f>
        <v>0</v>
      </c>
      <c r="F118">
        <f ca="1">IF(AND($A118&lt;=3,$A118&lt;&gt;0),0,IF($A118=4,OFFSET(F118,-1,0)+1,OFFSET(F118,-1,0)))</f>
        <v>0</v>
      </c>
      <c r="G118">
        <f ca="1">IF(AND($A118&lt;=4,$A118&lt;&gt;0),0,IF($A118="S",OFFSET(G118,-1,0)+1,OFFSET(G118,-1,0)))</f>
        <v>28</v>
      </c>
      <c r="H118">
        <f t="shared" ca="1" si="35"/>
        <v>0</v>
      </c>
      <c r="I118">
        <f t="shared" ca="1" si="36"/>
        <v>0</v>
      </c>
      <c r="J118" s="105" t="s">
        <v>29</v>
      </c>
      <c r="K118" s="97" t="str">
        <f ca="1">IF($A118=0,"-",CONCATENATE(C118&amp;".",IF(AND($A$5&gt;=2,$A118&gt;=2),D118&amp;".",""),IF(AND($A$5&gt;=3,$A118&gt;=3),E118&amp;".",""),IF(AND($A$5&gt;=4,$A118&gt;=4),F118&amp;".",""),IF($A118="S",G118&amp;".","")))</f>
        <v>3.1.28.</v>
      </c>
      <c r="L118" s="110">
        <f ca="1">IF(NOT(ISERROR($Y118)),IF($Y118&lt;&gt;FALSE,INDEX(Banco,$Y118,4),""),"")</f>
        <v>0</v>
      </c>
      <c r="M118" s="98" t="s">
        <v>80</v>
      </c>
      <c r="N118" s="112" t="s">
        <v>232</v>
      </c>
      <c r="O118" s="110" t="str">
        <f ca="1">IF(NOT(ISERROR($Y118)),IF($Y118&lt;&gt;FALSE,INDEX(Banco,$Y118,5),""),"")</f>
        <v>Fanta 2 litros</v>
      </c>
      <c r="P118" s="111" t="str">
        <f ca="1">IF(NOT(ISERROR($Y118)),IF($Y118&lt;&gt;FALSE,INDEX(Banco,$Y118,6),""),"")</f>
        <v>unidade</v>
      </c>
      <c r="Q118" s="107">
        <v>17</v>
      </c>
      <c r="R118" s="100">
        <f ca="1">IF(NOT(ISERROR($Y118)),IF($Y118&lt;&gt;FALSE,INDEX(Banco,$Y118,7),0),0)</f>
        <v>6.3</v>
      </c>
      <c r="S118" s="109" t="s">
        <v>62</v>
      </c>
      <c r="T118" s="99">
        <f ca="1">IF($J118=$G$2,ROUND(ROUND($R118,2)*IF($R$9="Preço Unitário (R$)",1,1+$AA118),2),0)</f>
        <v>7.88</v>
      </c>
      <c r="U118" s="102">
        <f ca="1">IF($A118="S",VTOTAL1,IF($A118=0,0,ROUND(SomaAgrup,2)))</f>
        <v>133.96</v>
      </c>
      <c r="W118" s="1" t="str">
        <f ca="1">IF(OR($A118=0,$A118="S",$A118&gt;CFF!$A$9),"",MAX(W$11:OFFSET(W118,-1,0))+1)</f>
        <v/>
      </c>
      <c r="X118" s="3" t="str">
        <f>IF(AND($J118=$G$2,$N118&lt;&gt;"",$M118&lt;&gt;""),CONCATENATE($M118,"-",$N118))</f>
        <v>Serv. Terc.-021</v>
      </c>
      <c r="Y118" s="1">
        <f ca="1">IF(X118&lt;&gt;FALSE,MATCH(X118,OFFSET(Banco,0,0,,1),0))</f>
        <v>67</v>
      </c>
      <c r="AA118" s="106">
        <f>IF($J118=$G$2,ROUND(IF(ISNUMBER(S118),S118,IF(LEFT(S118,2)="DI",HLOOKUP(S118,DADOS!$T$29:$X$30,2,FALSE),0)),4),"")</f>
        <v>0.25</v>
      </c>
      <c r="AB118" s="1"/>
    </row>
    <row r="119" spans="1:28" x14ac:dyDescent="0.2">
      <c r="A119" t="str">
        <f t="shared" si="54"/>
        <v>S</v>
      </c>
      <c r="B119">
        <f t="shared" si="55"/>
        <v>0</v>
      </c>
      <c r="C119">
        <f t="shared" ca="1" si="56"/>
        <v>3</v>
      </c>
      <c r="D119">
        <f t="shared" ca="1" si="57"/>
        <v>1</v>
      </c>
      <c r="E119">
        <f t="shared" ca="1" si="58"/>
        <v>0</v>
      </c>
      <c r="F119">
        <f t="shared" ca="1" si="59"/>
        <v>0</v>
      </c>
      <c r="G119">
        <f t="shared" ca="1" si="60"/>
        <v>29</v>
      </c>
      <c r="H119">
        <f t="shared" ca="1" si="35"/>
        <v>0</v>
      </c>
      <c r="I119">
        <f t="shared" ca="1" si="36"/>
        <v>0</v>
      </c>
      <c r="J119" s="105" t="s">
        <v>29</v>
      </c>
      <c r="K119" s="97" t="str">
        <f t="shared" ca="1" si="61"/>
        <v>3.1.29.</v>
      </c>
      <c r="L119" s="110">
        <f t="shared" ca="1" si="62"/>
        <v>0</v>
      </c>
      <c r="M119" s="98" t="s">
        <v>80</v>
      </c>
      <c r="N119" s="112" t="s">
        <v>227</v>
      </c>
      <c r="O119" s="110" t="str">
        <f t="shared" ca="1" si="53"/>
        <v>Pipoca para 200 pessoas</v>
      </c>
      <c r="P119" s="111" t="str">
        <f t="shared" ca="1" si="63"/>
        <v>diaria</v>
      </c>
      <c r="Q119" s="107">
        <v>2</v>
      </c>
      <c r="R119" s="100">
        <f t="shared" ca="1" si="64"/>
        <v>130</v>
      </c>
      <c r="S119" s="109" t="s">
        <v>62</v>
      </c>
      <c r="T119" s="99">
        <f t="shared" ca="1" si="65"/>
        <v>162.5</v>
      </c>
      <c r="U119" s="102">
        <f t="shared" ca="1" si="66"/>
        <v>325</v>
      </c>
      <c r="W119" s="1" t="str">
        <f ca="1">IF(OR($A119=0,$A119="S",$A119&gt;CFF!$A$9),"",MAX(W$11:OFFSET(W119,-1,0))+1)</f>
        <v/>
      </c>
      <c r="X119" s="3" t="str">
        <f t="shared" si="67"/>
        <v>Serv. Terc.-014</v>
      </c>
      <c r="Y119" s="1">
        <f t="shared" ca="1" si="68"/>
        <v>60</v>
      </c>
      <c r="AA119" s="106">
        <f>IF($J119=$G$2,ROUND(IF(ISNUMBER(S119),S119,IF(LEFT(S119,2)="DI",HLOOKUP(S119,DADOS!$T$29:$X$30,2,FALSE),0)),4),"")</f>
        <v>0.25</v>
      </c>
      <c r="AB119" s="1"/>
    </row>
    <row r="120" spans="1:28" x14ac:dyDescent="0.2">
      <c r="A120" t="str">
        <f t="shared" si="54"/>
        <v>S</v>
      </c>
      <c r="B120">
        <f t="shared" si="55"/>
        <v>0</v>
      </c>
      <c r="C120">
        <f t="shared" ca="1" si="56"/>
        <v>3</v>
      </c>
      <c r="D120">
        <f t="shared" ca="1" si="57"/>
        <v>1</v>
      </c>
      <c r="E120">
        <f t="shared" ca="1" si="58"/>
        <v>0</v>
      </c>
      <c r="F120">
        <f t="shared" ca="1" si="59"/>
        <v>0</v>
      </c>
      <c r="G120">
        <f t="shared" ca="1" si="60"/>
        <v>30</v>
      </c>
      <c r="H120">
        <f t="shared" ca="1" si="35"/>
        <v>0</v>
      </c>
      <c r="I120">
        <f t="shared" ca="1" si="36"/>
        <v>0</v>
      </c>
      <c r="J120" s="105" t="s">
        <v>29</v>
      </c>
      <c r="K120" s="97" t="str">
        <f t="shared" ca="1" si="61"/>
        <v>3.1.30.</v>
      </c>
      <c r="L120" s="110">
        <f t="shared" ca="1" si="62"/>
        <v>0</v>
      </c>
      <c r="M120" s="98" t="s">
        <v>80</v>
      </c>
      <c r="N120" s="112" t="s">
        <v>228</v>
      </c>
      <c r="O120" s="110" t="str">
        <f t="shared" ca="1" si="53"/>
        <v>Algodão doce para 200 pessoas</v>
      </c>
      <c r="P120" s="111" t="str">
        <f t="shared" ca="1" si="63"/>
        <v>diaria</v>
      </c>
      <c r="Q120" s="107">
        <v>2</v>
      </c>
      <c r="R120" s="100">
        <f t="shared" ca="1" si="64"/>
        <v>130</v>
      </c>
      <c r="S120" s="109" t="s">
        <v>62</v>
      </c>
      <c r="T120" s="99">
        <f t="shared" ca="1" si="65"/>
        <v>162.5</v>
      </c>
      <c r="U120" s="102">
        <f t="shared" ca="1" si="66"/>
        <v>325</v>
      </c>
      <c r="W120" s="1" t="str">
        <f ca="1">IF(OR($A120=0,$A120="S",$A120&gt;CFF!$A$9),"",MAX(W$11:OFFSET(W120,-1,0))+1)</f>
        <v/>
      </c>
      <c r="X120" s="3" t="str">
        <f t="shared" si="67"/>
        <v>Serv. Terc.-016</v>
      </c>
      <c r="Y120" s="1">
        <f t="shared" ca="1" si="68"/>
        <v>62</v>
      </c>
      <c r="AA120" s="106">
        <f>IF($J120=$G$2,ROUND(IF(ISNUMBER(S120),S120,IF(LEFT(S120,2)="DI",HLOOKUP(S120,DADOS!$T$29:$X$30,2,FALSE),0)),4),"")</f>
        <v>0.25</v>
      </c>
      <c r="AB120" s="1"/>
    </row>
    <row r="121" spans="1:28" x14ac:dyDescent="0.2">
      <c r="A121" t="str">
        <f t="shared" si="54"/>
        <v>S</v>
      </c>
      <c r="B121">
        <f t="shared" si="55"/>
        <v>0</v>
      </c>
      <c r="C121">
        <f t="shared" ca="1" si="56"/>
        <v>3</v>
      </c>
      <c r="D121">
        <f t="shared" ca="1" si="57"/>
        <v>1</v>
      </c>
      <c r="E121">
        <f t="shared" ca="1" si="58"/>
        <v>0</v>
      </c>
      <c r="F121">
        <f t="shared" ca="1" si="59"/>
        <v>0</v>
      </c>
      <c r="G121">
        <f t="shared" ca="1" si="60"/>
        <v>31</v>
      </c>
      <c r="H121">
        <f t="shared" ca="1" si="35"/>
        <v>0</v>
      </c>
      <c r="I121">
        <f t="shared" ca="1" si="36"/>
        <v>0</v>
      </c>
      <c r="J121" s="105" t="s">
        <v>29</v>
      </c>
      <c r="K121" s="97" t="str">
        <f t="shared" ca="1" si="61"/>
        <v>3.1.31.</v>
      </c>
      <c r="L121" s="110">
        <f t="shared" ca="1" si="62"/>
        <v>0</v>
      </c>
      <c r="M121" s="98" t="s">
        <v>80</v>
      </c>
      <c r="N121" s="112" t="s">
        <v>251</v>
      </c>
      <c r="O121" s="110" t="str">
        <f t="shared" ca="1" si="53"/>
        <v>Kit de brinquedos</v>
      </c>
      <c r="P121" s="111" t="str">
        <f t="shared" ca="1" si="63"/>
        <v>unidade</v>
      </c>
      <c r="Q121" s="107">
        <v>3</v>
      </c>
      <c r="R121" s="100">
        <f t="shared" ca="1" si="64"/>
        <v>149.97</v>
      </c>
      <c r="S121" s="109" t="s">
        <v>62</v>
      </c>
      <c r="T121" s="99">
        <f t="shared" ca="1" si="65"/>
        <v>187.46</v>
      </c>
      <c r="U121" s="102">
        <f t="shared" ca="1" si="66"/>
        <v>562.38</v>
      </c>
      <c r="W121" s="1" t="str">
        <f ca="1">IF(OR($A121=0,$A121="S",$A121&gt;CFF!$A$9),"",MAX(W$11:OFFSET(W121,-1,0))+1)</f>
        <v/>
      </c>
      <c r="X121" s="3" t="str">
        <f t="shared" si="67"/>
        <v>Serv. Terc.-013</v>
      </c>
      <c r="Y121" s="1">
        <f t="shared" ca="1" si="68"/>
        <v>59</v>
      </c>
      <c r="AA121" s="106">
        <f>IF($J121=$G$2,ROUND(IF(ISNUMBER(S121),S121,IF(LEFT(S121,2)="DI",HLOOKUP(S121,DADOS!$T$29:$X$30,2,FALSE),0)),4),"")</f>
        <v>0.25</v>
      </c>
      <c r="AB121" s="1"/>
    </row>
    <row r="122" spans="1:28" x14ac:dyDescent="0.2">
      <c r="A122" t="str">
        <f>CHOOSE(1+LOG(1+2*(J122=$C$2)+4*(J122=$D$2)+8*(J122=$E$2)+16*(J122=$F$2)+32*(J122=$G$2),2),0,1,2,3,4,"S")</f>
        <v>S</v>
      </c>
      <c r="B122">
        <f>IF(OR(A122="S",A122=0),0,IF(ISERROR(I122),H122,SMALL(H122:I122,1)))</f>
        <v>0</v>
      </c>
      <c r="C122">
        <f ca="1">IF($A122=1,OFFSET(C122,-1,0)+1,OFFSET(C122,-1,0))</f>
        <v>3</v>
      </c>
      <c r="D122">
        <f ca="1">IF($A122=1,0,IF($A122=2,OFFSET(D122,-1,0)+1,OFFSET(D122,-1,0)))</f>
        <v>1</v>
      </c>
      <c r="E122">
        <f ca="1">IF(AND($A122&lt;=2,$A122&lt;&gt;0),0,IF($A122=3,OFFSET(E122,-1,0)+1,OFFSET(E122,-1,0)))</f>
        <v>0</v>
      </c>
      <c r="F122">
        <f ca="1">IF(AND($A122&lt;=3,$A122&lt;&gt;0),0,IF($A122=4,OFFSET(F122,-1,0)+1,OFFSET(F122,-1,0)))</f>
        <v>0</v>
      </c>
      <c r="G122">
        <f ca="1">IF(AND($A122&lt;=4,$A122&lt;&gt;0),0,IF($A122="S",OFFSET(G122,-1,0)+1,OFFSET(G122,-1,0)))</f>
        <v>32</v>
      </c>
      <c r="H122">
        <f t="shared" ca="1" si="35"/>
        <v>0</v>
      </c>
      <c r="I122">
        <f t="shared" ca="1" si="36"/>
        <v>0</v>
      </c>
      <c r="J122" s="105" t="s">
        <v>29</v>
      </c>
      <c r="K122" s="97" t="str">
        <f ca="1">IF($A122=0,"-",CONCATENATE(C122&amp;".",IF(AND($A$5&gt;=2,$A122&gt;=2),D122&amp;".",""),IF(AND($A$5&gt;=3,$A122&gt;=3),E122&amp;".",""),IF(AND($A$5&gt;=4,$A122&gt;=4),F122&amp;".",""),IF($A122="S",G122&amp;".","")))</f>
        <v>3.1.32.</v>
      </c>
      <c r="L122" s="110">
        <f ca="1">IF(NOT(ISERROR($Y122)),IF($Y122&lt;&gt;FALSE,INDEX(Banco,$Y122,4),""),"")</f>
        <v>0</v>
      </c>
      <c r="M122" s="98" t="s">
        <v>79</v>
      </c>
      <c r="N122" s="112" t="s">
        <v>265</v>
      </c>
      <c r="O122" s="110" t="str">
        <f ca="1">IF(NOT(ISERROR($Y122)),IF($Y122&lt;&gt;FALSE,INDEX(Banco,$Y122,5),""),"")</f>
        <v xml:space="preserve">Estojo completo c/ 18 itens Caveirinhas 182212RX Faber Castell </v>
      </c>
      <c r="P122" s="111" t="str">
        <f ca="1">IF(NOT(ISERROR($Y122)),IF($Y122&lt;&gt;FALSE,INDEX(Banco,$Y122,6),""),"")</f>
        <v>UNIDADE</v>
      </c>
      <c r="Q122" s="107">
        <v>3</v>
      </c>
      <c r="R122" s="100">
        <f ca="1">IF(NOT(ISERROR($Y122)),IF($Y122&lt;&gt;FALSE,INDEX(Banco,$Y122,7),0),0)</f>
        <v>54.6</v>
      </c>
      <c r="S122" s="109" t="s">
        <v>62</v>
      </c>
      <c r="T122" s="99">
        <f ca="1">IF($J122=$G$2,ROUND(ROUND($R122,2)*IF($R$9="Preço Unitário (R$)",1,1+$AA122),2),0)</f>
        <v>68.25</v>
      </c>
      <c r="U122" s="102">
        <f ca="1">IF($A122="S",VTOTAL1,IF($A122=0,0,ROUND(SomaAgrup,2)))</f>
        <v>204.75</v>
      </c>
      <c r="W122" s="1" t="str">
        <f ca="1">IF(OR($A122=0,$A122="S",$A122&gt;CFF!$A$9),"",MAX(W$11:OFFSET(W122,-1,0))+1)</f>
        <v/>
      </c>
      <c r="X122" s="3" t="str">
        <f>IF(AND($J122=$G$2,$N122&lt;&gt;"",$M122&lt;&gt;""),CONCATENATE($M122,"-",$N122))</f>
        <v>Rec. Materiais-031</v>
      </c>
      <c r="Y122" s="1">
        <f ca="1">IF(X122&lt;&gt;FALSE,MATCH(X122,OFFSET(Banco,0,0,,1),0))</f>
        <v>38</v>
      </c>
      <c r="AA122" s="106">
        <f>IF($J122=$G$2,ROUND(IF(ISNUMBER(S122),S122,IF(LEFT(S122,2)="DI",HLOOKUP(S122,DADOS!$T$29:$X$30,2,FALSE),0)),4),"")</f>
        <v>0.25</v>
      </c>
      <c r="AB122" s="1"/>
    </row>
    <row r="123" spans="1:28" x14ac:dyDescent="0.2">
      <c r="A123" t="str">
        <f t="shared" si="54"/>
        <v>S</v>
      </c>
      <c r="B123">
        <f t="shared" si="55"/>
        <v>0</v>
      </c>
      <c r="C123">
        <f t="shared" ca="1" si="56"/>
        <v>3</v>
      </c>
      <c r="D123">
        <f t="shared" ca="1" si="57"/>
        <v>1</v>
      </c>
      <c r="E123">
        <f t="shared" ca="1" si="58"/>
        <v>0</v>
      </c>
      <c r="F123">
        <f t="shared" ca="1" si="59"/>
        <v>0</v>
      </c>
      <c r="G123">
        <f t="shared" ca="1" si="60"/>
        <v>33</v>
      </c>
      <c r="H123">
        <f t="shared" ca="1" si="35"/>
        <v>0</v>
      </c>
      <c r="I123">
        <f t="shared" ca="1" si="36"/>
        <v>0</v>
      </c>
      <c r="J123" s="105" t="s">
        <v>29</v>
      </c>
      <c r="K123" s="97" t="str">
        <f t="shared" ca="1" si="61"/>
        <v>3.1.33.</v>
      </c>
      <c r="L123" s="110">
        <f t="shared" ca="1" si="62"/>
        <v>0</v>
      </c>
      <c r="M123" s="98" t="s">
        <v>80</v>
      </c>
      <c r="N123" s="112" t="s">
        <v>241</v>
      </c>
      <c r="O123" s="110" t="str">
        <f t="shared" ca="1" si="53"/>
        <v>Tablet 9.6 G tela sansung Galaxy</v>
      </c>
      <c r="P123" s="111" t="str">
        <f t="shared" ca="1" si="63"/>
        <v>unidade</v>
      </c>
      <c r="Q123" s="107">
        <v>3</v>
      </c>
      <c r="R123" s="100">
        <f t="shared" ca="1" si="64"/>
        <v>899</v>
      </c>
      <c r="S123" s="109" t="s">
        <v>62</v>
      </c>
      <c r="T123" s="99">
        <f t="shared" ca="1" si="65"/>
        <v>1123.75</v>
      </c>
      <c r="U123" s="102">
        <f t="shared" ca="1" si="66"/>
        <v>3371.25</v>
      </c>
      <c r="W123" s="1" t="str">
        <f ca="1">IF(OR($A123=0,$A123="S",$A123&gt;CFF!$A$9),"",MAX(W$11:OFFSET(W123,-1,0))+1)</f>
        <v/>
      </c>
      <c r="X123" s="3" t="str">
        <f t="shared" si="67"/>
        <v>Serv. Terc.-015</v>
      </c>
      <c r="Y123" s="1">
        <f t="shared" ca="1" si="68"/>
        <v>61</v>
      </c>
      <c r="AA123" s="106">
        <f>IF($J123=$G$2,ROUND(IF(ISNUMBER(S123),S123,IF(LEFT(S123,2)="DI",HLOOKUP(S123,DADOS!$T$29:$X$30,2,FALSE),0)),4),"")</f>
        <v>0.25</v>
      </c>
      <c r="AB123" s="1"/>
    </row>
    <row r="124" spans="1:28" x14ac:dyDescent="0.2">
      <c r="A124" t="str">
        <f t="shared" si="54"/>
        <v>S</v>
      </c>
      <c r="B124">
        <f t="shared" si="55"/>
        <v>0</v>
      </c>
      <c r="C124">
        <f t="shared" ca="1" si="56"/>
        <v>3</v>
      </c>
      <c r="D124">
        <f t="shared" ca="1" si="57"/>
        <v>1</v>
      </c>
      <c r="E124">
        <f t="shared" ca="1" si="58"/>
        <v>0</v>
      </c>
      <c r="F124">
        <f t="shared" ca="1" si="59"/>
        <v>0</v>
      </c>
      <c r="G124">
        <f t="shared" ca="1" si="60"/>
        <v>34</v>
      </c>
      <c r="H124">
        <f t="shared" ca="1" si="35"/>
        <v>0</v>
      </c>
      <c r="I124">
        <f t="shared" ca="1" si="36"/>
        <v>0</v>
      </c>
      <c r="J124" s="105" t="s">
        <v>29</v>
      </c>
      <c r="K124" s="97" t="str">
        <f t="shared" ca="1" si="61"/>
        <v>3.1.34.</v>
      </c>
      <c r="L124" s="110">
        <f t="shared" ca="1" si="62"/>
        <v>0</v>
      </c>
      <c r="M124" s="98" t="s">
        <v>80</v>
      </c>
      <c r="N124" s="112" t="s">
        <v>220</v>
      </c>
      <c r="O124" s="110" t="str">
        <f t="shared" ca="1" si="53"/>
        <v>Som (2 caixas de som, 2 microfones, mesa de som, cabos)</v>
      </c>
      <c r="P124" s="111" t="str">
        <f t="shared" ca="1" si="63"/>
        <v>unidade</v>
      </c>
      <c r="Q124" s="107">
        <v>1</v>
      </c>
      <c r="R124" s="100">
        <f t="shared" ca="1" si="64"/>
        <v>350</v>
      </c>
      <c r="S124" s="109" t="s">
        <v>62</v>
      </c>
      <c r="T124" s="99">
        <f t="shared" ca="1" si="65"/>
        <v>437.5</v>
      </c>
      <c r="U124" s="102">
        <f t="shared" ca="1" si="66"/>
        <v>437.5</v>
      </c>
      <c r="W124" s="1" t="str">
        <f ca="1">IF(OR($A124=0,$A124="S",$A124&gt;CFF!$A$9),"",MAX(W$11:OFFSET(W124,-1,0))+1)</f>
        <v/>
      </c>
      <c r="X124" s="3" t="str">
        <f t="shared" si="67"/>
        <v>Serv. Terc.-003</v>
      </c>
      <c r="Y124" s="1">
        <f t="shared" ca="1" si="68"/>
        <v>49</v>
      </c>
      <c r="AA124" s="106">
        <f>IF($J124=$G$2,ROUND(IF(ISNUMBER(S124),S124,IF(LEFT(S124,2)="DI",HLOOKUP(S124,DADOS!$T$29:$X$30,2,FALSE),0)),4),"")</f>
        <v>0.25</v>
      </c>
      <c r="AB124" s="1"/>
    </row>
    <row r="125" spans="1:28" ht="25.5" x14ac:dyDescent="0.2">
      <c r="A125">
        <f t="shared" si="54"/>
        <v>1</v>
      </c>
      <c r="B125">
        <f t="shared" ca="1" si="55"/>
        <v>39</v>
      </c>
      <c r="C125">
        <f t="shared" ca="1" si="56"/>
        <v>4</v>
      </c>
      <c r="D125">
        <f t="shared" ca="1" si="57"/>
        <v>0</v>
      </c>
      <c r="E125">
        <f t="shared" ca="1" si="58"/>
        <v>0</v>
      </c>
      <c r="F125">
        <f t="shared" ca="1" si="59"/>
        <v>0</v>
      </c>
      <c r="G125">
        <f t="shared" ca="1" si="60"/>
        <v>0</v>
      </c>
      <c r="H125">
        <f t="shared" ca="1" si="35"/>
        <v>242</v>
      </c>
      <c r="I125">
        <f t="shared" ca="1" si="36"/>
        <v>39</v>
      </c>
      <c r="J125" s="105" t="s">
        <v>67</v>
      </c>
      <c r="K125" s="97" t="str">
        <f t="shared" ca="1" si="61"/>
        <v>4.</v>
      </c>
      <c r="L125" s="110" t="str">
        <f t="shared" ca="1" si="62"/>
        <v/>
      </c>
      <c r="M125" s="98"/>
      <c r="N125" s="112"/>
      <c r="O125" s="110" t="s">
        <v>257</v>
      </c>
      <c r="P125" s="111" t="str">
        <f t="shared" ca="1" si="63"/>
        <v/>
      </c>
      <c r="Q125" s="107"/>
      <c r="R125" s="100">
        <f t="shared" ca="1" si="64"/>
        <v>0</v>
      </c>
      <c r="S125" s="109" t="s">
        <v>62</v>
      </c>
      <c r="T125" s="99">
        <f t="shared" si="65"/>
        <v>0</v>
      </c>
      <c r="U125" s="102">
        <f t="shared" ca="1" si="66"/>
        <v>31333.72</v>
      </c>
      <c r="W125" s="1">
        <f ca="1">IF(OR($A125=0,$A125="S",$A125&gt;CFF!$A$9),"",MAX(W$11:OFFSET(W125,-1,0))+1)</f>
        <v>9</v>
      </c>
      <c r="X125" s="3" t="b">
        <f t="shared" si="67"/>
        <v>0</v>
      </c>
      <c r="Y125" s="1" t="b">
        <f t="shared" ca="1" si="68"/>
        <v>0</v>
      </c>
      <c r="AA125" s="106" t="str">
        <f>IF($J125=$G$2,ROUND(IF(ISNUMBER(S125),S125,IF(LEFT(S125,2)="DI",HLOOKUP(S125,DADOS!$T$29:$X$30,2,FALSE),0)),4),"")</f>
        <v/>
      </c>
      <c r="AB125" s="1"/>
    </row>
    <row r="126" spans="1:28" x14ac:dyDescent="0.2">
      <c r="A126">
        <f>CHOOSE(1+LOG(1+2*(J126=$C$2)+4*(J126=$D$2)+8*(J126=$E$2)+16*(J126=$F$2)+32*(J126=$G$2),2),0,1,2,3,4,"S")</f>
        <v>2</v>
      </c>
      <c r="B126">
        <f ca="1">IF(OR(A126="S",A126=0),0,IF(ISERROR(I126),H126,SMALL(H126:I126,1)))</f>
        <v>12</v>
      </c>
      <c r="C126">
        <f ca="1">IF($A126=1,OFFSET(C126,-1,0)+1,OFFSET(C126,-1,0))</f>
        <v>4</v>
      </c>
      <c r="D126">
        <f ca="1">IF($A126=1,0,IF($A126=2,OFFSET(D126,-1,0)+1,OFFSET(D126,-1,0)))</f>
        <v>1</v>
      </c>
      <c r="E126">
        <f ca="1">IF(AND($A126&lt;=2,$A126&lt;&gt;0),0,IF($A126=3,OFFSET(E126,-1,0)+1,OFFSET(E126,-1,0)))</f>
        <v>0</v>
      </c>
      <c r="F126">
        <f ca="1">IF(AND($A126&lt;=3,$A126&lt;&gt;0),0,IF($A126=4,OFFSET(F126,-1,0)+1,OFFSET(F126,-1,0)))</f>
        <v>0</v>
      </c>
      <c r="G126">
        <f ca="1">IF(AND($A126&lt;=4,$A126&lt;&gt;0),0,IF($A126="S",OFFSET(G126,-1,0)+1,OFFSET(G126,-1,0)))</f>
        <v>0</v>
      </c>
      <c r="H126">
        <f t="shared" ca="1" si="35"/>
        <v>38</v>
      </c>
      <c r="I126">
        <f t="shared" ca="1" si="36"/>
        <v>12</v>
      </c>
      <c r="J126" s="105" t="s">
        <v>68</v>
      </c>
      <c r="K126" s="97" t="str">
        <f ca="1">IF($A126=0,"-",CONCATENATE(C126&amp;".",IF(AND($A$5&gt;=2,$A126&gt;=2),D126&amp;".",""),IF(AND($A$5&gt;=3,$A126&gt;=3),E126&amp;".",""),IF(AND($A$5&gt;=4,$A126&gt;=4),F126&amp;".",""),IF($A126="S",G126&amp;".","")))</f>
        <v>4.1.</v>
      </c>
      <c r="L126" s="110" t="str">
        <f ca="1">IF(NOT(ISERROR($Y126)),IF($Y126&lt;&gt;FALSE,INDEX(Banco,$Y126,4),""),"")</f>
        <v/>
      </c>
      <c r="M126" s="98"/>
      <c r="N126" s="112"/>
      <c r="O126" s="110" t="s">
        <v>272</v>
      </c>
      <c r="P126" s="111" t="str">
        <f ca="1">IF(NOT(ISERROR($Y126)),IF($Y126&lt;&gt;FALSE,INDEX(Banco,$Y126,6),""),"")</f>
        <v/>
      </c>
      <c r="Q126" s="107"/>
      <c r="R126" s="100">
        <f ca="1">IF(NOT(ISERROR($Y126)),IF($Y126&lt;&gt;FALSE,INDEX(Banco,$Y126,7),0),0)</f>
        <v>0</v>
      </c>
      <c r="S126" s="109" t="s">
        <v>62</v>
      </c>
      <c r="T126" s="99">
        <f>IF($J126=$G$2,ROUND(ROUND($R126,2)*IF($R$9="Preço Unitário (R$)",1,1+$AA126),2),0)</f>
        <v>0</v>
      </c>
      <c r="U126" s="102">
        <f ca="1">IF($A126="S",VTOTAL1,IF($A126=0,0,ROUND(SomaAgrup,2)))</f>
        <v>15262.11</v>
      </c>
      <c r="W126" s="1">
        <f ca="1">IF(OR($A126=0,$A126="S",$A126&gt;CFF!$A$9),"",MAX(W$11:OFFSET(W126,-1,0))+1)</f>
        <v>10</v>
      </c>
      <c r="X126" s="3" t="b">
        <f>IF(AND($J126=$G$2,$N126&lt;&gt;"",$M126&lt;&gt;""),CONCATENATE($M126,"-",$N126))</f>
        <v>0</v>
      </c>
      <c r="Y126" s="1" t="b">
        <f ca="1">IF(X126&lt;&gt;FALSE,MATCH(X126,OFFSET(Banco,0,0,,1),0))</f>
        <v>0</v>
      </c>
      <c r="AA126" s="106" t="str">
        <f>IF($J126=$G$2,ROUND(IF(ISNUMBER(S126),S126,IF(LEFT(S126,2)="DI",HLOOKUP(S126,DADOS!$T$29:$X$30,2,FALSE),0)),4),"")</f>
        <v/>
      </c>
      <c r="AB126" s="1"/>
    </row>
    <row r="127" spans="1:28" x14ac:dyDescent="0.2">
      <c r="A127" t="str">
        <f t="shared" si="54"/>
        <v>S</v>
      </c>
      <c r="B127">
        <f t="shared" si="55"/>
        <v>0</v>
      </c>
      <c r="C127">
        <f t="shared" ca="1" si="56"/>
        <v>4</v>
      </c>
      <c r="D127">
        <f t="shared" ca="1" si="57"/>
        <v>1</v>
      </c>
      <c r="E127">
        <f t="shared" ca="1" si="58"/>
        <v>0</v>
      </c>
      <c r="F127">
        <f t="shared" ca="1" si="59"/>
        <v>0</v>
      </c>
      <c r="G127">
        <f t="shared" ca="1" si="60"/>
        <v>1</v>
      </c>
      <c r="H127">
        <f t="shared" ca="1" si="35"/>
        <v>0</v>
      </c>
      <c r="I127">
        <f t="shared" ca="1" si="36"/>
        <v>0</v>
      </c>
      <c r="J127" s="105" t="s">
        <v>29</v>
      </c>
      <c r="K127" s="97" t="str">
        <f t="shared" ca="1" si="61"/>
        <v>4.1.1.</v>
      </c>
      <c r="L127" s="110" t="str">
        <f t="shared" ca="1" si="62"/>
        <v>CRESS</v>
      </c>
      <c r="M127" s="98" t="s">
        <v>78</v>
      </c>
      <c r="N127" s="112" t="s">
        <v>218</v>
      </c>
      <c r="O127" s="110" t="str">
        <f t="shared" ref="O127:O137" ca="1" si="69">IF(NOT(ISERROR($Y127)),IF($Y127&lt;&gt;FALSE,INDEX(Banco,$Y127,5),""),"")</f>
        <v>RT</v>
      </c>
      <c r="P127" s="111" t="str">
        <f t="shared" ca="1" si="63"/>
        <v>hora</v>
      </c>
      <c r="Q127" s="107">
        <v>40</v>
      </c>
      <c r="R127" s="100">
        <f t="shared" ca="1" si="64"/>
        <v>150.28</v>
      </c>
      <c r="S127" s="109" t="s">
        <v>62</v>
      </c>
      <c r="T127" s="99">
        <f t="shared" ca="1" si="65"/>
        <v>187.85</v>
      </c>
      <c r="U127" s="102">
        <f t="shared" ca="1" si="66"/>
        <v>7514</v>
      </c>
      <c r="W127" s="1" t="str">
        <f ca="1">IF(OR($A127=0,$A127="S",$A127&gt;CFF!$A$9),"",MAX(W$11:OFFSET(W127,-1,0))+1)</f>
        <v/>
      </c>
      <c r="X127" s="3" t="str">
        <f t="shared" si="67"/>
        <v>Rec. Humanos-001</v>
      </c>
      <c r="Y127" s="1">
        <f t="shared" ca="1" si="68"/>
        <v>3</v>
      </c>
      <c r="AA127" s="106">
        <f>IF($J127=$G$2,ROUND(IF(ISNUMBER(S127),S127,IF(LEFT(S127,2)="DI",HLOOKUP(S127,DADOS!$T$29:$X$30,2,FALSE),0)),4),"")</f>
        <v>0.25</v>
      </c>
      <c r="AB127" s="1"/>
    </row>
    <row r="128" spans="1:28" x14ac:dyDescent="0.2">
      <c r="A128" t="str">
        <f t="shared" si="54"/>
        <v>S</v>
      </c>
      <c r="B128">
        <f t="shared" si="55"/>
        <v>0</v>
      </c>
      <c r="C128">
        <f t="shared" ca="1" si="56"/>
        <v>4</v>
      </c>
      <c r="D128">
        <f t="shared" ca="1" si="57"/>
        <v>1</v>
      </c>
      <c r="E128">
        <f t="shared" ca="1" si="58"/>
        <v>0</v>
      </c>
      <c r="F128">
        <f t="shared" ca="1" si="59"/>
        <v>0</v>
      </c>
      <c r="G128">
        <f t="shared" ca="1" si="60"/>
        <v>2</v>
      </c>
      <c r="H128">
        <f t="shared" ca="1" si="35"/>
        <v>0</v>
      </c>
      <c r="I128">
        <f t="shared" ca="1" si="36"/>
        <v>0</v>
      </c>
      <c r="J128" s="105" t="s">
        <v>29</v>
      </c>
      <c r="K128" s="97" t="str">
        <f t="shared" ca="1" si="61"/>
        <v>4.1.2.</v>
      </c>
      <c r="L128" s="110">
        <f t="shared" ca="1" si="62"/>
        <v>0</v>
      </c>
      <c r="M128" s="98" t="s">
        <v>78</v>
      </c>
      <c r="N128" s="112" t="s">
        <v>219</v>
      </c>
      <c r="O128" s="110" t="str">
        <f t="shared" ca="1" si="69"/>
        <v>Assistente Social</v>
      </c>
      <c r="P128" s="111" t="str">
        <f t="shared" ca="1" si="63"/>
        <v>hora</v>
      </c>
      <c r="Q128" s="107">
        <v>20</v>
      </c>
      <c r="R128" s="100">
        <f t="shared" ca="1" si="64"/>
        <v>133.81</v>
      </c>
      <c r="S128" s="109" t="s">
        <v>62</v>
      </c>
      <c r="T128" s="99">
        <f t="shared" ca="1" si="65"/>
        <v>167.26</v>
      </c>
      <c r="U128" s="102">
        <f t="shared" ca="1" si="66"/>
        <v>3345.2</v>
      </c>
      <c r="W128" s="1" t="str">
        <f ca="1">IF(OR($A128=0,$A128="S",$A128&gt;CFF!$A$9),"",MAX(W$11:OFFSET(W128,-1,0))+1)</f>
        <v/>
      </c>
      <c r="X128" s="3" t="str">
        <f t="shared" si="67"/>
        <v>Rec. Humanos-002</v>
      </c>
      <c r="Y128" s="1">
        <f t="shared" ca="1" si="68"/>
        <v>4</v>
      </c>
      <c r="AA128" s="106">
        <f>IF($J128=$G$2,ROUND(IF(ISNUMBER(S128),S128,IF(LEFT(S128,2)="DI",HLOOKUP(S128,DADOS!$T$29:$X$30,2,FALSE),0)),4),"")</f>
        <v>0.25</v>
      </c>
      <c r="AB128" s="1"/>
    </row>
    <row r="129" spans="1:28" x14ac:dyDescent="0.2">
      <c r="A129" t="str">
        <f t="shared" si="54"/>
        <v>S</v>
      </c>
      <c r="B129">
        <f t="shared" si="55"/>
        <v>0</v>
      </c>
      <c r="C129">
        <f t="shared" ca="1" si="56"/>
        <v>4</v>
      </c>
      <c r="D129">
        <f t="shared" ca="1" si="57"/>
        <v>1</v>
      </c>
      <c r="E129">
        <f t="shared" ca="1" si="58"/>
        <v>0</v>
      </c>
      <c r="F129">
        <f t="shared" ca="1" si="59"/>
        <v>0</v>
      </c>
      <c r="G129">
        <f t="shared" ca="1" si="60"/>
        <v>3</v>
      </c>
      <c r="H129">
        <f t="shared" ca="1" si="35"/>
        <v>0</v>
      </c>
      <c r="I129">
        <f t="shared" ca="1" si="36"/>
        <v>0</v>
      </c>
      <c r="J129" s="105" t="s">
        <v>29</v>
      </c>
      <c r="K129" s="97" t="str">
        <f t="shared" ca="1" si="61"/>
        <v>4.1.3.</v>
      </c>
      <c r="L129" s="110">
        <f t="shared" ca="1" si="62"/>
        <v>0</v>
      </c>
      <c r="M129" s="98" t="s">
        <v>78</v>
      </c>
      <c r="N129" s="112" t="s">
        <v>220</v>
      </c>
      <c r="O129" s="110" t="str">
        <f t="shared" ca="1" si="69"/>
        <v>Administrativo</v>
      </c>
      <c r="P129" s="111" t="str">
        <f t="shared" ca="1" si="63"/>
        <v>mensal</v>
      </c>
      <c r="Q129" s="107">
        <v>1</v>
      </c>
      <c r="R129" s="100">
        <f t="shared" ca="1" si="64"/>
        <v>1463.5</v>
      </c>
      <c r="S129" s="109" t="s">
        <v>62</v>
      </c>
      <c r="T129" s="99">
        <f t="shared" ca="1" si="65"/>
        <v>1829.38</v>
      </c>
      <c r="U129" s="102">
        <f t="shared" ca="1" si="66"/>
        <v>1829.38</v>
      </c>
      <c r="W129" s="1" t="str">
        <f ca="1">IF(OR($A129=0,$A129="S",$A129&gt;CFF!$A$9),"",MAX(W$11:OFFSET(W129,-1,0))+1)</f>
        <v/>
      </c>
      <c r="X129" s="3" t="str">
        <f t="shared" si="67"/>
        <v>Rec. Humanos-003</v>
      </c>
      <c r="Y129" s="1">
        <f t="shared" ca="1" si="68"/>
        <v>5</v>
      </c>
      <c r="AA129" s="106">
        <f>IF($J129=$G$2,ROUND(IF(ISNUMBER(S129),S129,IF(LEFT(S129,2)="DI",HLOOKUP(S129,DADOS!$T$29:$X$30,2,FALSE),0)),4),"")</f>
        <v>0.25</v>
      </c>
      <c r="AB129" s="1"/>
    </row>
    <row r="130" spans="1:28" x14ac:dyDescent="0.2">
      <c r="A130" t="str">
        <f t="shared" si="54"/>
        <v>S</v>
      </c>
      <c r="B130">
        <f t="shared" si="55"/>
        <v>0</v>
      </c>
      <c r="C130">
        <f t="shared" ca="1" si="56"/>
        <v>4</v>
      </c>
      <c r="D130">
        <f t="shared" ca="1" si="57"/>
        <v>1</v>
      </c>
      <c r="E130">
        <f t="shared" ca="1" si="58"/>
        <v>0</v>
      </c>
      <c r="F130">
        <f t="shared" ca="1" si="59"/>
        <v>0</v>
      </c>
      <c r="G130">
        <f t="shared" ca="1" si="60"/>
        <v>4</v>
      </c>
      <c r="H130">
        <f t="shared" ca="1" si="35"/>
        <v>0</v>
      </c>
      <c r="I130">
        <f t="shared" ca="1" si="36"/>
        <v>0</v>
      </c>
      <c r="J130" s="105" t="s">
        <v>29</v>
      </c>
      <c r="K130" s="97" t="str">
        <f t="shared" ca="1" si="61"/>
        <v>4.1.4.</v>
      </c>
      <c r="L130" s="110">
        <f t="shared" ca="1" si="62"/>
        <v>0</v>
      </c>
      <c r="M130" s="98" t="s">
        <v>78</v>
      </c>
      <c r="N130" s="112" t="s">
        <v>231</v>
      </c>
      <c r="O130" s="110" t="str">
        <f t="shared" ca="1" si="69"/>
        <v>Biólogo</v>
      </c>
      <c r="P130" s="111" t="str">
        <f t="shared" ca="1" si="63"/>
        <v>hora</v>
      </c>
      <c r="Q130" s="107">
        <v>20</v>
      </c>
      <c r="R130" s="100">
        <f t="shared" ca="1" si="64"/>
        <v>14.97</v>
      </c>
      <c r="S130" s="109" t="s">
        <v>62</v>
      </c>
      <c r="T130" s="99">
        <f t="shared" ca="1" si="65"/>
        <v>18.71</v>
      </c>
      <c r="U130" s="102">
        <f t="shared" ca="1" si="66"/>
        <v>374.2</v>
      </c>
      <c r="W130" s="1" t="str">
        <f ca="1">IF(OR($A130=0,$A130="S",$A130&gt;CFF!$A$9),"",MAX(W$11:OFFSET(W130,-1,0))+1)</f>
        <v/>
      </c>
      <c r="X130" s="3" t="str">
        <f t="shared" si="67"/>
        <v>Rec. Humanos-004</v>
      </c>
      <c r="Y130" s="1">
        <f t="shared" ca="1" si="68"/>
        <v>6</v>
      </c>
      <c r="AA130" s="106">
        <f>IF($J130=$G$2,ROUND(IF(ISNUMBER(S130),S130,IF(LEFT(S130,2)="DI",HLOOKUP(S130,DADOS!$T$29:$X$30,2,FALSE),0)),4),"")</f>
        <v>0.25</v>
      </c>
      <c r="AB130" s="1"/>
    </row>
    <row r="131" spans="1:28" x14ac:dyDescent="0.2">
      <c r="A131" t="str">
        <f t="shared" si="54"/>
        <v>S</v>
      </c>
      <c r="B131">
        <f t="shared" si="55"/>
        <v>0</v>
      </c>
      <c r="C131">
        <f t="shared" ca="1" si="56"/>
        <v>4</v>
      </c>
      <c r="D131">
        <f t="shared" ca="1" si="57"/>
        <v>1</v>
      </c>
      <c r="E131">
        <f t="shared" ca="1" si="58"/>
        <v>0</v>
      </c>
      <c r="F131">
        <f t="shared" ca="1" si="59"/>
        <v>0</v>
      </c>
      <c r="G131">
        <f t="shared" ca="1" si="60"/>
        <v>5</v>
      </c>
      <c r="H131">
        <f t="shared" ca="1" si="35"/>
        <v>0</v>
      </c>
      <c r="I131">
        <f t="shared" ca="1" si="36"/>
        <v>0</v>
      </c>
      <c r="J131" s="105" t="s">
        <v>29</v>
      </c>
      <c r="K131" s="97" t="str">
        <f t="shared" ca="1" si="61"/>
        <v>4.1.5.</v>
      </c>
      <c r="L131" s="110">
        <f t="shared" ca="1" si="62"/>
        <v>0</v>
      </c>
      <c r="M131" s="98" t="s">
        <v>78</v>
      </c>
      <c r="N131" s="112" t="s">
        <v>221</v>
      </c>
      <c r="O131" s="110" t="str">
        <f t="shared" ca="1" si="69"/>
        <v>Estagiarios</v>
      </c>
      <c r="P131" s="111" t="str">
        <f t="shared" ca="1" si="63"/>
        <v>hora</v>
      </c>
      <c r="Q131" s="107">
        <v>20</v>
      </c>
      <c r="R131" s="100">
        <f t="shared" ca="1" si="64"/>
        <v>8.26</v>
      </c>
      <c r="S131" s="109" t="s">
        <v>62</v>
      </c>
      <c r="T131" s="99">
        <f t="shared" ca="1" si="65"/>
        <v>10.33</v>
      </c>
      <c r="U131" s="102">
        <f t="shared" ca="1" si="66"/>
        <v>206.6</v>
      </c>
      <c r="W131" s="1" t="str">
        <f ca="1">IF(OR($A131=0,$A131="S",$A131&gt;CFF!$A$9),"",MAX(W$11:OFFSET(W131,-1,0))+1)</f>
        <v/>
      </c>
      <c r="X131" s="3" t="str">
        <f t="shared" si="67"/>
        <v>Rec. Humanos-005</v>
      </c>
      <c r="Y131" s="1">
        <f t="shared" ca="1" si="68"/>
        <v>7</v>
      </c>
      <c r="AA131" s="106">
        <f>IF($J131=$G$2,ROUND(IF(ISNUMBER(S131),S131,IF(LEFT(S131,2)="DI",HLOOKUP(S131,DADOS!$T$29:$X$30,2,FALSE),0)),4),"")</f>
        <v>0.25</v>
      </c>
      <c r="AB131" s="1"/>
    </row>
    <row r="132" spans="1:28" x14ac:dyDescent="0.2">
      <c r="A132" t="str">
        <f t="shared" si="54"/>
        <v>S</v>
      </c>
      <c r="B132">
        <f t="shared" si="55"/>
        <v>0</v>
      </c>
      <c r="C132">
        <f t="shared" ca="1" si="56"/>
        <v>4</v>
      </c>
      <c r="D132">
        <f t="shared" ca="1" si="57"/>
        <v>1</v>
      </c>
      <c r="E132">
        <f t="shared" ca="1" si="58"/>
        <v>0</v>
      </c>
      <c r="F132">
        <f t="shared" ca="1" si="59"/>
        <v>0</v>
      </c>
      <c r="G132">
        <f t="shared" ca="1" si="60"/>
        <v>6</v>
      </c>
      <c r="H132">
        <f t="shared" ca="1" si="35"/>
        <v>0</v>
      </c>
      <c r="I132">
        <f t="shared" ca="1" si="36"/>
        <v>0</v>
      </c>
      <c r="J132" s="105" t="s">
        <v>29</v>
      </c>
      <c r="K132" s="97" t="str">
        <f t="shared" ca="1" si="61"/>
        <v>4.1.6.</v>
      </c>
      <c r="L132" s="110">
        <f t="shared" ca="1" si="62"/>
        <v>0</v>
      </c>
      <c r="M132" s="98" t="s">
        <v>78</v>
      </c>
      <c r="N132" s="112" t="s">
        <v>221</v>
      </c>
      <c r="O132" s="110" t="str">
        <f t="shared" ca="1" si="69"/>
        <v>Estagiarios</v>
      </c>
      <c r="P132" s="111" t="str">
        <f t="shared" ca="1" si="63"/>
        <v>hora</v>
      </c>
      <c r="Q132" s="107">
        <v>20</v>
      </c>
      <c r="R132" s="100">
        <f t="shared" ca="1" si="64"/>
        <v>8.26</v>
      </c>
      <c r="S132" s="109" t="s">
        <v>62</v>
      </c>
      <c r="T132" s="99">
        <f t="shared" ca="1" si="65"/>
        <v>10.33</v>
      </c>
      <c r="U132" s="102">
        <f t="shared" ca="1" si="66"/>
        <v>206.6</v>
      </c>
      <c r="W132" s="1" t="str">
        <f ca="1">IF(OR($A132=0,$A132="S",$A132&gt;CFF!$A$9),"",MAX(W$11:OFFSET(W132,-1,0))+1)</f>
        <v/>
      </c>
      <c r="X132" s="3" t="str">
        <f t="shared" si="67"/>
        <v>Rec. Humanos-005</v>
      </c>
      <c r="Y132" s="1">
        <f t="shared" ca="1" si="68"/>
        <v>7</v>
      </c>
      <c r="AA132" s="106">
        <f>IF($J132=$G$2,ROUND(IF(ISNUMBER(S132),S132,IF(LEFT(S132,2)="DI",HLOOKUP(S132,DADOS!$T$29:$X$30,2,FALSE),0)),4),"")</f>
        <v>0.25</v>
      </c>
      <c r="AB132" s="1"/>
    </row>
    <row r="133" spans="1:28" x14ac:dyDescent="0.2">
      <c r="A133" t="str">
        <f t="shared" si="54"/>
        <v>S</v>
      </c>
      <c r="B133">
        <f t="shared" si="55"/>
        <v>0</v>
      </c>
      <c r="C133">
        <f t="shared" ca="1" si="56"/>
        <v>4</v>
      </c>
      <c r="D133">
        <f t="shared" ca="1" si="57"/>
        <v>1</v>
      </c>
      <c r="E133">
        <f t="shared" ca="1" si="58"/>
        <v>0</v>
      </c>
      <c r="F133">
        <f t="shared" ca="1" si="59"/>
        <v>0</v>
      </c>
      <c r="G133">
        <f t="shared" ca="1" si="60"/>
        <v>7</v>
      </c>
      <c r="H133">
        <f t="shared" ca="1" si="35"/>
        <v>0</v>
      </c>
      <c r="I133">
        <f t="shared" ca="1" si="36"/>
        <v>0</v>
      </c>
      <c r="J133" s="105" t="s">
        <v>29</v>
      </c>
      <c r="K133" s="97" t="str">
        <f t="shared" ca="1" si="61"/>
        <v>4.1.7.</v>
      </c>
      <c r="L133" s="110">
        <f t="shared" ca="1" si="62"/>
        <v>0</v>
      </c>
      <c r="M133" s="98" t="s">
        <v>78</v>
      </c>
      <c r="N133" s="112" t="s">
        <v>221</v>
      </c>
      <c r="O133" s="110" t="str">
        <f t="shared" ca="1" si="69"/>
        <v>Estagiarios</v>
      </c>
      <c r="P133" s="111" t="str">
        <f t="shared" ca="1" si="63"/>
        <v>hora</v>
      </c>
      <c r="Q133" s="107">
        <v>20</v>
      </c>
      <c r="R133" s="100">
        <f t="shared" ca="1" si="64"/>
        <v>8.26</v>
      </c>
      <c r="S133" s="109" t="s">
        <v>62</v>
      </c>
      <c r="T133" s="99">
        <f t="shared" ca="1" si="65"/>
        <v>10.33</v>
      </c>
      <c r="U133" s="102">
        <f t="shared" ca="1" si="66"/>
        <v>206.6</v>
      </c>
      <c r="W133" s="1" t="str">
        <f ca="1">IF(OR($A133=0,$A133="S",$A133&gt;CFF!$A$9),"",MAX(W$11:OFFSET(W133,-1,0))+1)</f>
        <v/>
      </c>
      <c r="X133" s="3" t="str">
        <f t="shared" si="67"/>
        <v>Rec. Humanos-005</v>
      </c>
      <c r="Y133" s="1">
        <f t="shared" ca="1" si="68"/>
        <v>7</v>
      </c>
      <c r="AA133" s="106">
        <f>IF($J133=$G$2,ROUND(IF(ISNUMBER(S133),S133,IF(LEFT(S133,2)="DI",HLOOKUP(S133,DADOS!$T$29:$X$30,2,FALSE),0)),4),"")</f>
        <v>0.25</v>
      </c>
      <c r="AB133" s="1"/>
    </row>
    <row r="134" spans="1:28" x14ac:dyDescent="0.2">
      <c r="A134" t="str">
        <f t="shared" ref="A134:A141" si="70">CHOOSE(1+LOG(1+2*(J134=$C$2)+4*(J134=$D$2)+8*(J134=$E$2)+16*(J134=$F$2)+32*(J134=$G$2),2),0,1,2,3,4,"S")</f>
        <v>S</v>
      </c>
      <c r="B134">
        <f t="shared" ref="B134:B141" si="71">IF(OR(A134="S",A134=0),0,IF(ISERROR(I134),H134,SMALL(H134:I134,1)))</f>
        <v>0</v>
      </c>
      <c r="C134">
        <f t="shared" ref="C134:C141" ca="1" si="72">IF($A134=1,OFFSET(C134,-1,0)+1,OFFSET(C134,-1,0))</f>
        <v>4</v>
      </c>
      <c r="D134">
        <f t="shared" ref="D134:D141" ca="1" si="73">IF($A134=1,0,IF($A134=2,OFFSET(D134,-1,0)+1,OFFSET(D134,-1,0)))</f>
        <v>1</v>
      </c>
      <c r="E134">
        <f t="shared" ref="E134:E141" ca="1" si="74">IF(AND($A134&lt;=2,$A134&lt;&gt;0),0,IF($A134=3,OFFSET(E134,-1,0)+1,OFFSET(E134,-1,0)))</f>
        <v>0</v>
      </c>
      <c r="F134">
        <f t="shared" ref="F134:F141" ca="1" si="75">IF(AND($A134&lt;=3,$A134&lt;&gt;0),0,IF($A134=4,OFFSET(F134,-1,0)+1,OFFSET(F134,-1,0)))</f>
        <v>0</v>
      </c>
      <c r="G134">
        <f t="shared" ref="G134:G141" ca="1" si="76">IF(AND($A134&lt;=4,$A134&lt;&gt;0),0,IF($A134="S",OFFSET(G134,-1,0)+1,OFFSET(G134,-1,0)))</f>
        <v>8</v>
      </c>
      <c r="H134">
        <f t="shared" ca="1" si="35"/>
        <v>0</v>
      </c>
      <c r="I134">
        <f t="shared" ca="1" si="36"/>
        <v>0</v>
      </c>
      <c r="J134" s="105" t="s">
        <v>29</v>
      </c>
      <c r="K134" s="97" t="str">
        <f t="shared" ref="K134:K141" ca="1" si="77">IF($A134=0,"-",CONCATENATE(C134&amp;".",IF(AND($A$5&gt;=2,$A134&gt;=2),D134&amp;".",""),IF(AND($A$5&gt;=3,$A134&gt;=3),E134&amp;".",""),IF(AND($A$5&gt;=4,$A134&gt;=4),F134&amp;".",""),IF($A134="S",G134&amp;".","")))</f>
        <v>4.1.8.</v>
      </c>
      <c r="L134" s="110">
        <f t="shared" ref="L134:L141" ca="1" si="78">IF(NOT(ISERROR($Y134)),IF($Y134&lt;&gt;FALSE,INDEX(Banco,$Y134,4),""),"")</f>
        <v>0</v>
      </c>
      <c r="M134" s="98" t="s">
        <v>78</v>
      </c>
      <c r="N134" s="112" t="s">
        <v>221</v>
      </c>
      <c r="O134" s="110" t="str">
        <f t="shared" ca="1" si="69"/>
        <v>Estagiarios</v>
      </c>
      <c r="P134" s="111" t="str">
        <f t="shared" ref="P134:P141" ca="1" si="79">IF(NOT(ISERROR($Y134)),IF($Y134&lt;&gt;FALSE,INDEX(Banco,$Y134,6),""),"")</f>
        <v>hora</v>
      </c>
      <c r="Q134" s="107">
        <v>20</v>
      </c>
      <c r="R134" s="100">
        <f t="shared" ref="R134:R141" ca="1" si="80">IF(NOT(ISERROR($Y134)),IF($Y134&lt;&gt;FALSE,INDEX(Banco,$Y134,7),0),0)</f>
        <v>8.26</v>
      </c>
      <c r="S134" s="109" t="s">
        <v>62</v>
      </c>
      <c r="T134" s="99">
        <f t="shared" ref="T134:T141" ca="1" si="81">IF($J134=$G$2,ROUND(ROUND($R134,2)*IF($R$9="Preço Unitário (R$)",1,1+$AA134),2),0)</f>
        <v>10.33</v>
      </c>
      <c r="U134" s="102">
        <f t="shared" ref="U134:U141" ca="1" si="82">IF($A134="S",VTOTAL1,IF($A134=0,0,ROUND(SomaAgrup,2)))</f>
        <v>206.6</v>
      </c>
      <c r="W134" s="1" t="str">
        <f ca="1">IF(OR($A134=0,$A134="S",$A134&gt;CFF!$A$9),"",MAX(W$11:OFFSET(W134,-1,0))+1)</f>
        <v/>
      </c>
      <c r="X134" s="3" t="str">
        <f t="shared" ref="X134:X141" si="83">IF(AND($J134=$G$2,$N134&lt;&gt;"",$M134&lt;&gt;""),CONCATENATE($M134,"-",$N134))</f>
        <v>Rec. Humanos-005</v>
      </c>
      <c r="Y134" s="1">
        <f t="shared" ref="Y134:Y141" ca="1" si="84">IF(X134&lt;&gt;FALSE,MATCH(X134,OFFSET(Banco,0,0,,1),0))</f>
        <v>7</v>
      </c>
      <c r="AA134" s="106">
        <f>IF($J134=$G$2,ROUND(IF(ISNUMBER(S134),S134,IF(LEFT(S134,2)="DI",HLOOKUP(S134,DADOS!$T$29:$X$30,2,FALSE),0)),4),"")</f>
        <v>0.25</v>
      </c>
      <c r="AB134" s="1"/>
    </row>
    <row r="135" spans="1:28" x14ac:dyDescent="0.2">
      <c r="A135" t="str">
        <f>CHOOSE(1+LOG(1+2*(J135=$C$2)+4*(J135=$D$2)+8*(J135=$E$2)+16*(J135=$F$2)+32*(J135=$G$2),2),0,1,2,3,4,"S")</f>
        <v>S</v>
      </c>
      <c r="B135">
        <f>IF(OR(A135="S",A135=0),0,IF(ISERROR(I135),H135,SMALL(H135:I135,1)))</f>
        <v>0</v>
      </c>
      <c r="C135">
        <f ca="1">IF($A135=1,OFFSET(C135,-1,0)+1,OFFSET(C135,-1,0))</f>
        <v>4</v>
      </c>
      <c r="D135">
        <f ca="1">IF($A135=1,0,IF($A135=2,OFFSET(D135,-1,0)+1,OFFSET(D135,-1,0)))</f>
        <v>1</v>
      </c>
      <c r="E135">
        <f ca="1">IF(AND($A135&lt;=2,$A135&lt;&gt;0),0,IF($A135=3,OFFSET(E135,-1,0)+1,OFFSET(E135,-1,0)))</f>
        <v>0</v>
      </c>
      <c r="F135">
        <f ca="1">IF(AND($A135&lt;=3,$A135&lt;&gt;0),0,IF($A135=4,OFFSET(F135,-1,0)+1,OFFSET(F135,-1,0)))</f>
        <v>0</v>
      </c>
      <c r="G135">
        <f ca="1">IF(AND($A135&lt;=4,$A135&lt;&gt;0),0,IF($A135="S",OFFSET(G135,-1,0)+1,OFFSET(G135,-1,0)))</f>
        <v>9</v>
      </c>
      <c r="H135">
        <f t="shared" ca="1" si="35"/>
        <v>0</v>
      </c>
      <c r="I135">
        <f t="shared" ca="1" si="36"/>
        <v>0</v>
      </c>
      <c r="J135" s="105" t="s">
        <v>29</v>
      </c>
      <c r="K135" s="97" t="str">
        <f ca="1">IF($A135=0,"-",CONCATENATE(C135&amp;".",IF(AND($A$5&gt;=2,$A135&gt;=2),D135&amp;".",""),IF(AND($A$5&gt;=3,$A135&gt;=3),E135&amp;".",""),IF(AND($A$5&gt;=4,$A135&gt;=4),F135&amp;".",""),IF($A135="S",G135&amp;".","")))</f>
        <v>4.1.9.</v>
      </c>
      <c r="L135" s="110">
        <f ca="1">IF(NOT(ISERROR($Y135)),IF($Y135&lt;&gt;FALSE,INDEX(Banco,$Y135,4),""),"")</f>
        <v>0</v>
      </c>
      <c r="M135" s="98" t="s">
        <v>79</v>
      </c>
      <c r="N135" s="112" t="s">
        <v>241</v>
      </c>
      <c r="O135" s="110" t="str">
        <f ca="1">IF(NOT(ISERROR($Y135)),IF($Y135&lt;&gt;FALSE,INDEX(Banco,$Y135,5),""),"")</f>
        <v>Fotocopia preto e branco</v>
      </c>
      <c r="P135" s="111" t="str">
        <f ca="1">IF(NOT(ISERROR($Y135)),IF($Y135&lt;&gt;FALSE,INDEX(Banco,$Y135,6),""),"")</f>
        <v>UNIDADE</v>
      </c>
      <c r="Q135" s="107">
        <v>100</v>
      </c>
      <c r="R135" s="100">
        <f ca="1">IF(NOT(ISERROR($Y135)),IF($Y135&lt;&gt;FALSE,INDEX(Banco,$Y135,7),0),0)</f>
        <v>0.25</v>
      </c>
      <c r="S135" s="109" t="s">
        <v>62</v>
      </c>
      <c r="T135" s="99">
        <f ca="1">IF($J135=$G$2,ROUND(ROUND($R135,2)*IF($R$9="Preço Unitário (R$)",1,1+$AA135),2),0)</f>
        <v>0.31</v>
      </c>
      <c r="U135" s="102">
        <f ca="1">IF($A135="S",VTOTAL1,IF($A135=0,0,ROUND(SomaAgrup,2)))</f>
        <v>31</v>
      </c>
      <c r="W135" s="1" t="str">
        <f ca="1">IF(OR($A135=0,$A135="S",$A135&gt;CFF!$A$9),"",MAX(W$11:OFFSET(W135,-1,0))+1)</f>
        <v/>
      </c>
      <c r="X135" s="3" t="str">
        <f>IF(AND($J135=$G$2,$N135&lt;&gt;"",$M135&lt;&gt;""),CONCATENATE($M135,"-",$N135))</f>
        <v>Rec. Materiais-015</v>
      </c>
      <c r="Y135" s="1">
        <f ca="1">IF(X135&lt;&gt;FALSE,MATCH(X135,OFFSET(Banco,0,0,,1),0))</f>
        <v>22</v>
      </c>
      <c r="AA135" s="106">
        <f>IF($J135=$G$2,ROUND(IF(ISNUMBER(S135),S135,IF(LEFT(S135,2)="DI",HLOOKUP(S135,DADOS!$T$29:$X$30,2,FALSE),0)),4),"")</f>
        <v>0.25</v>
      </c>
      <c r="AB135" s="1"/>
    </row>
    <row r="136" spans="1:28" x14ac:dyDescent="0.2">
      <c r="A136" t="str">
        <f t="shared" si="70"/>
        <v>S</v>
      </c>
      <c r="B136">
        <f t="shared" si="71"/>
        <v>0</v>
      </c>
      <c r="C136">
        <f t="shared" ca="1" si="72"/>
        <v>4</v>
      </c>
      <c r="D136">
        <f t="shared" ca="1" si="73"/>
        <v>1</v>
      </c>
      <c r="E136">
        <f t="shared" ca="1" si="74"/>
        <v>0</v>
      </c>
      <c r="F136">
        <f t="shared" ca="1" si="75"/>
        <v>0</v>
      </c>
      <c r="G136">
        <f t="shared" ca="1" si="76"/>
        <v>10</v>
      </c>
      <c r="H136">
        <f t="shared" ca="1" si="35"/>
        <v>0</v>
      </c>
      <c r="I136">
        <f t="shared" ca="1" si="36"/>
        <v>0</v>
      </c>
      <c r="J136" s="105" t="s">
        <v>29</v>
      </c>
      <c r="K136" s="97" t="str">
        <f t="shared" ca="1" si="77"/>
        <v>4.1.10.</v>
      </c>
      <c r="L136" s="110">
        <f t="shared" ca="1" si="78"/>
        <v>0</v>
      </c>
      <c r="M136" s="98" t="s">
        <v>79</v>
      </c>
      <c r="N136" s="112" t="s">
        <v>227</v>
      </c>
      <c r="O136" s="110" t="str">
        <f t="shared" ca="1" si="69"/>
        <v>Copo de agua 300 ml Lebrinha/Brunado</v>
      </c>
      <c r="P136" s="111" t="str">
        <f t="shared" ca="1" si="79"/>
        <v>UNIDADE</v>
      </c>
      <c r="Q136" s="107">
        <v>100</v>
      </c>
      <c r="R136" s="100">
        <f t="shared" ca="1" si="80"/>
        <v>4.2</v>
      </c>
      <c r="S136" s="109" t="s">
        <v>62</v>
      </c>
      <c r="T136" s="99">
        <f t="shared" ca="1" si="81"/>
        <v>5.25</v>
      </c>
      <c r="U136" s="102">
        <f t="shared" ca="1" si="82"/>
        <v>525</v>
      </c>
      <c r="W136" s="1" t="str">
        <f ca="1">IF(OR($A136=0,$A136="S",$A136&gt;CFF!$A$9),"",MAX(W$11:OFFSET(W136,-1,0))+1)</f>
        <v/>
      </c>
      <c r="X136" s="3" t="str">
        <f t="shared" si="83"/>
        <v>Rec. Materiais-014</v>
      </c>
      <c r="Y136" s="1">
        <f t="shared" ca="1" si="84"/>
        <v>21</v>
      </c>
      <c r="AA136" s="106">
        <f>IF($J136=$G$2,ROUND(IF(ISNUMBER(S136),S136,IF(LEFT(S136,2)="DI",HLOOKUP(S136,DADOS!$T$29:$X$30,2,FALSE),0)),4),"")</f>
        <v>0.25</v>
      </c>
      <c r="AB136" s="1"/>
    </row>
    <row r="137" spans="1:28" x14ac:dyDescent="0.2">
      <c r="A137" t="str">
        <f t="shared" si="70"/>
        <v>S</v>
      </c>
      <c r="B137">
        <f t="shared" si="71"/>
        <v>0</v>
      </c>
      <c r="C137">
        <f t="shared" ca="1" si="72"/>
        <v>4</v>
      </c>
      <c r="D137">
        <f t="shared" ca="1" si="73"/>
        <v>1</v>
      </c>
      <c r="E137">
        <f t="shared" ca="1" si="74"/>
        <v>0</v>
      </c>
      <c r="F137">
        <f t="shared" ca="1" si="75"/>
        <v>0</v>
      </c>
      <c r="G137">
        <f t="shared" ca="1" si="76"/>
        <v>11</v>
      </c>
      <c r="H137">
        <f t="shared" ca="1" si="35"/>
        <v>0</v>
      </c>
      <c r="I137">
        <f t="shared" ca="1" si="36"/>
        <v>0</v>
      </c>
      <c r="J137" s="105" t="s">
        <v>29</v>
      </c>
      <c r="K137" s="97" t="str">
        <f t="shared" ca="1" si="77"/>
        <v>4.1.11.</v>
      </c>
      <c r="L137" s="110">
        <f t="shared" ca="1" si="78"/>
        <v>0</v>
      </c>
      <c r="M137" s="98" t="s">
        <v>80</v>
      </c>
      <c r="N137" s="112" t="s">
        <v>231</v>
      </c>
      <c r="O137" s="110" t="str">
        <f t="shared" ca="1" si="69"/>
        <v xml:space="preserve">Impressão Colorida 1 folha </v>
      </c>
      <c r="P137" s="111" t="str">
        <f t="shared" ca="1" si="79"/>
        <v>unidade</v>
      </c>
      <c r="Q137" s="107">
        <v>261</v>
      </c>
      <c r="R137" s="100">
        <f t="shared" ca="1" si="80"/>
        <v>2.5</v>
      </c>
      <c r="S137" s="109" t="s">
        <v>62</v>
      </c>
      <c r="T137" s="99">
        <f t="shared" ca="1" si="81"/>
        <v>3.13</v>
      </c>
      <c r="U137" s="102">
        <f t="shared" ca="1" si="82"/>
        <v>816.93</v>
      </c>
      <c r="W137" s="1" t="str">
        <f ca="1">IF(OR($A137=0,$A137="S",$A137&gt;CFF!$A$9),"",MAX(W$11:OFFSET(W137,-1,0))+1)</f>
        <v/>
      </c>
      <c r="X137" s="3" t="str">
        <f t="shared" si="83"/>
        <v>Serv. Terc.-004</v>
      </c>
      <c r="Y137" s="1">
        <f t="shared" ca="1" si="84"/>
        <v>50</v>
      </c>
      <c r="AA137" s="106">
        <f>IF($J137=$G$2,ROUND(IF(ISNUMBER(S137),S137,IF(LEFT(S137,2)="DI",HLOOKUP(S137,DADOS!$T$29:$X$30,2,FALSE),0)),4),"")</f>
        <v>0.25</v>
      </c>
      <c r="AB137" s="1"/>
    </row>
    <row r="138" spans="1:28" x14ac:dyDescent="0.2">
      <c r="A138">
        <f>CHOOSE(1+LOG(1+2*(J138=$C$2)+4*(J138=$D$2)+8*(J138=$E$2)+16*(J138=$F$2)+32*(J138=$G$2),2),0,1,2,3,4,"S")</f>
        <v>2</v>
      </c>
      <c r="B138">
        <f ca="1">IF(OR(A138="S",A138=0),0,IF(ISERROR(I138),H138,SMALL(H138:I138,1)))</f>
        <v>26</v>
      </c>
      <c r="C138">
        <f ca="1">IF($A138=1,OFFSET(C138,-1,0)+1,OFFSET(C138,-1,0))</f>
        <v>4</v>
      </c>
      <c r="D138">
        <f ca="1">IF($A138=1,0,IF($A138=2,OFFSET(D138,-1,0)+1,OFFSET(D138,-1,0)))</f>
        <v>2</v>
      </c>
      <c r="E138">
        <f ca="1">IF(AND($A138&lt;=2,$A138&lt;&gt;0),0,IF($A138=3,OFFSET(E138,-1,0)+1,OFFSET(E138,-1,0)))</f>
        <v>0</v>
      </c>
      <c r="F138">
        <f ca="1">IF(AND($A138&lt;=3,$A138&lt;&gt;0),0,IF($A138=4,OFFSET(F138,-1,0)+1,OFFSET(F138,-1,0)))</f>
        <v>0</v>
      </c>
      <c r="G138">
        <f ca="1">IF(AND($A138&lt;=4,$A138&lt;&gt;0),0,IF($A138="S",OFFSET(G138,-1,0)+1,OFFSET(G138,-1,0)))</f>
        <v>0</v>
      </c>
      <c r="H138">
        <f t="shared" ca="1" si="35"/>
        <v>26</v>
      </c>
      <c r="I138" t="e">
        <f t="shared" ca="1" si="36"/>
        <v>#N/A</v>
      </c>
      <c r="J138" s="105" t="s">
        <v>68</v>
      </c>
      <c r="K138" s="97" t="str">
        <f ca="1">IF($A138=0,"-",CONCATENATE(C138&amp;".",IF(AND($A$5&gt;=2,$A138&gt;=2),D138&amp;".",""),IF(AND($A$5&gt;=3,$A138&gt;=3),E138&amp;".",""),IF(AND($A$5&gt;=4,$A138&gt;=4),F138&amp;".",""),IF($A138="S",G138&amp;".","")))</f>
        <v>4.2.</v>
      </c>
      <c r="L138" s="110" t="str">
        <f ca="1">IF(NOT(ISERROR($Y138)),IF($Y138&lt;&gt;FALSE,INDEX(Banco,$Y138,4),""),"")</f>
        <v/>
      </c>
      <c r="M138" s="98"/>
      <c r="N138" s="112"/>
      <c r="O138" s="110" t="s">
        <v>273</v>
      </c>
      <c r="P138" s="111" t="str">
        <f ca="1">IF(NOT(ISERROR($Y138)),IF($Y138&lt;&gt;FALSE,INDEX(Banco,$Y138,6),""),"")</f>
        <v/>
      </c>
      <c r="Q138" s="107"/>
      <c r="R138" s="100">
        <f ca="1">IF(NOT(ISERROR($Y138)),IF($Y138&lt;&gt;FALSE,INDEX(Banco,$Y138,7),0),0)</f>
        <v>0</v>
      </c>
      <c r="S138" s="109" t="s">
        <v>62</v>
      </c>
      <c r="T138" s="99">
        <f>IF($J138=$G$2,ROUND(ROUND($R138,2)*IF($R$9="Preço Unitário (R$)",1,1+$AA138),2),0)</f>
        <v>0</v>
      </c>
      <c r="U138" s="102">
        <f ca="1">IF($A138="S",VTOTAL1,IF($A138=0,0,ROUND(SomaAgrup,2)))</f>
        <v>16071.61</v>
      </c>
      <c r="W138" s="1">
        <f ca="1">IF(OR($A138=0,$A138="S",$A138&gt;CFF!$A$9),"",MAX(W$11:OFFSET(W138,-1,0))+1)</f>
        <v>11</v>
      </c>
      <c r="X138" s="3" t="b">
        <f>IF(AND($J138=$G$2,$N138&lt;&gt;"",$M138&lt;&gt;""),CONCATENATE($M138,"-",$N138))</f>
        <v>0</v>
      </c>
      <c r="Y138" s="1" t="b">
        <f ca="1">IF(X138&lt;&gt;FALSE,MATCH(X138,OFFSET(Banco,0,0,,1),0))</f>
        <v>0</v>
      </c>
      <c r="AA138" s="106" t="str">
        <f>IF($J138=$G$2,ROUND(IF(ISNUMBER(S138),S138,IF(LEFT(S138,2)="DI",HLOOKUP(S138,DADOS!$T$29:$X$30,2,FALSE),0)),4),"")</f>
        <v/>
      </c>
      <c r="AB138" s="1"/>
    </row>
    <row r="139" spans="1:28" x14ac:dyDescent="0.2">
      <c r="A139" t="str">
        <f t="shared" si="70"/>
        <v>S</v>
      </c>
      <c r="B139">
        <f t="shared" si="71"/>
        <v>0</v>
      </c>
      <c r="C139">
        <f t="shared" ca="1" si="72"/>
        <v>4</v>
      </c>
      <c r="D139">
        <f t="shared" ca="1" si="73"/>
        <v>2</v>
      </c>
      <c r="E139">
        <f t="shared" ca="1" si="74"/>
        <v>0</v>
      </c>
      <c r="F139">
        <f t="shared" ca="1" si="75"/>
        <v>0</v>
      </c>
      <c r="G139">
        <f t="shared" ca="1" si="76"/>
        <v>1</v>
      </c>
      <c r="H139">
        <f t="shared" ca="1" si="35"/>
        <v>0</v>
      </c>
      <c r="I139">
        <f t="shared" ca="1" si="36"/>
        <v>0</v>
      </c>
      <c r="J139" s="105" t="s">
        <v>29</v>
      </c>
      <c r="K139" s="97" t="str">
        <f t="shared" ca="1" si="77"/>
        <v>4.2.1.</v>
      </c>
      <c r="L139" s="110" t="str">
        <f t="shared" ca="1" si="78"/>
        <v>CRESS</v>
      </c>
      <c r="M139" s="98" t="s">
        <v>78</v>
      </c>
      <c r="N139" s="112" t="s">
        <v>218</v>
      </c>
      <c r="O139" s="110" t="str">
        <f t="shared" ref="O139:O163" ca="1" si="85">IF(NOT(ISERROR($Y139)),IF($Y139&lt;&gt;FALSE,INDEX(Banco,$Y139,5),""),"")</f>
        <v>RT</v>
      </c>
      <c r="P139" s="111" t="str">
        <f t="shared" ca="1" si="79"/>
        <v>hora</v>
      </c>
      <c r="Q139" s="107">
        <v>20</v>
      </c>
      <c r="R139" s="100">
        <f t="shared" ca="1" si="80"/>
        <v>150.28</v>
      </c>
      <c r="S139" s="109" t="s">
        <v>62</v>
      </c>
      <c r="T139" s="99">
        <f t="shared" ca="1" si="81"/>
        <v>187.85</v>
      </c>
      <c r="U139" s="102">
        <f t="shared" ca="1" si="82"/>
        <v>3757</v>
      </c>
      <c r="W139" s="1" t="str">
        <f ca="1">IF(OR($A139=0,$A139="S",$A139&gt;CFF!$A$9),"",MAX(W$11:OFFSET(W139,-1,0))+1)</f>
        <v/>
      </c>
      <c r="X139" s="3" t="str">
        <f t="shared" si="83"/>
        <v>Rec. Humanos-001</v>
      </c>
      <c r="Y139" s="1">
        <f t="shared" ca="1" si="84"/>
        <v>3</v>
      </c>
      <c r="AA139" s="106">
        <f>IF($J139=$G$2,ROUND(IF(ISNUMBER(S139),S139,IF(LEFT(S139,2)="DI",HLOOKUP(S139,DADOS!$T$29:$X$30,2,FALSE),0)),4),"")</f>
        <v>0.25</v>
      </c>
      <c r="AB139" s="1"/>
    </row>
    <row r="140" spans="1:28" x14ac:dyDescent="0.2">
      <c r="A140" t="str">
        <f t="shared" si="70"/>
        <v>S</v>
      </c>
      <c r="B140">
        <f t="shared" si="71"/>
        <v>0</v>
      </c>
      <c r="C140">
        <f t="shared" ca="1" si="72"/>
        <v>4</v>
      </c>
      <c r="D140">
        <f t="shared" ca="1" si="73"/>
        <v>2</v>
      </c>
      <c r="E140">
        <f t="shared" ca="1" si="74"/>
        <v>0</v>
      </c>
      <c r="F140">
        <f t="shared" ca="1" si="75"/>
        <v>0</v>
      </c>
      <c r="G140">
        <f t="shared" ca="1" si="76"/>
        <v>2</v>
      </c>
      <c r="H140">
        <f t="shared" ref="H140:H203" ca="1" si="86">IF(OR($A140="S",$A140=0),0,MATCH(0,OFFSET($B140,1,$A140,ROW($A$367)-ROW($A140)),0))</f>
        <v>0</v>
      </c>
      <c r="I140">
        <f t="shared" ref="I140:I203" ca="1" si="87">IF(OR($A140="S",$A140=0),0,MATCH(OFFSET($B140,0,$A140)+1,OFFSET($B140,1,$A140,ROW($A$367)-ROW($A140)),0))</f>
        <v>0</v>
      </c>
      <c r="J140" s="105" t="s">
        <v>29</v>
      </c>
      <c r="K140" s="97" t="str">
        <f t="shared" ca="1" si="77"/>
        <v>4.2.2.</v>
      </c>
      <c r="L140" s="110">
        <f t="shared" ca="1" si="78"/>
        <v>0</v>
      </c>
      <c r="M140" s="98" t="s">
        <v>78</v>
      </c>
      <c r="N140" s="112" t="s">
        <v>219</v>
      </c>
      <c r="O140" s="110" t="str">
        <f t="shared" ca="1" si="85"/>
        <v>Assistente Social</v>
      </c>
      <c r="P140" s="111" t="str">
        <f t="shared" ca="1" si="79"/>
        <v>hora</v>
      </c>
      <c r="Q140" s="107">
        <v>20</v>
      </c>
      <c r="R140" s="100">
        <f t="shared" ca="1" si="80"/>
        <v>133.81</v>
      </c>
      <c r="S140" s="109" t="s">
        <v>62</v>
      </c>
      <c r="T140" s="99">
        <f t="shared" ca="1" si="81"/>
        <v>167.26</v>
      </c>
      <c r="U140" s="102">
        <f t="shared" ca="1" si="82"/>
        <v>3345.2</v>
      </c>
      <c r="W140" s="1" t="str">
        <f ca="1">IF(OR($A140=0,$A140="S",$A140&gt;CFF!$A$9),"",MAX(W$11:OFFSET(W140,-1,0))+1)</f>
        <v/>
      </c>
      <c r="X140" s="3" t="str">
        <f t="shared" si="83"/>
        <v>Rec. Humanos-002</v>
      </c>
      <c r="Y140" s="1">
        <f t="shared" ca="1" si="84"/>
        <v>4</v>
      </c>
      <c r="AA140" s="106">
        <f>IF($J140=$G$2,ROUND(IF(ISNUMBER(S140),S140,IF(LEFT(S140,2)="DI",HLOOKUP(S140,DADOS!$T$29:$X$30,2,FALSE),0)),4),"")</f>
        <v>0.25</v>
      </c>
      <c r="AB140" s="1"/>
    </row>
    <row r="141" spans="1:28" x14ac:dyDescent="0.2">
      <c r="A141" t="str">
        <f t="shared" si="70"/>
        <v>S</v>
      </c>
      <c r="B141">
        <f t="shared" si="71"/>
        <v>0</v>
      </c>
      <c r="C141">
        <f t="shared" ca="1" si="72"/>
        <v>4</v>
      </c>
      <c r="D141">
        <f t="shared" ca="1" si="73"/>
        <v>2</v>
      </c>
      <c r="E141">
        <f t="shared" ca="1" si="74"/>
        <v>0</v>
      </c>
      <c r="F141">
        <f t="shared" ca="1" si="75"/>
        <v>0</v>
      </c>
      <c r="G141">
        <f t="shared" ca="1" si="76"/>
        <v>3</v>
      </c>
      <c r="H141">
        <f t="shared" ca="1" si="86"/>
        <v>0</v>
      </c>
      <c r="I141">
        <f t="shared" ca="1" si="87"/>
        <v>0</v>
      </c>
      <c r="J141" s="105" t="s">
        <v>29</v>
      </c>
      <c r="K141" s="97" t="str">
        <f t="shared" ca="1" si="77"/>
        <v>4.2.3.</v>
      </c>
      <c r="L141" s="110">
        <f t="shared" ca="1" si="78"/>
        <v>0</v>
      </c>
      <c r="M141" s="98" t="s">
        <v>78</v>
      </c>
      <c r="N141" s="112" t="s">
        <v>221</v>
      </c>
      <c r="O141" s="110" t="str">
        <f t="shared" ca="1" si="85"/>
        <v>Estagiarios</v>
      </c>
      <c r="P141" s="111" t="str">
        <f t="shared" ca="1" si="79"/>
        <v>hora</v>
      </c>
      <c r="Q141" s="107">
        <v>10</v>
      </c>
      <c r="R141" s="100">
        <f t="shared" ca="1" si="80"/>
        <v>8.26</v>
      </c>
      <c r="S141" s="109" t="s">
        <v>62</v>
      </c>
      <c r="T141" s="99">
        <f t="shared" ca="1" si="81"/>
        <v>10.33</v>
      </c>
      <c r="U141" s="102">
        <f t="shared" ca="1" si="82"/>
        <v>103.3</v>
      </c>
      <c r="W141" s="1" t="str">
        <f ca="1">IF(OR($A141=0,$A141="S",$A141&gt;CFF!$A$9),"",MAX(W$11:OFFSET(W141,-1,0))+1)</f>
        <v/>
      </c>
      <c r="X141" s="3" t="str">
        <f t="shared" si="83"/>
        <v>Rec. Humanos-005</v>
      </c>
      <c r="Y141" s="1">
        <f t="shared" ca="1" si="84"/>
        <v>7</v>
      </c>
      <c r="AA141" s="106">
        <f>IF($J141=$G$2,ROUND(IF(ISNUMBER(S141),S141,IF(LEFT(S141,2)="DI",HLOOKUP(S141,DADOS!$T$29:$X$30,2,FALSE),0)),4),"")</f>
        <v>0.25</v>
      </c>
      <c r="AB141" s="1"/>
    </row>
    <row r="142" spans="1:28" x14ac:dyDescent="0.2">
      <c r="A142" t="str">
        <f t="shared" ref="A142:A164" si="88">CHOOSE(1+LOG(1+2*(J142=$C$2)+4*(J142=$D$2)+8*(J142=$E$2)+16*(J142=$F$2)+32*(J142=$G$2),2),0,1,2,3,4,"S")</f>
        <v>S</v>
      </c>
      <c r="B142">
        <f t="shared" ref="B142:B164" si="89">IF(OR(A142="S",A142=0),0,IF(ISERROR(I142),H142,SMALL(H142:I142,1)))</f>
        <v>0</v>
      </c>
      <c r="C142">
        <f t="shared" ref="C142:C164" ca="1" si="90">IF($A142=1,OFFSET(C142,-1,0)+1,OFFSET(C142,-1,0))</f>
        <v>4</v>
      </c>
      <c r="D142">
        <f t="shared" ref="D142:D164" ca="1" si="91">IF($A142=1,0,IF($A142=2,OFFSET(D142,-1,0)+1,OFFSET(D142,-1,0)))</f>
        <v>2</v>
      </c>
      <c r="E142">
        <f t="shared" ref="E142:E164" ca="1" si="92">IF(AND($A142&lt;=2,$A142&lt;&gt;0),0,IF($A142=3,OFFSET(E142,-1,0)+1,OFFSET(E142,-1,0)))</f>
        <v>0</v>
      </c>
      <c r="F142">
        <f t="shared" ref="F142:F164" ca="1" si="93">IF(AND($A142&lt;=3,$A142&lt;&gt;0),0,IF($A142=4,OFFSET(F142,-1,0)+1,OFFSET(F142,-1,0)))</f>
        <v>0</v>
      </c>
      <c r="G142">
        <f t="shared" ref="G142:G164" ca="1" si="94">IF(AND($A142&lt;=4,$A142&lt;&gt;0),0,IF($A142="S",OFFSET(G142,-1,0)+1,OFFSET(G142,-1,0)))</f>
        <v>4</v>
      </c>
      <c r="H142">
        <f t="shared" ca="1" si="86"/>
        <v>0</v>
      </c>
      <c r="I142">
        <f t="shared" ca="1" si="87"/>
        <v>0</v>
      </c>
      <c r="J142" s="105" t="s">
        <v>29</v>
      </c>
      <c r="K142" s="97" t="str">
        <f t="shared" ref="K142:K164" ca="1" si="95">IF($A142=0,"-",CONCATENATE(C142&amp;".",IF(AND($A$5&gt;=2,$A142&gt;=2),D142&amp;".",""),IF(AND($A$5&gt;=3,$A142&gt;=3),E142&amp;".",""),IF(AND($A$5&gt;=4,$A142&gt;=4),F142&amp;".",""),IF($A142="S",G142&amp;".","")))</f>
        <v>4.2.4.</v>
      </c>
      <c r="L142" s="110">
        <f t="shared" ref="L142:L164" ca="1" si="96">IF(NOT(ISERROR($Y142)),IF($Y142&lt;&gt;FALSE,INDEX(Banco,$Y142,4),""),"")</f>
        <v>0</v>
      </c>
      <c r="M142" s="98" t="s">
        <v>78</v>
      </c>
      <c r="N142" s="112" t="s">
        <v>221</v>
      </c>
      <c r="O142" s="110" t="str">
        <f t="shared" ca="1" si="85"/>
        <v>Estagiarios</v>
      </c>
      <c r="P142" s="111" t="str">
        <f t="shared" ref="P142:P164" ca="1" si="97">IF(NOT(ISERROR($Y142)),IF($Y142&lt;&gt;FALSE,INDEX(Banco,$Y142,6),""),"")</f>
        <v>hora</v>
      </c>
      <c r="Q142" s="107">
        <v>10</v>
      </c>
      <c r="R142" s="100">
        <f t="shared" ref="R142:R164" ca="1" si="98">IF(NOT(ISERROR($Y142)),IF($Y142&lt;&gt;FALSE,INDEX(Banco,$Y142,7),0),0)</f>
        <v>8.26</v>
      </c>
      <c r="S142" s="109" t="s">
        <v>62</v>
      </c>
      <c r="T142" s="99">
        <f t="shared" ref="T142:T164" ca="1" si="99">IF($J142=$G$2,ROUND(ROUND($R142,2)*IF($R$9="Preço Unitário (R$)",1,1+$AA142),2),0)</f>
        <v>10.33</v>
      </c>
      <c r="U142" s="102">
        <f t="shared" ref="U142:U164" ca="1" si="100">IF($A142="S",VTOTAL1,IF($A142=0,0,ROUND(SomaAgrup,2)))</f>
        <v>103.3</v>
      </c>
      <c r="W142" s="1" t="str">
        <f ca="1">IF(OR($A142=0,$A142="S",$A142&gt;CFF!$A$9),"",MAX(W$11:OFFSET(W142,-1,0))+1)</f>
        <v/>
      </c>
      <c r="X142" s="3" t="str">
        <f t="shared" ref="X142:X164" si="101">IF(AND($J142=$G$2,$N142&lt;&gt;"",$M142&lt;&gt;""),CONCATENATE($M142,"-",$N142))</f>
        <v>Rec. Humanos-005</v>
      </c>
      <c r="Y142" s="1">
        <f t="shared" ref="Y142:Y164" ca="1" si="102">IF(X142&lt;&gt;FALSE,MATCH(X142,OFFSET(Banco,0,0,,1),0))</f>
        <v>7</v>
      </c>
      <c r="AA142" s="106">
        <f>IF($J142=$G$2,ROUND(IF(ISNUMBER(S142),S142,IF(LEFT(S142,2)="DI",HLOOKUP(S142,DADOS!$T$29:$X$30,2,FALSE),0)),4),"")</f>
        <v>0.25</v>
      </c>
      <c r="AB142" s="1"/>
    </row>
    <row r="143" spans="1:28" x14ac:dyDescent="0.2">
      <c r="A143" t="str">
        <f t="shared" si="88"/>
        <v>S</v>
      </c>
      <c r="B143">
        <f t="shared" si="89"/>
        <v>0</v>
      </c>
      <c r="C143">
        <f t="shared" ca="1" si="90"/>
        <v>4</v>
      </c>
      <c r="D143">
        <f t="shared" ca="1" si="91"/>
        <v>2</v>
      </c>
      <c r="E143">
        <f t="shared" ca="1" si="92"/>
        <v>0</v>
      </c>
      <c r="F143">
        <f t="shared" ca="1" si="93"/>
        <v>0</v>
      </c>
      <c r="G143">
        <f t="shared" ca="1" si="94"/>
        <v>5</v>
      </c>
      <c r="H143">
        <f t="shared" ca="1" si="86"/>
        <v>0</v>
      </c>
      <c r="I143">
        <f t="shared" ca="1" si="87"/>
        <v>0</v>
      </c>
      <c r="J143" s="105" t="s">
        <v>29</v>
      </c>
      <c r="K143" s="97" t="str">
        <f t="shared" ca="1" si="95"/>
        <v>4.2.5.</v>
      </c>
      <c r="L143" s="110">
        <f t="shared" ca="1" si="96"/>
        <v>0</v>
      </c>
      <c r="M143" s="98" t="s">
        <v>78</v>
      </c>
      <c r="N143" s="112" t="s">
        <v>221</v>
      </c>
      <c r="O143" s="110" t="str">
        <f t="shared" ca="1" si="85"/>
        <v>Estagiarios</v>
      </c>
      <c r="P143" s="111" t="str">
        <f t="shared" ca="1" si="97"/>
        <v>hora</v>
      </c>
      <c r="Q143" s="107">
        <v>10</v>
      </c>
      <c r="R143" s="100">
        <f t="shared" ca="1" si="98"/>
        <v>8.26</v>
      </c>
      <c r="S143" s="109" t="s">
        <v>62</v>
      </c>
      <c r="T143" s="99">
        <f t="shared" ca="1" si="99"/>
        <v>10.33</v>
      </c>
      <c r="U143" s="102">
        <f t="shared" ca="1" si="100"/>
        <v>103.3</v>
      </c>
      <c r="W143" s="1" t="str">
        <f ca="1">IF(OR($A143=0,$A143="S",$A143&gt;CFF!$A$9),"",MAX(W$11:OFFSET(W143,-1,0))+1)</f>
        <v/>
      </c>
      <c r="X143" s="3" t="str">
        <f t="shared" si="101"/>
        <v>Rec. Humanos-005</v>
      </c>
      <c r="Y143" s="1">
        <f t="shared" ca="1" si="102"/>
        <v>7</v>
      </c>
      <c r="AA143" s="106">
        <f>IF($J143=$G$2,ROUND(IF(ISNUMBER(S143),S143,IF(LEFT(S143,2)="DI",HLOOKUP(S143,DADOS!$T$29:$X$30,2,FALSE),0)),4),"")</f>
        <v>0.25</v>
      </c>
      <c r="AB143" s="1"/>
    </row>
    <row r="144" spans="1:28" x14ac:dyDescent="0.2">
      <c r="A144" t="str">
        <f t="shared" si="88"/>
        <v>S</v>
      </c>
      <c r="B144">
        <f t="shared" si="89"/>
        <v>0</v>
      </c>
      <c r="C144">
        <f t="shared" ca="1" si="90"/>
        <v>4</v>
      </c>
      <c r="D144">
        <f t="shared" ca="1" si="91"/>
        <v>2</v>
      </c>
      <c r="E144">
        <f t="shared" ca="1" si="92"/>
        <v>0</v>
      </c>
      <c r="F144">
        <f t="shared" ca="1" si="93"/>
        <v>0</v>
      </c>
      <c r="G144">
        <f t="shared" ca="1" si="94"/>
        <v>6</v>
      </c>
      <c r="H144">
        <f t="shared" ca="1" si="86"/>
        <v>0</v>
      </c>
      <c r="I144">
        <f t="shared" ca="1" si="87"/>
        <v>0</v>
      </c>
      <c r="J144" s="105" t="s">
        <v>29</v>
      </c>
      <c r="K144" s="97" t="str">
        <f t="shared" ca="1" si="95"/>
        <v>4.2.6.</v>
      </c>
      <c r="L144" s="110">
        <f t="shared" ca="1" si="96"/>
        <v>0</v>
      </c>
      <c r="M144" s="98" t="s">
        <v>78</v>
      </c>
      <c r="N144" s="112" t="s">
        <v>221</v>
      </c>
      <c r="O144" s="110" t="str">
        <f t="shared" ca="1" si="85"/>
        <v>Estagiarios</v>
      </c>
      <c r="P144" s="111" t="str">
        <f t="shared" ca="1" si="97"/>
        <v>hora</v>
      </c>
      <c r="Q144" s="107">
        <v>10</v>
      </c>
      <c r="R144" s="100">
        <f t="shared" ca="1" si="98"/>
        <v>8.26</v>
      </c>
      <c r="S144" s="109" t="s">
        <v>62</v>
      </c>
      <c r="T144" s="99">
        <f t="shared" ca="1" si="99"/>
        <v>10.33</v>
      </c>
      <c r="U144" s="102">
        <f t="shared" ca="1" si="100"/>
        <v>103.3</v>
      </c>
      <c r="W144" s="1" t="str">
        <f ca="1">IF(OR($A144=0,$A144="S",$A144&gt;CFF!$A$9),"",MAX(W$11:OFFSET(W144,-1,0))+1)</f>
        <v/>
      </c>
      <c r="X144" s="3" t="str">
        <f t="shared" si="101"/>
        <v>Rec. Humanos-005</v>
      </c>
      <c r="Y144" s="1">
        <f t="shared" ca="1" si="102"/>
        <v>7</v>
      </c>
      <c r="AA144" s="106">
        <f>IF($J144=$G$2,ROUND(IF(ISNUMBER(S144),S144,IF(LEFT(S144,2)="DI",HLOOKUP(S144,DADOS!$T$29:$X$30,2,FALSE),0)),4),"")</f>
        <v>0.25</v>
      </c>
      <c r="AB144" s="1"/>
    </row>
    <row r="145" spans="1:28" x14ac:dyDescent="0.2">
      <c r="A145" t="str">
        <f t="shared" si="88"/>
        <v>S</v>
      </c>
      <c r="B145">
        <f t="shared" si="89"/>
        <v>0</v>
      </c>
      <c r="C145">
        <f t="shared" ca="1" si="90"/>
        <v>4</v>
      </c>
      <c r="D145">
        <f t="shared" ca="1" si="91"/>
        <v>2</v>
      </c>
      <c r="E145">
        <f t="shared" ca="1" si="92"/>
        <v>0</v>
      </c>
      <c r="F145">
        <f t="shared" ca="1" si="93"/>
        <v>0</v>
      </c>
      <c r="G145">
        <f t="shared" ca="1" si="94"/>
        <v>7</v>
      </c>
      <c r="H145">
        <f t="shared" ca="1" si="86"/>
        <v>0</v>
      </c>
      <c r="I145">
        <f t="shared" ca="1" si="87"/>
        <v>0</v>
      </c>
      <c r="J145" s="105" t="s">
        <v>29</v>
      </c>
      <c r="K145" s="97" t="str">
        <f t="shared" ca="1" si="95"/>
        <v>4.2.7.</v>
      </c>
      <c r="L145" s="110">
        <f t="shared" ca="1" si="96"/>
        <v>0</v>
      </c>
      <c r="M145" s="98" t="s">
        <v>78</v>
      </c>
      <c r="N145" s="112" t="s">
        <v>231</v>
      </c>
      <c r="O145" s="110" t="str">
        <f t="shared" ca="1" si="85"/>
        <v>Biólogo</v>
      </c>
      <c r="P145" s="111" t="str">
        <f t="shared" ca="1" si="97"/>
        <v>hora</v>
      </c>
      <c r="Q145" s="107">
        <v>10</v>
      </c>
      <c r="R145" s="100">
        <f t="shared" ca="1" si="98"/>
        <v>14.97</v>
      </c>
      <c r="S145" s="109" t="s">
        <v>62</v>
      </c>
      <c r="T145" s="99">
        <f t="shared" ca="1" si="99"/>
        <v>18.71</v>
      </c>
      <c r="U145" s="102">
        <f t="shared" ca="1" si="100"/>
        <v>187.1</v>
      </c>
      <c r="W145" s="1" t="str">
        <f ca="1">IF(OR($A145=0,$A145="S",$A145&gt;CFF!$A$9),"",MAX(W$11:OFFSET(W145,-1,0))+1)</f>
        <v/>
      </c>
      <c r="X145" s="3" t="str">
        <f t="shared" si="101"/>
        <v>Rec. Humanos-004</v>
      </c>
      <c r="Y145" s="1">
        <f t="shared" ca="1" si="102"/>
        <v>6</v>
      </c>
      <c r="AA145" s="106">
        <f>IF($J145=$G$2,ROUND(IF(ISNUMBER(S145),S145,IF(LEFT(S145,2)="DI",HLOOKUP(S145,DADOS!$T$29:$X$30,2,FALSE),0)),4),"")</f>
        <v>0.25</v>
      </c>
      <c r="AB145" s="1"/>
    </row>
    <row r="146" spans="1:28" x14ac:dyDescent="0.2">
      <c r="A146" t="str">
        <f t="shared" si="88"/>
        <v>S</v>
      </c>
      <c r="B146">
        <f t="shared" si="89"/>
        <v>0</v>
      </c>
      <c r="C146">
        <f t="shared" ca="1" si="90"/>
        <v>4</v>
      </c>
      <c r="D146">
        <f t="shared" ca="1" si="91"/>
        <v>2</v>
      </c>
      <c r="E146">
        <f t="shared" ca="1" si="92"/>
        <v>0</v>
      </c>
      <c r="F146">
        <f t="shared" ca="1" si="93"/>
        <v>0</v>
      </c>
      <c r="G146">
        <f t="shared" ca="1" si="94"/>
        <v>8</v>
      </c>
      <c r="H146">
        <f t="shared" ca="1" si="86"/>
        <v>0</v>
      </c>
      <c r="I146">
        <f t="shared" ca="1" si="87"/>
        <v>0</v>
      </c>
      <c r="J146" s="105" t="s">
        <v>29</v>
      </c>
      <c r="K146" s="97" t="str">
        <f t="shared" ca="1" si="95"/>
        <v>4.2.8.</v>
      </c>
      <c r="L146" s="110">
        <f t="shared" ca="1" si="96"/>
        <v>0</v>
      </c>
      <c r="M146" s="98" t="s">
        <v>79</v>
      </c>
      <c r="N146" s="112" t="s">
        <v>218</v>
      </c>
      <c r="O146" s="110" t="str">
        <f t="shared" ca="1" si="85"/>
        <v>Papel A4 (Internatonal Paper) 500 folhas</v>
      </c>
      <c r="P146" s="111" t="str">
        <f t="shared" ca="1" si="97"/>
        <v>resma</v>
      </c>
      <c r="Q146" s="107">
        <v>1</v>
      </c>
      <c r="R146" s="100">
        <f t="shared" ca="1" si="98"/>
        <v>25.8</v>
      </c>
      <c r="S146" s="109" t="s">
        <v>62</v>
      </c>
      <c r="T146" s="99">
        <f t="shared" ca="1" si="99"/>
        <v>32.25</v>
      </c>
      <c r="U146" s="102">
        <f t="shared" ca="1" si="100"/>
        <v>32.25</v>
      </c>
      <c r="W146" s="1" t="str">
        <f ca="1">IF(OR($A146=0,$A146="S",$A146&gt;CFF!$A$9),"",MAX(W$11:OFFSET(W146,-1,0))+1)</f>
        <v/>
      </c>
      <c r="X146" s="3" t="str">
        <f t="shared" si="101"/>
        <v>Rec. Materiais-001</v>
      </c>
      <c r="Y146" s="1">
        <f t="shared" ca="1" si="102"/>
        <v>8</v>
      </c>
      <c r="AA146" s="106">
        <f>IF($J146=$G$2,ROUND(IF(ISNUMBER(S146),S146,IF(LEFT(S146,2)="DI",HLOOKUP(S146,DADOS!$T$29:$X$30,2,FALSE),0)),4),"")</f>
        <v>0.25</v>
      </c>
      <c r="AB146" s="1"/>
    </row>
    <row r="147" spans="1:28" x14ac:dyDescent="0.2">
      <c r="A147" t="str">
        <f t="shared" si="88"/>
        <v>S</v>
      </c>
      <c r="B147">
        <f t="shared" si="89"/>
        <v>0</v>
      </c>
      <c r="C147">
        <f t="shared" ca="1" si="90"/>
        <v>4</v>
      </c>
      <c r="D147">
        <f t="shared" ca="1" si="91"/>
        <v>2</v>
      </c>
      <c r="E147">
        <f t="shared" ca="1" si="92"/>
        <v>0</v>
      </c>
      <c r="F147">
        <f t="shared" ca="1" si="93"/>
        <v>0</v>
      </c>
      <c r="G147">
        <f t="shared" ca="1" si="94"/>
        <v>9</v>
      </c>
      <c r="H147">
        <f t="shared" ca="1" si="86"/>
        <v>0</v>
      </c>
      <c r="I147">
        <f t="shared" ca="1" si="87"/>
        <v>0</v>
      </c>
      <c r="J147" s="105" t="s">
        <v>29</v>
      </c>
      <c r="K147" s="97" t="str">
        <f t="shared" ca="1" si="95"/>
        <v>4.2.9.</v>
      </c>
      <c r="L147" s="110">
        <f t="shared" ca="1" si="96"/>
        <v>0</v>
      </c>
      <c r="M147" s="98" t="s">
        <v>79</v>
      </c>
      <c r="N147" s="112" t="s">
        <v>227</v>
      </c>
      <c r="O147" s="110" t="str">
        <f t="shared" ca="1" si="85"/>
        <v>Copo de agua 300 ml Lebrinha/Brunado</v>
      </c>
      <c r="P147" s="111" t="str">
        <f t="shared" ca="1" si="97"/>
        <v>UNIDADE</v>
      </c>
      <c r="Q147" s="107">
        <v>300</v>
      </c>
      <c r="R147" s="100">
        <f t="shared" ca="1" si="98"/>
        <v>4.2</v>
      </c>
      <c r="S147" s="109" t="s">
        <v>62</v>
      </c>
      <c r="T147" s="99">
        <f t="shared" ca="1" si="99"/>
        <v>5.25</v>
      </c>
      <c r="U147" s="102">
        <f t="shared" ca="1" si="100"/>
        <v>1575</v>
      </c>
      <c r="W147" s="1" t="str">
        <f ca="1">IF(OR($A147=0,$A147="S",$A147&gt;CFF!$A$9),"",MAX(W$11:OFFSET(W147,-1,0))+1)</f>
        <v/>
      </c>
      <c r="X147" s="3" t="str">
        <f t="shared" si="101"/>
        <v>Rec. Materiais-014</v>
      </c>
      <c r="Y147" s="1">
        <f t="shared" ca="1" si="102"/>
        <v>21</v>
      </c>
      <c r="AA147" s="106">
        <f>IF($J147=$G$2,ROUND(IF(ISNUMBER(S147),S147,IF(LEFT(S147,2)="DI",HLOOKUP(S147,DADOS!$T$29:$X$30,2,FALSE),0)),4),"")</f>
        <v>0.25</v>
      </c>
      <c r="AB147" s="1"/>
    </row>
    <row r="148" spans="1:28" x14ac:dyDescent="0.2">
      <c r="A148" t="str">
        <f t="shared" si="88"/>
        <v>S</v>
      </c>
      <c r="B148">
        <f t="shared" si="89"/>
        <v>0</v>
      </c>
      <c r="C148">
        <f t="shared" ca="1" si="90"/>
        <v>4</v>
      </c>
      <c r="D148">
        <f t="shared" ca="1" si="91"/>
        <v>2</v>
      </c>
      <c r="E148">
        <f t="shared" ca="1" si="92"/>
        <v>0</v>
      </c>
      <c r="F148">
        <f t="shared" ca="1" si="93"/>
        <v>0</v>
      </c>
      <c r="G148">
        <f t="shared" ca="1" si="94"/>
        <v>10</v>
      </c>
      <c r="H148">
        <f t="shared" ca="1" si="86"/>
        <v>0</v>
      </c>
      <c r="I148">
        <f t="shared" ca="1" si="87"/>
        <v>0</v>
      </c>
      <c r="J148" s="105" t="s">
        <v>29</v>
      </c>
      <c r="K148" s="97" t="str">
        <f t="shared" ca="1" si="95"/>
        <v>4.2.10.</v>
      </c>
      <c r="L148" s="110">
        <f t="shared" ca="1" si="96"/>
        <v>0</v>
      </c>
      <c r="M148" s="98" t="s">
        <v>80</v>
      </c>
      <c r="N148" s="112" t="s">
        <v>226</v>
      </c>
      <c r="O148" s="110" t="str">
        <f t="shared" ca="1" si="85"/>
        <v>Copo descartavel 180 ml pacote com 100 unidade</v>
      </c>
      <c r="P148" s="111" t="str">
        <f t="shared" ca="1" si="97"/>
        <v>pacote</v>
      </c>
      <c r="Q148" s="107">
        <v>5</v>
      </c>
      <c r="R148" s="100">
        <f t="shared" ca="1" si="98"/>
        <v>3.83</v>
      </c>
      <c r="S148" s="109" t="s">
        <v>62</v>
      </c>
      <c r="T148" s="99">
        <f t="shared" ca="1" si="99"/>
        <v>4.79</v>
      </c>
      <c r="U148" s="102">
        <f t="shared" ca="1" si="100"/>
        <v>23.95</v>
      </c>
      <c r="W148" s="1" t="str">
        <f ca="1">IF(OR($A148=0,$A148="S",$A148&gt;CFF!$A$9),"",MAX(W$11:OFFSET(W148,-1,0))+1)</f>
        <v/>
      </c>
      <c r="X148" s="3" t="str">
        <f t="shared" si="101"/>
        <v>Serv. Terc.-022</v>
      </c>
      <c r="Y148" s="1">
        <f t="shared" ca="1" si="102"/>
        <v>68</v>
      </c>
      <c r="AA148" s="106">
        <f>IF($J148=$G$2,ROUND(IF(ISNUMBER(S148),S148,IF(LEFT(S148,2)="DI",HLOOKUP(S148,DADOS!$T$29:$X$30,2,FALSE),0)),4),"")</f>
        <v>0.25</v>
      </c>
      <c r="AB148" s="1"/>
    </row>
    <row r="149" spans="1:28" x14ac:dyDescent="0.2">
      <c r="A149" t="str">
        <f t="shared" si="88"/>
        <v>S</v>
      </c>
      <c r="B149">
        <f t="shared" si="89"/>
        <v>0</v>
      </c>
      <c r="C149">
        <f t="shared" ca="1" si="90"/>
        <v>4</v>
      </c>
      <c r="D149">
        <f t="shared" ca="1" si="91"/>
        <v>2</v>
      </c>
      <c r="E149">
        <f t="shared" ca="1" si="92"/>
        <v>0</v>
      </c>
      <c r="F149">
        <f t="shared" ca="1" si="93"/>
        <v>0</v>
      </c>
      <c r="G149">
        <f t="shared" ca="1" si="94"/>
        <v>11</v>
      </c>
      <c r="H149">
        <f t="shared" ca="1" si="86"/>
        <v>0</v>
      </c>
      <c r="I149">
        <f t="shared" ca="1" si="87"/>
        <v>0</v>
      </c>
      <c r="J149" s="105" t="s">
        <v>29</v>
      </c>
      <c r="K149" s="97" t="str">
        <f t="shared" ca="1" si="95"/>
        <v>4.2.11.</v>
      </c>
      <c r="L149" s="110">
        <f t="shared" ca="1" si="96"/>
        <v>0</v>
      </c>
      <c r="M149" s="98" t="s">
        <v>80</v>
      </c>
      <c r="N149" s="112" t="s">
        <v>218</v>
      </c>
      <c r="O149" s="110" t="str">
        <f t="shared" ca="1" si="85"/>
        <v>Salgado</v>
      </c>
      <c r="P149" s="111" t="str">
        <f t="shared" ca="1" si="97"/>
        <v>cento</v>
      </c>
      <c r="Q149" s="107">
        <v>8</v>
      </c>
      <c r="R149" s="100">
        <f t="shared" ca="1" si="98"/>
        <v>59</v>
      </c>
      <c r="S149" s="109" t="s">
        <v>62</v>
      </c>
      <c r="T149" s="99">
        <f t="shared" ca="1" si="99"/>
        <v>73.75</v>
      </c>
      <c r="U149" s="102">
        <f t="shared" ca="1" si="100"/>
        <v>590</v>
      </c>
      <c r="W149" s="1" t="str">
        <f ca="1">IF(OR($A149=0,$A149="S",$A149&gt;CFF!$A$9),"",MAX(W$11:OFFSET(W149,-1,0))+1)</f>
        <v/>
      </c>
      <c r="X149" s="3" t="str">
        <f t="shared" si="101"/>
        <v>Serv. Terc.-001</v>
      </c>
      <c r="Y149" s="1">
        <f t="shared" ca="1" si="102"/>
        <v>47</v>
      </c>
      <c r="AA149" s="106">
        <f>IF($J149=$G$2,ROUND(IF(ISNUMBER(S149),S149,IF(LEFT(S149,2)="DI",HLOOKUP(S149,DADOS!$T$29:$X$30,2,FALSE),0)),4),"")</f>
        <v>0.25</v>
      </c>
      <c r="AB149" s="1"/>
    </row>
    <row r="150" spans="1:28" x14ac:dyDescent="0.2">
      <c r="A150" t="str">
        <f t="shared" si="88"/>
        <v>S</v>
      </c>
      <c r="B150">
        <f t="shared" si="89"/>
        <v>0</v>
      </c>
      <c r="C150">
        <f t="shared" ca="1" si="90"/>
        <v>4</v>
      </c>
      <c r="D150">
        <f t="shared" ca="1" si="91"/>
        <v>2</v>
      </c>
      <c r="E150">
        <f t="shared" ca="1" si="92"/>
        <v>0</v>
      </c>
      <c r="F150">
        <f t="shared" ca="1" si="93"/>
        <v>0</v>
      </c>
      <c r="G150">
        <f t="shared" ca="1" si="94"/>
        <v>12</v>
      </c>
      <c r="H150">
        <f t="shared" ca="1" si="86"/>
        <v>0</v>
      </c>
      <c r="I150">
        <f t="shared" ca="1" si="87"/>
        <v>0</v>
      </c>
      <c r="J150" s="105" t="s">
        <v>29</v>
      </c>
      <c r="K150" s="97" t="str">
        <f t="shared" ca="1" si="95"/>
        <v>4.2.12.</v>
      </c>
      <c r="L150" s="110">
        <f t="shared" ca="1" si="96"/>
        <v>0</v>
      </c>
      <c r="M150" s="98" t="s">
        <v>80</v>
      </c>
      <c r="N150" s="112" t="s">
        <v>222</v>
      </c>
      <c r="O150" s="110" t="str">
        <f t="shared" ca="1" si="85"/>
        <v>Mesa de plastico</v>
      </c>
      <c r="P150" s="111" t="str">
        <f t="shared" ca="1" si="97"/>
        <v>unidade</v>
      </c>
      <c r="Q150" s="107">
        <v>13</v>
      </c>
      <c r="R150" s="100">
        <f t="shared" ca="1" si="98"/>
        <v>2</v>
      </c>
      <c r="S150" s="109" t="s">
        <v>62</v>
      </c>
      <c r="T150" s="99">
        <f t="shared" ca="1" si="99"/>
        <v>2.5</v>
      </c>
      <c r="U150" s="102">
        <f t="shared" ca="1" si="100"/>
        <v>32.5</v>
      </c>
      <c r="W150" s="1" t="str">
        <f ca="1">IF(OR($A150=0,$A150="S",$A150&gt;CFF!$A$9),"",MAX(W$11:OFFSET(W150,-1,0))+1)</f>
        <v/>
      </c>
      <c r="X150" s="3" t="str">
        <f t="shared" si="101"/>
        <v>Serv. Terc.-006</v>
      </c>
      <c r="Y150" s="1">
        <f t="shared" ca="1" si="102"/>
        <v>52</v>
      </c>
      <c r="AA150" s="106">
        <f>IF($J150=$G$2,ROUND(IF(ISNUMBER(S150),S150,IF(LEFT(S150,2)="DI",HLOOKUP(S150,DADOS!$T$29:$X$30,2,FALSE),0)),4),"")</f>
        <v>0.25</v>
      </c>
      <c r="AB150" s="1"/>
    </row>
    <row r="151" spans="1:28" x14ac:dyDescent="0.2">
      <c r="A151" t="str">
        <f t="shared" si="88"/>
        <v>S</v>
      </c>
      <c r="B151">
        <f t="shared" si="89"/>
        <v>0</v>
      </c>
      <c r="C151">
        <f t="shared" ca="1" si="90"/>
        <v>4</v>
      </c>
      <c r="D151">
        <f t="shared" ca="1" si="91"/>
        <v>2</v>
      </c>
      <c r="E151">
        <f t="shared" ca="1" si="92"/>
        <v>0</v>
      </c>
      <c r="F151">
        <f t="shared" ca="1" si="93"/>
        <v>0</v>
      </c>
      <c r="G151">
        <f t="shared" ca="1" si="94"/>
        <v>13</v>
      </c>
      <c r="H151">
        <f t="shared" ca="1" si="86"/>
        <v>0</v>
      </c>
      <c r="I151">
        <f t="shared" ca="1" si="87"/>
        <v>0</v>
      </c>
      <c r="J151" s="105" t="s">
        <v>29</v>
      </c>
      <c r="K151" s="97" t="str">
        <f t="shared" ca="1" si="95"/>
        <v>4.2.13.</v>
      </c>
      <c r="L151" s="110">
        <f t="shared" ca="1" si="96"/>
        <v>0</v>
      </c>
      <c r="M151" s="98" t="s">
        <v>80</v>
      </c>
      <c r="N151" s="112" t="s">
        <v>221</v>
      </c>
      <c r="O151" s="110" t="str">
        <f t="shared" ca="1" si="85"/>
        <v>Cadeira de Plastico</v>
      </c>
      <c r="P151" s="111" t="str">
        <f t="shared" ca="1" si="97"/>
        <v>unidade</v>
      </c>
      <c r="Q151" s="107">
        <v>300</v>
      </c>
      <c r="R151" s="100">
        <f t="shared" ca="1" si="98"/>
        <v>1.6</v>
      </c>
      <c r="S151" s="109" t="s">
        <v>62</v>
      </c>
      <c r="T151" s="99">
        <f t="shared" ca="1" si="99"/>
        <v>2</v>
      </c>
      <c r="U151" s="102">
        <f t="shared" ca="1" si="100"/>
        <v>600</v>
      </c>
      <c r="W151" s="1" t="str">
        <f ca="1">IF(OR($A151=0,$A151="S",$A151&gt;CFF!$A$9),"",MAX(W$11:OFFSET(W151,-1,0))+1)</f>
        <v/>
      </c>
      <c r="X151" s="3" t="str">
        <f t="shared" si="101"/>
        <v>Serv. Terc.-005</v>
      </c>
      <c r="Y151" s="1">
        <f t="shared" ca="1" si="102"/>
        <v>51</v>
      </c>
      <c r="AA151" s="106">
        <f>IF($J151=$G$2,ROUND(IF(ISNUMBER(S151),S151,IF(LEFT(S151,2)="DI",HLOOKUP(S151,DADOS!$T$29:$X$30,2,FALSE),0)),4),"")</f>
        <v>0.25</v>
      </c>
      <c r="AB151" s="1"/>
    </row>
    <row r="152" spans="1:28" x14ac:dyDescent="0.2">
      <c r="A152" t="str">
        <f t="shared" si="88"/>
        <v>S</v>
      </c>
      <c r="B152">
        <f t="shared" si="89"/>
        <v>0</v>
      </c>
      <c r="C152">
        <f t="shared" ca="1" si="90"/>
        <v>4</v>
      </c>
      <c r="D152">
        <f t="shared" ca="1" si="91"/>
        <v>2</v>
      </c>
      <c r="E152">
        <f t="shared" ca="1" si="92"/>
        <v>0</v>
      </c>
      <c r="F152">
        <f t="shared" ca="1" si="93"/>
        <v>0</v>
      </c>
      <c r="G152">
        <f t="shared" ca="1" si="94"/>
        <v>14</v>
      </c>
      <c r="H152">
        <f t="shared" ca="1" si="86"/>
        <v>0</v>
      </c>
      <c r="I152">
        <f t="shared" ca="1" si="87"/>
        <v>0</v>
      </c>
      <c r="J152" s="105" t="s">
        <v>29</v>
      </c>
      <c r="K152" s="97" t="str">
        <f t="shared" ca="1" si="95"/>
        <v>4.2.14.</v>
      </c>
      <c r="L152" s="110">
        <f t="shared" ca="1" si="96"/>
        <v>0</v>
      </c>
      <c r="M152" s="98" t="s">
        <v>80</v>
      </c>
      <c r="N152" s="112" t="s">
        <v>225</v>
      </c>
      <c r="O152" s="110" t="str">
        <f t="shared" ca="1" si="85"/>
        <v>Coca cola 2 litros</v>
      </c>
      <c r="P152" s="111" t="str">
        <f t="shared" ca="1" si="97"/>
        <v>unidade</v>
      </c>
      <c r="Q152" s="107">
        <v>17</v>
      </c>
      <c r="R152" s="100">
        <f t="shared" ca="1" si="98"/>
        <v>7</v>
      </c>
      <c r="S152" s="109" t="s">
        <v>62</v>
      </c>
      <c r="T152" s="99">
        <f t="shared" ca="1" si="99"/>
        <v>8.75</v>
      </c>
      <c r="U152" s="102">
        <f t="shared" ca="1" si="100"/>
        <v>148.75</v>
      </c>
      <c r="W152" s="1" t="str">
        <f ca="1">IF(OR($A152=0,$A152="S",$A152&gt;CFF!$A$9),"",MAX(W$11:OFFSET(W152,-1,0))+1)</f>
        <v/>
      </c>
      <c r="X152" s="3" t="str">
        <f t="shared" si="101"/>
        <v>Serv. Terc.-020</v>
      </c>
      <c r="Y152" s="1">
        <f t="shared" ca="1" si="102"/>
        <v>66</v>
      </c>
      <c r="AA152" s="106">
        <f>IF($J152=$G$2,ROUND(IF(ISNUMBER(S152),S152,IF(LEFT(S152,2)="DI",HLOOKUP(S152,DADOS!$T$29:$X$30,2,FALSE),0)),4),"")</f>
        <v>0.25</v>
      </c>
      <c r="AB152" s="1"/>
    </row>
    <row r="153" spans="1:28" x14ac:dyDescent="0.2">
      <c r="A153" t="str">
        <f t="shared" si="88"/>
        <v>S</v>
      </c>
      <c r="B153">
        <f t="shared" si="89"/>
        <v>0</v>
      </c>
      <c r="C153">
        <f t="shared" ca="1" si="90"/>
        <v>4</v>
      </c>
      <c r="D153">
        <f t="shared" ca="1" si="91"/>
        <v>2</v>
      </c>
      <c r="E153">
        <f t="shared" ca="1" si="92"/>
        <v>0</v>
      </c>
      <c r="F153">
        <f t="shared" ca="1" si="93"/>
        <v>0</v>
      </c>
      <c r="G153">
        <f t="shared" ca="1" si="94"/>
        <v>15</v>
      </c>
      <c r="H153">
        <f t="shared" ca="1" si="86"/>
        <v>0</v>
      </c>
      <c r="I153">
        <f t="shared" ca="1" si="87"/>
        <v>0</v>
      </c>
      <c r="J153" s="105" t="s">
        <v>29</v>
      </c>
      <c r="K153" s="97" t="str">
        <f t="shared" ca="1" si="95"/>
        <v>4.2.15.</v>
      </c>
      <c r="L153" s="110">
        <f t="shared" ca="1" si="96"/>
        <v>0</v>
      </c>
      <c r="M153" s="98" t="s">
        <v>80</v>
      </c>
      <c r="N153" s="112" t="s">
        <v>232</v>
      </c>
      <c r="O153" s="110" t="str">
        <f t="shared" ca="1" si="85"/>
        <v>Fanta 2 litros</v>
      </c>
      <c r="P153" s="111" t="str">
        <f t="shared" ca="1" si="97"/>
        <v>unidade</v>
      </c>
      <c r="Q153" s="107">
        <v>17</v>
      </c>
      <c r="R153" s="100">
        <f t="shared" ca="1" si="98"/>
        <v>6.3</v>
      </c>
      <c r="S153" s="109" t="s">
        <v>62</v>
      </c>
      <c r="T153" s="99">
        <f t="shared" ca="1" si="99"/>
        <v>7.88</v>
      </c>
      <c r="U153" s="102">
        <f t="shared" ca="1" si="100"/>
        <v>133.96</v>
      </c>
      <c r="W153" s="1" t="str">
        <f ca="1">IF(OR($A153=0,$A153="S",$A153&gt;CFF!$A$9),"",MAX(W$11:OFFSET(W153,-1,0))+1)</f>
        <v/>
      </c>
      <c r="X153" s="3" t="str">
        <f t="shared" si="101"/>
        <v>Serv. Terc.-021</v>
      </c>
      <c r="Y153" s="1">
        <f t="shared" ca="1" si="102"/>
        <v>67</v>
      </c>
      <c r="AA153" s="106">
        <f>IF($J153=$G$2,ROUND(IF(ISNUMBER(S153),S153,IF(LEFT(S153,2)="DI",HLOOKUP(S153,DADOS!$T$29:$X$30,2,FALSE),0)),4),"")</f>
        <v>0.25</v>
      </c>
      <c r="AB153" s="1"/>
    </row>
    <row r="154" spans="1:28" x14ac:dyDescent="0.2">
      <c r="A154" t="str">
        <f t="shared" si="88"/>
        <v>S</v>
      </c>
      <c r="B154">
        <f t="shared" si="89"/>
        <v>0</v>
      </c>
      <c r="C154">
        <f t="shared" ca="1" si="90"/>
        <v>4</v>
      </c>
      <c r="D154">
        <f t="shared" ca="1" si="91"/>
        <v>2</v>
      </c>
      <c r="E154">
        <f t="shared" ca="1" si="92"/>
        <v>0</v>
      </c>
      <c r="F154">
        <f t="shared" ca="1" si="93"/>
        <v>0</v>
      </c>
      <c r="G154">
        <f t="shared" ca="1" si="94"/>
        <v>16</v>
      </c>
      <c r="H154">
        <f t="shared" ca="1" si="86"/>
        <v>0</v>
      </c>
      <c r="I154">
        <f t="shared" ca="1" si="87"/>
        <v>0</v>
      </c>
      <c r="J154" s="105" t="s">
        <v>29</v>
      </c>
      <c r="K154" s="97" t="str">
        <f t="shared" ca="1" si="95"/>
        <v>4.2.16.</v>
      </c>
      <c r="L154" s="110">
        <f t="shared" ca="1" si="96"/>
        <v>0</v>
      </c>
      <c r="M154" s="98" t="s">
        <v>80</v>
      </c>
      <c r="N154" s="112" t="s">
        <v>233</v>
      </c>
      <c r="O154" s="110" t="str">
        <f t="shared" ca="1" si="85"/>
        <v>Tenda 5x5 m2</v>
      </c>
      <c r="P154" s="111" t="str">
        <f t="shared" ca="1" si="97"/>
        <v>unidade</v>
      </c>
      <c r="Q154" s="107">
        <v>4</v>
      </c>
      <c r="R154" s="100">
        <f t="shared" ca="1" si="98"/>
        <v>540</v>
      </c>
      <c r="S154" s="109" t="s">
        <v>62</v>
      </c>
      <c r="T154" s="99">
        <f t="shared" ca="1" si="99"/>
        <v>675</v>
      </c>
      <c r="U154" s="102">
        <f t="shared" ca="1" si="100"/>
        <v>2700</v>
      </c>
      <c r="W154" s="1" t="str">
        <f ca="1">IF(OR($A154=0,$A154="S",$A154&gt;CFF!$A$9),"",MAX(W$11:OFFSET(W154,-1,0))+1)</f>
        <v/>
      </c>
      <c r="X154" s="3" t="str">
        <f t="shared" si="101"/>
        <v>Serv. Terc.-009</v>
      </c>
      <c r="Y154" s="1">
        <f t="shared" ca="1" si="102"/>
        <v>55</v>
      </c>
      <c r="AA154" s="106">
        <f>IF($J154=$G$2,ROUND(IF(ISNUMBER(S154),S154,IF(LEFT(S154,2)="DI",HLOOKUP(S154,DADOS!$T$29:$X$30,2,FALSE),0)),4),"")</f>
        <v>0.25</v>
      </c>
      <c r="AB154" s="1"/>
    </row>
    <row r="155" spans="1:28" x14ac:dyDescent="0.2">
      <c r="A155" t="str">
        <f t="shared" si="88"/>
        <v>S</v>
      </c>
      <c r="B155">
        <f t="shared" si="89"/>
        <v>0</v>
      </c>
      <c r="C155">
        <f t="shared" ca="1" si="90"/>
        <v>4</v>
      </c>
      <c r="D155">
        <f t="shared" ca="1" si="91"/>
        <v>2</v>
      </c>
      <c r="E155">
        <f t="shared" ca="1" si="92"/>
        <v>0</v>
      </c>
      <c r="F155">
        <f t="shared" ca="1" si="93"/>
        <v>0</v>
      </c>
      <c r="G155">
        <f t="shared" ca="1" si="94"/>
        <v>17</v>
      </c>
      <c r="H155">
        <f t="shared" ca="1" si="86"/>
        <v>0</v>
      </c>
      <c r="I155">
        <f t="shared" ca="1" si="87"/>
        <v>0</v>
      </c>
      <c r="J155" s="105" t="s">
        <v>29</v>
      </c>
      <c r="K155" s="97" t="str">
        <f t="shared" ca="1" si="95"/>
        <v>4.2.17.</v>
      </c>
      <c r="L155" s="110">
        <f t="shared" ca="1" si="96"/>
        <v>0</v>
      </c>
      <c r="M155" s="98" t="s">
        <v>80</v>
      </c>
      <c r="N155" s="112" t="s">
        <v>220</v>
      </c>
      <c r="O155" s="110" t="str">
        <f t="shared" ca="1" si="85"/>
        <v>Som (2 caixas de som, 2 microfones, mesa de som, cabos)</v>
      </c>
      <c r="P155" s="111" t="str">
        <f t="shared" ca="1" si="97"/>
        <v>unidade</v>
      </c>
      <c r="Q155" s="107">
        <v>1</v>
      </c>
      <c r="R155" s="100">
        <f t="shared" ca="1" si="98"/>
        <v>350</v>
      </c>
      <c r="S155" s="109" t="s">
        <v>62</v>
      </c>
      <c r="T155" s="99">
        <f t="shared" ca="1" si="99"/>
        <v>437.5</v>
      </c>
      <c r="U155" s="102">
        <f t="shared" ca="1" si="100"/>
        <v>437.5</v>
      </c>
      <c r="W155" s="1" t="str">
        <f ca="1">IF(OR($A155=0,$A155="S",$A155&gt;CFF!$A$9),"",MAX(W$11:OFFSET(W155,-1,0))+1)</f>
        <v/>
      </c>
      <c r="X155" s="3" t="str">
        <f t="shared" si="101"/>
        <v>Serv. Terc.-003</v>
      </c>
      <c r="Y155" s="1">
        <f t="shared" ca="1" si="102"/>
        <v>49</v>
      </c>
      <c r="AA155" s="106">
        <f>IF($J155=$G$2,ROUND(IF(ISNUMBER(S155),S155,IF(LEFT(S155,2)="DI",HLOOKUP(S155,DADOS!$T$29:$X$30,2,FALSE),0)),4),"")</f>
        <v>0.25</v>
      </c>
      <c r="AB155" s="1"/>
    </row>
    <row r="156" spans="1:28" x14ac:dyDescent="0.2">
      <c r="A156" t="str">
        <f t="shared" si="88"/>
        <v>S</v>
      </c>
      <c r="B156">
        <f t="shared" si="89"/>
        <v>0</v>
      </c>
      <c r="C156">
        <f t="shared" ca="1" si="90"/>
        <v>4</v>
      </c>
      <c r="D156">
        <f t="shared" ca="1" si="91"/>
        <v>2</v>
      </c>
      <c r="E156">
        <f t="shared" ca="1" si="92"/>
        <v>0</v>
      </c>
      <c r="F156">
        <f t="shared" ca="1" si="93"/>
        <v>0</v>
      </c>
      <c r="G156">
        <f t="shared" ca="1" si="94"/>
        <v>18</v>
      </c>
      <c r="H156">
        <f t="shared" ca="1" si="86"/>
        <v>0</v>
      </c>
      <c r="I156">
        <f t="shared" ca="1" si="87"/>
        <v>0</v>
      </c>
      <c r="J156" s="105" t="s">
        <v>29</v>
      </c>
      <c r="K156" s="97" t="str">
        <f t="shared" ca="1" si="95"/>
        <v>4.2.18.</v>
      </c>
      <c r="L156" s="110">
        <f t="shared" ca="1" si="96"/>
        <v>0</v>
      </c>
      <c r="M156" s="98" t="s">
        <v>80</v>
      </c>
      <c r="N156" s="112" t="s">
        <v>237</v>
      </c>
      <c r="O156" s="110" t="str">
        <f t="shared" ca="1" si="85"/>
        <v>Carro de som</v>
      </c>
      <c r="P156" s="111" t="str">
        <f t="shared" ca="1" si="97"/>
        <v>hora</v>
      </c>
      <c r="Q156" s="107">
        <v>3</v>
      </c>
      <c r="R156" s="100">
        <f t="shared" ca="1" si="98"/>
        <v>40</v>
      </c>
      <c r="S156" s="109" t="s">
        <v>62</v>
      </c>
      <c r="T156" s="99">
        <f t="shared" ca="1" si="99"/>
        <v>50</v>
      </c>
      <c r="U156" s="102">
        <f t="shared" ca="1" si="100"/>
        <v>150</v>
      </c>
      <c r="W156" s="1" t="str">
        <f ca="1">IF(OR($A156=0,$A156="S",$A156&gt;CFF!$A$9),"",MAX(W$11:OFFSET(W156,-1,0))+1)</f>
        <v/>
      </c>
      <c r="X156" s="3" t="str">
        <f t="shared" si="101"/>
        <v>Serv. Terc.-011</v>
      </c>
      <c r="Y156" s="1">
        <f t="shared" ca="1" si="102"/>
        <v>57</v>
      </c>
      <c r="AA156" s="106">
        <f>IF($J156=$G$2,ROUND(IF(ISNUMBER(S156),S156,IF(LEFT(S156,2)="DI",HLOOKUP(S156,DADOS!$T$29:$X$30,2,FALSE),0)),4),"")</f>
        <v>0.25</v>
      </c>
      <c r="AB156" s="1"/>
    </row>
    <row r="157" spans="1:28" x14ac:dyDescent="0.2">
      <c r="A157" t="str">
        <f t="shared" si="88"/>
        <v>S</v>
      </c>
      <c r="B157">
        <f t="shared" si="89"/>
        <v>0</v>
      </c>
      <c r="C157">
        <f t="shared" ca="1" si="90"/>
        <v>4</v>
      </c>
      <c r="D157">
        <f t="shared" ca="1" si="91"/>
        <v>2</v>
      </c>
      <c r="E157">
        <f t="shared" ca="1" si="92"/>
        <v>0</v>
      </c>
      <c r="F157">
        <f t="shared" ca="1" si="93"/>
        <v>0</v>
      </c>
      <c r="G157">
        <f t="shared" ca="1" si="94"/>
        <v>19</v>
      </c>
      <c r="H157">
        <f t="shared" ca="1" si="86"/>
        <v>0</v>
      </c>
      <c r="I157">
        <f t="shared" ca="1" si="87"/>
        <v>0</v>
      </c>
      <c r="J157" s="105" t="s">
        <v>29</v>
      </c>
      <c r="K157" s="97" t="str">
        <f t="shared" ca="1" si="95"/>
        <v>4.2.19.</v>
      </c>
      <c r="L157" s="110">
        <f t="shared" ca="1" si="96"/>
        <v>0</v>
      </c>
      <c r="M157" s="98" t="s">
        <v>80</v>
      </c>
      <c r="N157" s="112" t="s">
        <v>236</v>
      </c>
      <c r="O157" s="110" t="str">
        <f t="shared" ca="1" si="85"/>
        <v>Gravação de spot</v>
      </c>
      <c r="P157" s="111" t="str">
        <f t="shared" ca="1" si="97"/>
        <v>gravação</v>
      </c>
      <c r="Q157" s="107">
        <v>1</v>
      </c>
      <c r="R157" s="100">
        <f t="shared" ca="1" si="98"/>
        <v>50</v>
      </c>
      <c r="S157" s="109" t="s">
        <v>62</v>
      </c>
      <c r="T157" s="99">
        <f t="shared" ca="1" si="99"/>
        <v>62.5</v>
      </c>
      <c r="U157" s="102">
        <f t="shared" ca="1" si="100"/>
        <v>62.5</v>
      </c>
      <c r="W157" s="1" t="str">
        <f ca="1">IF(OR($A157=0,$A157="S",$A157&gt;CFF!$A$9),"",MAX(W$11:OFFSET(W157,-1,0))+1)</f>
        <v/>
      </c>
      <c r="X157" s="3" t="str">
        <f t="shared" si="101"/>
        <v>Serv. Terc.-010</v>
      </c>
      <c r="Y157" s="1">
        <f t="shared" ca="1" si="102"/>
        <v>56</v>
      </c>
      <c r="AA157" s="106">
        <f>IF($J157=$G$2,ROUND(IF(ISNUMBER(S157),S157,IF(LEFT(S157,2)="DI",HLOOKUP(S157,DADOS!$T$29:$X$30,2,FALSE),0)),4),"")</f>
        <v>0.25</v>
      </c>
      <c r="AB157" s="1"/>
    </row>
    <row r="158" spans="1:28" x14ac:dyDescent="0.2">
      <c r="A158" t="str">
        <f t="shared" si="88"/>
        <v>S</v>
      </c>
      <c r="B158">
        <f t="shared" si="89"/>
        <v>0</v>
      </c>
      <c r="C158">
        <f t="shared" ca="1" si="90"/>
        <v>4</v>
      </c>
      <c r="D158">
        <f t="shared" ca="1" si="91"/>
        <v>2</v>
      </c>
      <c r="E158">
        <f t="shared" ca="1" si="92"/>
        <v>0</v>
      </c>
      <c r="F158">
        <f t="shared" ca="1" si="93"/>
        <v>0</v>
      </c>
      <c r="G158">
        <f t="shared" ca="1" si="94"/>
        <v>20</v>
      </c>
      <c r="H158">
        <f t="shared" ca="1" si="86"/>
        <v>0</v>
      </c>
      <c r="I158">
        <f t="shared" ca="1" si="87"/>
        <v>0</v>
      </c>
      <c r="J158" s="105" t="s">
        <v>29</v>
      </c>
      <c r="K158" s="97" t="str">
        <f t="shared" ca="1" si="95"/>
        <v>4.2.20.</v>
      </c>
      <c r="L158" s="110">
        <f t="shared" ca="1" si="96"/>
        <v>0</v>
      </c>
      <c r="M158" s="98" t="s">
        <v>80</v>
      </c>
      <c r="N158" s="112" t="s">
        <v>234</v>
      </c>
      <c r="O158" s="110" t="str">
        <f t="shared" ca="1" si="85"/>
        <v>Recreadora infantil</v>
      </c>
      <c r="P158" s="111" t="str">
        <f t="shared" ca="1" si="97"/>
        <v>diaria</v>
      </c>
      <c r="Q158" s="107">
        <v>4</v>
      </c>
      <c r="R158" s="100">
        <f t="shared" ca="1" si="98"/>
        <v>100</v>
      </c>
      <c r="S158" s="109" t="s">
        <v>62</v>
      </c>
      <c r="T158" s="99">
        <f t="shared" ca="1" si="99"/>
        <v>125</v>
      </c>
      <c r="U158" s="102">
        <f t="shared" ca="1" si="100"/>
        <v>500</v>
      </c>
      <c r="W158" s="1" t="str">
        <f ca="1">IF(OR($A158=0,$A158="S",$A158&gt;CFF!$A$9),"",MAX(W$11:OFFSET(W158,-1,0))+1)</f>
        <v/>
      </c>
      <c r="X158" s="3" t="str">
        <f t="shared" si="101"/>
        <v>Serv. Terc.-012</v>
      </c>
      <c r="Y158" s="1">
        <f t="shared" ca="1" si="102"/>
        <v>58</v>
      </c>
      <c r="AA158" s="106">
        <f>IF($J158=$G$2,ROUND(IF(ISNUMBER(S158),S158,IF(LEFT(S158,2)="DI",HLOOKUP(S158,DADOS!$T$29:$X$30,2,FALSE),0)),4),"")</f>
        <v>0.25</v>
      </c>
      <c r="AB158" s="1"/>
    </row>
    <row r="159" spans="1:28" x14ac:dyDescent="0.2">
      <c r="A159" t="str">
        <f t="shared" si="88"/>
        <v>S</v>
      </c>
      <c r="B159">
        <f t="shared" si="89"/>
        <v>0</v>
      </c>
      <c r="C159">
        <f t="shared" ca="1" si="90"/>
        <v>4</v>
      </c>
      <c r="D159">
        <f t="shared" ca="1" si="91"/>
        <v>2</v>
      </c>
      <c r="E159">
        <f t="shared" ca="1" si="92"/>
        <v>0</v>
      </c>
      <c r="F159">
        <f t="shared" ca="1" si="93"/>
        <v>0</v>
      </c>
      <c r="G159">
        <f t="shared" ca="1" si="94"/>
        <v>21</v>
      </c>
      <c r="H159">
        <f t="shared" ca="1" si="86"/>
        <v>0</v>
      </c>
      <c r="I159">
        <f t="shared" ca="1" si="87"/>
        <v>0</v>
      </c>
      <c r="J159" s="105" t="s">
        <v>29</v>
      </c>
      <c r="K159" s="97" t="str">
        <f t="shared" ca="1" si="95"/>
        <v>4.2.21.</v>
      </c>
      <c r="L159" s="110">
        <f t="shared" ca="1" si="96"/>
        <v>0</v>
      </c>
      <c r="M159" s="98" t="s">
        <v>80</v>
      </c>
      <c r="N159" s="112" t="s">
        <v>231</v>
      </c>
      <c r="O159" s="110" t="str">
        <f t="shared" ca="1" si="85"/>
        <v xml:space="preserve">Impressão Colorida 1 folha </v>
      </c>
      <c r="P159" s="111" t="str">
        <f t="shared" ca="1" si="97"/>
        <v>unidade</v>
      </c>
      <c r="Q159" s="107">
        <v>200</v>
      </c>
      <c r="R159" s="100">
        <f t="shared" ca="1" si="98"/>
        <v>2.5</v>
      </c>
      <c r="S159" s="109" t="s">
        <v>62</v>
      </c>
      <c r="T159" s="99">
        <f t="shared" ca="1" si="99"/>
        <v>3.13</v>
      </c>
      <c r="U159" s="102">
        <f t="shared" ca="1" si="100"/>
        <v>626</v>
      </c>
      <c r="W159" s="1" t="str">
        <f ca="1">IF(OR($A159=0,$A159="S",$A159&gt;CFF!$A$9),"",MAX(W$11:OFFSET(W159,-1,0))+1)</f>
        <v/>
      </c>
      <c r="X159" s="3" t="str">
        <f t="shared" si="101"/>
        <v>Serv. Terc.-004</v>
      </c>
      <c r="Y159" s="1">
        <f t="shared" ca="1" si="102"/>
        <v>50</v>
      </c>
      <c r="AA159" s="106">
        <f>IF($J159=$G$2,ROUND(IF(ISNUMBER(S159),S159,IF(LEFT(S159,2)="DI",HLOOKUP(S159,DADOS!$T$29:$X$30,2,FALSE),0)),4),"")</f>
        <v>0.25</v>
      </c>
      <c r="AB159" s="1"/>
    </row>
    <row r="160" spans="1:28" x14ac:dyDescent="0.2">
      <c r="A160" t="str">
        <f t="shared" si="88"/>
        <v>S</v>
      </c>
      <c r="B160">
        <f t="shared" si="89"/>
        <v>0</v>
      </c>
      <c r="C160">
        <f t="shared" ca="1" si="90"/>
        <v>4</v>
      </c>
      <c r="D160">
        <f t="shared" ca="1" si="91"/>
        <v>2</v>
      </c>
      <c r="E160">
        <f t="shared" ca="1" si="92"/>
        <v>0</v>
      </c>
      <c r="F160">
        <f t="shared" ca="1" si="93"/>
        <v>0</v>
      </c>
      <c r="G160">
        <f t="shared" ca="1" si="94"/>
        <v>22</v>
      </c>
      <c r="H160">
        <f t="shared" ca="1" si="86"/>
        <v>0</v>
      </c>
      <c r="I160">
        <f t="shared" ca="1" si="87"/>
        <v>0</v>
      </c>
      <c r="J160" s="105" t="s">
        <v>29</v>
      </c>
      <c r="K160" s="97" t="str">
        <f t="shared" ca="1" si="95"/>
        <v>4.2.22.</v>
      </c>
      <c r="L160" s="110">
        <f t="shared" ca="1" si="96"/>
        <v>0</v>
      </c>
      <c r="M160" s="98" t="s">
        <v>80</v>
      </c>
      <c r="N160" s="112" t="s">
        <v>235</v>
      </c>
      <c r="O160" s="110" t="str">
        <f t="shared" ca="1" si="85"/>
        <v>Pula pula</v>
      </c>
      <c r="P160" s="111" t="str">
        <f t="shared" ca="1" si="97"/>
        <v>unidade</v>
      </c>
      <c r="Q160" s="107">
        <v>2</v>
      </c>
      <c r="R160" s="100">
        <f t="shared" ca="1" si="98"/>
        <v>150</v>
      </c>
      <c r="S160" s="109" t="s">
        <v>62</v>
      </c>
      <c r="T160" s="99">
        <f t="shared" ca="1" si="99"/>
        <v>187.5</v>
      </c>
      <c r="U160" s="102">
        <f t="shared" ca="1" si="100"/>
        <v>375</v>
      </c>
      <c r="W160" s="1" t="str">
        <f ca="1">IF(OR($A160=0,$A160="S",$A160&gt;CFF!$A$9),"",MAX(W$11:OFFSET(W160,-1,0))+1)</f>
        <v/>
      </c>
      <c r="X160" s="3" t="str">
        <f t="shared" si="101"/>
        <v>Serv. Terc.-008</v>
      </c>
      <c r="Y160" s="1">
        <f t="shared" ca="1" si="102"/>
        <v>54</v>
      </c>
      <c r="AA160" s="106">
        <f>IF($J160=$G$2,ROUND(IF(ISNUMBER(S160),S160,IF(LEFT(S160,2)="DI",HLOOKUP(S160,DADOS!$T$29:$X$30,2,FALSE),0)),4),"")</f>
        <v>0.25</v>
      </c>
      <c r="AB160" s="1"/>
    </row>
    <row r="161" spans="1:28" x14ac:dyDescent="0.2">
      <c r="A161" t="str">
        <f t="shared" si="88"/>
        <v>S</v>
      </c>
      <c r="B161">
        <f t="shared" si="89"/>
        <v>0</v>
      </c>
      <c r="C161">
        <f t="shared" ca="1" si="90"/>
        <v>4</v>
      </c>
      <c r="D161">
        <f t="shared" ca="1" si="91"/>
        <v>2</v>
      </c>
      <c r="E161">
        <f t="shared" ca="1" si="92"/>
        <v>0</v>
      </c>
      <c r="F161">
        <f t="shared" ca="1" si="93"/>
        <v>0</v>
      </c>
      <c r="G161">
        <f t="shared" ca="1" si="94"/>
        <v>23</v>
      </c>
      <c r="H161">
        <f t="shared" ca="1" si="86"/>
        <v>0</v>
      </c>
      <c r="I161">
        <f t="shared" ca="1" si="87"/>
        <v>0</v>
      </c>
      <c r="J161" s="105" t="s">
        <v>29</v>
      </c>
      <c r="K161" s="97" t="str">
        <f t="shared" ca="1" si="95"/>
        <v>4.2.23.</v>
      </c>
      <c r="L161" s="110">
        <f t="shared" ca="1" si="96"/>
        <v>0</v>
      </c>
      <c r="M161" s="98" t="s">
        <v>79</v>
      </c>
      <c r="N161" s="112" t="s">
        <v>242</v>
      </c>
      <c r="O161" s="110" t="str">
        <f t="shared" ca="1" si="85"/>
        <v xml:space="preserve">Saco plástico PP A4 4 furos 0,10mm A410-50 Spiral </v>
      </c>
      <c r="P161" s="111" t="str">
        <f t="shared" ca="1" si="97"/>
        <v>UNIDADE</v>
      </c>
      <c r="Q161" s="107">
        <v>20</v>
      </c>
      <c r="R161" s="100">
        <f t="shared" ca="1" si="98"/>
        <v>0.28999999999999998</v>
      </c>
      <c r="S161" s="109" t="s">
        <v>62</v>
      </c>
      <c r="T161" s="99">
        <f t="shared" ca="1" si="99"/>
        <v>0.36</v>
      </c>
      <c r="U161" s="102">
        <f t="shared" ca="1" si="100"/>
        <v>7.2</v>
      </c>
      <c r="W161" s="1" t="str">
        <f ca="1">IF(OR($A161=0,$A161="S",$A161&gt;CFF!$A$9),"",MAX(W$11:OFFSET(W161,-1,0))+1)</f>
        <v/>
      </c>
      <c r="X161" s="3" t="str">
        <f t="shared" si="101"/>
        <v>Rec. Materiais-026</v>
      </c>
      <c r="Y161" s="1">
        <f t="shared" ca="1" si="102"/>
        <v>33</v>
      </c>
      <c r="AA161" s="106">
        <f>IF($J161=$G$2,ROUND(IF(ISNUMBER(S161),S161,IF(LEFT(S161,2)="DI",HLOOKUP(S161,DADOS!$T$29:$X$30,2,FALSE),0)),4),"")</f>
        <v>0.25</v>
      </c>
      <c r="AB161" s="1"/>
    </row>
    <row r="162" spans="1:28" x14ac:dyDescent="0.2">
      <c r="A162" t="str">
        <f t="shared" si="88"/>
        <v>S</v>
      </c>
      <c r="B162">
        <f t="shared" si="89"/>
        <v>0</v>
      </c>
      <c r="C162">
        <f t="shared" ca="1" si="90"/>
        <v>4</v>
      </c>
      <c r="D162">
        <f t="shared" ca="1" si="91"/>
        <v>2</v>
      </c>
      <c r="E162">
        <f t="shared" ca="1" si="92"/>
        <v>0</v>
      </c>
      <c r="F162">
        <f t="shared" ca="1" si="93"/>
        <v>0</v>
      </c>
      <c r="G162">
        <f t="shared" ca="1" si="94"/>
        <v>24</v>
      </c>
      <c r="H162">
        <f t="shared" ca="1" si="86"/>
        <v>0</v>
      </c>
      <c r="I162">
        <f t="shared" ca="1" si="87"/>
        <v>0</v>
      </c>
      <c r="J162" s="105" t="s">
        <v>29</v>
      </c>
      <c r="K162" s="97" t="str">
        <f t="shared" ca="1" si="95"/>
        <v>4.2.24.</v>
      </c>
      <c r="L162" s="110">
        <f t="shared" ca="1" si="96"/>
        <v>0</v>
      </c>
      <c r="M162" s="98" t="s">
        <v>79</v>
      </c>
      <c r="N162" s="112" t="s">
        <v>243</v>
      </c>
      <c r="O162" s="110" t="str">
        <f t="shared" ca="1" si="85"/>
        <v xml:space="preserve">Garrafa squeeze Splash 700ml azul A0501 Fresko </v>
      </c>
      <c r="P162" s="111" t="str">
        <f t="shared" ca="1" si="97"/>
        <v>UNIDADE</v>
      </c>
      <c r="Q162" s="107">
        <v>10</v>
      </c>
      <c r="R162" s="100">
        <f t="shared" ca="1" si="98"/>
        <v>10</v>
      </c>
      <c r="S162" s="109" t="s">
        <v>62</v>
      </c>
      <c r="T162" s="99">
        <f t="shared" ca="1" si="99"/>
        <v>12.5</v>
      </c>
      <c r="U162" s="102">
        <f t="shared" ca="1" si="100"/>
        <v>125</v>
      </c>
      <c r="W162" s="1" t="str">
        <f ca="1">IF(OR($A162=0,$A162="S",$A162&gt;CFF!$A$9),"",MAX(W$11:OFFSET(W162,-1,0))+1)</f>
        <v/>
      </c>
      <c r="X162" s="3" t="str">
        <f t="shared" si="101"/>
        <v>Rec. Materiais-030</v>
      </c>
      <c r="Y162" s="1">
        <f t="shared" ca="1" si="102"/>
        <v>37</v>
      </c>
      <c r="AA162" s="106">
        <f>IF($J162=$G$2,ROUND(IF(ISNUMBER(S162),S162,IF(LEFT(S162,2)="DI",HLOOKUP(S162,DADOS!$T$29:$X$30,2,FALSE),0)),4),"")</f>
        <v>0.25</v>
      </c>
      <c r="AB162" s="1"/>
    </row>
    <row r="163" spans="1:28" x14ac:dyDescent="0.2">
      <c r="A163" t="str">
        <f t="shared" si="88"/>
        <v>S</v>
      </c>
      <c r="B163">
        <f t="shared" si="89"/>
        <v>0</v>
      </c>
      <c r="C163">
        <f t="shared" ca="1" si="90"/>
        <v>4</v>
      </c>
      <c r="D163">
        <f t="shared" ca="1" si="91"/>
        <v>2</v>
      </c>
      <c r="E163">
        <f t="shared" ca="1" si="92"/>
        <v>0</v>
      </c>
      <c r="F163">
        <f t="shared" ca="1" si="93"/>
        <v>0</v>
      </c>
      <c r="G163">
        <f t="shared" ca="1" si="94"/>
        <v>25</v>
      </c>
      <c r="H163">
        <f t="shared" ca="1" si="86"/>
        <v>0</v>
      </c>
      <c r="I163">
        <f t="shared" ca="1" si="87"/>
        <v>0</v>
      </c>
      <c r="J163" s="105" t="s">
        <v>29</v>
      </c>
      <c r="K163" s="97" t="str">
        <f t="shared" ca="1" si="95"/>
        <v>4.2.25.</v>
      </c>
      <c r="L163" s="110">
        <f t="shared" ca="1" si="96"/>
        <v>0</v>
      </c>
      <c r="M163" s="98" t="s">
        <v>80</v>
      </c>
      <c r="N163" s="112" t="s">
        <v>240</v>
      </c>
      <c r="O163" s="110" t="str">
        <f t="shared" ca="1" si="85"/>
        <v>Combustivel</v>
      </c>
      <c r="P163" s="111" t="str">
        <f t="shared" ca="1" si="97"/>
        <v>litro</v>
      </c>
      <c r="Q163" s="107">
        <v>50</v>
      </c>
      <c r="R163" s="100">
        <f t="shared" ca="1" si="98"/>
        <v>3.99</v>
      </c>
      <c r="S163" s="109" t="s">
        <v>62</v>
      </c>
      <c r="T163" s="99">
        <f t="shared" ca="1" si="99"/>
        <v>4.99</v>
      </c>
      <c r="U163" s="102">
        <f t="shared" ca="1" si="100"/>
        <v>249.5</v>
      </c>
      <c r="W163" s="1" t="str">
        <f ca="1">IF(OR($A163=0,$A163="S",$A163&gt;CFF!$A$9),"",MAX(W$11:OFFSET(W163,-1,0))+1)</f>
        <v/>
      </c>
      <c r="X163" s="3" t="str">
        <f t="shared" si="101"/>
        <v>Serv. Terc.-027</v>
      </c>
      <c r="Y163" s="1">
        <f t="shared" ca="1" si="102"/>
        <v>73</v>
      </c>
      <c r="AA163" s="106">
        <f>IF($J163=$G$2,ROUND(IF(ISNUMBER(S163),S163,IF(LEFT(S163,2)="DI",HLOOKUP(S163,DADOS!$T$29:$X$30,2,FALSE),0)),4),"")</f>
        <v>0.25</v>
      </c>
      <c r="AB163" s="1"/>
    </row>
    <row r="164" spans="1:28" x14ac:dyDescent="0.2">
      <c r="A164">
        <f t="shared" si="88"/>
        <v>1</v>
      </c>
      <c r="B164">
        <f t="shared" ca="1" si="89"/>
        <v>24</v>
      </c>
      <c r="C164">
        <f t="shared" ca="1" si="90"/>
        <v>5</v>
      </c>
      <c r="D164">
        <f t="shared" ca="1" si="91"/>
        <v>0</v>
      </c>
      <c r="E164">
        <f t="shared" ca="1" si="92"/>
        <v>0</v>
      </c>
      <c r="F164">
        <f t="shared" ca="1" si="93"/>
        <v>0</v>
      </c>
      <c r="G164">
        <f t="shared" ca="1" si="94"/>
        <v>0</v>
      </c>
      <c r="H164">
        <f t="shared" ca="1" si="86"/>
        <v>203</v>
      </c>
      <c r="I164">
        <f t="shared" ca="1" si="87"/>
        <v>24</v>
      </c>
      <c r="J164" s="105" t="s">
        <v>67</v>
      </c>
      <c r="K164" s="97" t="str">
        <f t="shared" ca="1" si="95"/>
        <v>5.</v>
      </c>
      <c r="L164" s="110" t="str">
        <f t="shared" ca="1" si="96"/>
        <v/>
      </c>
      <c r="M164" s="98"/>
      <c r="N164" s="112"/>
      <c r="O164" s="110" t="s">
        <v>258</v>
      </c>
      <c r="P164" s="111" t="str">
        <f t="shared" ca="1" si="97"/>
        <v/>
      </c>
      <c r="Q164" s="107"/>
      <c r="R164" s="100">
        <f t="shared" ca="1" si="98"/>
        <v>0</v>
      </c>
      <c r="S164" s="109" t="s">
        <v>62</v>
      </c>
      <c r="T164" s="99">
        <f t="shared" si="99"/>
        <v>0</v>
      </c>
      <c r="U164" s="102">
        <f t="shared" ca="1" si="100"/>
        <v>25234.560000000001</v>
      </c>
      <c r="W164" s="1">
        <f ca="1">IF(OR($A164=0,$A164="S",$A164&gt;CFF!$A$9),"",MAX(W$11:OFFSET(W164,-1,0))+1)</f>
        <v>12</v>
      </c>
      <c r="X164" s="3" t="b">
        <f t="shared" si="101"/>
        <v>0</v>
      </c>
      <c r="Y164" s="1" t="b">
        <f t="shared" ca="1" si="102"/>
        <v>0</v>
      </c>
      <c r="AA164" s="106" t="str">
        <f>IF($J164=$G$2,ROUND(IF(ISNUMBER(S164),S164,IF(LEFT(S164,2)="DI",HLOOKUP(S164,DADOS!$T$29:$X$30,2,FALSE),0)),4),"")</f>
        <v/>
      </c>
      <c r="AB164" s="1"/>
    </row>
    <row r="165" spans="1:28" x14ac:dyDescent="0.2">
      <c r="A165">
        <f>CHOOSE(1+LOG(1+2*(J165=$C$2)+4*(J165=$D$2)+8*(J165=$E$2)+16*(J165=$F$2)+32*(J165=$G$2),2),0,1,2,3,4,"S")</f>
        <v>2</v>
      </c>
      <c r="B165">
        <f ca="1">IF(OR(A165="S",A165=0),0,IF(ISERROR(I165),H165,SMALL(H165:I165,1)))</f>
        <v>12</v>
      </c>
      <c r="C165">
        <f ca="1">IF($A165=1,OFFSET(C165,-1,0)+1,OFFSET(C165,-1,0))</f>
        <v>5</v>
      </c>
      <c r="D165">
        <f ca="1">IF($A165=1,0,IF($A165=2,OFFSET(D165,-1,0)+1,OFFSET(D165,-1,0)))</f>
        <v>1</v>
      </c>
      <c r="E165">
        <f ca="1">IF(AND($A165&lt;=2,$A165&lt;&gt;0),0,IF($A165=3,OFFSET(E165,-1,0)+1,OFFSET(E165,-1,0)))</f>
        <v>0</v>
      </c>
      <c r="F165">
        <f ca="1">IF(AND($A165&lt;=3,$A165&lt;&gt;0),0,IF($A165=4,OFFSET(F165,-1,0)+1,OFFSET(F165,-1,0)))</f>
        <v>0</v>
      </c>
      <c r="G165">
        <f ca="1">IF(AND($A165&lt;=4,$A165&lt;&gt;0),0,IF($A165="S",OFFSET(G165,-1,0)+1,OFFSET(G165,-1,0)))</f>
        <v>0</v>
      </c>
      <c r="H165">
        <f t="shared" ca="1" si="86"/>
        <v>23</v>
      </c>
      <c r="I165">
        <f t="shared" ca="1" si="87"/>
        <v>12</v>
      </c>
      <c r="J165" s="105" t="s">
        <v>68</v>
      </c>
      <c r="K165" s="97" t="str">
        <f ca="1">IF($A165=0,"-",CONCATENATE(C165&amp;".",IF(AND($A$5&gt;=2,$A165&gt;=2),D165&amp;".",""),IF(AND($A$5&gt;=3,$A165&gt;=3),E165&amp;".",""),IF(AND($A$5&gt;=4,$A165&gt;=4),F165&amp;".",""),IF($A165="S",G165&amp;".","")))</f>
        <v>5.1.</v>
      </c>
      <c r="L165" s="110" t="str">
        <f ca="1">IF(NOT(ISERROR($Y165)),IF($Y165&lt;&gt;FALSE,INDEX(Banco,$Y165,4),""),"")</f>
        <v/>
      </c>
      <c r="M165" s="98"/>
      <c r="N165" s="112"/>
      <c r="O165" s="110" t="s">
        <v>274</v>
      </c>
      <c r="P165" s="111" t="str">
        <f ca="1">IF(NOT(ISERROR($Y165)),IF($Y165&lt;&gt;FALSE,INDEX(Banco,$Y165,6),""),"")</f>
        <v/>
      </c>
      <c r="Q165" s="107"/>
      <c r="R165" s="100">
        <f ca="1">IF(NOT(ISERROR($Y165)),IF($Y165&lt;&gt;FALSE,INDEX(Banco,$Y165,7),0),0)</f>
        <v>0</v>
      </c>
      <c r="S165" s="109" t="s">
        <v>62</v>
      </c>
      <c r="T165" s="99">
        <f>IF($J165=$G$2,ROUND(ROUND($R165,2)*IF($R$9="Preço Unitário (R$)",1,1+$AA165),2),0)</f>
        <v>0</v>
      </c>
      <c r="U165" s="102">
        <f ca="1">IF($A165="S",VTOTAL1,IF($A165=0,0,ROUND(SomaAgrup,2)))</f>
        <v>10609.28</v>
      </c>
      <c r="W165" s="1">
        <f ca="1">IF(OR($A165=0,$A165="S",$A165&gt;CFF!$A$9),"",MAX(W$11:OFFSET(W165,-1,0))+1)</f>
        <v>13</v>
      </c>
      <c r="X165" s="3" t="b">
        <f>IF(AND($J165=$G$2,$N165&lt;&gt;"",$M165&lt;&gt;""),CONCATENATE($M165,"-",$N165))</f>
        <v>0</v>
      </c>
      <c r="Y165" s="1" t="b">
        <f ca="1">IF(X165&lt;&gt;FALSE,MATCH(X165,OFFSET(Banco,0,0,,1),0))</f>
        <v>0</v>
      </c>
      <c r="AA165" s="106" t="str">
        <f>IF($J165=$G$2,ROUND(IF(ISNUMBER(S165),S165,IF(LEFT(S165,2)="DI",HLOOKUP(S165,DADOS!$T$29:$X$30,2,FALSE),0)),4),"")</f>
        <v/>
      </c>
      <c r="AB165" s="1"/>
    </row>
    <row r="166" spans="1:28" x14ac:dyDescent="0.2">
      <c r="A166" t="str">
        <f t="shared" ref="A166:A176" si="103">CHOOSE(1+LOG(1+2*(J166=$C$2)+4*(J166=$D$2)+8*(J166=$E$2)+16*(J166=$F$2)+32*(J166=$G$2),2),0,1,2,3,4,"S")</f>
        <v>S</v>
      </c>
      <c r="B166">
        <f t="shared" ref="B166:B176" si="104">IF(OR(A166="S",A166=0),0,IF(ISERROR(I166),H166,SMALL(H166:I166,1)))</f>
        <v>0</v>
      </c>
      <c r="C166">
        <f t="shared" ref="C166:C176" ca="1" si="105">IF($A166=1,OFFSET(C166,-1,0)+1,OFFSET(C166,-1,0))</f>
        <v>5</v>
      </c>
      <c r="D166">
        <f t="shared" ref="D166:D176" ca="1" si="106">IF($A166=1,0,IF($A166=2,OFFSET(D166,-1,0)+1,OFFSET(D166,-1,0)))</f>
        <v>1</v>
      </c>
      <c r="E166">
        <f t="shared" ref="E166:E176" ca="1" si="107">IF(AND($A166&lt;=2,$A166&lt;&gt;0),0,IF($A166=3,OFFSET(E166,-1,0)+1,OFFSET(E166,-1,0)))</f>
        <v>0</v>
      </c>
      <c r="F166">
        <f t="shared" ref="F166:F176" ca="1" si="108">IF(AND($A166&lt;=3,$A166&lt;&gt;0),0,IF($A166=4,OFFSET(F166,-1,0)+1,OFFSET(F166,-1,0)))</f>
        <v>0</v>
      </c>
      <c r="G166">
        <f t="shared" ref="G166:G176" ca="1" si="109">IF(AND($A166&lt;=4,$A166&lt;&gt;0),0,IF($A166="S",OFFSET(G166,-1,0)+1,OFFSET(G166,-1,0)))</f>
        <v>1</v>
      </c>
      <c r="H166">
        <f t="shared" ca="1" si="86"/>
        <v>0</v>
      </c>
      <c r="I166">
        <f t="shared" ca="1" si="87"/>
        <v>0</v>
      </c>
      <c r="J166" s="105" t="s">
        <v>29</v>
      </c>
      <c r="K166" s="97" t="str">
        <f t="shared" ref="K166:K176" ca="1" si="110">IF($A166=0,"-",CONCATENATE(C166&amp;".",IF(AND($A$5&gt;=2,$A166&gt;=2),D166&amp;".",""),IF(AND($A$5&gt;=3,$A166&gt;=3),E166&amp;".",""),IF(AND($A$5&gt;=4,$A166&gt;=4),F166&amp;".",""),IF($A166="S",G166&amp;".","")))</f>
        <v>5.1.1.</v>
      </c>
      <c r="L166" s="110" t="str">
        <f t="shared" ref="L166:L176" ca="1" si="111">IF(NOT(ISERROR($Y166)),IF($Y166&lt;&gt;FALSE,INDEX(Banco,$Y166,4),""),"")</f>
        <v>CRESS</v>
      </c>
      <c r="M166" s="98" t="s">
        <v>78</v>
      </c>
      <c r="N166" s="112" t="s">
        <v>218</v>
      </c>
      <c r="O166" s="110" t="str">
        <f t="shared" ref="O166:O176" ca="1" si="112">IF(NOT(ISERROR($Y166)),IF($Y166&lt;&gt;FALSE,INDEX(Banco,$Y166,5),""),"")</f>
        <v>RT</v>
      </c>
      <c r="P166" s="111" t="str">
        <f t="shared" ref="P166:P176" ca="1" si="113">IF(NOT(ISERROR($Y166)),IF($Y166&lt;&gt;FALSE,INDEX(Banco,$Y166,6),""),"")</f>
        <v>hora</v>
      </c>
      <c r="Q166" s="107">
        <v>20</v>
      </c>
      <c r="R166" s="100">
        <f t="shared" ref="R166:R176" ca="1" si="114">IF(NOT(ISERROR($Y166)),IF($Y166&lt;&gt;FALSE,INDEX(Banco,$Y166,7),0),0)</f>
        <v>150.28</v>
      </c>
      <c r="S166" s="109" t="s">
        <v>62</v>
      </c>
      <c r="T166" s="99">
        <f t="shared" ref="T166:T176" ca="1" si="115">IF($J166=$G$2,ROUND(ROUND($R166,2)*IF($R$9="Preço Unitário (R$)",1,1+$AA166),2),0)</f>
        <v>187.85</v>
      </c>
      <c r="U166" s="102">
        <f t="shared" ref="U166:U176" ca="1" si="116">IF($A166="S",VTOTAL1,IF($A166=0,0,ROUND(SomaAgrup,2)))</f>
        <v>3757</v>
      </c>
      <c r="W166" s="1" t="str">
        <f ca="1">IF(OR($A166=0,$A166="S",$A166&gt;CFF!$A$9),"",MAX(W$11:OFFSET(W166,-1,0))+1)</f>
        <v/>
      </c>
      <c r="X166" s="3" t="str">
        <f t="shared" ref="X166:X176" si="117">IF(AND($J166=$G$2,$N166&lt;&gt;"",$M166&lt;&gt;""),CONCATENATE($M166,"-",$N166))</f>
        <v>Rec. Humanos-001</v>
      </c>
      <c r="Y166" s="1">
        <f t="shared" ref="Y166:Y176" ca="1" si="118">IF(X166&lt;&gt;FALSE,MATCH(X166,OFFSET(Banco,0,0,,1),0))</f>
        <v>3</v>
      </c>
      <c r="AA166" s="106">
        <f>IF($J166=$G$2,ROUND(IF(ISNUMBER(S166),S166,IF(LEFT(S166,2)="DI",HLOOKUP(S166,DADOS!$T$29:$X$30,2,FALSE),0)),4),"")</f>
        <v>0.25</v>
      </c>
      <c r="AB166" s="1"/>
    </row>
    <row r="167" spans="1:28" x14ac:dyDescent="0.2">
      <c r="A167" t="str">
        <f t="shared" si="103"/>
        <v>S</v>
      </c>
      <c r="B167">
        <f t="shared" si="104"/>
        <v>0</v>
      </c>
      <c r="C167">
        <f t="shared" ca="1" si="105"/>
        <v>5</v>
      </c>
      <c r="D167">
        <f t="shared" ca="1" si="106"/>
        <v>1</v>
      </c>
      <c r="E167">
        <f t="shared" ca="1" si="107"/>
        <v>0</v>
      </c>
      <c r="F167">
        <f t="shared" ca="1" si="108"/>
        <v>0</v>
      </c>
      <c r="G167">
        <f t="shared" ca="1" si="109"/>
        <v>2</v>
      </c>
      <c r="H167">
        <f t="shared" ca="1" si="86"/>
        <v>0</v>
      </c>
      <c r="I167">
        <f t="shared" ca="1" si="87"/>
        <v>0</v>
      </c>
      <c r="J167" s="105" t="s">
        <v>29</v>
      </c>
      <c r="K167" s="97" t="str">
        <f t="shared" ca="1" si="110"/>
        <v>5.1.2.</v>
      </c>
      <c r="L167" s="110">
        <f t="shared" ca="1" si="111"/>
        <v>0</v>
      </c>
      <c r="M167" s="98" t="s">
        <v>78</v>
      </c>
      <c r="N167" s="112" t="s">
        <v>219</v>
      </c>
      <c r="O167" s="110" t="str">
        <f t="shared" ca="1" si="112"/>
        <v>Assistente Social</v>
      </c>
      <c r="P167" s="111" t="str">
        <f t="shared" ca="1" si="113"/>
        <v>hora</v>
      </c>
      <c r="Q167" s="107">
        <v>20</v>
      </c>
      <c r="R167" s="100">
        <f t="shared" ca="1" si="114"/>
        <v>133.81</v>
      </c>
      <c r="S167" s="109" t="s">
        <v>62</v>
      </c>
      <c r="T167" s="99">
        <f t="shared" ca="1" si="115"/>
        <v>167.26</v>
      </c>
      <c r="U167" s="102">
        <f t="shared" ca="1" si="116"/>
        <v>3345.2</v>
      </c>
      <c r="W167" s="1" t="str">
        <f ca="1">IF(OR($A167=0,$A167="S",$A167&gt;CFF!$A$9),"",MAX(W$11:OFFSET(W167,-1,0))+1)</f>
        <v/>
      </c>
      <c r="X167" s="3" t="str">
        <f t="shared" si="117"/>
        <v>Rec. Humanos-002</v>
      </c>
      <c r="Y167" s="1">
        <f t="shared" ca="1" si="118"/>
        <v>4</v>
      </c>
      <c r="AA167" s="106">
        <f>IF($J167=$G$2,ROUND(IF(ISNUMBER(S167),S167,IF(LEFT(S167,2)="DI",HLOOKUP(S167,DADOS!$T$29:$X$30,2,FALSE),0)),4),"")</f>
        <v>0.25</v>
      </c>
      <c r="AB167" s="1"/>
    </row>
    <row r="168" spans="1:28" x14ac:dyDescent="0.2">
      <c r="A168" t="str">
        <f t="shared" si="103"/>
        <v>S</v>
      </c>
      <c r="B168">
        <f t="shared" si="104"/>
        <v>0</v>
      </c>
      <c r="C168">
        <f t="shared" ca="1" si="105"/>
        <v>5</v>
      </c>
      <c r="D168">
        <f t="shared" ca="1" si="106"/>
        <v>1</v>
      </c>
      <c r="E168">
        <f t="shared" ca="1" si="107"/>
        <v>0</v>
      </c>
      <c r="F168">
        <f t="shared" ca="1" si="108"/>
        <v>0</v>
      </c>
      <c r="G168">
        <f t="shared" ca="1" si="109"/>
        <v>3</v>
      </c>
      <c r="H168">
        <f t="shared" ca="1" si="86"/>
        <v>0</v>
      </c>
      <c r="I168">
        <f t="shared" ca="1" si="87"/>
        <v>0</v>
      </c>
      <c r="J168" s="105" t="s">
        <v>29</v>
      </c>
      <c r="K168" s="97" t="str">
        <f t="shared" ca="1" si="110"/>
        <v>5.1.3.</v>
      </c>
      <c r="L168" s="110">
        <f t="shared" ca="1" si="111"/>
        <v>0</v>
      </c>
      <c r="M168" s="98" t="s">
        <v>78</v>
      </c>
      <c r="N168" s="112" t="s">
        <v>220</v>
      </c>
      <c r="O168" s="110" t="str">
        <f t="shared" ca="1" si="112"/>
        <v>Administrativo</v>
      </c>
      <c r="P168" s="111" t="str">
        <f t="shared" ca="1" si="113"/>
        <v>mensal</v>
      </c>
      <c r="Q168" s="107">
        <v>1</v>
      </c>
      <c r="R168" s="100">
        <f t="shared" ca="1" si="114"/>
        <v>1463.5</v>
      </c>
      <c r="S168" s="109" t="s">
        <v>62</v>
      </c>
      <c r="T168" s="99">
        <f t="shared" ca="1" si="115"/>
        <v>1829.38</v>
      </c>
      <c r="U168" s="102">
        <f t="shared" ca="1" si="116"/>
        <v>1829.38</v>
      </c>
      <c r="W168" s="1" t="str">
        <f ca="1">IF(OR($A168=0,$A168="S",$A168&gt;CFF!$A$9),"",MAX(W$11:OFFSET(W168,-1,0))+1)</f>
        <v/>
      </c>
      <c r="X168" s="3" t="str">
        <f t="shared" si="117"/>
        <v>Rec. Humanos-003</v>
      </c>
      <c r="Y168" s="1">
        <f t="shared" ca="1" si="118"/>
        <v>5</v>
      </c>
      <c r="AA168" s="106">
        <f>IF($J168=$G$2,ROUND(IF(ISNUMBER(S168),S168,IF(LEFT(S168,2)="DI",HLOOKUP(S168,DADOS!$T$29:$X$30,2,FALSE),0)),4),"")</f>
        <v>0.25</v>
      </c>
      <c r="AB168" s="1"/>
    </row>
    <row r="169" spans="1:28" x14ac:dyDescent="0.2">
      <c r="A169" t="str">
        <f t="shared" si="103"/>
        <v>S</v>
      </c>
      <c r="B169">
        <f t="shared" si="104"/>
        <v>0</v>
      </c>
      <c r="C169">
        <f t="shared" ca="1" si="105"/>
        <v>5</v>
      </c>
      <c r="D169">
        <f t="shared" ca="1" si="106"/>
        <v>1</v>
      </c>
      <c r="E169">
        <f t="shared" ca="1" si="107"/>
        <v>0</v>
      </c>
      <c r="F169">
        <f t="shared" ca="1" si="108"/>
        <v>0</v>
      </c>
      <c r="G169">
        <f t="shared" ca="1" si="109"/>
        <v>4</v>
      </c>
      <c r="H169">
        <f t="shared" ca="1" si="86"/>
        <v>0</v>
      </c>
      <c r="I169">
        <f t="shared" ca="1" si="87"/>
        <v>0</v>
      </c>
      <c r="J169" s="105" t="s">
        <v>29</v>
      </c>
      <c r="K169" s="97" t="str">
        <f t="shared" ca="1" si="110"/>
        <v>5.1.4.</v>
      </c>
      <c r="L169" s="110">
        <f t="shared" ca="1" si="111"/>
        <v>0</v>
      </c>
      <c r="M169" s="98" t="s">
        <v>80</v>
      </c>
      <c r="N169" s="112" t="s">
        <v>221</v>
      </c>
      <c r="O169" s="110" t="str">
        <f t="shared" ca="1" si="112"/>
        <v>Cadeira de Plastico</v>
      </c>
      <c r="P169" s="111" t="str">
        <f t="shared" ca="1" si="113"/>
        <v>unidade</v>
      </c>
      <c r="Q169" s="107">
        <v>4</v>
      </c>
      <c r="R169" s="100">
        <f t="shared" ca="1" si="114"/>
        <v>1.6</v>
      </c>
      <c r="S169" s="109" t="s">
        <v>62</v>
      </c>
      <c r="T169" s="99">
        <f t="shared" ca="1" si="115"/>
        <v>2</v>
      </c>
      <c r="U169" s="102">
        <f t="shared" ca="1" si="116"/>
        <v>8</v>
      </c>
      <c r="W169" s="1" t="str">
        <f ca="1">IF(OR($A169=0,$A169="S",$A169&gt;CFF!$A$9),"",MAX(W$11:OFFSET(W169,-1,0))+1)</f>
        <v/>
      </c>
      <c r="X169" s="3" t="str">
        <f t="shared" si="117"/>
        <v>Serv. Terc.-005</v>
      </c>
      <c r="Y169" s="1">
        <f t="shared" ca="1" si="118"/>
        <v>51</v>
      </c>
      <c r="AA169" s="106">
        <f>IF($J169=$G$2,ROUND(IF(ISNUMBER(S169),S169,IF(LEFT(S169,2)="DI",HLOOKUP(S169,DADOS!$T$29:$X$30,2,FALSE),0)),4),"")</f>
        <v>0.25</v>
      </c>
      <c r="AB169" s="1"/>
    </row>
    <row r="170" spans="1:28" x14ac:dyDescent="0.2">
      <c r="A170" t="str">
        <f t="shared" si="103"/>
        <v>S</v>
      </c>
      <c r="B170">
        <f t="shared" si="104"/>
        <v>0</v>
      </c>
      <c r="C170">
        <f t="shared" ca="1" si="105"/>
        <v>5</v>
      </c>
      <c r="D170">
        <f t="shared" ca="1" si="106"/>
        <v>1</v>
      </c>
      <c r="E170">
        <f t="shared" ca="1" si="107"/>
        <v>0</v>
      </c>
      <c r="F170">
        <f t="shared" ca="1" si="108"/>
        <v>0</v>
      </c>
      <c r="G170">
        <f t="shared" ca="1" si="109"/>
        <v>5</v>
      </c>
      <c r="H170">
        <f t="shared" ca="1" si="86"/>
        <v>0</v>
      </c>
      <c r="I170">
        <f t="shared" ca="1" si="87"/>
        <v>0</v>
      </c>
      <c r="J170" s="105" t="s">
        <v>29</v>
      </c>
      <c r="K170" s="97" t="str">
        <f t="shared" ca="1" si="110"/>
        <v>5.1.5.</v>
      </c>
      <c r="L170" s="110">
        <f t="shared" ca="1" si="111"/>
        <v>0</v>
      </c>
      <c r="M170" s="98" t="s">
        <v>80</v>
      </c>
      <c r="N170" s="112" t="s">
        <v>222</v>
      </c>
      <c r="O170" s="110" t="str">
        <f t="shared" ca="1" si="112"/>
        <v>Mesa de plastico</v>
      </c>
      <c r="P170" s="111" t="str">
        <f t="shared" ca="1" si="113"/>
        <v>unidade</v>
      </c>
      <c r="Q170" s="107">
        <v>1</v>
      </c>
      <c r="R170" s="100">
        <f t="shared" ca="1" si="114"/>
        <v>2</v>
      </c>
      <c r="S170" s="109" t="s">
        <v>62</v>
      </c>
      <c r="T170" s="99">
        <f t="shared" ca="1" si="115"/>
        <v>2.5</v>
      </c>
      <c r="U170" s="102">
        <f t="shared" ca="1" si="116"/>
        <v>2.5</v>
      </c>
      <c r="W170" s="1" t="str">
        <f ca="1">IF(OR($A170=0,$A170="S",$A170&gt;CFF!$A$9),"",MAX(W$11:OFFSET(W170,-1,0))+1)</f>
        <v/>
      </c>
      <c r="X170" s="3" t="str">
        <f t="shared" si="117"/>
        <v>Serv. Terc.-006</v>
      </c>
      <c r="Y170" s="1">
        <f t="shared" ca="1" si="118"/>
        <v>52</v>
      </c>
      <c r="AA170" s="106">
        <f>IF($J170=$G$2,ROUND(IF(ISNUMBER(S170),S170,IF(LEFT(S170,2)="DI",HLOOKUP(S170,DADOS!$T$29:$X$30,2,FALSE),0)),4),"")</f>
        <v>0.25</v>
      </c>
      <c r="AB170" s="1"/>
    </row>
    <row r="171" spans="1:28" x14ac:dyDescent="0.2">
      <c r="A171" t="str">
        <f t="shared" si="103"/>
        <v>S</v>
      </c>
      <c r="B171">
        <f t="shared" si="104"/>
        <v>0</v>
      </c>
      <c r="C171">
        <f t="shared" ca="1" si="105"/>
        <v>5</v>
      </c>
      <c r="D171">
        <f t="shared" ca="1" si="106"/>
        <v>1</v>
      </c>
      <c r="E171">
        <f t="shared" ca="1" si="107"/>
        <v>0</v>
      </c>
      <c r="F171">
        <f t="shared" ca="1" si="108"/>
        <v>0</v>
      </c>
      <c r="G171">
        <f t="shared" ca="1" si="109"/>
        <v>6</v>
      </c>
      <c r="H171">
        <f t="shared" ca="1" si="86"/>
        <v>0</v>
      </c>
      <c r="I171">
        <f t="shared" ca="1" si="87"/>
        <v>0</v>
      </c>
      <c r="J171" s="105" t="s">
        <v>29</v>
      </c>
      <c r="K171" s="97" t="str">
        <f t="shared" ca="1" si="110"/>
        <v>5.1.6.</v>
      </c>
      <c r="L171" s="110">
        <f t="shared" ca="1" si="111"/>
        <v>0</v>
      </c>
      <c r="M171" s="98" t="s">
        <v>78</v>
      </c>
      <c r="N171" s="112" t="s">
        <v>221</v>
      </c>
      <c r="O171" s="110" t="str">
        <f t="shared" ca="1" si="112"/>
        <v>Estagiarios</v>
      </c>
      <c r="P171" s="111" t="str">
        <f t="shared" ca="1" si="113"/>
        <v>hora</v>
      </c>
      <c r="Q171" s="107">
        <v>10</v>
      </c>
      <c r="R171" s="100">
        <f t="shared" ca="1" si="114"/>
        <v>8.26</v>
      </c>
      <c r="S171" s="109" t="s">
        <v>62</v>
      </c>
      <c r="T171" s="99">
        <f t="shared" ca="1" si="115"/>
        <v>10.33</v>
      </c>
      <c r="U171" s="102">
        <f t="shared" ca="1" si="116"/>
        <v>103.3</v>
      </c>
      <c r="W171" s="1" t="str">
        <f ca="1">IF(OR($A171=0,$A171="S",$A171&gt;CFF!$A$9),"",MAX(W$11:OFFSET(W171,-1,0))+1)</f>
        <v/>
      </c>
      <c r="X171" s="3" t="str">
        <f t="shared" si="117"/>
        <v>Rec. Humanos-005</v>
      </c>
      <c r="Y171" s="1">
        <f t="shared" ca="1" si="118"/>
        <v>7</v>
      </c>
      <c r="AA171" s="106">
        <f>IF($J171=$G$2,ROUND(IF(ISNUMBER(S171),S171,IF(LEFT(S171,2)="DI",HLOOKUP(S171,DADOS!$T$29:$X$30,2,FALSE),0)),4),"")</f>
        <v>0.25</v>
      </c>
      <c r="AB171" s="1"/>
    </row>
    <row r="172" spans="1:28" x14ac:dyDescent="0.2">
      <c r="A172" t="str">
        <f t="shared" si="103"/>
        <v>S</v>
      </c>
      <c r="B172">
        <f t="shared" si="104"/>
        <v>0</v>
      </c>
      <c r="C172">
        <f t="shared" ca="1" si="105"/>
        <v>5</v>
      </c>
      <c r="D172">
        <f t="shared" ca="1" si="106"/>
        <v>1</v>
      </c>
      <c r="E172">
        <f t="shared" ca="1" si="107"/>
        <v>0</v>
      </c>
      <c r="F172">
        <f t="shared" ca="1" si="108"/>
        <v>0</v>
      </c>
      <c r="G172">
        <f t="shared" ca="1" si="109"/>
        <v>7</v>
      </c>
      <c r="H172">
        <f t="shared" ca="1" si="86"/>
        <v>0</v>
      </c>
      <c r="I172">
        <f t="shared" ca="1" si="87"/>
        <v>0</v>
      </c>
      <c r="J172" s="105" t="s">
        <v>29</v>
      </c>
      <c r="K172" s="97" t="str">
        <f t="shared" ca="1" si="110"/>
        <v>5.1.7.</v>
      </c>
      <c r="L172" s="110">
        <f t="shared" ca="1" si="111"/>
        <v>0</v>
      </c>
      <c r="M172" s="98" t="s">
        <v>78</v>
      </c>
      <c r="N172" s="112" t="s">
        <v>221</v>
      </c>
      <c r="O172" s="110" t="str">
        <f t="shared" ca="1" si="112"/>
        <v>Estagiarios</v>
      </c>
      <c r="P172" s="111" t="str">
        <f t="shared" ca="1" si="113"/>
        <v>hora</v>
      </c>
      <c r="Q172" s="107">
        <v>10</v>
      </c>
      <c r="R172" s="100">
        <f t="shared" ca="1" si="114"/>
        <v>8.26</v>
      </c>
      <c r="S172" s="109" t="s">
        <v>62</v>
      </c>
      <c r="T172" s="99">
        <f t="shared" ca="1" si="115"/>
        <v>10.33</v>
      </c>
      <c r="U172" s="102">
        <f t="shared" ca="1" si="116"/>
        <v>103.3</v>
      </c>
      <c r="W172" s="1" t="str">
        <f ca="1">IF(OR($A172=0,$A172="S",$A172&gt;CFF!$A$9),"",MAX(W$11:OFFSET(W172,-1,0))+1)</f>
        <v/>
      </c>
      <c r="X172" s="3" t="str">
        <f t="shared" si="117"/>
        <v>Rec. Humanos-005</v>
      </c>
      <c r="Y172" s="1">
        <f t="shared" ca="1" si="118"/>
        <v>7</v>
      </c>
      <c r="AA172" s="106">
        <f>IF($J172=$G$2,ROUND(IF(ISNUMBER(S172),S172,IF(LEFT(S172,2)="DI",HLOOKUP(S172,DADOS!$T$29:$X$30,2,FALSE),0)),4),"")</f>
        <v>0.25</v>
      </c>
      <c r="AB172" s="1"/>
    </row>
    <row r="173" spans="1:28" x14ac:dyDescent="0.2">
      <c r="A173" t="str">
        <f t="shared" si="103"/>
        <v>S</v>
      </c>
      <c r="B173">
        <f t="shared" si="104"/>
        <v>0</v>
      </c>
      <c r="C173">
        <f t="shared" ca="1" si="105"/>
        <v>5</v>
      </c>
      <c r="D173">
        <f t="shared" ca="1" si="106"/>
        <v>1</v>
      </c>
      <c r="E173">
        <f t="shared" ca="1" si="107"/>
        <v>0</v>
      </c>
      <c r="F173">
        <f t="shared" ca="1" si="108"/>
        <v>0</v>
      </c>
      <c r="G173">
        <f t="shared" ca="1" si="109"/>
        <v>8</v>
      </c>
      <c r="H173">
        <f t="shared" ca="1" si="86"/>
        <v>0</v>
      </c>
      <c r="I173">
        <f t="shared" ca="1" si="87"/>
        <v>0</v>
      </c>
      <c r="J173" s="105" t="s">
        <v>29</v>
      </c>
      <c r="K173" s="97" t="str">
        <f t="shared" ca="1" si="110"/>
        <v>5.1.8.</v>
      </c>
      <c r="L173" s="110">
        <f t="shared" ca="1" si="111"/>
        <v>0</v>
      </c>
      <c r="M173" s="98" t="s">
        <v>78</v>
      </c>
      <c r="N173" s="112" t="s">
        <v>221</v>
      </c>
      <c r="O173" s="110" t="str">
        <f t="shared" ca="1" si="112"/>
        <v>Estagiarios</v>
      </c>
      <c r="P173" s="111" t="str">
        <f t="shared" ca="1" si="113"/>
        <v>hora</v>
      </c>
      <c r="Q173" s="107">
        <v>10</v>
      </c>
      <c r="R173" s="100">
        <f t="shared" ca="1" si="114"/>
        <v>8.26</v>
      </c>
      <c r="S173" s="109" t="s">
        <v>62</v>
      </c>
      <c r="T173" s="99">
        <f t="shared" ca="1" si="115"/>
        <v>10.33</v>
      </c>
      <c r="U173" s="102">
        <f t="shared" ca="1" si="116"/>
        <v>103.3</v>
      </c>
      <c r="W173" s="1" t="str">
        <f ca="1">IF(OR($A173=0,$A173="S",$A173&gt;CFF!$A$9),"",MAX(W$11:OFFSET(W173,-1,0))+1)</f>
        <v/>
      </c>
      <c r="X173" s="3" t="str">
        <f t="shared" si="117"/>
        <v>Rec. Humanos-005</v>
      </c>
      <c r="Y173" s="1">
        <f t="shared" ca="1" si="118"/>
        <v>7</v>
      </c>
      <c r="AA173" s="106">
        <f>IF($J173=$G$2,ROUND(IF(ISNUMBER(S173),S173,IF(LEFT(S173,2)="DI",HLOOKUP(S173,DADOS!$T$29:$X$30,2,FALSE),0)),4),"")</f>
        <v>0.25</v>
      </c>
      <c r="AB173" s="1"/>
    </row>
    <row r="174" spans="1:28" x14ac:dyDescent="0.2">
      <c r="A174" t="str">
        <f t="shared" si="103"/>
        <v>S</v>
      </c>
      <c r="B174">
        <f t="shared" si="104"/>
        <v>0</v>
      </c>
      <c r="C174">
        <f t="shared" ca="1" si="105"/>
        <v>5</v>
      </c>
      <c r="D174">
        <f t="shared" ca="1" si="106"/>
        <v>1</v>
      </c>
      <c r="E174">
        <f t="shared" ca="1" si="107"/>
        <v>0</v>
      </c>
      <c r="F174">
        <f t="shared" ca="1" si="108"/>
        <v>0</v>
      </c>
      <c r="G174">
        <f t="shared" ca="1" si="109"/>
        <v>9</v>
      </c>
      <c r="H174">
        <f t="shared" ca="1" si="86"/>
        <v>0</v>
      </c>
      <c r="I174">
        <f t="shared" ca="1" si="87"/>
        <v>0</v>
      </c>
      <c r="J174" s="105" t="s">
        <v>29</v>
      </c>
      <c r="K174" s="97" t="str">
        <f t="shared" ca="1" si="110"/>
        <v>5.1.9.</v>
      </c>
      <c r="L174" s="110">
        <f t="shared" ca="1" si="111"/>
        <v>0</v>
      </c>
      <c r="M174" s="98" t="s">
        <v>78</v>
      </c>
      <c r="N174" s="112" t="s">
        <v>221</v>
      </c>
      <c r="O174" s="110" t="str">
        <f t="shared" ca="1" si="112"/>
        <v>Estagiarios</v>
      </c>
      <c r="P174" s="111" t="str">
        <f t="shared" ca="1" si="113"/>
        <v>hora</v>
      </c>
      <c r="Q174" s="107">
        <v>10</v>
      </c>
      <c r="R174" s="100">
        <f t="shared" ca="1" si="114"/>
        <v>8.26</v>
      </c>
      <c r="S174" s="109" t="s">
        <v>62</v>
      </c>
      <c r="T174" s="99">
        <f t="shared" ca="1" si="115"/>
        <v>10.33</v>
      </c>
      <c r="U174" s="102">
        <f t="shared" ca="1" si="116"/>
        <v>103.3</v>
      </c>
      <c r="W174" s="1" t="str">
        <f ca="1">IF(OR($A174=0,$A174="S",$A174&gt;CFF!$A$9),"",MAX(W$11:OFFSET(W174,-1,0))+1)</f>
        <v/>
      </c>
      <c r="X174" s="3" t="str">
        <f t="shared" si="117"/>
        <v>Rec. Humanos-005</v>
      </c>
      <c r="Y174" s="1">
        <f t="shared" ca="1" si="118"/>
        <v>7</v>
      </c>
      <c r="AA174" s="106">
        <f>IF($J174=$G$2,ROUND(IF(ISNUMBER(S174),S174,IF(LEFT(S174,2)="DI",HLOOKUP(S174,DADOS!$T$29:$X$30,2,FALSE),0)),4),"")</f>
        <v>0.25</v>
      </c>
      <c r="AB174" s="1"/>
    </row>
    <row r="175" spans="1:28" x14ac:dyDescent="0.2">
      <c r="A175" t="str">
        <f>CHOOSE(1+LOG(1+2*(J175=$C$2)+4*(J175=$D$2)+8*(J175=$E$2)+16*(J175=$F$2)+32*(J175=$G$2),2),0,1,2,3,4,"S")</f>
        <v>S</v>
      </c>
      <c r="B175">
        <f>IF(OR(A175="S",A175=0),0,IF(ISERROR(I175),H175,SMALL(H175:I175,1)))</f>
        <v>0</v>
      </c>
      <c r="C175">
        <f ca="1">IF($A175=1,OFFSET(C175,-1,0)+1,OFFSET(C175,-1,0))</f>
        <v>5</v>
      </c>
      <c r="D175">
        <f ca="1">IF($A175=1,0,IF($A175=2,OFFSET(D175,-1,0)+1,OFFSET(D175,-1,0)))</f>
        <v>1</v>
      </c>
      <c r="E175">
        <f ca="1">IF(AND($A175&lt;=2,$A175&lt;&gt;0),0,IF($A175=3,OFFSET(E175,-1,0)+1,OFFSET(E175,-1,0)))</f>
        <v>0</v>
      </c>
      <c r="F175">
        <f ca="1">IF(AND($A175&lt;=3,$A175&lt;&gt;0),0,IF($A175=4,OFFSET(F175,-1,0)+1,OFFSET(F175,-1,0)))</f>
        <v>0</v>
      </c>
      <c r="G175">
        <f ca="1">IF(AND($A175&lt;=4,$A175&lt;&gt;0),0,IF($A175="S",OFFSET(G175,-1,0)+1,OFFSET(G175,-1,0)))</f>
        <v>10</v>
      </c>
      <c r="H175">
        <f t="shared" ca="1" si="86"/>
        <v>0</v>
      </c>
      <c r="I175">
        <f t="shared" ca="1" si="87"/>
        <v>0</v>
      </c>
      <c r="J175" s="105" t="s">
        <v>29</v>
      </c>
      <c r="K175" s="97" t="str">
        <f ca="1">IF($A175=0,"-",CONCATENATE(C175&amp;".",IF(AND($A$5&gt;=2,$A175&gt;=2),D175&amp;".",""),IF(AND($A$5&gt;=3,$A175&gt;=3),E175&amp;".",""),IF(AND($A$5&gt;=4,$A175&gt;=4),F175&amp;".",""),IF($A175="S",G175&amp;".","")))</f>
        <v>5.1.10.</v>
      </c>
      <c r="L175" s="110">
        <f ca="1">IF(NOT(ISERROR($Y175)),IF($Y175&lt;&gt;FALSE,INDEX(Banco,$Y175,4),""),"")</f>
        <v>0</v>
      </c>
      <c r="M175" s="98" t="s">
        <v>80</v>
      </c>
      <c r="N175" s="112" t="s">
        <v>231</v>
      </c>
      <c r="O175" s="110" t="str">
        <f ca="1">IF(NOT(ISERROR($Y175)),IF($Y175&lt;&gt;FALSE,INDEX(Banco,$Y175,5),""),"")</f>
        <v xml:space="preserve">Impressão Colorida 1 folha </v>
      </c>
      <c r="P175" s="111" t="str">
        <f ca="1">IF(NOT(ISERROR($Y175)),IF($Y175&lt;&gt;FALSE,INDEX(Banco,$Y175,6),""),"")</f>
        <v>unidade</v>
      </c>
      <c r="Q175" s="107">
        <v>300</v>
      </c>
      <c r="R175" s="100">
        <f ca="1">IF(NOT(ISERROR($Y175)),IF($Y175&lt;&gt;FALSE,INDEX(Banco,$Y175,7),0),0)</f>
        <v>2.5</v>
      </c>
      <c r="S175" s="109" t="s">
        <v>62</v>
      </c>
      <c r="T175" s="99">
        <f ca="1">IF($J175=$G$2,ROUND(ROUND($R175,2)*IF($R$9="Preço Unitário (R$)",1,1+$AA175),2),0)</f>
        <v>3.13</v>
      </c>
      <c r="U175" s="102">
        <f ca="1">IF($A175="S",VTOTAL1,IF($A175=0,0,ROUND(SomaAgrup,2)))</f>
        <v>939</v>
      </c>
      <c r="W175" s="1" t="str">
        <f ca="1">IF(OR($A175=0,$A175="S",$A175&gt;CFF!$A$9),"",MAX(W$11:OFFSET(W175,-1,0))+1)</f>
        <v/>
      </c>
      <c r="X175" s="3" t="str">
        <f>IF(AND($J175=$G$2,$N175&lt;&gt;"",$M175&lt;&gt;""),CONCATENATE($M175,"-",$N175))</f>
        <v>Serv. Terc.-004</v>
      </c>
      <c r="Y175" s="1">
        <f ca="1">IF(X175&lt;&gt;FALSE,MATCH(X175,OFFSET(Banco,0,0,,1),0))</f>
        <v>50</v>
      </c>
      <c r="AA175" s="106">
        <f>IF($J175=$G$2,ROUND(IF(ISNUMBER(S175),S175,IF(LEFT(S175,2)="DI",HLOOKUP(S175,DADOS!$T$29:$X$30,2,FALSE),0)),4),"")</f>
        <v>0.25</v>
      </c>
      <c r="AB175" s="1"/>
    </row>
    <row r="176" spans="1:28" x14ac:dyDescent="0.2">
      <c r="A176" t="str">
        <f t="shared" si="103"/>
        <v>S</v>
      </c>
      <c r="B176">
        <f t="shared" si="104"/>
        <v>0</v>
      </c>
      <c r="C176">
        <f t="shared" ca="1" si="105"/>
        <v>5</v>
      </c>
      <c r="D176">
        <f t="shared" ca="1" si="106"/>
        <v>1</v>
      </c>
      <c r="E176">
        <f t="shared" ca="1" si="107"/>
        <v>0</v>
      </c>
      <c r="F176">
        <f t="shared" ca="1" si="108"/>
        <v>0</v>
      </c>
      <c r="G176">
        <f t="shared" ca="1" si="109"/>
        <v>11</v>
      </c>
      <c r="H176">
        <f t="shared" ca="1" si="86"/>
        <v>0</v>
      </c>
      <c r="I176">
        <f t="shared" ca="1" si="87"/>
        <v>0</v>
      </c>
      <c r="J176" s="105" t="s">
        <v>29</v>
      </c>
      <c r="K176" s="97" t="str">
        <f t="shared" ca="1" si="110"/>
        <v>5.1.11.</v>
      </c>
      <c r="L176" s="110">
        <f t="shared" ca="1" si="111"/>
        <v>0</v>
      </c>
      <c r="M176" s="98" t="s">
        <v>79</v>
      </c>
      <c r="N176" s="112" t="s">
        <v>227</v>
      </c>
      <c r="O176" s="110" t="str">
        <f t="shared" ca="1" si="112"/>
        <v>Copo de agua 300 ml Lebrinha/Brunado</v>
      </c>
      <c r="P176" s="111" t="str">
        <f t="shared" ca="1" si="113"/>
        <v>UNIDADE</v>
      </c>
      <c r="Q176" s="107">
        <v>60</v>
      </c>
      <c r="R176" s="100">
        <f t="shared" ca="1" si="114"/>
        <v>4.2</v>
      </c>
      <c r="S176" s="109" t="s">
        <v>62</v>
      </c>
      <c r="T176" s="99">
        <f t="shared" ca="1" si="115"/>
        <v>5.25</v>
      </c>
      <c r="U176" s="102">
        <f t="shared" ca="1" si="116"/>
        <v>315</v>
      </c>
      <c r="W176" s="1" t="str">
        <f ca="1">IF(OR($A176=0,$A176="S",$A176&gt;CFF!$A$9),"",MAX(W$11:OFFSET(W176,-1,0))+1)</f>
        <v/>
      </c>
      <c r="X176" s="3" t="str">
        <f t="shared" si="117"/>
        <v>Rec. Materiais-014</v>
      </c>
      <c r="Y176" s="1">
        <f t="shared" ca="1" si="118"/>
        <v>21</v>
      </c>
      <c r="AA176" s="106">
        <f>IF($J176=$G$2,ROUND(IF(ISNUMBER(S176),S176,IF(LEFT(S176,2)="DI",HLOOKUP(S176,DADOS!$T$29:$X$30,2,FALSE),0)),4),"")</f>
        <v>0.25</v>
      </c>
      <c r="AB176" s="1"/>
    </row>
    <row r="177" spans="1:28" x14ac:dyDescent="0.2">
      <c r="A177">
        <f>CHOOSE(1+LOG(1+2*(J177=$C$2)+4*(J177=$D$2)+8*(J177=$E$2)+16*(J177=$F$2)+32*(J177=$G$2),2),0,1,2,3,4,"S")</f>
        <v>2</v>
      </c>
      <c r="B177">
        <f ca="1">IF(OR(A177="S",A177=0),0,IF(ISERROR(I177),H177,SMALL(H177:I177,1)))</f>
        <v>11</v>
      </c>
      <c r="C177">
        <f ca="1">IF($A177=1,OFFSET(C177,-1,0)+1,OFFSET(C177,-1,0))</f>
        <v>5</v>
      </c>
      <c r="D177">
        <f ca="1">IF($A177=1,0,IF($A177=2,OFFSET(D177,-1,0)+1,OFFSET(D177,-1,0)))</f>
        <v>2</v>
      </c>
      <c r="E177">
        <f ca="1">IF(AND($A177&lt;=2,$A177&lt;&gt;0),0,IF($A177=3,OFFSET(E177,-1,0)+1,OFFSET(E177,-1,0)))</f>
        <v>0</v>
      </c>
      <c r="F177">
        <f ca="1">IF(AND($A177&lt;=3,$A177&lt;&gt;0),0,IF($A177=4,OFFSET(F177,-1,0)+1,OFFSET(F177,-1,0)))</f>
        <v>0</v>
      </c>
      <c r="G177">
        <f ca="1">IF(AND($A177&lt;=4,$A177&lt;&gt;0),0,IF($A177="S",OFFSET(G177,-1,0)+1,OFFSET(G177,-1,0)))</f>
        <v>0</v>
      </c>
      <c r="H177">
        <f t="shared" ca="1" si="86"/>
        <v>11</v>
      </c>
      <c r="I177" t="e">
        <f t="shared" ca="1" si="87"/>
        <v>#N/A</v>
      </c>
      <c r="J177" s="105" t="s">
        <v>68</v>
      </c>
      <c r="K177" s="97" t="str">
        <f ca="1">IF($A177=0,"-",CONCATENATE(C177&amp;".",IF(AND($A$5&gt;=2,$A177&gt;=2),D177&amp;".",""),IF(AND($A$5&gt;=3,$A177&gt;=3),E177&amp;".",""),IF(AND($A$5&gt;=4,$A177&gt;=4),F177&amp;".",""),IF($A177="S",G177&amp;".","")))</f>
        <v>5.2.</v>
      </c>
      <c r="L177" s="110" t="str">
        <f ca="1">IF(NOT(ISERROR($Y177)),IF($Y177&lt;&gt;FALSE,INDEX(Banco,$Y177,4),""),"")</f>
        <v/>
      </c>
      <c r="M177" s="98"/>
      <c r="N177" s="112"/>
      <c r="O177" s="110" t="s">
        <v>275</v>
      </c>
      <c r="P177" s="111" t="str">
        <f ca="1">IF(NOT(ISERROR($Y177)),IF($Y177&lt;&gt;FALSE,INDEX(Banco,$Y177,6),""),"")</f>
        <v/>
      </c>
      <c r="Q177" s="107"/>
      <c r="R177" s="100">
        <f ca="1">IF(NOT(ISERROR($Y177)),IF($Y177&lt;&gt;FALSE,INDEX(Banco,$Y177,7),0),0)</f>
        <v>0</v>
      </c>
      <c r="S177" s="109" t="s">
        <v>62</v>
      </c>
      <c r="T177" s="99">
        <f>IF($J177=$G$2,ROUND(ROUND($R177,2)*IF($R$9="Preço Unitário (R$)",1,1+$AA177),2),0)</f>
        <v>0</v>
      </c>
      <c r="U177" s="102">
        <f ca="1">IF($A177="S",VTOTAL1,IF($A177=0,0,ROUND(SomaAgrup,2)))</f>
        <v>14625.28</v>
      </c>
      <c r="W177" s="1">
        <f ca="1">IF(OR($A177=0,$A177="S",$A177&gt;CFF!$A$9),"",MAX(W$11:OFFSET(W177,-1,0))+1)</f>
        <v>14</v>
      </c>
      <c r="X177" s="3" t="b">
        <f>IF(AND($J177=$G$2,$N177&lt;&gt;"",$M177&lt;&gt;""),CONCATENATE($M177,"-",$N177))</f>
        <v>0</v>
      </c>
      <c r="Y177" s="1" t="b">
        <f ca="1">IF(X177&lt;&gt;FALSE,MATCH(X177,OFFSET(Banco,0,0,,1),0))</f>
        <v>0</v>
      </c>
      <c r="AA177" s="106" t="str">
        <f>IF($J177=$G$2,ROUND(IF(ISNUMBER(S177),S177,IF(LEFT(S177,2)="DI",HLOOKUP(S177,DADOS!$T$29:$X$30,2,FALSE),0)),4),"")</f>
        <v/>
      </c>
      <c r="AB177" s="1"/>
    </row>
    <row r="178" spans="1:28" x14ac:dyDescent="0.2">
      <c r="A178" t="str">
        <f t="shared" ref="A178:A186" si="119">CHOOSE(1+LOG(1+2*(J178=$C$2)+4*(J178=$D$2)+8*(J178=$E$2)+16*(J178=$F$2)+32*(J178=$G$2),2),0,1,2,3,4,"S")</f>
        <v>S</v>
      </c>
      <c r="B178">
        <f t="shared" ref="B178:B186" si="120">IF(OR(A178="S",A178=0),0,IF(ISERROR(I178),H178,SMALL(H178:I178,1)))</f>
        <v>0</v>
      </c>
      <c r="C178">
        <f t="shared" ref="C178:C186" ca="1" si="121">IF($A178=1,OFFSET(C178,-1,0)+1,OFFSET(C178,-1,0))</f>
        <v>5</v>
      </c>
      <c r="D178">
        <f t="shared" ref="D178:D186" ca="1" si="122">IF($A178=1,0,IF($A178=2,OFFSET(D178,-1,0)+1,OFFSET(D178,-1,0)))</f>
        <v>2</v>
      </c>
      <c r="E178">
        <f t="shared" ref="E178:E186" ca="1" si="123">IF(AND($A178&lt;=2,$A178&lt;&gt;0),0,IF($A178=3,OFFSET(E178,-1,0)+1,OFFSET(E178,-1,0)))</f>
        <v>0</v>
      </c>
      <c r="F178">
        <f t="shared" ref="F178:F186" ca="1" si="124">IF(AND($A178&lt;=3,$A178&lt;&gt;0),0,IF($A178=4,OFFSET(F178,-1,0)+1,OFFSET(F178,-1,0)))</f>
        <v>0</v>
      </c>
      <c r="G178">
        <f t="shared" ref="G178:G186" ca="1" si="125">IF(AND($A178&lt;=4,$A178&lt;&gt;0),0,IF($A178="S",OFFSET(G178,-1,0)+1,OFFSET(G178,-1,0)))</f>
        <v>1</v>
      </c>
      <c r="H178">
        <f t="shared" ca="1" si="86"/>
        <v>0</v>
      </c>
      <c r="I178">
        <f t="shared" ca="1" si="87"/>
        <v>0</v>
      </c>
      <c r="J178" s="105" t="s">
        <v>29</v>
      </c>
      <c r="K178" s="97" t="str">
        <f t="shared" ref="K178:K186" ca="1" si="126">IF($A178=0,"-",CONCATENATE(C178&amp;".",IF(AND($A$5&gt;=2,$A178&gt;=2),D178&amp;".",""),IF(AND($A$5&gt;=3,$A178&gt;=3),E178&amp;".",""),IF(AND($A$5&gt;=4,$A178&gt;=4),F178&amp;".",""),IF($A178="S",G178&amp;".","")))</f>
        <v>5.2.1.</v>
      </c>
      <c r="L178" s="110" t="str">
        <f t="shared" ref="L178:L186" ca="1" si="127">IF(NOT(ISERROR($Y178)),IF($Y178&lt;&gt;FALSE,INDEX(Banco,$Y178,4),""),"")</f>
        <v>CRESS</v>
      </c>
      <c r="M178" s="98" t="s">
        <v>78</v>
      </c>
      <c r="N178" s="112" t="s">
        <v>218</v>
      </c>
      <c r="O178" s="110" t="str">
        <f t="shared" ref="O178:O186" ca="1" si="128">IF(NOT(ISERROR($Y178)),IF($Y178&lt;&gt;FALSE,INDEX(Banco,$Y178,5),""),"")</f>
        <v>RT</v>
      </c>
      <c r="P178" s="111" t="str">
        <f t="shared" ref="P178:P186" ca="1" si="129">IF(NOT(ISERROR($Y178)),IF($Y178&lt;&gt;FALSE,INDEX(Banco,$Y178,6),""),"")</f>
        <v>hora</v>
      </c>
      <c r="Q178" s="107">
        <v>40</v>
      </c>
      <c r="R178" s="100">
        <f t="shared" ref="R178:R186" ca="1" si="130">IF(NOT(ISERROR($Y178)),IF($Y178&lt;&gt;FALSE,INDEX(Banco,$Y178,7),0),0)</f>
        <v>150.28</v>
      </c>
      <c r="S178" s="109" t="s">
        <v>62</v>
      </c>
      <c r="T178" s="99">
        <f t="shared" ref="T178:T186" ca="1" si="131">IF($J178=$G$2,ROUND(ROUND($R178,2)*IF($R$9="Preço Unitário (R$)",1,1+$AA178),2),0)</f>
        <v>187.85</v>
      </c>
      <c r="U178" s="102">
        <f t="shared" ref="U178:U186" ca="1" si="132">IF($A178="S",VTOTAL1,IF($A178=0,0,ROUND(SomaAgrup,2)))</f>
        <v>7514</v>
      </c>
      <c r="W178" s="1" t="str">
        <f ca="1">IF(OR($A178=0,$A178="S",$A178&gt;CFF!$A$9),"",MAX(W$11:OFFSET(W178,-1,0))+1)</f>
        <v/>
      </c>
      <c r="X178" s="3" t="str">
        <f t="shared" ref="X178:X186" si="133">IF(AND($J178=$G$2,$N178&lt;&gt;"",$M178&lt;&gt;""),CONCATENATE($M178,"-",$N178))</f>
        <v>Rec. Humanos-001</v>
      </c>
      <c r="Y178" s="1">
        <f t="shared" ref="Y178:Y186" ca="1" si="134">IF(X178&lt;&gt;FALSE,MATCH(X178,OFFSET(Banco,0,0,,1),0))</f>
        <v>3</v>
      </c>
      <c r="AA178" s="106">
        <f>IF($J178=$G$2,ROUND(IF(ISNUMBER(S178),S178,IF(LEFT(S178,2)="DI",HLOOKUP(S178,DADOS!$T$29:$X$30,2,FALSE),0)),4),"")</f>
        <v>0.25</v>
      </c>
      <c r="AB178" s="1"/>
    </row>
    <row r="179" spans="1:28" x14ac:dyDescent="0.2">
      <c r="A179" t="str">
        <f t="shared" si="119"/>
        <v>S</v>
      </c>
      <c r="B179">
        <f t="shared" si="120"/>
        <v>0</v>
      </c>
      <c r="C179">
        <f t="shared" ca="1" si="121"/>
        <v>5</v>
      </c>
      <c r="D179">
        <f t="shared" ca="1" si="122"/>
        <v>2</v>
      </c>
      <c r="E179">
        <f t="shared" ca="1" si="123"/>
        <v>0</v>
      </c>
      <c r="F179">
        <f t="shared" ca="1" si="124"/>
        <v>0</v>
      </c>
      <c r="G179">
        <f t="shared" ca="1" si="125"/>
        <v>2</v>
      </c>
      <c r="H179">
        <f t="shared" ca="1" si="86"/>
        <v>0</v>
      </c>
      <c r="I179">
        <f t="shared" ca="1" si="87"/>
        <v>0</v>
      </c>
      <c r="J179" s="105" t="s">
        <v>29</v>
      </c>
      <c r="K179" s="97" t="str">
        <f t="shared" ca="1" si="126"/>
        <v>5.2.2.</v>
      </c>
      <c r="L179" s="110">
        <f t="shared" ca="1" si="127"/>
        <v>0</v>
      </c>
      <c r="M179" s="98" t="s">
        <v>78</v>
      </c>
      <c r="N179" s="112" t="s">
        <v>219</v>
      </c>
      <c r="O179" s="110" t="str">
        <f t="shared" ca="1" si="128"/>
        <v>Assistente Social</v>
      </c>
      <c r="P179" s="111" t="str">
        <f t="shared" ca="1" si="129"/>
        <v>hora</v>
      </c>
      <c r="Q179" s="107">
        <v>20</v>
      </c>
      <c r="R179" s="100">
        <f t="shared" ca="1" si="130"/>
        <v>133.81</v>
      </c>
      <c r="S179" s="109" t="s">
        <v>62</v>
      </c>
      <c r="T179" s="99">
        <f t="shared" ca="1" si="131"/>
        <v>167.26</v>
      </c>
      <c r="U179" s="102">
        <f t="shared" ca="1" si="132"/>
        <v>3345.2</v>
      </c>
      <c r="W179" s="1" t="str">
        <f ca="1">IF(OR($A179=0,$A179="S",$A179&gt;CFF!$A$9),"",MAX(W$11:OFFSET(W179,-1,0))+1)</f>
        <v/>
      </c>
      <c r="X179" s="3" t="str">
        <f t="shared" si="133"/>
        <v>Rec. Humanos-002</v>
      </c>
      <c r="Y179" s="1">
        <f t="shared" ca="1" si="134"/>
        <v>4</v>
      </c>
      <c r="AA179" s="106">
        <f>IF($J179=$G$2,ROUND(IF(ISNUMBER(S179),S179,IF(LEFT(S179,2)="DI",HLOOKUP(S179,DADOS!$T$29:$X$30,2,FALSE),0)),4),"")</f>
        <v>0.25</v>
      </c>
      <c r="AB179" s="1"/>
    </row>
    <row r="180" spans="1:28" x14ac:dyDescent="0.2">
      <c r="A180" t="str">
        <f t="shared" si="119"/>
        <v>S</v>
      </c>
      <c r="B180">
        <f t="shared" si="120"/>
        <v>0</v>
      </c>
      <c r="C180">
        <f t="shared" ca="1" si="121"/>
        <v>5</v>
      </c>
      <c r="D180">
        <f t="shared" ca="1" si="122"/>
        <v>2</v>
      </c>
      <c r="E180">
        <f t="shared" ca="1" si="123"/>
        <v>0</v>
      </c>
      <c r="F180">
        <f t="shared" ca="1" si="124"/>
        <v>0</v>
      </c>
      <c r="G180">
        <f t="shared" ca="1" si="125"/>
        <v>3</v>
      </c>
      <c r="H180">
        <f t="shared" ca="1" si="86"/>
        <v>0</v>
      </c>
      <c r="I180">
        <f t="shared" ca="1" si="87"/>
        <v>0</v>
      </c>
      <c r="J180" s="105" t="s">
        <v>29</v>
      </c>
      <c r="K180" s="97" t="str">
        <f t="shared" ca="1" si="126"/>
        <v>5.2.3.</v>
      </c>
      <c r="L180" s="110">
        <f t="shared" ca="1" si="127"/>
        <v>0</v>
      </c>
      <c r="M180" s="98" t="s">
        <v>78</v>
      </c>
      <c r="N180" s="112" t="s">
        <v>231</v>
      </c>
      <c r="O180" s="110" t="str">
        <f t="shared" ca="1" si="128"/>
        <v>Biólogo</v>
      </c>
      <c r="P180" s="111" t="str">
        <f t="shared" ca="1" si="129"/>
        <v>hora</v>
      </c>
      <c r="Q180" s="107">
        <v>20</v>
      </c>
      <c r="R180" s="100">
        <f t="shared" ca="1" si="130"/>
        <v>14.97</v>
      </c>
      <c r="S180" s="109" t="s">
        <v>62</v>
      </c>
      <c r="T180" s="99">
        <f t="shared" ca="1" si="131"/>
        <v>18.71</v>
      </c>
      <c r="U180" s="102">
        <f t="shared" ca="1" si="132"/>
        <v>374.2</v>
      </c>
      <c r="W180" s="1" t="str">
        <f ca="1">IF(OR($A180=0,$A180="S",$A180&gt;CFF!$A$9),"",MAX(W$11:OFFSET(W180,-1,0))+1)</f>
        <v/>
      </c>
      <c r="X180" s="3" t="str">
        <f t="shared" si="133"/>
        <v>Rec. Humanos-004</v>
      </c>
      <c r="Y180" s="1">
        <f t="shared" ca="1" si="134"/>
        <v>6</v>
      </c>
      <c r="AA180" s="106">
        <f>IF($J180=$G$2,ROUND(IF(ISNUMBER(S180),S180,IF(LEFT(S180,2)="DI",HLOOKUP(S180,DADOS!$T$29:$X$30,2,FALSE),0)),4),"")</f>
        <v>0.25</v>
      </c>
      <c r="AB180" s="1"/>
    </row>
    <row r="181" spans="1:28" x14ac:dyDescent="0.2">
      <c r="A181" t="str">
        <f t="shared" si="119"/>
        <v>S</v>
      </c>
      <c r="B181">
        <f t="shared" si="120"/>
        <v>0</v>
      </c>
      <c r="C181">
        <f t="shared" ca="1" si="121"/>
        <v>5</v>
      </c>
      <c r="D181">
        <f t="shared" ca="1" si="122"/>
        <v>2</v>
      </c>
      <c r="E181">
        <f t="shared" ca="1" si="123"/>
        <v>0</v>
      </c>
      <c r="F181">
        <f t="shared" ca="1" si="124"/>
        <v>0</v>
      </c>
      <c r="G181">
        <f t="shared" ca="1" si="125"/>
        <v>4</v>
      </c>
      <c r="H181">
        <f t="shared" ca="1" si="86"/>
        <v>0</v>
      </c>
      <c r="I181">
        <f t="shared" ca="1" si="87"/>
        <v>0</v>
      </c>
      <c r="J181" s="105" t="s">
        <v>29</v>
      </c>
      <c r="K181" s="97" t="str">
        <f t="shared" ca="1" si="126"/>
        <v>5.2.4.</v>
      </c>
      <c r="L181" s="110">
        <f t="shared" ca="1" si="127"/>
        <v>0</v>
      </c>
      <c r="M181" s="98" t="s">
        <v>78</v>
      </c>
      <c r="N181" s="112" t="s">
        <v>221</v>
      </c>
      <c r="O181" s="110" t="str">
        <f t="shared" ca="1" si="128"/>
        <v>Estagiarios</v>
      </c>
      <c r="P181" s="111" t="str">
        <f t="shared" ca="1" si="129"/>
        <v>hora</v>
      </c>
      <c r="Q181" s="107">
        <v>20</v>
      </c>
      <c r="R181" s="100">
        <f t="shared" ca="1" si="130"/>
        <v>8.26</v>
      </c>
      <c r="S181" s="109" t="s">
        <v>62</v>
      </c>
      <c r="T181" s="99">
        <f t="shared" ca="1" si="131"/>
        <v>10.33</v>
      </c>
      <c r="U181" s="102">
        <f t="shared" ca="1" si="132"/>
        <v>206.6</v>
      </c>
      <c r="W181" s="1" t="str">
        <f ca="1">IF(OR($A181=0,$A181="S",$A181&gt;CFF!$A$9),"",MAX(W$11:OFFSET(W181,-1,0))+1)</f>
        <v/>
      </c>
      <c r="X181" s="3" t="str">
        <f t="shared" si="133"/>
        <v>Rec. Humanos-005</v>
      </c>
      <c r="Y181" s="1">
        <f t="shared" ca="1" si="134"/>
        <v>7</v>
      </c>
      <c r="AA181" s="106">
        <f>IF($J181=$G$2,ROUND(IF(ISNUMBER(S181),S181,IF(LEFT(S181,2)="DI",HLOOKUP(S181,DADOS!$T$29:$X$30,2,FALSE),0)),4),"")</f>
        <v>0.25</v>
      </c>
      <c r="AB181" s="1"/>
    </row>
    <row r="182" spans="1:28" x14ac:dyDescent="0.2">
      <c r="A182" t="str">
        <f t="shared" si="119"/>
        <v>S</v>
      </c>
      <c r="B182">
        <f t="shared" si="120"/>
        <v>0</v>
      </c>
      <c r="C182">
        <f t="shared" ca="1" si="121"/>
        <v>5</v>
      </c>
      <c r="D182">
        <f t="shared" ca="1" si="122"/>
        <v>2</v>
      </c>
      <c r="E182">
        <f t="shared" ca="1" si="123"/>
        <v>0</v>
      </c>
      <c r="F182">
        <f t="shared" ca="1" si="124"/>
        <v>0</v>
      </c>
      <c r="G182">
        <f t="shared" ca="1" si="125"/>
        <v>5</v>
      </c>
      <c r="H182">
        <f t="shared" ca="1" si="86"/>
        <v>0</v>
      </c>
      <c r="I182">
        <f t="shared" ca="1" si="87"/>
        <v>0</v>
      </c>
      <c r="J182" s="105" t="s">
        <v>29</v>
      </c>
      <c r="K182" s="97" t="str">
        <f t="shared" ca="1" si="126"/>
        <v>5.2.5.</v>
      </c>
      <c r="L182" s="110">
        <f t="shared" ca="1" si="127"/>
        <v>0</v>
      </c>
      <c r="M182" s="98" t="s">
        <v>78</v>
      </c>
      <c r="N182" s="112" t="s">
        <v>221</v>
      </c>
      <c r="O182" s="110" t="str">
        <f t="shared" ca="1" si="128"/>
        <v>Estagiarios</v>
      </c>
      <c r="P182" s="111" t="str">
        <f t="shared" ca="1" si="129"/>
        <v>hora</v>
      </c>
      <c r="Q182" s="107">
        <v>20</v>
      </c>
      <c r="R182" s="100">
        <f t="shared" ca="1" si="130"/>
        <v>8.26</v>
      </c>
      <c r="S182" s="109" t="s">
        <v>62</v>
      </c>
      <c r="T182" s="99">
        <f t="shared" ca="1" si="131"/>
        <v>10.33</v>
      </c>
      <c r="U182" s="102">
        <f t="shared" ca="1" si="132"/>
        <v>206.6</v>
      </c>
      <c r="W182" s="1" t="str">
        <f ca="1">IF(OR($A182=0,$A182="S",$A182&gt;CFF!$A$9),"",MAX(W$11:OFFSET(W182,-1,0))+1)</f>
        <v/>
      </c>
      <c r="X182" s="3" t="str">
        <f t="shared" si="133"/>
        <v>Rec. Humanos-005</v>
      </c>
      <c r="Y182" s="1">
        <f t="shared" ca="1" si="134"/>
        <v>7</v>
      </c>
      <c r="AA182" s="106">
        <f>IF($J182=$G$2,ROUND(IF(ISNUMBER(S182),S182,IF(LEFT(S182,2)="DI",HLOOKUP(S182,DADOS!$T$29:$X$30,2,FALSE),0)),4),"")</f>
        <v>0.25</v>
      </c>
      <c r="AB182" s="1"/>
    </row>
    <row r="183" spans="1:28" x14ac:dyDescent="0.2">
      <c r="A183" t="str">
        <f t="shared" si="119"/>
        <v>S</v>
      </c>
      <c r="B183">
        <f t="shared" si="120"/>
        <v>0</v>
      </c>
      <c r="C183">
        <f t="shared" ca="1" si="121"/>
        <v>5</v>
      </c>
      <c r="D183">
        <f t="shared" ca="1" si="122"/>
        <v>2</v>
      </c>
      <c r="E183">
        <f t="shared" ca="1" si="123"/>
        <v>0</v>
      </c>
      <c r="F183">
        <f t="shared" ca="1" si="124"/>
        <v>0</v>
      </c>
      <c r="G183">
        <f t="shared" ca="1" si="125"/>
        <v>6</v>
      </c>
      <c r="H183">
        <f t="shared" ca="1" si="86"/>
        <v>0</v>
      </c>
      <c r="I183">
        <f t="shared" ca="1" si="87"/>
        <v>0</v>
      </c>
      <c r="J183" s="105" t="s">
        <v>29</v>
      </c>
      <c r="K183" s="97" t="str">
        <f t="shared" ca="1" si="126"/>
        <v>5.2.6.</v>
      </c>
      <c r="L183" s="110">
        <f t="shared" ca="1" si="127"/>
        <v>0</v>
      </c>
      <c r="M183" s="98" t="s">
        <v>78</v>
      </c>
      <c r="N183" s="112" t="s">
        <v>221</v>
      </c>
      <c r="O183" s="110" t="str">
        <f t="shared" ca="1" si="128"/>
        <v>Estagiarios</v>
      </c>
      <c r="P183" s="111" t="str">
        <f t="shared" ca="1" si="129"/>
        <v>hora</v>
      </c>
      <c r="Q183" s="107">
        <v>20</v>
      </c>
      <c r="R183" s="100">
        <f t="shared" ca="1" si="130"/>
        <v>8.26</v>
      </c>
      <c r="S183" s="109" t="s">
        <v>62</v>
      </c>
      <c r="T183" s="99">
        <f t="shared" ca="1" si="131"/>
        <v>10.33</v>
      </c>
      <c r="U183" s="102">
        <f t="shared" ca="1" si="132"/>
        <v>206.6</v>
      </c>
      <c r="W183" s="1" t="str">
        <f ca="1">IF(OR($A183=0,$A183="S",$A183&gt;CFF!$A$9),"",MAX(W$11:OFFSET(W183,-1,0))+1)</f>
        <v/>
      </c>
      <c r="X183" s="3" t="str">
        <f t="shared" si="133"/>
        <v>Rec. Humanos-005</v>
      </c>
      <c r="Y183" s="1">
        <f t="shared" ca="1" si="134"/>
        <v>7</v>
      </c>
      <c r="AA183" s="106">
        <f>IF($J183=$G$2,ROUND(IF(ISNUMBER(S183),S183,IF(LEFT(S183,2)="DI",HLOOKUP(S183,DADOS!$T$29:$X$30,2,FALSE),0)),4),"")</f>
        <v>0.25</v>
      </c>
      <c r="AB183" s="1"/>
    </row>
    <row r="184" spans="1:28" x14ac:dyDescent="0.2">
      <c r="A184" t="str">
        <f t="shared" si="119"/>
        <v>S</v>
      </c>
      <c r="B184">
        <f t="shared" si="120"/>
        <v>0</v>
      </c>
      <c r="C184">
        <f t="shared" ca="1" si="121"/>
        <v>5</v>
      </c>
      <c r="D184">
        <f t="shared" ca="1" si="122"/>
        <v>2</v>
      </c>
      <c r="E184">
        <f t="shared" ca="1" si="123"/>
        <v>0</v>
      </c>
      <c r="F184">
        <f t="shared" ca="1" si="124"/>
        <v>0</v>
      </c>
      <c r="G184">
        <f t="shared" ca="1" si="125"/>
        <v>7</v>
      </c>
      <c r="H184">
        <f t="shared" ca="1" si="86"/>
        <v>0</v>
      </c>
      <c r="I184">
        <f t="shared" ca="1" si="87"/>
        <v>0</v>
      </c>
      <c r="J184" s="105" t="s">
        <v>29</v>
      </c>
      <c r="K184" s="97" t="str">
        <f t="shared" ca="1" si="126"/>
        <v>5.2.7.</v>
      </c>
      <c r="L184" s="110">
        <f t="shared" ca="1" si="127"/>
        <v>0</v>
      </c>
      <c r="M184" s="98" t="s">
        <v>78</v>
      </c>
      <c r="N184" s="112" t="s">
        <v>221</v>
      </c>
      <c r="O184" s="110" t="str">
        <f t="shared" ca="1" si="128"/>
        <v>Estagiarios</v>
      </c>
      <c r="P184" s="111" t="str">
        <f t="shared" ca="1" si="129"/>
        <v>hora</v>
      </c>
      <c r="Q184" s="107">
        <v>20</v>
      </c>
      <c r="R184" s="100">
        <f t="shared" ca="1" si="130"/>
        <v>8.26</v>
      </c>
      <c r="S184" s="109" t="s">
        <v>62</v>
      </c>
      <c r="T184" s="99">
        <f t="shared" ca="1" si="131"/>
        <v>10.33</v>
      </c>
      <c r="U184" s="102">
        <f t="shared" ca="1" si="132"/>
        <v>206.6</v>
      </c>
      <c r="W184" s="1" t="str">
        <f ca="1">IF(OR($A184=0,$A184="S",$A184&gt;CFF!$A$9),"",MAX(W$11:OFFSET(W184,-1,0))+1)</f>
        <v/>
      </c>
      <c r="X184" s="3" t="str">
        <f t="shared" si="133"/>
        <v>Rec. Humanos-005</v>
      </c>
      <c r="Y184" s="1">
        <f t="shared" ca="1" si="134"/>
        <v>7</v>
      </c>
      <c r="AA184" s="106">
        <f>IF($J184=$G$2,ROUND(IF(ISNUMBER(S184),S184,IF(LEFT(S184,2)="DI",HLOOKUP(S184,DADOS!$T$29:$X$30,2,FALSE),0)),4),"")</f>
        <v>0.25</v>
      </c>
      <c r="AB184" s="1"/>
    </row>
    <row r="185" spans="1:28" x14ac:dyDescent="0.2">
      <c r="A185" t="str">
        <f t="shared" si="119"/>
        <v>S</v>
      </c>
      <c r="B185">
        <f t="shared" si="120"/>
        <v>0</v>
      </c>
      <c r="C185">
        <f t="shared" ca="1" si="121"/>
        <v>5</v>
      </c>
      <c r="D185">
        <f t="shared" ca="1" si="122"/>
        <v>2</v>
      </c>
      <c r="E185">
        <f t="shared" ca="1" si="123"/>
        <v>0</v>
      </c>
      <c r="F185">
        <f t="shared" ca="1" si="124"/>
        <v>0</v>
      </c>
      <c r="G185">
        <f t="shared" ca="1" si="125"/>
        <v>8</v>
      </c>
      <c r="H185">
        <f t="shared" ca="1" si="86"/>
        <v>0</v>
      </c>
      <c r="I185">
        <f t="shared" ca="1" si="87"/>
        <v>0</v>
      </c>
      <c r="J185" s="105" t="s">
        <v>29</v>
      </c>
      <c r="K185" s="97" t="str">
        <f t="shared" ca="1" si="126"/>
        <v>5.2.8.</v>
      </c>
      <c r="L185" s="110">
        <f t="shared" ca="1" si="127"/>
        <v>0</v>
      </c>
      <c r="M185" s="98" t="s">
        <v>79</v>
      </c>
      <c r="N185" s="112" t="s">
        <v>227</v>
      </c>
      <c r="O185" s="110" t="str">
        <f t="shared" ca="1" si="128"/>
        <v>Copo de agua 300 ml Lebrinha/Brunado</v>
      </c>
      <c r="P185" s="111" t="str">
        <f t="shared" ca="1" si="129"/>
        <v>UNIDADE</v>
      </c>
      <c r="Q185" s="107">
        <v>83</v>
      </c>
      <c r="R185" s="100">
        <f t="shared" ca="1" si="130"/>
        <v>4.2</v>
      </c>
      <c r="S185" s="109" t="s">
        <v>62</v>
      </c>
      <c r="T185" s="99">
        <f t="shared" ca="1" si="131"/>
        <v>5.25</v>
      </c>
      <c r="U185" s="102">
        <f t="shared" ca="1" si="132"/>
        <v>435.75</v>
      </c>
      <c r="W185" s="1" t="str">
        <f ca="1">IF(OR($A185=0,$A185="S",$A185&gt;CFF!$A$9),"",MAX(W$11:OFFSET(W185,-1,0))+1)</f>
        <v/>
      </c>
      <c r="X185" s="3" t="str">
        <f t="shared" si="133"/>
        <v>Rec. Materiais-014</v>
      </c>
      <c r="Y185" s="1">
        <f t="shared" ca="1" si="134"/>
        <v>21</v>
      </c>
      <c r="AA185" s="106">
        <f>IF($J185=$G$2,ROUND(IF(ISNUMBER(S185),S185,IF(LEFT(S185,2)="DI",HLOOKUP(S185,DADOS!$T$29:$X$30,2,FALSE),0)),4),"")</f>
        <v>0.25</v>
      </c>
      <c r="AB185" s="1"/>
    </row>
    <row r="186" spans="1:28" x14ac:dyDescent="0.2">
      <c r="A186" t="str">
        <f t="shared" si="119"/>
        <v>S</v>
      </c>
      <c r="B186">
        <f t="shared" si="120"/>
        <v>0</v>
      </c>
      <c r="C186">
        <f t="shared" ca="1" si="121"/>
        <v>5</v>
      </c>
      <c r="D186">
        <f t="shared" ca="1" si="122"/>
        <v>2</v>
      </c>
      <c r="E186">
        <f t="shared" ca="1" si="123"/>
        <v>0</v>
      </c>
      <c r="F186">
        <f t="shared" ca="1" si="124"/>
        <v>0</v>
      </c>
      <c r="G186">
        <f t="shared" ca="1" si="125"/>
        <v>9</v>
      </c>
      <c r="H186">
        <f t="shared" ca="1" si="86"/>
        <v>0</v>
      </c>
      <c r="I186">
        <f t="shared" ca="1" si="87"/>
        <v>0</v>
      </c>
      <c r="J186" s="105" t="s">
        <v>29</v>
      </c>
      <c r="K186" s="97" t="str">
        <f t="shared" ca="1" si="126"/>
        <v>5.2.9.</v>
      </c>
      <c r="L186" s="110">
        <f t="shared" ca="1" si="127"/>
        <v>0</v>
      </c>
      <c r="M186" s="98" t="s">
        <v>80</v>
      </c>
      <c r="N186" s="112" t="s">
        <v>231</v>
      </c>
      <c r="O186" s="110" t="str">
        <f t="shared" ca="1" si="128"/>
        <v xml:space="preserve">Impressão Colorida 1 folha </v>
      </c>
      <c r="P186" s="111" t="str">
        <f t="shared" ca="1" si="129"/>
        <v>unidade</v>
      </c>
      <c r="Q186" s="107">
        <v>521</v>
      </c>
      <c r="R186" s="100">
        <f t="shared" ca="1" si="130"/>
        <v>2.5</v>
      </c>
      <c r="S186" s="109" t="s">
        <v>62</v>
      </c>
      <c r="T186" s="99">
        <f t="shared" ca="1" si="131"/>
        <v>3.13</v>
      </c>
      <c r="U186" s="102">
        <f t="shared" ca="1" si="132"/>
        <v>1630.73</v>
      </c>
      <c r="W186" s="1" t="str">
        <f ca="1">IF(OR($A186=0,$A186="S",$A186&gt;CFF!$A$9),"",MAX(W$11:OFFSET(W186,-1,0))+1)</f>
        <v/>
      </c>
      <c r="X186" s="3" t="str">
        <f t="shared" si="133"/>
        <v>Serv. Terc.-004</v>
      </c>
      <c r="Y186" s="1">
        <f t="shared" ca="1" si="134"/>
        <v>50</v>
      </c>
      <c r="AA186" s="106">
        <f>IF($J186=$G$2,ROUND(IF(ISNUMBER(S186),S186,IF(LEFT(S186,2)="DI",HLOOKUP(S186,DADOS!$T$29:$X$30,2,FALSE),0)),4),"")</f>
        <v>0.25</v>
      </c>
      <c r="AB186" s="1"/>
    </row>
    <row r="187" spans="1:28" x14ac:dyDescent="0.2">
      <c r="A187" t="str">
        <f t="shared" ref="A187:A200" si="135">CHOOSE(1+LOG(1+2*(J187=$C$2)+4*(J187=$D$2)+8*(J187=$E$2)+16*(J187=$F$2)+32*(J187=$G$2),2),0,1,2,3,4,"S")</f>
        <v>S</v>
      </c>
      <c r="B187">
        <f t="shared" ref="B187:B200" si="136">IF(OR(A187="S",A187=0),0,IF(ISERROR(I187),H187,SMALL(H187:I187,1)))</f>
        <v>0</v>
      </c>
      <c r="C187">
        <f t="shared" ref="C187:C200" ca="1" si="137">IF($A187=1,OFFSET(C187,-1,0)+1,OFFSET(C187,-1,0))</f>
        <v>5</v>
      </c>
      <c r="D187">
        <f t="shared" ref="D187:D200" ca="1" si="138">IF($A187=1,0,IF($A187=2,OFFSET(D187,-1,0)+1,OFFSET(D187,-1,0)))</f>
        <v>2</v>
      </c>
      <c r="E187">
        <f t="shared" ref="E187:E200" ca="1" si="139">IF(AND($A187&lt;=2,$A187&lt;&gt;0),0,IF($A187=3,OFFSET(E187,-1,0)+1,OFFSET(E187,-1,0)))</f>
        <v>0</v>
      </c>
      <c r="F187">
        <f t="shared" ref="F187:F200" ca="1" si="140">IF(AND($A187&lt;=3,$A187&lt;&gt;0),0,IF($A187=4,OFFSET(F187,-1,0)+1,OFFSET(F187,-1,0)))</f>
        <v>0</v>
      </c>
      <c r="G187">
        <f t="shared" ref="G187:G200" ca="1" si="141">IF(AND($A187&lt;=4,$A187&lt;&gt;0),0,IF($A187="S",OFFSET(G187,-1,0)+1,OFFSET(G187,-1,0)))</f>
        <v>10</v>
      </c>
      <c r="H187">
        <f t="shared" ca="1" si="86"/>
        <v>0</v>
      </c>
      <c r="I187">
        <f t="shared" ca="1" si="87"/>
        <v>0</v>
      </c>
      <c r="J187" s="105" t="s">
        <v>29</v>
      </c>
      <c r="K187" s="97" t="str">
        <f t="shared" ref="K187:K200" ca="1" si="142">IF($A187=0,"-",CONCATENATE(C187&amp;".",IF(AND($A$5&gt;=2,$A187&gt;=2),D187&amp;".",""),IF(AND($A$5&gt;=3,$A187&gt;=3),E187&amp;".",""),IF(AND($A$5&gt;=4,$A187&gt;=4),F187&amp;".",""),IF($A187="S",G187&amp;".","")))</f>
        <v>5.2.10.</v>
      </c>
      <c r="L187" s="110">
        <f t="shared" ref="L187:L200" ca="1" si="143">IF(NOT(ISERROR($Y187)),IF($Y187&lt;&gt;FALSE,INDEX(Banco,$Y187,4),""),"")</f>
        <v>0</v>
      </c>
      <c r="M187" s="98" t="s">
        <v>80</v>
      </c>
      <c r="N187" s="112" t="s">
        <v>240</v>
      </c>
      <c r="O187" s="110" t="str">
        <f ca="1">IF(NOT(ISERROR($Y187)),IF($Y187&lt;&gt;FALSE,INDEX(Banco,$Y187,5),""),"")</f>
        <v>Combustivel</v>
      </c>
      <c r="P187" s="111" t="str">
        <f t="shared" ref="P187:P200" ca="1" si="144">IF(NOT(ISERROR($Y187)),IF($Y187&lt;&gt;FALSE,INDEX(Banco,$Y187,6),""),"")</f>
        <v>litro</v>
      </c>
      <c r="Q187" s="107">
        <v>100</v>
      </c>
      <c r="R187" s="100">
        <f t="shared" ref="R187:R200" ca="1" si="145">IF(NOT(ISERROR($Y187)),IF($Y187&lt;&gt;FALSE,INDEX(Banco,$Y187,7),0),0)</f>
        <v>3.99</v>
      </c>
      <c r="S187" s="109" t="s">
        <v>62</v>
      </c>
      <c r="T187" s="99">
        <f t="shared" ref="T187:T200" ca="1" si="146">IF($J187=$G$2,ROUND(ROUND($R187,2)*IF($R$9="Preço Unitário (R$)",1,1+$AA187),2),0)</f>
        <v>4.99</v>
      </c>
      <c r="U187" s="102">
        <f t="shared" ref="U187:U200" ca="1" si="147">IF($A187="S",VTOTAL1,IF($A187=0,0,ROUND(SomaAgrup,2)))</f>
        <v>499</v>
      </c>
      <c r="W187" s="1" t="str">
        <f ca="1">IF(OR($A187=0,$A187="S",$A187&gt;CFF!$A$9),"",MAX(W$11:OFFSET(W187,-1,0))+1)</f>
        <v/>
      </c>
      <c r="X187" s="3" t="str">
        <f t="shared" ref="X187:X200" si="148">IF(AND($J187=$G$2,$N187&lt;&gt;"",$M187&lt;&gt;""),CONCATENATE($M187,"-",$N187))</f>
        <v>Serv. Terc.-027</v>
      </c>
      <c r="Y187" s="1">
        <f t="shared" ref="Y187:Y200" ca="1" si="149">IF(X187&lt;&gt;FALSE,MATCH(X187,OFFSET(Banco,0,0,,1),0))</f>
        <v>73</v>
      </c>
      <c r="AA187" s="106">
        <f>IF($J187=$G$2,ROUND(IF(ISNUMBER(S187),S187,IF(LEFT(S187,2)="DI",HLOOKUP(S187,DADOS!$T$29:$X$30,2,FALSE),0)),4),"")</f>
        <v>0.25</v>
      </c>
      <c r="AB187" s="1"/>
    </row>
    <row r="188" spans="1:28" x14ac:dyDescent="0.2">
      <c r="A188">
        <f t="shared" si="135"/>
        <v>1</v>
      </c>
      <c r="B188">
        <f t="shared" ca="1" si="136"/>
        <v>49</v>
      </c>
      <c r="C188">
        <f t="shared" ca="1" si="137"/>
        <v>6</v>
      </c>
      <c r="D188">
        <f t="shared" ca="1" si="138"/>
        <v>0</v>
      </c>
      <c r="E188">
        <f t="shared" ca="1" si="139"/>
        <v>0</v>
      </c>
      <c r="F188">
        <f t="shared" ca="1" si="140"/>
        <v>0</v>
      </c>
      <c r="G188">
        <f t="shared" ca="1" si="141"/>
        <v>0</v>
      </c>
      <c r="H188">
        <f t="shared" ca="1" si="86"/>
        <v>179</v>
      </c>
      <c r="I188">
        <f t="shared" ca="1" si="87"/>
        <v>49</v>
      </c>
      <c r="J188" s="105" t="s">
        <v>67</v>
      </c>
      <c r="K188" s="97" t="str">
        <f t="shared" ca="1" si="142"/>
        <v>6.</v>
      </c>
      <c r="L188" s="110" t="str">
        <f t="shared" ca="1" si="143"/>
        <v/>
      </c>
      <c r="M188" s="98"/>
      <c r="N188" s="112"/>
      <c r="O188" s="110" t="s">
        <v>259</v>
      </c>
      <c r="P188" s="111" t="str">
        <f t="shared" ca="1" si="144"/>
        <v/>
      </c>
      <c r="Q188" s="107"/>
      <c r="R188" s="100">
        <f t="shared" ca="1" si="145"/>
        <v>0</v>
      </c>
      <c r="S188" s="109" t="s">
        <v>62</v>
      </c>
      <c r="T188" s="99">
        <f t="shared" si="146"/>
        <v>0</v>
      </c>
      <c r="U188" s="102">
        <f t="shared" ca="1" si="147"/>
        <v>33417.040000000001</v>
      </c>
      <c r="W188" s="1">
        <f ca="1">IF(OR($A188=0,$A188="S",$A188&gt;CFF!$A$9),"",MAX(W$11:OFFSET(W188,-1,0))+1)</f>
        <v>15</v>
      </c>
      <c r="X188" s="3" t="b">
        <f t="shared" si="148"/>
        <v>0</v>
      </c>
      <c r="Y188" s="1" t="b">
        <f t="shared" ca="1" si="149"/>
        <v>0</v>
      </c>
      <c r="AA188" s="106" t="str">
        <f>IF($J188=$G$2,ROUND(IF(ISNUMBER(S188),S188,IF(LEFT(S188,2)="DI",HLOOKUP(S188,DADOS!$T$29:$X$30,2,FALSE),0)),4),"")</f>
        <v/>
      </c>
      <c r="AB188" s="1"/>
    </row>
    <row r="189" spans="1:28" x14ac:dyDescent="0.2">
      <c r="A189">
        <f>CHOOSE(1+LOG(1+2*(J189=$C$2)+4*(J189=$D$2)+8*(J189=$E$2)+16*(J189=$F$2)+32*(J189=$G$2),2),0,1,2,3,4,"S")</f>
        <v>2</v>
      </c>
      <c r="B189">
        <f ca="1">IF(OR(A189="S",A189=0),0,IF(ISERROR(I189),H189,SMALL(H189:I189,1)))</f>
        <v>37</v>
      </c>
      <c r="C189">
        <f ca="1">IF($A189=1,OFFSET(C189,-1,0)+1,OFFSET(C189,-1,0))</f>
        <v>6</v>
      </c>
      <c r="D189">
        <f ca="1">IF($A189=1,0,IF($A189=2,OFFSET(D189,-1,0)+1,OFFSET(D189,-1,0)))</f>
        <v>1</v>
      </c>
      <c r="E189">
        <f ca="1">IF(AND($A189&lt;=2,$A189&lt;&gt;0),0,IF($A189=3,OFFSET(E189,-1,0)+1,OFFSET(E189,-1,0)))</f>
        <v>0</v>
      </c>
      <c r="F189">
        <f ca="1">IF(AND($A189&lt;=3,$A189&lt;&gt;0),0,IF($A189=4,OFFSET(F189,-1,0)+1,OFFSET(F189,-1,0)))</f>
        <v>0</v>
      </c>
      <c r="G189">
        <f ca="1">IF(AND($A189&lt;=4,$A189&lt;&gt;0),0,IF($A189="S",OFFSET(G189,-1,0)+1,OFFSET(G189,-1,0)))</f>
        <v>0</v>
      </c>
      <c r="H189">
        <f t="shared" ca="1" si="86"/>
        <v>48</v>
      </c>
      <c r="I189">
        <f t="shared" ca="1" si="87"/>
        <v>37</v>
      </c>
      <c r="J189" s="105" t="s">
        <v>68</v>
      </c>
      <c r="K189" s="97" t="str">
        <f ca="1">IF($A189=0,"-",CONCATENATE(C189&amp;".",IF(AND($A$5&gt;=2,$A189&gt;=2),D189&amp;".",""),IF(AND($A$5&gt;=3,$A189&gt;=3),E189&amp;".",""),IF(AND($A$5&gt;=4,$A189&gt;=4),F189&amp;".",""),IF($A189="S",G189&amp;".","")))</f>
        <v>6.1.</v>
      </c>
      <c r="L189" s="110" t="str">
        <f ca="1">IF(NOT(ISERROR($Y189)),IF($Y189&lt;&gt;FALSE,INDEX(Banco,$Y189,4),""),"")</f>
        <v/>
      </c>
      <c r="M189" s="98"/>
      <c r="N189" s="112"/>
      <c r="O189" s="110" t="s">
        <v>276</v>
      </c>
      <c r="P189" s="111" t="str">
        <f ca="1">IF(NOT(ISERROR($Y189)),IF($Y189&lt;&gt;FALSE,INDEX(Banco,$Y189,6),""),"")</f>
        <v/>
      </c>
      <c r="Q189" s="107"/>
      <c r="R189" s="100">
        <f ca="1">IF(NOT(ISERROR($Y189)),IF($Y189&lt;&gt;FALSE,INDEX(Banco,$Y189,7),0),0)</f>
        <v>0</v>
      </c>
      <c r="S189" s="109" t="s">
        <v>62</v>
      </c>
      <c r="T189" s="99">
        <f>IF($J189=$G$2,ROUND(ROUND($R189,2)*IF($R$9="Preço Unitário (R$)",1,1+$AA189),2),0)</f>
        <v>0</v>
      </c>
      <c r="U189" s="102">
        <f ca="1">IF($A189="S",VTOTAL1,IF($A189=0,0,ROUND(SomaAgrup,2)))</f>
        <v>16518.86</v>
      </c>
      <c r="W189" s="1">
        <f ca="1">IF(OR($A189=0,$A189="S",$A189&gt;CFF!$A$9),"",MAX(W$11:OFFSET(W189,-1,0))+1)</f>
        <v>16</v>
      </c>
      <c r="X189" s="3" t="b">
        <f>IF(AND($J189=$G$2,$N189&lt;&gt;"",$M189&lt;&gt;""),CONCATENATE($M189,"-",$N189))</f>
        <v>0</v>
      </c>
      <c r="Y189" s="1" t="b">
        <f ca="1">IF(X189&lt;&gt;FALSE,MATCH(X189,OFFSET(Banco,0,0,,1),0))</f>
        <v>0</v>
      </c>
      <c r="AA189" s="106" t="str">
        <f>IF($J189=$G$2,ROUND(IF(ISNUMBER(S189),S189,IF(LEFT(S189,2)="DI",HLOOKUP(S189,DADOS!$T$29:$X$30,2,FALSE),0)),4),"")</f>
        <v/>
      </c>
      <c r="AB189" s="1"/>
    </row>
    <row r="190" spans="1:28" x14ac:dyDescent="0.2">
      <c r="A190" t="str">
        <f t="shared" si="135"/>
        <v>S</v>
      </c>
      <c r="B190">
        <f t="shared" si="136"/>
        <v>0</v>
      </c>
      <c r="C190">
        <f t="shared" ca="1" si="137"/>
        <v>6</v>
      </c>
      <c r="D190">
        <f t="shared" ca="1" si="138"/>
        <v>1</v>
      </c>
      <c r="E190">
        <f t="shared" ca="1" si="139"/>
        <v>0</v>
      </c>
      <c r="F190">
        <f t="shared" ca="1" si="140"/>
        <v>0</v>
      </c>
      <c r="G190">
        <f t="shared" ca="1" si="141"/>
        <v>1</v>
      </c>
      <c r="H190">
        <f t="shared" ca="1" si="86"/>
        <v>0</v>
      </c>
      <c r="I190">
        <f t="shared" ca="1" si="87"/>
        <v>0</v>
      </c>
      <c r="J190" s="105" t="s">
        <v>29</v>
      </c>
      <c r="K190" s="97" t="str">
        <f t="shared" ca="1" si="142"/>
        <v>6.1.1.</v>
      </c>
      <c r="L190" s="110" t="str">
        <f t="shared" ca="1" si="143"/>
        <v>CRESS</v>
      </c>
      <c r="M190" s="98" t="s">
        <v>78</v>
      </c>
      <c r="N190" s="112" t="s">
        <v>218</v>
      </c>
      <c r="O190" s="110" t="str">
        <f t="shared" ref="O190:O200" ca="1" si="150">IF(NOT(ISERROR($Y190)),IF($Y190&lt;&gt;FALSE,INDEX(Banco,$Y190,5),""),"")</f>
        <v>RT</v>
      </c>
      <c r="P190" s="111" t="str">
        <f t="shared" ca="1" si="144"/>
        <v>hora</v>
      </c>
      <c r="Q190" s="107">
        <v>20</v>
      </c>
      <c r="R190" s="100">
        <f t="shared" ca="1" si="145"/>
        <v>150.28</v>
      </c>
      <c r="S190" s="109" t="s">
        <v>62</v>
      </c>
      <c r="T190" s="99">
        <f t="shared" ca="1" si="146"/>
        <v>187.85</v>
      </c>
      <c r="U190" s="102">
        <f t="shared" ca="1" si="147"/>
        <v>3757</v>
      </c>
      <c r="W190" s="1" t="str">
        <f ca="1">IF(OR($A190=0,$A190="S",$A190&gt;CFF!$A$9),"",MAX(W$11:OFFSET(W190,-1,0))+1)</f>
        <v/>
      </c>
      <c r="X190" s="3" t="str">
        <f t="shared" si="148"/>
        <v>Rec. Humanos-001</v>
      </c>
      <c r="Y190" s="1">
        <f t="shared" ca="1" si="149"/>
        <v>3</v>
      </c>
      <c r="AA190" s="106">
        <f>IF($J190=$G$2,ROUND(IF(ISNUMBER(S190),S190,IF(LEFT(S190,2)="DI",HLOOKUP(S190,DADOS!$T$29:$X$30,2,FALSE),0)),4),"")</f>
        <v>0.25</v>
      </c>
      <c r="AB190" s="1"/>
    </row>
    <row r="191" spans="1:28" x14ac:dyDescent="0.2">
      <c r="A191" t="str">
        <f t="shared" si="135"/>
        <v>S</v>
      </c>
      <c r="B191">
        <f t="shared" si="136"/>
        <v>0</v>
      </c>
      <c r="C191">
        <f t="shared" ca="1" si="137"/>
        <v>6</v>
      </c>
      <c r="D191">
        <f t="shared" ca="1" si="138"/>
        <v>1</v>
      </c>
      <c r="E191">
        <f t="shared" ca="1" si="139"/>
        <v>0</v>
      </c>
      <c r="F191">
        <f t="shared" ca="1" si="140"/>
        <v>0</v>
      </c>
      <c r="G191">
        <f t="shared" ca="1" si="141"/>
        <v>2</v>
      </c>
      <c r="H191">
        <f t="shared" ca="1" si="86"/>
        <v>0</v>
      </c>
      <c r="I191">
        <f t="shared" ca="1" si="87"/>
        <v>0</v>
      </c>
      <c r="J191" s="105" t="s">
        <v>29</v>
      </c>
      <c r="K191" s="97" t="str">
        <f t="shared" ca="1" si="142"/>
        <v>6.1.2.</v>
      </c>
      <c r="L191" s="110">
        <f t="shared" ca="1" si="143"/>
        <v>0</v>
      </c>
      <c r="M191" s="98" t="s">
        <v>78</v>
      </c>
      <c r="N191" s="112" t="s">
        <v>220</v>
      </c>
      <c r="O191" s="110" t="str">
        <f t="shared" ca="1" si="150"/>
        <v>Administrativo</v>
      </c>
      <c r="P191" s="111" t="str">
        <f t="shared" ca="1" si="144"/>
        <v>mensal</v>
      </c>
      <c r="Q191" s="107">
        <v>1</v>
      </c>
      <c r="R191" s="100">
        <f t="shared" ca="1" si="145"/>
        <v>1463.5</v>
      </c>
      <c r="S191" s="109" t="s">
        <v>62</v>
      </c>
      <c r="T191" s="99">
        <f t="shared" ca="1" si="146"/>
        <v>1829.38</v>
      </c>
      <c r="U191" s="102">
        <f t="shared" ca="1" si="147"/>
        <v>1829.38</v>
      </c>
      <c r="W191" s="1" t="str">
        <f ca="1">IF(OR($A191=0,$A191="S",$A191&gt;CFF!$A$9),"",MAX(W$11:OFFSET(W191,-1,0))+1)</f>
        <v/>
      </c>
      <c r="X191" s="3" t="str">
        <f t="shared" si="148"/>
        <v>Rec. Humanos-003</v>
      </c>
      <c r="Y191" s="1">
        <f t="shared" ca="1" si="149"/>
        <v>5</v>
      </c>
      <c r="AA191" s="106">
        <f>IF($J191=$G$2,ROUND(IF(ISNUMBER(S191),S191,IF(LEFT(S191,2)="DI",HLOOKUP(S191,DADOS!$T$29:$X$30,2,FALSE),0)),4),"")</f>
        <v>0.25</v>
      </c>
      <c r="AB191" s="1"/>
    </row>
    <row r="192" spans="1:28" x14ac:dyDescent="0.2">
      <c r="A192" t="str">
        <f t="shared" si="135"/>
        <v>S</v>
      </c>
      <c r="B192">
        <f t="shared" si="136"/>
        <v>0</v>
      </c>
      <c r="C192">
        <f t="shared" ca="1" si="137"/>
        <v>6</v>
      </c>
      <c r="D192">
        <f t="shared" ca="1" si="138"/>
        <v>1</v>
      </c>
      <c r="E192">
        <f t="shared" ca="1" si="139"/>
        <v>0</v>
      </c>
      <c r="F192">
        <f t="shared" ca="1" si="140"/>
        <v>0</v>
      </c>
      <c r="G192">
        <f t="shared" ca="1" si="141"/>
        <v>3</v>
      </c>
      <c r="H192">
        <f t="shared" ca="1" si="86"/>
        <v>0</v>
      </c>
      <c r="I192">
        <f t="shared" ca="1" si="87"/>
        <v>0</v>
      </c>
      <c r="J192" s="105" t="s">
        <v>29</v>
      </c>
      <c r="K192" s="97" t="str">
        <f t="shared" ca="1" si="142"/>
        <v>6.1.3.</v>
      </c>
      <c r="L192" s="110">
        <f t="shared" ca="1" si="143"/>
        <v>0</v>
      </c>
      <c r="M192" s="98" t="s">
        <v>78</v>
      </c>
      <c r="N192" s="112" t="s">
        <v>231</v>
      </c>
      <c r="O192" s="110" t="str">
        <f t="shared" ca="1" si="150"/>
        <v>Biólogo</v>
      </c>
      <c r="P192" s="111" t="str">
        <f t="shared" ca="1" si="144"/>
        <v>hora</v>
      </c>
      <c r="Q192" s="107">
        <v>15</v>
      </c>
      <c r="R192" s="100">
        <f t="shared" ca="1" si="145"/>
        <v>14.97</v>
      </c>
      <c r="S192" s="109" t="s">
        <v>62</v>
      </c>
      <c r="T192" s="99">
        <f t="shared" ca="1" si="146"/>
        <v>18.71</v>
      </c>
      <c r="U192" s="102">
        <f t="shared" ca="1" si="147"/>
        <v>280.64999999999998</v>
      </c>
      <c r="W192" s="1" t="str">
        <f ca="1">IF(OR($A192=0,$A192="S",$A192&gt;CFF!$A$9),"",MAX(W$11:OFFSET(W192,-1,0))+1)</f>
        <v/>
      </c>
      <c r="X192" s="3" t="str">
        <f t="shared" si="148"/>
        <v>Rec. Humanos-004</v>
      </c>
      <c r="Y192" s="1">
        <f t="shared" ca="1" si="149"/>
        <v>6</v>
      </c>
      <c r="AA192" s="106">
        <f>IF($J192=$G$2,ROUND(IF(ISNUMBER(S192),S192,IF(LEFT(S192,2)="DI",HLOOKUP(S192,DADOS!$T$29:$X$30,2,FALSE),0)),4),"")</f>
        <v>0.25</v>
      </c>
      <c r="AB192" s="1"/>
    </row>
    <row r="193" spans="1:28" x14ac:dyDescent="0.2">
      <c r="A193" t="str">
        <f t="shared" si="135"/>
        <v>S</v>
      </c>
      <c r="B193">
        <f t="shared" si="136"/>
        <v>0</v>
      </c>
      <c r="C193">
        <f t="shared" ca="1" si="137"/>
        <v>6</v>
      </c>
      <c r="D193">
        <f t="shared" ca="1" si="138"/>
        <v>1</v>
      </c>
      <c r="E193">
        <f t="shared" ca="1" si="139"/>
        <v>0</v>
      </c>
      <c r="F193">
        <f t="shared" ca="1" si="140"/>
        <v>0</v>
      </c>
      <c r="G193">
        <f t="shared" ca="1" si="141"/>
        <v>4</v>
      </c>
      <c r="H193">
        <f t="shared" ca="1" si="86"/>
        <v>0</v>
      </c>
      <c r="I193">
        <f t="shared" ca="1" si="87"/>
        <v>0</v>
      </c>
      <c r="J193" s="105" t="s">
        <v>29</v>
      </c>
      <c r="K193" s="97" t="str">
        <f t="shared" ca="1" si="142"/>
        <v>6.1.4.</v>
      </c>
      <c r="L193" s="110">
        <f t="shared" ca="1" si="143"/>
        <v>0</v>
      </c>
      <c r="M193" s="98" t="s">
        <v>78</v>
      </c>
      <c r="N193" s="112" t="s">
        <v>219</v>
      </c>
      <c r="O193" s="110" t="str">
        <f t="shared" ca="1" si="150"/>
        <v>Assistente Social</v>
      </c>
      <c r="P193" s="111" t="str">
        <f t="shared" ca="1" si="144"/>
        <v>hora</v>
      </c>
      <c r="Q193" s="107">
        <v>15</v>
      </c>
      <c r="R193" s="100">
        <f t="shared" ca="1" si="145"/>
        <v>133.81</v>
      </c>
      <c r="S193" s="109" t="s">
        <v>62</v>
      </c>
      <c r="T193" s="99">
        <f t="shared" ca="1" si="146"/>
        <v>167.26</v>
      </c>
      <c r="U193" s="102">
        <f t="shared" ca="1" si="147"/>
        <v>2508.9</v>
      </c>
      <c r="W193" s="1" t="str">
        <f ca="1">IF(OR($A193=0,$A193="S",$A193&gt;CFF!$A$9),"",MAX(W$11:OFFSET(W193,-1,0))+1)</f>
        <v/>
      </c>
      <c r="X193" s="3" t="str">
        <f t="shared" si="148"/>
        <v>Rec. Humanos-002</v>
      </c>
      <c r="Y193" s="1">
        <f t="shared" ca="1" si="149"/>
        <v>4</v>
      </c>
      <c r="AA193" s="106">
        <f>IF($J193=$G$2,ROUND(IF(ISNUMBER(S193),S193,IF(LEFT(S193,2)="DI",HLOOKUP(S193,DADOS!$T$29:$X$30,2,FALSE),0)),4),"")</f>
        <v>0.25</v>
      </c>
      <c r="AB193" s="1"/>
    </row>
    <row r="194" spans="1:28" x14ac:dyDescent="0.2">
      <c r="A194" t="str">
        <f t="shared" si="135"/>
        <v>S</v>
      </c>
      <c r="B194">
        <f t="shared" si="136"/>
        <v>0</v>
      </c>
      <c r="C194">
        <f t="shared" ca="1" si="137"/>
        <v>6</v>
      </c>
      <c r="D194">
        <f t="shared" ca="1" si="138"/>
        <v>1</v>
      </c>
      <c r="E194">
        <f t="shared" ca="1" si="139"/>
        <v>0</v>
      </c>
      <c r="F194">
        <f t="shared" ca="1" si="140"/>
        <v>0</v>
      </c>
      <c r="G194">
        <f t="shared" ca="1" si="141"/>
        <v>5</v>
      </c>
      <c r="H194">
        <f t="shared" ca="1" si="86"/>
        <v>0</v>
      </c>
      <c r="I194">
        <f t="shared" ca="1" si="87"/>
        <v>0</v>
      </c>
      <c r="J194" s="105" t="s">
        <v>29</v>
      </c>
      <c r="K194" s="97" t="str">
        <f t="shared" ca="1" si="142"/>
        <v>6.1.5.</v>
      </c>
      <c r="L194" s="110">
        <f t="shared" ca="1" si="143"/>
        <v>0</v>
      </c>
      <c r="M194" s="98" t="s">
        <v>78</v>
      </c>
      <c r="N194" s="112" t="s">
        <v>221</v>
      </c>
      <c r="O194" s="110" t="str">
        <f t="shared" ca="1" si="150"/>
        <v>Estagiarios</v>
      </c>
      <c r="P194" s="111" t="str">
        <f t="shared" ca="1" si="144"/>
        <v>hora</v>
      </c>
      <c r="Q194" s="107">
        <v>10</v>
      </c>
      <c r="R194" s="100">
        <f t="shared" ca="1" si="145"/>
        <v>8.26</v>
      </c>
      <c r="S194" s="109" t="s">
        <v>62</v>
      </c>
      <c r="T194" s="99">
        <f t="shared" ca="1" si="146"/>
        <v>10.33</v>
      </c>
      <c r="U194" s="102">
        <f t="shared" ca="1" si="147"/>
        <v>103.3</v>
      </c>
      <c r="W194" s="1" t="str">
        <f ca="1">IF(OR($A194=0,$A194="S",$A194&gt;CFF!$A$9),"",MAX(W$11:OFFSET(W194,-1,0))+1)</f>
        <v/>
      </c>
      <c r="X194" s="3" t="str">
        <f t="shared" si="148"/>
        <v>Rec. Humanos-005</v>
      </c>
      <c r="Y194" s="1">
        <f t="shared" ca="1" si="149"/>
        <v>7</v>
      </c>
      <c r="AA194" s="106">
        <f>IF($J194=$G$2,ROUND(IF(ISNUMBER(S194),S194,IF(LEFT(S194,2)="DI",HLOOKUP(S194,DADOS!$T$29:$X$30,2,FALSE),0)),4),"")</f>
        <v>0.25</v>
      </c>
      <c r="AB194" s="1"/>
    </row>
    <row r="195" spans="1:28" x14ac:dyDescent="0.2">
      <c r="A195" t="str">
        <f t="shared" si="135"/>
        <v>S</v>
      </c>
      <c r="B195">
        <f t="shared" si="136"/>
        <v>0</v>
      </c>
      <c r="C195">
        <f t="shared" ca="1" si="137"/>
        <v>6</v>
      </c>
      <c r="D195">
        <f t="shared" ca="1" si="138"/>
        <v>1</v>
      </c>
      <c r="E195">
        <f t="shared" ca="1" si="139"/>
        <v>0</v>
      </c>
      <c r="F195">
        <f t="shared" ca="1" si="140"/>
        <v>0</v>
      </c>
      <c r="G195">
        <f t="shared" ca="1" si="141"/>
        <v>6</v>
      </c>
      <c r="H195">
        <f t="shared" ca="1" si="86"/>
        <v>0</v>
      </c>
      <c r="I195">
        <f t="shared" ca="1" si="87"/>
        <v>0</v>
      </c>
      <c r="J195" s="105" t="s">
        <v>29</v>
      </c>
      <c r="K195" s="97" t="str">
        <f t="shared" ca="1" si="142"/>
        <v>6.1.6.</v>
      </c>
      <c r="L195" s="110">
        <f t="shared" ca="1" si="143"/>
        <v>0</v>
      </c>
      <c r="M195" s="98" t="s">
        <v>78</v>
      </c>
      <c r="N195" s="112" t="s">
        <v>221</v>
      </c>
      <c r="O195" s="110" t="str">
        <f t="shared" ca="1" si="150"/>
        <v>Estagiarios</v>
      </c>
      <c r="P195" s="111" t="str">
        <f t="shared" ca="1" si="144"/>
        <v>hora</v>
      </c>
      <c r="Q195" s="107">
        <v>10</v>
      </c>
      <c r="R195" s="100">
        <f t="shared" ca="1" si="145"/>
        <v>8.26</v>
      </c>
      <c r="S195" s="109" t="s">
        <v>62</v>
      </c>
      <c r="T195" s="99">
        <f t="shared" ca="1" si="146"/>
        <v>10.33</v>
      </c>
      <c r="U195" s="102">
        <f t="shared" ca="1" si="147"/>
        <v>103.3</v>
      </c>
      <c r="W195" s="1" t="str">
        <f ca="1">IF(OR($A195=0,$A195="S",$A195&gt;CFF!$A$9),"",MAX(W$11:OFFSET(W195,-1,0))+1)</f>
        <v/>
      </c>
      <c r="X195" s="3" t="str">
        <f t="shared" si="148"/>
        <v>Rec. Humanos-005</v>
      </c>
      <c r="Y195" s="1">
        <f t="shared" ca="1" si="149"/>
        <v>7</v>
      </c>
      <c r="AA195" s="106">
        <f>IF($J195=$G$2,ROUND(IF(ISNUMBER(S195),S195,IF(LEFT(S195,2)="DI",HLOOKUP(S195,DADOS!$T$29:$X$30,2,FALSE),0)),4),"")</f>
        <v>0.25</v>
      </c>
      <c r="AB195" s="1"/>
    </row>
    <row r="196" spans="1:28" x14ac:dyDescent="0.2">
      <c r="A196" t="str">
        <f t="shared" si="135"/>
        <v>S</v>
      </c>
      <c r="B196">
        <f t="shared" si="136"/>
        <v>0</v>
      </c>
      <c r="C196">
        <f t="shared" ca="1" si="137"/>
        <v>6</v>
      </c>
      <c r="D196">
        <f t="shared" ca="1" si="138"/>
        <v>1</v>
      </c>
      <c r="E196">
        <f t="shared" ca="1" si="139"/>
        <v>0</v>
      </c>
      <c r="F196">
        <f t="shared" ca="1" si="140"/>
        <v>0</v>
      </c>
      <c r="G196">
        <f t="shared" ca="1" si="141"/>
        <v>7</v>
      </c>
      <c r="H196">
        <f t="shared" ca="1" si="86"/>
        <v>0</v>
      </c>
      <c r="I196">
        <f t="shared" ca="1" si="87"/>
        <v>0</v>
      </c>
      <c r="J196" s="105" t="s">
        <v>29</v>
      </c>
      <c r="K196" s="97" t="str">
        <f t="shared" ca="1" si="142"/>
        <v>6.1.7.</v>
      </c>
      <c r="L196" s="110">
        <f t="shared" ca="1" si="143"/>
        <v>0</v>
      </c>
      <c r="M196" s="98" t="s">
        <v>78</v>
      </c>
      <c r="N196" s="112" t="s">
        <v>221</v>
      </c>
      <c r="O196" s="110" t="str">
        <f t="shared" ca="1" si="150"/>
        <v>Estagiarios</v>
      </c>
      <c r="P196" s="111" t="str">
        <f t="shared" ca="1" si="144"/>
        <v>hora</v>
      </c>
      <c r="Q196" s="107">
        <v>10</v>
      </c>
      <c r="R196" s="100">
        <f t="shared" ca="1" si="145"/>
        <v>8.26</v>
      </c>
      <c r="S196" s="109" t="s">
        <v>62</v>
      </c>
      <c r="T196" s="99">
        <f t="shared" ca="1" si="146"/>
        <v>10.33</v>
      </c>
      <c r="U196" s="102">
        <f t="shared" ca="1" si="147"/>
        <v>103.3</v>
      </c>
      <c r="W196" s="1" t="str">
        <f ca="1">IF(OR($A196=0,$A196="S",$A196&gt;CFF!$A$9),"",MAX(W$11:OFFSET(W196,-1,0))+1)</f>
        <v/>
      </c>
      <c r="X196" s="3" t="str">
        <f t="shared" si="148"/>
        <v>Rec. Humanos-005</v>
      </c>
      <c r="Y196" s="1">
        <f t="shared" ca="1" si="149"/>
        <v>7</v>
      </c>
      <c r="AA196" s="106">
        <f>IF($J196=$G$2,ROUND(IF(ISNUMBER(S196),S196,IF(LEFT(S196,2)="DI",HLOOKUP(S196,DADOS!$T$29:$X$30,2,FALSE),0)),4),"")</f>
        <v>0.25</v>
      </c>
      <c r="AB196" s="1"/>
    </row>
    <row r="197" spans="1:28" x14ac:dyDescent="0.2">
      <c r="A197" t="str">
        <f t="shared" si="135"/>
        <v>S</v>
      </c>
      <c r="B197">
        <f t="shared" si="136"/>
        <v>0</v>
      </c>
      <c r="C197">
        <f t="shared" ca="1" si="137"/>
        <v>6</v>
      </c>
      <c r="D197">
        <f t="shared" ca="1" si="138"/>
        <v>1</v>
      </c>
      <c r="E197">
        <f t="shared" ca="1" si="139"/>
        <v>0</v>
      </c>
      <c r="F197">
        <f t="shared" ca="1" si="140"/>
        <v>0</v>
      </c>
      <c r="G197">
        <f t="shared" ca="1" si="141"/>
        <v>8</v>
      </c>
      <c r="H197">
        <f t="shared" ca="1" si="86"/>
        <v>0</v>
      </c>
      <c r="I197">
        <f t="shared" ca="1" si="87"/>
        <v>0</v>
      </c>
      <c r="J197" s="105" t="s">
        <v>29</v>
      </c>
      <c r="K197" s="97" t="str">
        <f t="shared" ca="1" si="142"/>
        <v>6.1.8.</v>
      </c>
      <c r="L197" s="110">
        <f t="shared" ca="1" si="143"/>
        <v>0</v>
      </c>
      <c r="M197" s="98" t="s">
        <v>78</v>
      </c>
      <c r="N197" s="112" t="s">
        <v>221</v>
      </c>
      <c r="O197" s="110" t="str">
        <f t="shared" ca="1" si="150"/>
        <v>Estagiarios</v>
      </c>
      <c r="P197" s="111" t="str">
        <f t="shared" ca="1" si="144"/>
        <v>hora</v>
      </c>
      <c r="Q197" s="107">
        <v>10</v>
      </c>
      <c r="R197" s="100">
        <f t="shared" ca="1" si="145"/>
        <v>8.26</v>
      </c>
      <c r="S197" s="109" t="s">
        <v>62</v>
      </c>
      <c r="T197" s="99">
        <f t="shared" ca="1" si="146"/>
        <v>10.33</v>
      </c>
      <c r="U197" s="102">
        <f t="shared" ca="1" si="147"/>
        <v>103.3</v>
      </c>
      <c r="W197" s="1" t="str">
        <f ca="1">IF(OR($A197=0,$A197="S",$A197&gt;CFF!$A$9),"",MAX(W$11:OFFSET(W197,-1,0))+1)</f>
        <v/>
      </c>
      <c r="X197" s="3" t="str">
        <f t="shared" si="148"/>
        <v>Rec. Humanos-005</v>
      </c>
      <c r="Y197" s="1">
        <f t="shared" ca="1" si="149"/>
        <v>7</v>
      </c>
      <c r="AA197" s="106">
        <f>IF($J197=$G$2,ROUND(IF(ISNUMBER(S197),S197,IF(LEFT(S197,2)="DI",HLOOKUP(S197,DADOS!$T$29:$X$30,2,FALSE),0)),4),"")</f>
        <v>0.25</v>
      </c>
      <c r="AB197" s="1"/>
    </row>
    <row r="198" spans="1:28" x14ac:dyDescent="0.2">
      <c r="A198" t="str">
        <f t="shared" si="135"/>
        <v>S</v>
      </c>
      <c r="B198">
        <f t="shared" si="136"/>
        <v>0</v>
      </c>
      <c r="C198">
        <f t="shared" ca="1" si="137"/>
        <v>6</v>
      </c>
      <c r="D198">
        <f t="shared" ca="1" si="138"/>
        <v>1</v>
      </c>
      <c r="E198">
        <f t="shared" ca="1" si="139"/>
        <v>0</v>
      </c>
      <c r="F198">
        <f t="shared" ca="1" si="140"/>
        <v>0</v>
      </c>
      <c r="G198">
        <f t="shared" ca="1" si="141"/>
        <v>9</v>
      </c>
      <c r="H198">
        <f t="shared" ca="1" si="86"/>
        <v>0</v>
      </c>
      <c r="I198">
        <f t="shared" ca="1" si="87"/>
        <v>0</v>
      </c>
      <c r="J198" s="105" t="s">
        <v>29</v>
      </c>
      <c r="K198" s="97" t="str">
        <f t="shared" ca="1" si="142"/>
        <v>6.1.9.</v>
      </c>
      <c r="L198" s="110">
        <f t="shared" ca="1" si="143"/>
        <v>0</v>
      </c>
      <c r="M198" s="98" t="s">
        <v>79</v>
      </c>
      <c r="N198" s="112" t="s">
        <v>218</v>
      </c>
      <c r="O198" s="110" t="str">
        <f t="shared" ca="1" si="150"/>
        <v>Papel A4 (Internatonal Paper) 500 folhas</v>
      </c>
      <c r="P198" s="111" t="str">
        <f t="shared" ca="1" si="144"/>
        <v>resma</v>
      </c>
      <c r="Q198" s="107">
        <v>1</v>
      </c>
      <c r="R198" s="100">
        <f t="shared" ca="1" si="145"/>
        <v>25.8</v>
      </c>
      <c r="S198" s="109" t="s">
        <v>62</v>
      </c>
      <c r="T198" s="99">
        <f t="shared" ca="1" si="146"/>
        <v>32.25</v>
      </c>
      <c r="U198" s="102">
        <f t="shared" ca="1" si="147"/>
        <v>32.25</v>
      </c>
      <c r="W198" s="1" t="str">
        <f ca="1">IF(OR($A198=0,$A198="S",$A198&gt;CFF!$A$9),"",MAX(W$11:OFFSET(W198,-1,0))+1)</f>
        <v/>
      </c>
      <c r="X198" s="3" t="str">
        <f t="shared" si="148"/>
        <v>Rec. Materiais-001</v>
      </c>
      <c r="Y198" s="1">
        <f t="shared" ca="1" si="149"/>
        <v>8</v>
      </c>
      <c r="AA198" s="106">
        <f>IF($J198=$G$2,ROUND(IF(ISNUMBER(S198),S198,IF(LEFT(S198,2)="DI",HLOOKUP(S198,DADOS!$T$29:$X$30,2,FALSE),0)),4),"")</f>
        <v>0.25</v>
      </c>
      <c r="AB198" s="1"/>
    </row>
    <row r="199" spans="1:28" x14ac:dyDescent="0.2">
      <c r="A199" t="str">
        <f>CHOOSE(1+LOG(1+2*(J199=$C$2)+4*(J199=$D$2)+8*(J199=$E$2)+16*(J199=$F$2)+32*(J199=$G$2),2),0,1,2,3,4,"S")</f>
        <v>S</v>
      </c>
      <c r="B199">
        <f>IF(OR(A199="S",A199=0),0,IF(ISERROR(I199),H199,SMALL(H199:I199,1)))</f>
        <v>0</v>
      </c>
      <c r="C199">
        <f ca="1">IF($A199=1,OFFSET(C199,-1,0)+1,OFFSET(C199,-1,0))</f>
        <v>6</v>
      </c>
      <c r="D199">
        <f ca="1">IF($A199=1,0,IF($A199=2,OFFSET(D199,-1,0)+1,OFFSET(D199,-1,0)))</f>
        <v>1</v>
      </c>
      <c r="E199">
        <f ca="1">IF(AND($A199&lt;=2,$A199&lt;&gt;0),0,IF($A199=3,OFFSET(E199,-1,0)+1,OFFSET(E199,-1,0)))</f>
        <v>0</v>
      </c>
      <c r="F199">
        <f ca="1">IF(AND($A199&lt;=3,$A199&lt;&gt;0),0,IF($A199=4,OFFSET(F199,-1,0)+1,OFFSET(F199,-1,0)))</f>
        <v>0</v>
      </c>
      <c r="G199">
        <f ca="1">IF(AND($A199&lt;=4,$A199&lt;&gt;0),0,IF($A199="S",OFFSET(G199,-1,0)+1,OFFSET(G199,-1,0)))</f>
        <v>10</v>
      </c>
      <c r="H199">
        <f t="shared" ca="1" si="86"/>
        <v>0</v>
      </c>
      <c r="I199">
        <f t="shared" ca="1" si="87"/>
        <v>0</v>
      </c>
      <c r="J199" s="105" t="s">
        <v>29</v>
      </c>
      <c r="K199" s="97" t="str">
        <f ca="1">IF($A199=0,"-",CONCATENATE(C199&amp;".",IF(AND($A$5&gt;=2,$A199&gt;=2),D199&amp;".",""),IF(AND($A$5&gt;=3,$A199&gt;=3),E199&amp;".",""),IF(AND($A$5&gt;=4,$A199&gt;=4),F199&amp;".",""),IF($A199="S",G199&amp;".","")))</f>
        <v>6.1.10.</v>
      </c>
      <c r="L199" s="110">
        <f ca="1">IF(NOT(ISERROR($Y199)),IF($Y199&lt;&gt;FALSE,INDEX(Banco,$Y199,4),""),"")</f>
        <v>0</v>
      </c>
      <c r="M199" s="98" t="s">
        <v>79</v>
      </c>
      <c r="N199" s="112" t="s">
        <v>220</v>
      </c>
      <c r="O199" s="110" t="str">
        <f ca="1">IF(NOT(ISERROR($Y199)),IF($Y199&lt;&gt;FALSE,INDEX(Banco,$Y199,5),""),"")</f>
        <v>Cartucho Colorido (Maxprint) cod 46204, 46505,46503) cada</v>
      </c>
      <c r="P199" s="111" t="str">
        <f ca="1">IF(NOT(ISERROR($Y199)),IF($Y199&lt;&gt;FALSE,INDEX(Banco,$Y199,6),""),"")</f>
        <v>unidade</v>
      </c>
      <c r="Q199" s="107">
        <v>1</v>
      </c>
      <c r="R199" s="100">
        <f ca="1">IF(NOT(ISERROR($Y199)),IF($Y199&lt;&gt;FALSE,INDEX(Banco,$Y199,7),0),0)</f>
        <v>125</v>
      </c>
      <c r="S199" s="109" t="s">
        <v>62</v>
      </c>
      <c r="T199" s="99">
        <f ca="1">IF($J199=$G$2,ROUND(ROUND($R199,2)*IF($R$9="Preço Unitário (R$)",1,1+$AA199),2),0)</f>
        <v>156.25</v>
      </c>
      <c r="U199" s="102">
        <f ca="1">IF($A199="S",VTOTAL1,IF($A199=0,0,ROUND(SomaAgrup,2)))</f>
        <v>156.25</v>
      </c>
      <c r="W199" s="1" t="str">
        <f ca="1">IF(OR($A199=0,$A199="S",$A199&gt;CFF!$A$9),"",MAX(W$11:OFFSET(W199,-1,0))+1)</f>
        <v/>
      </c>
      <c r="X199" s="3" t="str">
        <f>IF(AND($J199=$G$2,$N199&lt;&gt;"",$M199&lt;&gt;""),CONCATENATE($M199,"-",$N199))</f>
        <v>Rec. Materiais-003</v>
      </c>
      <c r="Y199" s="1">
        <f ca="1">IF(X199&lt;&gt;FALSE,MATCH(X199,OFFSET(Banco,0,0,,1),0))</f>
        <v>10</v>
      </c>
      <c r="AA199" s="106">
        <f>IF($J199=$G$2,ROUND(IF(ISNUMBER(S199),S199,IF(LEFT(S199,2)="DI",HLOOKUP(S199,DADOS!$T$29:$X$30,2,FALSE),0)),4),"")</f>
        <v>0.25</v>
      </c>
      <c r="AB199" s="1"/>
    </row>
    <row r="200" spans="1:28" x14ac:dyDescent="0.2">
      <c r="A200" t="str">
        <f t="shared" si="135"/>
        <v>S</v>
      </c>
      <c r="B200">
        <f t="shared" si="136"/>
        <v>0</v>
      </c>
      <c r="C200">
        <f t="shared" ca="1" si="137"/>
        <v>6</v>
      </c>
      <c r="D200">
        <f t="shared" ca="1" si="138"/>
        <v>1</v>
      </c>
      <c r="E200">
        <f t="shared" ca="1" si="139"/>
        <v>0</v>
      </c>
      <c r="F200">
        <f t="shared" ca="1" si="140"/>
        <v>0</v>
      </c>
      <c r="G200">
        <f t="shared" ca="1" si="141"/>
        <v>11</v>
      </c>
      <c r="H200">
        <f t="shared" ca="1" si="86"/>
        <v>0</v>
      </c>
      <c r="I200">
        <f t="shared" ca="1" si="87"/>
        <v>0</v>
      </c>
      <c r="J200" s="105" t="s">
        <v>29</v>
      </c>
      <c r="K200" s="97" t="str">
        <f t="shared" ca="1" si="142"/>
        <v>6.1.11.</v>
      </c>
      <c r="L200" s="110">
        <f t="shared" ca="1" si="143"/>
        <v>0</v>
      </c>
      <c r="M200" s="98" t="s">
        <v>79</v>
      </c>
      <c r="N200" s="112" t="s">
        <v>231</v>
      </c>
      <c r="O200" s="110" t="str">
        <f t="shared" ca="1" si="150"/>
        <v>Pincel chato n 16 amarelo 8815-16 tigre</v>
      </c>
      <c r="P200" s="111" t="str">
        <f t="shared" ca="1" si="144"/>
        <v>unidade</v>
      </c>
      <c r="Q200" s="107">
        <v>6</v>
      </c>
      <c r="R200" s="100">
        <f t="shared" ca="1" si="145"/>
        <v>4.5</v>
      </c>
      <c r="S200" s="109" t="s">
        <v>62</v>
      </c>
      <c r="T200" s="99">
        <f t="shared" ca="1" si="146"/>
        <v>5.63</v>
      </c>
      <c r="U200" s="102">
        <f t="shared" ca="1" si="147"/>
        <v>33.78</v>
      </c>
      <c r="W200" s="1" t="str">
        <f ca="1">IF(OR($A200=0,$A200="S",$A200&gt;CFF!$A$9),"",MAX(W$11:OFFSET(W200,-1,0))+1)</f>
        <v/>
      </c>
      <c r="X200" s="3" t="str">
        <f t="shared" si="148"/>
        <v>Rec. Materiais-004</v>
      </c>
      <c r="Y200" s="1">
        <f t="shared" ca="1" si="149"/>
        <v>11</v>
      </c>
      <c r="AA200" s="106">
        <f>IF($J200=$G$2,ROUND(IF(ISNUMBER(S200),S200,IF(LEFT(S200,2)="DI",HLOOKUP(S200,DADOS!$T$29:$X$30,2,FALSE),0)),4),"")</f>
        <v>0.25</v>
      </c>
      <c r="AB200" s="1"/>
    </row>
    <row r="201" spans="1:28" x14ac:dyDescent="0.2">
      <c r="A201" t="str">
        <f>CHOOSE(1+LOG(1+2*(J201=$C$2)+4*(J201=$D$2)+8*(J201=$E$2)+16*(J201=$F$2)+32*(J201=$G$2),2),0,1,2,3,4,"S")</f>
        <v>S</v>
      </c>
      <c r="B201">
        <f>IF(OR(A201="S",A201=0),0,IF(ISERROR(I201),H201,SMALL(H201:I201,1)))</f>
        <v>0</v>
      </c>
      <c r="C201">
        <f ca="1">IF($A201=1,OFFSET(C201,-1,0)+1,OFFSET(C201,-1,0))</f>
        <v>6</v>
      </c>
      <c r="D201">
        <f ca="1">IF($A201=1,0,IF($A201=2,OFFSET(D201,-1,0)+1,OFFSET(D201,-1,0)))</f>
        <v>1</v>
      </c>
      <c r="E201">
        <f ca="1">IF(AND($A201&lt;=2,$A201&lt;&gt;0),0,IF($A201=3,OFFSET(E201,-1,0)+1,OFFSET(E201,-1,0)))</f>
        <v>0</v>
      </c>
      <c r="F201">
        <f ca="1">IF(AND($A201&lt;=3,$A201&lt;&gt;0),0,IF($A201=4,OFFSET(F201,-1,0)+1,OFFSET(F201,-1,0)))</f>
        <v>0</v>
      </c>
      <c r="G201">
        <f ca="1">IF(AND($A201&lt;=4,$A201&lt;&gt;0),0,IF($A201="S",OFFSET(G201,-1,0)+1,OFFSET(G201,-1,0)))</f>
        <v>12</v>
      </c>
      <c r="H201">
        <f t="shared" ca="1" si="86"/>
        <v>0</v>
      </c>
      <c r="I201">
        <f t="shared" ca="1" si="87"/>
        <v>0</v>
      </c>
      <c r="J201" s="105" t="s">
        <v>29</v>
      </c>
      <c r="K201" s="97" t="str">
        <f ca="1">IF($A201=0,"-",CONCATENATE(C201&amp;".",IF(AND($A$5&gt;=2,$A201&gt;=2),D201&amp;".",""),IF(AND($A$5&gt;=3,$A201&gt;=3),E201&amp;".",""),IF(AND($A$5&gt;=4,$A201&gt;=4),F201&amp;".",""),IF($A201="S",G201&amp;".","")))</f>
        <v>6.1.12.</v>
      </c>
      <c r="L201" s="110">
        <f ca="1">IF(NOT(ISERROR($Y201)),IF($Y201&lt;&gt;FALSE,INDEX(Banco,$Y201,4),""),"")</f>
        <v>0</v>
      </c>
      <c r="M201" s="98" t="s">
        <v>80</v>
      </c>
      <c r="N201" s="112" t="s">
        <v>225</v>
      </c>
      <c r="O201" s="110" t="str">
        <f ca="1">IF(NOT(ISERROR($Y201)),IF($Y201&lt;&gt;FALSE,INDEX(Banco,$Y201,5),""),"")</f>
        <v>Coca cola 2 litros</v>
      </c>
      <c r="P201" s="111" t="str">
        <f ca="1">IF(NOT(ISERROR($Y201)),IF($Y201&lt;&gt;FALSE,INDEX(Banco,$Y201,6),""),"")</f>
        <v>unidade</v>
      </c>
      <c r="Q201" s="107">
        <v>17</v>
      </c>
      <c r="R201" s="100">
        <f ca="1">IF(NOT(ISERROR($Y201)),IF($Y201&lt;&gt;FALSE,INDEX(Banco,$Y201,7),0),0)</f>
        <v>7</v>
      </c>
      <c r="S201" s="109" t="s">
        <v>62</v>
      </c>
      <c r="T201" s="99">
        <f ca="1">IF($J201=$G$2,ROUND(ROUND($R201,2)*IF($R$9="Preço Unitário (R$)",1,1+$AA201),2),0)</f>
        <v>8.75</v>
      </c>
      <c r="U201" s="102">
        <f ca="1">IF($A201="S",VTOTAL1,IF($A201=0,0,ROUND(SomaAgrup,2)))</f>
        <v>148.75</v>
      </c>
      <c r="W201" s="1" t="str">
        <f ca="1">IF(OR($A201=0,$A201="S",$A201&gt;CFF!$A$9),"",MAX(W$11:OFFSET(W201,-1,0))+1)</f>
        <v/>
      </c>
      <c r="X201" s="3" t="str">
        <f>IF(AND($J201=$G$2,$N201&lt;&gt;"",$M201&lt;&gt;""),CONCATENATE($M201,"-",$N201))</f>
        <v>Serv. Terc.-020</v>
      </c>
      <c r="Y201" s="1">
        <f ca="1">IF(X201&lt;&gt;FALSE,MATCH(X201,OFFSET(Banco,0,0,,1),0))</f>
        <v>66</v>
      </c>
      <c r="AA201" s="106">
        <f>IF($J201=$G$2,ROUND(IF(ISNUMBER(S201),S201,IF(LEFT(S201,2)="DI",HLOOKUP(S201,DADOS!$T$29:$X$30,2,FALSE),0)),4),"")</f>
        <v>0.25</v>
      </c>
      <c r="AB201" s="1"/>
    </row>
    <row r="202" spans="1:28" x14ac:dyDescent="0.2">
      <c r="A202" t="str">
        <f>CHOOSE(1+LOG(1+2*(J202=$C$2)+4*(J202=$D$2)+8*(J202=$E$2)+16*(J202=$F$2)+32*(J202=$G$2),2),0,1,2,3,4,"S")</f>
        <v>S</v>
      </c>
      <c r="B202">
        <f>IF(OR(A202="S",A202=0),0,IF(ISERROR(I202),H202,SMALL(H202:I202,1)))</f>
        <v>0</v>
      </c>
      <c r="C202">
        <f ca="1">IF($A202=1,OFFSET(C202,-1,0)+1,OFFSET(C202,-1,0))</f>
        <v>6</v>
      </c>
      <c r="D202">
        <f ca="1">IF($A202=1,0,IF($A202=2,OFFSET(D202,-1,0)+1,OFFSET(D202,-1,0)))</f>
        <v>1</v>
      </c>
      <c r="E202">
        <f ca="1">IF(AND($A202&lt;=2,$A202&lt;&gt;0),0,IF($A202=3,OFFSET(E202,-1,0)+1,OFFSET(E202,-1,0)))</f>
        <v>0</v>
      </c>
      <c r="F202">
        <f ca="1">IF(AND($A202&lt;=3,$A202&lt;&gt;0),0,IF($A202=4,OFFSET(F202,-1,0)+1,OFFSET(F202,-1,0)))</f>
        <v>0</v>
      </c>
      <c r="G202">
        <f ca="1">IF(AND($A202&lt;=4,$A202&lt;&gt;0),0,IF($A202="S",OFFSET(G202,-1,0)+1,OFFSET(G202,-1,0)))</f>
        <v>13</v>
      </c>
      <c r="H202">
        <f t="shared" ca="1" si="86"/>
        <v>0</v>
      </c>
      <c r="I202">
        <f t="shared" ca="1" si="87"/>
        <v>0</v>
      </c>
      <c r="J202" s="105" t="s">
        <v>29</v>
      </c>
      <c r="K202" s="97" t="str">
        <f ca="1">IF($A202=0,"-",CONCATENATE(C202&amp;".",IF(AND($A$5&gt;=2,$A202&gt;=2),D202&amp;".",""),IF(AND($A$5&gt;=3,$A202&gt;=3),E202&amp;".",""),IF(AND($A$5&gt;=4,$A202&gt;=4),F202&amp;".",""),IF($A202="S",G202&amp;".","")))</f>
        <v>6.1.13.</v>
      </c>
      <c r="L202" s="110">
        <f ca="1">IF(NOT(ISERROR($Y202)),IF($Y202&lt;&gt;FALSE,INDEX(Banco,$Y202,4),""),"")</f>
        <v>0</v>
      </c>
      <c r="M202" s="98" t="s">
        <v>80</v>
      </c>
      <c r="N202" s="112" t="s">
        <v>232</v>
      </c>
      <c r="O202" s="110" t="str">
        <f ca="1">IF(NOT(ISERROR($Y202)),IF($Y202&lt;&gt;FALSE,INDEX(Banco,$Y202,5),""),"")</f>
        <v>Fanta 2 litros</v>
      </c>
      <c r="P202" s="111" t="str">
        <f ca="1">IF(NOT(ISERROR($Y202)),IF($Y202&lt;&gt;FALSE,INDEX(Banco,$Y202,6),""),"")</f>
        <v>unidade</v>
      </c>
      <c r="Q202" s="107">
        <v>17</v>
      </c>
      <c r="R202" s="100">
        <f ca="1">IF(NOT(ISERROR($Y202)),IF($Y202&lt;&gt;FALSE,INDEX(Banco,$Y202,7),0),0)</f>
        <v>6.3</v>
      </c>
      <c r="S202" s="109" t="s">
        <v>62</v>
      </c>
      <c r="T202" s="99">
        <f ca="1">IF($J202=$G$2,ROUND(ROUND($R202,2)*IF($R$9="Preço Unitário (R$)",1,1+$AA202),2),0)</f>
        <v>7.88</v>
      </c>
      <c r="U202" s="102">
        <f ca="1">IF($A202="S",VTOTAL1,IF($A202=0,0,ROUND(SomaAgrup,2)))</f>
        <v>133.96</v>
      </c>
      <c r="W202" s="1" t="str">
        <f ca="1">IF(OR($A202=0,$A202="S",$A202&gt;CFF!$A$9),"",MAX(W$11:OFFSET(W202,-1,0))+1)</f>
        <v/>
      </c>
      <c r="X202" s="3" t="str">
        <f>IF(AND($J202=$G$2,$N202&lt;&gt;"",$M202&lt;&gt;""),CONCATENATE($M202,"-",$N202))</f>
        <v>Serv. Terc.-021</v>
      </c>
      <c r="Y202" s="1">
        <f ca="1">IF(X202&lt;&gt;FALSE,MATCH(X202,OFFSET(Banco,0,0,,1),0))</f>
        <v>67</v>
      </c>
      <c r="AA202" s="106">
        <f>IF($J202=$G$2,ROUND(IF(ISNUMBER(S202),S202,IF(LEFT(S202,2)="DI",HLOOKUP(S202,DADOS!$T$29:$X$30,2,FALSE),0)),4),"")</f>
        <v>0.25</v>
      </c>
      <c r="AB202" s="1"/>
    </row>
    <row r="203" spans="1:28" x14ac:dyDescent="0.2">
      <c r="A203" t="str">
        <f>CHOOSE(1+LOG(1+2*(J203=$C$2)+4*(J203=$D$2)+8*(J203=$E$2)+16*(J203=$F$2)+32*(J203=$G$2),2),0,1,2,3,4,"S")</f>
        <v>S</v>
      </c>
      <c r="B203">
        <f>IF(OR(A203="S",A203=0),0,IF(ISERROR(I203),H203,SMALL(H203:I203,1)))</f>
        <v>0</v>
      </c>
      <c r="C203">
        <f ca="1">IF($A203=1,OFFSET(C203,-1,0)+1,OFFSET(C203,-1,0))</f>
        <v>6</v>
      </c>
      <c r="D203">
        <f ca="1">IF($A203=1,0,IF($A203=2,OFFSET(D203,-1,0)+1,OFFSET(D203,-1,0)))</f>
        <v>1</v>
      </c>
      <c r="E203">
        <f ca="1">IF(AND($A203&lt;=2,$A203&lt;&gt;0),0,IF($A203=3,OFFSET(E203,-1,0)+1,OFFSET(E203,-1,0)))</f>
        <v>0</v>
      </c>
      <c r="F203">
        <f ca="1">IF(AND($A203&lt;=3,$A203&lt;&gt;0),0,IF($A203=4,OFFSET(F203,-1,0)+1,OFFSET(F203,-1,0)))</f>
        <v>0</v>
      </c>
      <c r="G203">
        <f ca="1">IF(AND($A203&lt;=4,$A203&lt;&gt;0),0,IF($A203="S",OFFSET(G203,-1,0)+1,OFFSET(G203,-1,0)))</f>
        <v>14</v>
      </c>
      <c r="H203">
        <f t="shared" ca="1" si="86"/>
        <v>0</v>
      </c>
      <c r="I203">
        <f t="shared" ca="1" si="87"/>
        <v>0</v>
      </c>
      <c r="J203" s="105" t="s">
        <v>29</v>
      </c>
      <c r="K203" s="97" t="str">
        <f ca="1">IF($A203=0,"-",CONCATENATE(C203&amp;".",IF(AND($A$5&gt;=2,$A203&gt;=2),D203&amp;".",""),IF(AND($A$5&gt;=3,$A203&gt;=3),E203&amp;".",""),IF(AND($A$5&gt;=4,$A203&gt;=4),F203&amp;".",""),IF($A203="S",G203&amp;".","")))</f>
        <v>6.1.14.</v>
      </c>
      <c r="L203" s="110">
        <f ca="1">IF(NOT(ISERROR($Y203)),IF($Y203&lt;&gt;FALSE,INDEX(Banco,$Y203,4),""),"")</f>
        <v>0</v>
      </c>
      <c r="M203" s="98" t="s">
        <v>79</v>
      </c>
      <c r="N203" s="112" t="s">
        <v>221</v>
      </c>
      <c r="O203" s="110" t="str">
        <f ca="1">IF(NOT(ISERROR($Y203)),IF($Y203&lt;&gt;FALSE,INDEX(Banco,$Y203,5),""),"")</f>
        <v>Bola de isopor de 50mm isorecot</v>
      </c>
      <c r="P203" s="111" t="str">
        <f ca="1">IF(NOT(ISERROR($Y203)),IF($Y203&lt;&gt;FALSE,INDEX(Banco,$Y203,6),""),"")</f>
        <v>UNIDADE</v>
      </c>
      <c r="Q203" s="107">
        <v>20</v>
      </c>
      <c r="R203" s="100">
        <f ca="1">IF(NOT(ISERROR($Y203)),IF($Y203&lt;&gt;FALSE,INDEX(Banco,$Y203,7),0),0)</f>
        <v>1.25</v>
      </c>
      <c r="S203" s="109" t="s">
        <v>62</v>
      </c>
      <c r="T203" s="99">
        <f ca="1">IF($J203=$G$2,ROUND(ROUND($R203,2)*IF($R$9="Preço Unitário (R$)",1,1+$AA203),2),0)</f>
        <v>1.56</v>
      </c>
      <c r="U203" s="102">
        <f ca="1">IF($A203="S",VTOTAL1,IF($A203=0,0,ROUND(SomaAgrup,2)))</f>
        <v>31.2</v>
      </c>
      <c r="W203" s="1" t="str">
        <f ca="1">IF(OR($A203=0,$A203="S",$A203&gt;CFF!$A$9),"",MAX(W$11:OFFSET(W203,-1,0))+1)</f>
        <v/>
      </c>
      <c r="X203" s="3" t="str">
        <f>IF(AND($J203=$G$2,$N203&lt;&gt;"",$M203&lt;&gt;""),CONCATENATE($M203,"-",$N203))</f>
        <v>Rec. Materiais-005</v>
      </c>
      <c r="Y203" s="1">
        <f ca="1">IF(X203&lt;&gt;FALSE,MATCH(X203,OFFSET(Banco,0,0,,1),0))</f>
        <v>12</v>
      </c>
      <c r="AA203" s="106">
        <f>IF($J203=$G$2,ROUND(IF(ISNUMBER(S203),S203,IF(LEFT(S203,2)="DI",HLOOKUP(S203,DADOS!$T$29:$X$30,2,FALSE),0)),4),"")</f>
        <v>0.25</v>
      </c>
      <c r="AB203" s="1"/>
    </row>
    <row r="204" spans="1:28" x14ac:dyDescent="0.2">
      <c r="A204" t="str">
        <f>CHOOSE(1+LOG(1+2*(J204=$C$2)+4*(J204=$D$2)+8*(J204=$E$2)+16*(J204=$F$2)+32*(J204=$G$2),2),0,1,2,3,4,"S")</f>
        <v>S</v>
      </c>
      <c r="B204">
        <f>IF(OR(A204="S",A204=0),0,IF(ISERROR(I204),H204,SMALL(H204:I204,1)))</f>
        <v>0</v>
      </c>
      <c r="C204">
        <f ca="1">IF($A204=1,OFFSET(C204,-1,0)+1,OFFSET(C204,-1,0))</f>
        <v>6</v>
      </c>
      <c r="D204">
        <f ca="1">IF($A204=1,0,IF($A204=2,OFFSET(D204,-1,0)+1,OFFSET(D204,-1,0)))</f>
        <v>1</v>
      </c>
      <c r="E204">
        <f ca="1">IF(AND($A204&lt;=2,$A204&lt;&gt;0),0,IF($A204=3,OFFSET(E204,-1,0)+1,OFFSET(E204,-1,0)))</f>
        <v>0</v>
      </c>
      <c r="F204">
        <f ca="1">IF(AND($A204&lt;=3,$A204&lt;&gt;0),0,IF($A204=4,OFFSET(F204,-1,0)+1,OFFSET(F204,-1,0)))</f>
        <v>0</v>
      </c>
      <c r="G204">
        <f ca="1">IF(AND($A204&lt;=4,$A204&lt;&gt;0),0,IF($A204="S",OFFSET(G204,-1,0)+1,OFFSET(G204,-1,0)))</f>
        <v>15</v>
      </c>
      <c r="H204">
        <f t="shared" ref="H204:H267" ca="1" si="151">IF(OR($A204="S",$A204=0),0,MATCH(0,OFFSET($B204,1,$A204,ROW($A$367)-ROW($A204)),0))</f>
        <v>0</v>
      </c>
      <c r="I204">
        <f t="shared" ref="I204:I267" ca="1" si="152">IF(OR($A204="S",$A204=0),0,MATCH(OFFSET($B204,0,$A204)+1,OFFSET($B204,1,$A204,ROW($A$367)-ROW($A204)),0))</f>
        <v>0</v>
      </c>
      <c r="J204" s="105" t="s">
        <v>29</v>
      </c>
      <c r="K204" s="97" t="str">
        <f ca="1">IF($A204=0,"-",CONCATENATE(C204&amp;".",IF(AND($A$5&gt;=2,$A204&gt;=2),D204&amp;".",""),IF(AND($A$5&gt;=3,$A204&gt;=3),E204&amp;".",""),IF(AND($A$5&gt;=4,$A204&gt;=4),F204&amp;".",""),IF($A204="S",G204&amp;".","")))</f>
        <v>6.1.15.</v>
      </c>
      <c r="L204" s="110">
        <f ca="1">IF(NOT(ISERROR($Y204)),IF($Y204&lt;&gt;FALSE,INDEX(Banco,$Y204,4),""),"")</f>
        <v>0</v>
      </c>
      <c r="M204" s="98" t="s">
        <v>79</v>
      </c>
      <c r="N204" s="112" t="s">
        <v>236</v>
      </c>
      <c r="O204" s="110" t="str">
        <f ca="1">IF(NOT(ISERROR($Y204)),IF($Y204&lt;&gt;FALSE,INDEX(Banco,$Y204,5),""),"")</f>
        <v>Pincel Atômico preto 1100 -P Pilot</v>
      </c>
      <c r="P204" s="111" t="str">
        <f ca="1">IF(NOT(ISERROR($Y204)),IF($Y204&lt;&gt;FALSE,INDEX(Banco,$Y204,6),""),"")</f>
        <v>UNIDADE</v>
      </c>
      <c r="Q204" s="107">
        <v>10</v>
      </c>
      <c r="R204" s="100">
        <f ca="1">IF(NOT(ISERROR($Y204)),IF($Y204&lt;&gt;FALSE,INDEX(Banco,$Y204,7),0),0)</f>
        <v>5.5</v>
      </c>
      <c r="S204" s="109" t="s">
        <v>62</v>
      </c>
      <c r="T204" s="99">
        <f ca="1">IF($J204=$G$2,ROUND(ROUND($R204,2)*IF($R$9="Preço Unitário (R$)",1,1+$AA204),2),0)</f>
        <v>6.88</v>
      </c>
      <c r="U204" s="102">
        <f ca="1">IF($A204="S",VTOTAL1,IF($A204=0,0,ROUND(SomaAgrup,2)))</f>
        <v>68.8</v>
      </c>
      <c r="W204" s="1" t="str">
        <f ca="1">IF(OR($A204=0,$A204="S",$A204&gt;CFF!$A$9),"",MAX(W$11:OFFSET(W204,-1,0))+1)</f>
        <v/>
      </c>
      <c r="X204" s="3" t="str">
        <f>IF(AND($J204=$G$2,$N204&lt;&gt;"",$M204&lt;&gt;""),CONCATENATE($M204,"-",$N204))</f>
        <v>Rec. Materiais-010</v>
      </c>
      <c r="Y204" s="1">
        <f ca="1">IF(X204&lt;&gt;FALSE,MATCH(X204,OFFSET(Banco,0,0,,1),0))</f>
        <v>17</v>
      </c>
      <c r="AA204" s="106">
        <f>IF($J204=$G$2,ROUND(IF(ISNUMBER(S204),S204,IF(LEFT(S204,2)="DI",HLOOKUP(S204,DADOS!$T$29:$X$30,2,FALSE),0)),4),"")</f>
        <v>0.25</v>
      </c>
      <c r="AB204" s="1"/>
    </row>
    <row r="205" spans="1:28" x14ac:dyDescent="0.2">
      <c r="A205" t="str">
        <f t="shared" ref="A205:A224" si="153">CHOOSE(1+LOG(1+2*(J205=$C$2)+4*(J205=$D$2)+8*(J205=$E$2)+16*(J205=$F$2)+32*(J205=$G$2),2),0,1,2,3,4,"S")</f>
        <v>S</v>
      </c>
      <c r="B205">
        <f t="shared" ref="B205:B224" si="154">IF(OR(A205="S",A205=0),0,IF(ISERROR(I205),H205,SMALL(H205:I205,1)))</f>
        <v>0</v>
      </c>
      <c r="C205">
        <f t="shared" ref="C205:C224" ca="1" si="155">IF($A205=1,OFFSET(C205,-1,0)+1,OFFSET(C205,-1,0))</f>
        <v>6</v>
      </c>
      <c r="D205">
        <f t="shared" ref="D205:D224" ca="1" si="156">IF($A205=1,0,IF($A205=2,OFFSET(D205,-1,0)+1,OFFSET(D205,-1,0)))</f>
        <v>1</v>
      </c>
      <c r="E205">
        <f t="shared" ref="E205:E224" ca="1" si="157">IF(AND($A205&lt;=2,$A205&lt;&gt;0),0,IF($A205=3,OFFSET(E205,-1,0)+1,OFFSET(E205,-1,0)))</f>
        <v>0</v>
      </c>
      <c r="F205">
        <f t="shared" ref="F205:F224" ca="1" si="158">IF(AND($A205&lt;=3,$A205&lt;&gt;0),0,IF($A205=4,OFFSET(F205,-1,0)+1,OFFSET(F205,-1,0)))</f>
        <v>0</v>
      </c>
      <c r="G205">
        <f t="shared" ref="G205:G224" ca="1" si="159">IF(AND($A205&lt;=4,$A205&lt;&gt;0),0,IF($A205="S",OFFSET(G205,-1,0)+1,OFFSET(G205,-1,0)))</f>
        <v>16</v>
      </c>
      <c r="H205">
        <f t="shared" ca="1" si="151"/>
        <v>0</v>
      </c>
      <c r="I205">
        <f t="shared" ca="1" si="152"/>
        <v>0</v>
      </c>
      <c r="J205" s="105" t="s">
        <v>29</v>
      </c>
      <c r="K205" s="97" t="str">
        <f t="shared" ref="K205:K224" ca="1" si="160">IF($A205=0,"-",CONCATENATE(C205&amp;".",IF(AND($A$5&gt;=2,$A205&gt;=2),D205&amp;".",""),IF(AND($A$5&gt;=3,$A205&gt;=3),E205&amp;".",""),IF(AND($A$5&gt;=4,$A205&gt;=4),F205&amp;".",""),IF($A205="S",G205&amp;".","")))</f>
        <v>6.1.16.</v>
      </c>
      <c r="L205" s="110">
        <f t="shared" ref="L205:L224" ca="1" si="161">IF(NOT(ISERROR($Y205)),IF($Y205&lt;&gt;FALSE,INDEX(Banco,$Y205,4),""),"")</f>
        <v>0</v>
      </c>
      <c r="M205" s="98" t="s">
        <v>80</v>
      </c>
      <c r="N205" s="112" t="s">
        <v>226</v>
      </c>
      <c r="O205" s="110" t="str">
        <f t="shared" ref="O205:O224" ca="1" si="162">IF(NOT(ISERROR($Y205)),IF($Y205&lt;&gt;FALSE,INDEX(Banco,$Y205,5),""),"")</f>
        <v>Copo descartavel 180 ml pacote com 100 unidade</v>
      </c>
      <c r="P205" s="111" t="str">
        <f t="shared" ref="P205:P224" ca="1" si="163">IF(NOT(ISERROR($Y205)),IF($Y205&lt;&gt;FALSE,INDEX(Banco,$Y205,6),""),"")</f>
        <v>pacote</v>
      </c>
      <c r="Q205" s="107">
        <v>10</v>
      </c>
      <c r="R205" s="100">
        <f t="shared" ref="R205:R224" ca="1" si="164">IF(NOT(ISERROR($Y205)),IF($Y205&lt;&gt;FALSE,INDEX(Banco,$Y205,7),0),0)</f>
        <v>3.83</v>
      </c>
      <c r="S205" s="109" t="s">
        <v>62</v>
      </c>
      <c r="T205" s="99">
        <f t="shared" ref="T205:T224" ca="1" si="165">IF($J205=$G$2,ROUND(ROUND($R205,2)*IF($R$9="Preço Unitário (R$)",1,1+$AA205),2),0)</f>
        <v>4.79</v>
      </c>
      <c r="U205" s="102">
        <f t="shared" ref="U205:U224" ca="1" si="166">IF($A205="S",VTOTAL1,IF($A205=0,0,ROUND(SomaAgrup,2)))</f>
        <v>47.9</v>
      </c>
      <c r="W205" s="1" t="str">
        <f ca="1">IF(OR($A205=0,$A205="S",$A205&gt;CFF!$A$9),"",MAX(W$11:OFFSET(W205,-1,0))+1)</f>
        <v/>
      </c>
      <c r="X205" s="3" t="str">
        <f t="shared" ref="X205:X224" si="167">IF(AND($J205=$G$2,$N205&lt;&gt;"",$M205&lt;&gt;""),CONCATENATE($M205,"-",$N205))</f>
        <v>Serv. Terc.-022</v>
      </c>
      <c r="Y205" s="1">
        <f t="shared" ref="Y205:Y224" ca="1" si="168">IF(X205&lt;&gt;FALSE,MATCH(X205,OFFSET(Banco,0,0,,1),0))</f>
        <v>68</v>
      </c>
      <c r="AA205" s="106">
        <f>IF($J205=$G$2,ROUND(IF(ISNUMBER(S205),S205,IF(LEFT(S205,2)="DI",HLOOKUP(S205,DADOS!$T$29:$X$30,2,FALSE),0)),4),"")</f>
        <v>0.25</v>
      </c>
      <c r="AB205" s="1"/>
    </row>
    <row r="206" spans="1:28" x14ac:dyDescent="0.2">
      <c r="A206" t="str">
        <f>CHOOSE(1+LOG(1+2*(J206=$C$2)+4*(J206=$D$2)+8*(J206=$E$2)+16*(J206=$F$2)+32*(J206=$G$2),2),0,1,2,3,4,"S")</f>
        <v>S</v>
      </c>
      <c r="B206">
        <f>IF(OR(A206="S",A206=0),0,IF(ISERROR(I206),H206,SMALL(H206:I206,1)))</f>
        <v>0</v>
      </c>
      <c r="C206">
        <f ca="1">IF($A206=1,OFFSET(C206,-1,0)+1,OFFSET(C206,-1,0))</f>
        <v>6</v>
      </c>
      <c r="D206">
        <f ca="1">IF($A206=1,0,IF($A206=2,OFFSET(D206,-1,0)+1,OFFSET(D206,-1,0)))</f>
        <v>1</v>
      </c>
      <c r="E206">
        <f ca="1">IF(AND($A206&lt;=2,$A206&lt;&gt;0),0,IF($A206=3,OFFSET(E206,-1,0)+1,OFFSET(E206,-1,0)))</f>
        <v>0</v>
      </c>
      <c r="F206">
        <f ca="1">IF(AND($A206&lt;=3,$A206&lt;&gt;0),0,IF($A206=4,OFFSET(F206,-1,0)+1,OFFSET(F206,-1,0)))</f>
        <v>0</v>
      </c>
      <c r="G206">
        <f ca="1">IF(AND($A206&lt;=4,$A206&lt;&gt;0),0,IF($A206="S",OFFSET(G206,-1,0)+1,OFFSET(G206,-1,0)))</f>
        <v>17</v>
      </c>
      <c r="H206">
        <f t="shared" ca="1" si="151"/>
        <v>0</v>
      </c>
      <c r="I206">
        <f t="shared" ca="1" si="152"/>
        <v>0</v>
      </c>
      <c r="J206" s="105" t="s">
        <v>29</v>
      </c>
      <c r="K206" s="97" t="str">
        <f ca="1">IF($A206=0,"-",CONCATENATE(C206&amp;".",IF(AND($A$5&gt;=2,$A206&gt;=2),D206&amp;".",""),IF(AND($A$5&gt;=3,$A206&gt;=3),E206&amp;".",""),IF(AND($A$5&gt;=4,$A206&gt;=4),F206&amp;".",""),IF($A206="S",G206&amp;".","")))</f>
        <v>6.1.17.</v>
      </c>
      <c r="L206" s="110">
        <f ca="1">IF(NOT(ISERROR($Y206)),IF($Y206&lt;&gt;FALSE,INDEX(Banco,$Y206,4),""),"")</f>
        <v>0</v>
      </c>
      <c r="M206" s="98" t="s">
        <v>79</v>
      </c>
      <c r="N206" s="112" t="s">
        <v>222</v>
      </c>
      <c r="O206" s="110" t="str">
        <f ca="1">IF(NOT(ISERROR($Y206)),IF($Y206&lt;&gt;FALSE,INDEX(Banco,$Y206,5),""),"")</f>
        <v>TNT 1,40x1 Ouro Branco</v>
      </c>
      <c r="P206" s="111" t="str">
        <f ca="1">IF(NOT(ISERROR($Y206)),IF($Y206&lt;&gt;FALSE,INDEX(Banco,$Y206,6),""),"")</f>
        <v>metro</v>
      </c>
      <c r="Q206" s="107">
        <v>100</v>
      </c>
      <c r="R206" s="100">
        <f ca="1">IF(NOT(ISERROR($Y206)),IF($Y206&lt;&gt;FALSE,INDEX(Banco,$Y206,7),0),0)</f>
        <v>2</v>
      </c>
      <c r="S206" s="109" t="s">
        <v>62</v>
      </c>
      <c r="T206" s="99">
        <f ca="1">IF($J206=$G$2,ROUND(ROUND($R206,2)*IF($R$9="Preço Unitário (R$)",1,1+$AA206),2),0)</f>
        <v>2.5</v>
      </c>
      <c r="U206" s="102">
        <f ca="1">IF($A206="S",VTOTAL1,IF($A206=0,0,ROUND(SomaAgrup,2)))</f>
        <v>250</v>
      </c>
      <c r="W206" s="1" t="str">
        <f ca="1">IF(OR($A206=0,$A206="S",$A206&gt;CFF!$A$9),"",MAX(W$11:OFFSET(W206,-1,0))+1)</f>
        <v/>
      </c>
      <c r="X206" s="3" t="str">
        <f>IF(AND($J206=$G$2,$N206&lt;&gt;"",$M206&lt;&gt;""),CONCATENATE($M206,"-",$N206))</f>
        <v>Rec. Materiais-006</v>
      </c>
      <c r="Y206" s="1">
        <f ca="1">IF(X206&lt;&gt;FALSE,MATCH(X206,OFFSET(Banco,0,0,,1),0))</f>
        <v>13</v>
      </c>
      <c r="AA206" s="106">
        <f>IF($J206=$G$2,ROUND(IF(ISNUMBER(S206),S206,IF(LEFT(S206,2)="DI",HLOOKUP(S206,DADOS!$T$29:$X$30,2,FALSE),0)),4),"")</f>
        <v>0.25</v>
      </c>
      <c r="AB206" s="1"/>
    </row>
    <row r="207" spans="1:28" x14ac:dyDescent="0.2">
      <c r="A207" t="str">
        <f t="shared" si="153"/>
        <v>S</v>
      </c>
      <c r="B207">
        <f t="shared" si="154"/>
        <v>0</v>
      </c>
      <c r="C207">
        <f t="shared" ca="1" si="155"/>
        <v>6</v>
      </c>
      <c r="D207">
        <f t="shared" ca="1" si="156"/>
        <v>1</v>
      </c>
      <c r="E207">
        <f t="shared" ca="1" si="157"/>
        <v>0</v>
      </c>
      <c r="F207">
        <f t="shared" ca="1" si="158"/>
        <v>0</v>
      </c>
      <c r="G207">
        <f t="shared" ca="1" si="159"/>
        <v>18</v>
      </c>
      <c r="H207">
        <f t="shared" ca="1" si="151"/>
        <v>0</v>
      </c>
      <c r="I207">
        <f t="shared" ca="1" si="152"/>
        <v>0</v>
      </c>
      <c r="J207" s="105" t="s">
        <v>29</v>
      </c>
      <c r="K207" s="97" t="str">
        <f t="shared" ca="1" si="160"/>
        <v>6.1.18.</v>
      </c>
      <c r="L207" s="110">
        <f t="shared" ca="1" si="161"/>
        <v>0</v>
      </c>
      <c r="M207" s="98" t="s">
        <v>79</v>
      </c>
      <c r="N207" s="112" t="s">
        <v>237</v>
      </c>
      <c r="O207" s="110" t="str">
        <f t="shared" ca="1" si="162"/>
        <v>Lapis de cor 12 cores 1201122N Faber Castell</v>
      </c>
      <c r="P207" s="111" t="str">
        <f t="shared" ca="1" si="163"/>
        <v>caixa</v>
      </c>
      <c r="Q207" s="107">
        <v>5</v>
      </c>
      <c r="R207" s="100">
        <f t="shared" ca="1" si="164"/>
        <v>5.9</v>
      </c>
      <c r="S207" s="109" t="s">
        <v>62</v>
      </c>
      <c r="T207" s="99">
        <f t="shared" ca="1" si="165"/>
        <v>7.38</v>
      </c>
      <c r="U207" s="102">
        <f t="shared" ca="1" si="166"/>
        <v>36.9</v>
      </c>
      <c r="W207" s="1" t="str">
        <f ca="1">IF(OR($A207=0,$A207="S",$A207&gt;CFF!$A$9),"",MAX(W$11:OFFSET(W207,-1,0))+1)</f>
        <v/>
      </c>
      <c r="X207" s="3" t="str">
        <f t="shared" si="167"/>
        <v>Rec. Materiais-011</v>
      </c>
      <c r="Y207" s="1">
        <f t="shared" ca="1" si="168"/>
        <v>18</v>
      </c>
      <c r="AA207" s="106">
        <f>IF($J207=$G$2,ROUND(IF(ISNUMBER(S207),S207,IF(LEFT(S207,2)="DI",HLOOKUP(S207,DADOS!$T$29:$X$30,2,FALSE),0)),4),"")</f>
        <v>0.25</v>
      </c>
      <c r="AB207" s="1"/>
    </row>
    <row r="208" spans="1:28" x14ac:dyDescent="0.2">
      <c r="A208" t="str">
        <f t="shared" si="153"/>
        <v>S</v>
      </c>
      <c r="B208">
        <f t="shared" si="154"/>
        <v>0</v>
      </c>
      <c r="C208">
        <f t="shared" ca="1" si="155"/>
        <v>6</v>
      </c>
      <c r="D208">
        <f t="shared" ca="1" si="156"/>
        <v>1</v>
      </c>
      <c r="E208">
        <f t="shared" ca="1" si="157"/>
        <v>0</v>
      </c>
      <c r="F208">
        <f t="shared" ca="1" si="158"/>
        <v>0</v>
      </c>
      <c r="G208">
        <f t="shared" ca="1" si="159"/>
        <v>19</v>
      </c>
      <c r="H208">
        <f t="shared" ca="1" si="151"/>
        <v>0</v>
      </c>
      <c r="I208">
        <f t="shared" ca="1" si="152"/>
        <v>0</v>
      </c>
      <c r="J208" s="105" t="s">
        <v>29</v>
      </c>
      <c r="K208" s="97" t="str">
        <f t="shared" ca="1" si="160"/>
        <v>6.1.19.</v>
      </c>
      <c r="L208" s="110">
        <f t="shared" ca="1" si="161"/>
        <v>0</v>
      </c>
      <c r="M208" s="98" t="s">
        <v>79</v>
      </c>
      <c r="N208" s="112" t="s">
        <v>234</v>
      </c>
      <c r="O208" s="110" t="str">
        <f t="shared" ca="1" si="162"/>
        <v>Giz de cera cores gizão 09111 Acrilex</v>
      </c>
      <c r="P208" s="111" t="str">
        <f t="shared" ca="1" si="163"/>
        <v>caixa</v>
      </c>
      <c r="Q208" s="107">
        <v>5</v>
      </c>
      <c r="R208" s="100">
        <f t="shared" ca="1" si="164"/>
        <v>2.4</v>
      </c>
      <c r="S208" s="109" t="s">
        <v>62</v>
      </c>
      <c r="T208" s="99">
        <f t="shared" ca="1" si="165"/>
        <v>3</v>
      </c>
      <c r="U208" s="102">
        <f t="shared" ca="1" si="166"/>
        <v>15</v>
      </c>
      <c r="W208" s="1" t="str">
        <f ca="1">IF(OR($A208=0,$A208="S",$A208&gt;CFF!$A$9),"",MAX(W$11:OFFSET(W208,-1,0))+1)</f>
        <v/>
      </c>
      <c r="X208" s="3" t="str">
        <f t="shared" si="167"/>
        <v>Rec. Materiais-012</v>
      </c>
      <c r="Y208" s="1">
        <f t="shared" ca="1" si="168"/>
        <v>19</v>
      </c>
      <c r="AA208" s="106">
        <f>IF($J208=$G$2,ROUND(IF(ISNUMBER(S208),S208,IF(LEFT(S208,2)="DI",HLOOKUP(S208,DADOS!$T$29:$X$30,2,FALSE),0)),4),"")</f>
        <v>0.25</v>
      </c>
      <c r="AB208" s="1"/>
    </row>
    <row r="209" spans="1:28" x14ac:dyDescent="0.2">
      <c r="A209" t="str">
        <f t="shared" si="153"/>
        <v>S</v>
      </c>
      <c r="B209">
        <f t="shared" si="154"/>
        <v>0</v>
      </c>
      <c r="C209">
        <f t="shared" ca="1" si="155"/>
        <v>6</v>
      </c>
      <c r="D209">
        <f t="shared" ca="1" si="156"/>
        <v>1</v>
      </c>
      <c r="E209">
        <f t="shared" ca="1" si="157"/>
        <v>0</v>
      </c>
      <c r="F209">
        <f t="shared" ca="1" si="158"/>
        <v>0</v>
      </c>
      <c r="G209">
        <f t="shared" ca="1" si="159"/>
        <v>20</v>
      </c>
      <c r="H209">
        <f t="shared" ca="1" si="151"/>
        <v>0</v>
      </c>
      <c r="I209">
        <f t="shared" ca="1" si="152"/>
        <v>0</v>
      </c>
      <c r="J209" s="105" t="s">
        <v>29</v>
      </c>
      <c r="K209" s="97" t="str">
        <f t="shared" ca="1" si="160"/>
        <v>6.1.20.</v>
      </c>
      <c r="L209" s="110">
        <f t="shared" ca="1" si="161"/>
        <v>0</v>
      </c>
      <c r="M209" s="98" t="s">
        <v>79</v>
      </c>
      <c r="N209" s="112" t="s">
        <v>251</v>
      </c>
      <c r="O209" s="110" t="str">
        <f t="shared" ca="1" si="162"/>
        <v>Cartolina 150 g 50x66 canario card set Multiverde</v>
      </c>
      <c r="P209" s="111" t="str">
        <f t="shared" ca="1" si="163"/>
        <v>UNIDADE</v>
      </c>
      <c r="Q209" s="107">
        <v>20</v>
      </c>
      <c r="R209" s="100">
        <f t="shared" ca="1" si="164"/>
        <v>0.9</v>
      </c>
      <c r="S209" s="109" t="s">
        <v>62</v>
      </c>
      <c r="T209" s="99">
        <f t="shared" ca="1" si="165"/>
        <v>1.1299999999999999</v>
      </c>
      <c r="U209" s="102">
        <f t="shared" ca="1" si="166"/>
        <v>22.6</v>
      </c>
      <c r="W209" s="1" t="str">
        <f ca="1">IF(OR($A209=0,$A209="S",$A209&gt;CFF!$A$9),"",MAX(W$11:OFFSET(W209,-1,0))+1)</f>
        <v/>
      </c>
      <c r="X209" s="3" t="str">
        <f t="shared" si="167"/>
        <v>Rec. Materiais-013</v>
      </c>
      <c r="Y209" s="1">
        <f t="shared" ca="1" si="168"/>
        <v>20</v>
      </c>
      <c r="AA209" s="106">
        <f>IF($J209=$G$2,ROUND(IF(ISNUMBER(S209),S209,IF(LEFT(S209,2)="DI",HLOOKUP(S209,DADOS!$T$29:$X$30,2,FALSE),0)),4),"")</f>
        <v>0.25</v>
      </c>
      <c r="AB209" s="1"/>
    </row>
    <row r="210" spans="1:28" x14ac:dyDescent="0.2">
      <c r="A210" t="str">
        <f t="shared" si="153"/>
        <v>S</v>
      </c>
      <c r="B210">
        <f t="shared" si="154"/>
        <v>0</v>
      </c>
      <c r="C210">
        <f t="shared" ca="1" si="155"/>
        <v>6</v>
      </c>
      <c r="D210">
        <f t="shared" ca="1" si="156"/>
        <v>1</v>
      </c>
      <c r="E210">
        <f t="shared" ca="1" si="157"/>
        <v>0</v>
      </c>
      <c r="F210">
        <f t="shared" ca="1" si="158"/>
        <v>0</v>
      </c>
      <c r="G210">
        <f t="shared" ca="1" si="159"/>
        <v>21</v>
      </c>
      <c r="H210">
        <f t="shared" ca="1" si="151"/>
        <v>0</v>
      </c>
      <c r="I210">
        <f t="shared" ca="1" si="152"/>
        <v>0</v>
      </c>
      <c r="J210" s="105" t="s">
        <v>29</v>
      </c>
      <c r="K210" s="97" t="str">
        <f t="shared" ca="1" si="160"/>
        <v>6.1.21.</v>
      </c>
      <c r="L210" s="110">
        <f t="shared" ca="1" si="161"/>
        <v>0</v>
      </c>
      <c r="M210" s="98" t="s">
        <v>79</v>
      </c>
      <c r="N210" s="112" t="s">
        <v>252</v>
      </c>
      <c r="O210" s="110" t="str">
        <f t="shared" ca="1" si="162"/>
        <v xml:space="preserve">Massa p/modelar 180g c/12 cores soft 07312 Acrilex </v>
      </c>
      <c r="P210" s="111" t="str">
        <f t="shared" ca="1" si="163"/>
        <v>UNIDADE</v>
      </c>
      <c r="Q210" s="107">
        <v>5</v>
      </c>
      <c r="R210" s="100">
        <f t="shared" ca="1" si="164"/>
        <v>3</v>
      </c>
      <c r="S210" s="109" t="s">
        <v>62</v>
      </c>
      <c r="T210" s="99">
        <f t="shared" ca="1" si="165"/>
        <v>3.75</v>
      </c>
      <c r="U210" s="102">
        <f t="shared" ca="1" si="166"/>
        <v>18.75</v>
      </c>
      <c r="W210" s="1" t="str">
        <f ca="1">IF(OR($A210=0,$A210="S",$A210&gt;CFF!$A$9),"",MAX(W$11:OFFSET(W210,-1,0))+1)</f>
        <v/>
      </c>
      <c r="X210" s="3" t="str">
        <f t="shared" si="167"/>
        <v>Rec. Materiais-023</v>
      </c>
      <c r="Y210" s="1">
        <f t="shared" ca="1" si="168"/>
        <v>30</v>
      </c>
      <c r="AA210" s="106">
        <f>IF($J210=$G$2,ROUND(IF(ISNUMBER(S210),S210,IF(LEFT(S210,2)="DI",HLOOKUP(S210,DADOS!$T$29:$X$30,2,FALSE),0)),4),"")</f>
        <v>0.25</v>
      </c>
      <c r="AB210" s="1"/>
    </row>
    <row r="211" spans="1:28" x14ac:dyDescent="0.2">
      <c r="A211" t="str">
        <f t="shared" si="153"/>
        <v>S</v>
      </c>
      <c r="B211">
        <f t="shared" si="154"/>
        <v>0</v>
      </c>
      <c r="C211">
        <f t="shared" ca="1" si="155"/>
        <v>6</v>
      </c>
      <c r="D211">
        <f t="shared" ca="1" si="156"/>
        <v>1</v>
      </c>
      <c r="E211">
        <f t="shared" ca="1" si="157"/>
        <v>0</v>
      </c>
      <c r="F211">
        <f t="shared" ca="1" si="158"/>
        <v>0</v>
      </c>
      <c r="G211">
        <f t="shared" ca="1" si="159"/>
        <v>22</v>
      </c>
      <c r="H211">
        <f t="shared" ca="1" si="151"/>
        <v>0</v>
      </c>
      <c r="I211">
        <f t="shared" ca="1" si="152"/>
        <v>0</v>
      </c>
      <c r="J211" s="105" t="s">
        <v>29</v>
      </c>
      <c r="K211" s="97" t="str">
        <f t="shared" ca="1" si="160"/>
        <v>6.1.22.</v>
      </c>
      <c r="L211" s="110">
        <f t="shared" ca="1" si="161"/>
        <v>0</v>
      </c>
      <c r="M211" s="98" t="s">
        <v>79</v>
      </c>
      <c r="N211" s="112" t="s">
        <v>247</v>
      </c>
      <c r="O211" s="110" t="str">
        <f t="shared" ca="1" si="162"/>
        <v xml:space="preserve">Papel laminado 45x59 sortidos 567541 Cromus </v>
      </c>
      <c r="P211" s="111" t="str">
        <f t="shared" ca="1" si="163"/>
        <v>UNIDADE</v>
      </c>
      <c r="Q211" s="107">
        <v>10</v>
      </c>
      <c r="R211" s="100">
        <f t="shared" ca="1" si="164"/>
        <v>1.1499999999999999</v>
      </c>
      <c r="S211" s="109" t="s">
        <v>62</v>
      </c>
      <c r="T211" s="99">
        <f t="shared" ca="1" si="165"/>
        <v>1.44</v>
      </c>
      <c r="U211" s="102">
        <f t="shared" ca="1" si="166"/>
        <v>14.4</v>
      </c>
      <c r="W211" s="1" t="str">
        <f ca="1">IF(OR($A211=0,$A211="S",$A211&gt;CFF!$A$9),"",MAX(W$11:OFFSET(W211,-1,0))+1)</f>
        <v/>
      </c>
      <c r="X211" s="3" t="str">
        <f t="shared" si="167"/>
        <v>Rec. Materiais-028</v>
      </c>
      <c r="Y211" s="1">
        <f t="shared" ca="1" si="168"/>
        <v>35</v>
      </c>
      <c r="AA211" s="106">
        <f>IF($J211=$G$2,ROUND(IF(ISNUMBER(S211),S211,IF(LEFT(S211,2)="DI",HLOOKUP(S211,DADOS!$T$29:$X$30,2,FALSE),0)),4),"")</f>
        <v>0.25</v>
      </c>
      <c r="AB211" s="1"/>
    </row>
    <row r="212" spans="1:28" x14ac:dyDescent="0.2">
      <c r="A212" t="str">
        <f>CHOOSE(1+LOG(1+2*(J212=$C$2)+4*(J212=$D$2)+8*(J212=$E$2)+16*(J212=$F$2)+32*(J212=$G$2),2),0,1,2,3,4,"S")</f>
        <v>S</v>
      </c>
      <c r="B212">
        <f>IF(OR(A212="S",A212=0),0,IF(ISERROR(I212),H212,SMALL(H212:I212,1)))</f>
        <v>0</v>
      </c>
      <c r="C212">
        <f ca="1">IF($A212=1,OFFSET(C212,-1,0)+1,OFFSET(C212,-1,0))</f>
        <v>6</v>
      </c>
      <c r="D212">
        <f ca="1">IF($A212=1,0,IF($A212=2,OFFSET(D212,-1,0)+1,OFFSET(D212,-1,0)))</f>
        <v>1</v>
      </c>
      <c r="E212">
        <f ca="1">IF(AND($A212&lt;=2,$A212&lt;&gt;0),0,IF($A212=3,OFFSET(E212,-1,0)+1,OFFSET(E212,-1,0)))</f>
        <v>0</v>
      </c>
      <c r="F212">
        <f ca="1">IF(AND($A212&lt;=3,$A212&lt;&gt;0),0,IF($A212=4,OFFSET(F212,-1,0)+1,OFFSET(F212,-1,0)))</f>
        <v>0</v>
      </c>
      <c r="G212">
        <f ca="1">IF(AND($A212&lt;=4,$A212&lt;&gt;0),0,IF($A212="S",OFFSET(G212,-1,0)+1,OFFSET(G212,-1,0)))</f>
        <v>23</v>
      </c>
      <c r="H212">
        <f t="shared" ca="1" si="151"/>
        <v>0</v>
      </c>
      <c r="I212">
        <f t="shared" ca="1" si="152"/>
        <v>0</v>
      </c>
      <c r="J212" s="105" t="s">
        <v>29</v>
      </c>
      <c r="K212" s="97" t="str">
        <f ca="1">IF($A212=0,"-",CONCATENATE(C212&amp;".",IF(AND($A$5&gt;=2,$A212&gt;=2),D212&amp;".",""),IF(AND($A$5&gt;=3,$A212&gt;=3),E212&amp;".",""),IF(AND($A$5&gt;=4,$A212&gt;=4),F212&amp;".",""),IF($A212="S",G212&amp;".","")))</f>
        <v>6.1.23.</v>
      </c>
      <c r="L212" s="110">
        <f ca="1">IF(NOT(ISERROR($Y212)),IF($Y212&lt;&gt;FALSE,INDEX(Banco,$Y212,4),""),"")</f>
        <v>0</v>
      </c>
      <c r="M212" s="98" t="s">
        <v>79</v>
      </c>
      <c r="N212" s="112" t="s">
        <v>256</v>
      </c>
      <c r="O212" s="110" t="str">
        <f ca="1">IF(NOT(ISERROR($Y212)),IF($Y212&lt;&gt;FALSE,INDEX(Banco,$Y212,5),""),"")</f>
        <v>Pistola Cola Quente Jocar 10 W</v>
      </c>
      <c r="P212" s="111" t="str">
        <f ca="1">IF(NOT(ISERROR($Y212)),IF($Y212&lt;&gt;FALSE,INDEX(Banco,$Y212,6),""),"")</f>
        <v>UNIDADE</v>
      </c>
      <c r="Q212" s="107">
        <v>4</v>
      </c>
      <c r="R212" s="100">
        <f ca="1">IF(NOT(ISERROR($Y212)),IF($Y212&lt;&gt;FALSE,INDEX(Banco,$Y212,7),0),0)</f>
        <v>15.99</v>
      </c>
      <c r="S212" s="109" t="s">
        <v>62</v>
      </c>
      <c r="T212" s="99">
        <f ca="1">IF($J212=$G$2,ROUND(ROUND($R212,2)*IF($R$9="Preço Unitário (R$)",1,1+$AA212),2),0)</f>
        <v>19.989999999999998</v>
      </c>
      <c r="U212" s="102">
        <f ca="1">IF($A212="S",VTOTAL1,IF($A212=0,0,ROUND(SomaAgrup,2)))</f>
        <v>79.959999999999994</v>
      </c>
      <c r="W212" s="1" t="str">
        <f ca="1">IF(OR($A212=0,$A212="S",$A212&gt;CFF!$A$9),"",MAX(W$11:OFFSET(W212,-1,0))+1)</f>
        <v/>
      </c>
      <c r="X212" s="3" t="str">
        <f>IF(AND($J212=$G$2,$N212&lt;&gt;"",$M212&lt;&gt;""),CONCATENATE($M212,"-",$N212))</f>
        <v>Rec. Materiais-007</v>
      </c>
      <c r="Y212" s="1">
        <f ca="1">IF(X212&lt;&gt;FALSE,MATCH(X212,OFFSET(Banco,0,0,,1),0))</f>
        <v>14</v>
      </c>
      <c r="AA212" s="106">
        <f>IF($J212=$G$2,ROUND(IF(ISNUMBER(S212),S212,IF(LEFT(S212,2)="DI",HLOOKUP(S212,DADOS!$T$29:$X$30,2,FALSE),0)),4),"")</f>
        <v>0.25</v>
      </c>
      <c r="AB212" s="1"/>
    </row>
    <row r="213" spans="1:28" x14ac:dyDescent="0.2">
      <c r="A213" t="str">
        <f>CHOOSE(1+LOG(1+2*(J213=$C$2)+4*(J213=$D$2)+8*(J213=$E$2)+16*(J213=$F$2)+32*(J213=$G$2),2),0,1,2,3,4,"S")</f>
        <v>S</v>
      </c>
      <c r="B213">
        <f>IF(OR(A213="S",A213=0),0,IF(ISERROR(I213),H213,SMALL(H213:I213,1)))</f>
        <v>0</v>
      </c>
      <c r="C213">
        <f ca="1">IF($A213=1,OFFSET(C213,-1,0)+1,OFFSET(C213,-1,0))</f>
        <v>6</v>
      </c>
      <c r="D213">
        <f ca="1">IF($A213=1,0,IF($A213=2,OFFSET(D213,-1,0)+1,OFFSET(D213,-1,0)))</f>
        <v>1</v>
      </c>
      <c r="E213">
        <f ca="1">IF(AND($A213&lt;=2,$A213&lt;&gt;0),0,IF($A213=3,OFFSET(E213,-1,0)+1,OFFSET(E213,-1,0)))</f>
        <v>0</v>
      </c>
      <c r="F213">
        <f ca="1">IF(AND($A213&lt;=3,$A213&lt;&gt;0),0,IF($A213=4,OFFSET(F213,-1,0)+1,OFFSET(F213,-1,0)))</f>
        <v>0</v>
      </c>
      <c r="G213">
        <f ca="1">IF(AND($A213&lt;=4,$A213&lt;&gt;0),0,IF($A213="S",OFFSET(G213,-1,0)+1,OFFSET(G213,-1,0)))</f>
        <v>24</v>
      </c>
      <c r="H213">
        <f t="shared" ca="1" si="151"/>
        <v>0</v>
      </c>
      <c r="I213">
        <f t="shared" ca="1" si="152"/>
        <v>0</v>
      </c>
      <c r="J213" s="105" t="s">
        <v>29</v>
      </c>
      <c r="K213" s="97" t="str">
        <f ca="1">IF($A213=0,"-",CONCATENATE(C213&amp;".",IF(AND($A$5&gt;=2,$A213&gt;=2),D213&amp;".",""),IF(AND($A$5&gt;=3,$A213&gt;=3),E213&amp;".",""),IF(AND($A$5&gt;=4,$A213&gt;=4),F213&amp;".",""),IF($A213="S",G213&amp;".","")))</f>
        <v>6.1.24.</v>
      </c>
      <c r="L213" s="110">
        <f ca="1">IF(NOT(ISERROR($Y213)),IF($Y213&lt;&gt;FALSE,INDEX(Banco,$Y213,4),""),"")</f>
        <v>0</v>
      </c>
      <c r="M213" s="98" t="s">
        <v>79</v>
      </c>
      <c r="N213" s="112" t="s">
        <v>235</v>
      </c>
      <c r="O213" s="110" t="str">
        <f ca="1">IF(NOT(ISERROR($Y213)),IF($Y213&lt;&gt;FALSE,INDEX(Banco,$Y213,5),""),"")</f>
        <v>Refil de cola quente - fian transparente Rhamos e Brito</v>
      </c>
      <c r="P213" s="111" t="str">
        <f ca="1">IF(NOT(ISERROR($Y213)),IF($Y213&lt;&gt;FALSE,INDEX(Banco,$Y213,6),""),"")</f>
        <v>UNIDADE</v>
      </c>
      <c r="Q213" s="107">
        <v>100</v>
      </c>
      <c r="R213" s="100">
        <f ca="1">IF(NOT(ISERROR($Y213)),IF($Y213&lt;&gt;FALSE,INDEX(Banco,$Y213,7),0),0)</f>
        <v>0.5</v>
      </c>
      <c r="S213" s="109" t="s">
        <v>62</v>
      </c>
      <c r="T213" s="99">
        <f ca="1">IF($J213=$G$2,ROUND(ROUND($R213,2)*IF($R$9="Preço Unitário (R$)",1,1+$AA213),2),0)</f>
        <v>0.63</v>
      </c>
      <c r="U213" s="102">
        <f ca="1">IF($A213="S",VTOTAL1,IF($A213=0,0,ROUND(SomaAgrup,2)))</f>
        <v>63</v>
      </c>
      <c r="W213" s="1" t="str">
        <f ca="1">IF(OR($A213=0,$A213="S",$A213&gt;CFF!$A$9),"",MAX(W$11:OFFSET(W213,-1,0))+1)</f>
        <v/>
      </c>
      <c r="X213" s="3" t="str">
        <f>IF(AND($J213=$G$2,$N213&lt;&gt;"",$M213&lt;&gt;""),CONCATENATE($M213,"-",$N213))</f>
        <v>Rec. Materiais-008</v>
      </c>
      <c r="Y213" s="1">
        <f ca="1">IF(X213&lt;&gt;FALSE,MATCH(X213,OFFSET(Banco,0,0,,1),0))</f>
        <v>15</v>
      </c>
      <c r="AA213" s="106">
        <f>IF($J213=$G$2,ROUND(IF(ISNUMBER(S213),S213,IF(LEFT(S213,2)="DI",HLOOKUP(S213,DADOS!$T$29:$X$30,2,FALSE),0)),4),"")</f>
        <v>0.25</v>
      </c>
      <c r="AB213" s="1"/>
    </row>
    <row r="214" spans="1:28" x14ac:dyDescent="0.2">
      <c r="A214" t="str">
        <f t="shared" si="153"/>
        <v>S</v>
      </c>
      <c r="B214">
        <f t="shared" si="154"/>
        <v>0</v>
      </c>
      <c r="C214">
        <f t="shared" ca="1" si="155"/>
        <v>6</v>
      </c>
      <c r="D214">
        <f t="shared" ca="1" si="156"/>
        <v>1</v>
      </c>
      <c r="E214">
        <f t="shared" ca="1" si="157"/>
        <v>0</v>
      </c>
      <c r="F214">
        <f t="shared" ca="1" si="158"/>
        <v>0</v>
      </c>
      <c r="G214">
        <f t="shared" ca="1" si="159"/>
        <v>25</v>
      </c>
      <c r="H214">
        <f t="shared" ca="1" si="151"/>
        <v>0</v>
      </c>
      <c r="I214">
        <f t="shared" ca="1" si="152"/>
        <v>0</v>
      </c>
      <c r="J214" s="105" t="s">
        <v>29</v>
      </c>
      <c r="K214" s="97" t="str">
        <f t="shared" ca="1" si="160"/>
        <v>6.1.25.</v>
      </c>
      <c r="L214" s="110">
        <f t="shared" ca="1" si="161"/>
        <v>0</v>
      </c>
      <c r="M214" s="98" t="s">
        <v>79</v>
      </c>
      <c r="N214" s="112" t="s">
        <v>253</v>
      </c>
      <c r="O214" s="110" t="str">
        <f t="shared" ca="1" si="162"/>
        <v>Papel micro ondulado Total Kraft</v>
      </c>
      <c r="P214" s="111" t="str">
        <f t="shared" ca="1" si="163"/>
        <v>UNIDADE</v>
      </c>
      <c r="Q214" s="107">
        <v>10</v>
      </c>
      <c r="R214" s="100">
        <f t="shared" ca="1" si="164"/>
        <v>2.6</v>
      </c>
      <c r="S214" s="109" t="s">
        <v>62</v>
      </c>
      <c r="T214" s="99">
        <f t="shared" ca="1" si="165"/>
        <v>3.25</v>
      </c>
      <c r="U214" s="102">
        <f t="shared" ca="1" si="166"/>
        <v>32.5</v>
      </c>
      <c r="W214" s="1" t="str">
        <f ca="1">IF(OR($A214=0,$A214="S",$A214&gt;CFF!$A$9),"",MAX(W$11:OFFSET(W214,-1,0))+1)</f>
        <v/>
      </c>
      <c r="X214" s="3" t="str">
        <f t="shared" si="167"/>
        <v>Rec. Materiais-024</v>
      </c>
      <c r="Y214" s="1">
        <f t="shared" ca="1" si="168"/>
        <v>31</v>
      </c>
      <c r="AA214" s="106">
        <f>IF($J214=$G$2,ROUND(IF(ISNUMBER(S214),S214,IF(LEFT(S214,2)="DI",HLOOKUP(S214,DADOS!$T$29:$X$30,2,FALSE),0)),4),"")</f>
        <v>0.25</v>
      </c>
      <c r="AB214" s="1"/>
    </row>
    <row r="215" spans="1:28" x14ac:dyDescent="0.2">
      <c r="A215" t="str">
        <f>CHOOSE(1+LOG(1+2*(J215=$C$2)+4*(J215=$D$2)+8*(J215=$E$2)+16*(J215=$F$2)+32*(J215=$G$2),2),0,1,2,3,4,"S")</f>
        <v>S</v>
      </c>
      <c r="B215">
        <f>IF(OR(A215="S",A215=0),0,IF(ISERROR(I215),H215,SMALL(H215:I215,1)))</f>
        <v>0</v>
      </c>
      <c r="C215">
        <f ca="1">IF($A215=1,OFFSET(C215,-1,0)+1,OFFSET(C215,-1,0))</f>
        <v>6</v>
      </c>
      <c r="D215">
        <f ca="1">IF($A215=1,0,IF($A215=2,OFFSET(D215,-1,0)+1,OFFSET(D215,-1,0)))</f>
        <v>1</v>
      </c>
      <c r="E215">
        <f ca="1">IF(AND($A215&lt;=2,$A215&lt;&gt;0),0,IF($A215=3,OFFSET(E215,-1,0)+1,OFFSET(E215,-1,0)))</f>
        <v>0</v>
      </c>
      <c r="F215">
        <f ca="1">IF(AND($A215&lt;=3,$A215&lt;&gt;0),0,IF($A215=4,OFFSET(F215,-1,0)+1,OFFSET(F215,-1,0)))</f>
        <v>0</v>
      </c>
      <c r="G215">
        <f ca="1">IF(AND($A215&lt;=4,$A215&lt;&gt;0),0,IF($A215="S",OFFSET(G215,-1,0)+1,OFFSET(G215,-1,0)))</f>
        <v>26</v>
      </c>
      <c r="H215">
        <f t="shared" ca="1" si="151"/>
        <v>0</v>
      </c>
      <c r="I215">
        <f t="shared" ca="1" si="152"/>
        <v>0</v>
      </c>
      <c r="J215" s="105" t="s">
        <v>29</v>
      </c>
      <c r="K215" s="97" t="str">
        <f ca="1">IF($A215=0,"-",CONCATENATE(C215&amp;".",IF(AND($A$5&gt;=2,$A215&gt;=2),D215&amp;".",""),IF(AND($A$5&gt;=3,$A215&gt;=3),E215&amp;".",""),IF(AND($A$5&gt;=4,$A215&gt;=4),F215&amp;".",""),IF($A215="S",G215&amp;".","")))</f>
        <v>6.1.26.</v>
      </c>
      <c r="L215" s="110">
        <f ca="1">IF(NOT(ISERROR($Y215)),IF($Y215&lt;&gt;FALSE,INDEX(Banco,$Y215,4),""),"")</f>
        <v>0</v>
      </c>
      <c r="M215" s="98" t="s">
        <v>79</v>
      </c>
      <c r="N215" s="112" t="s">
        <v>233</v>
      </c>
      <c r="O215" s="110" t="str">
        <f ca="1">IF(NOT(ISERROR($Y215)),IF($Y215&lt;&gt;FALSE,INDEX(Banco,$Y215,5),""),"")</f>
        <v>Papel cartão fosco 50x70 240gr branco spiral</v>
      </c>
      <c r="P215" s="111" t="str">
        <f ca="1">IF(NOT(ISERROR($Y215)),IF($Y215&lt;&gt;FALSE,INDEX(Banco,$Y215,6),""),"")</f>
        <v>UNIDADE</v>
      </c>
      <c r="Q215" s="107">
        <v>30</v>
      </c>
      <c r="R215" s="100">
        <f ca="1">IF(NOT(ISERROR($Y215)),IF($Y215&lt;&gt;FALSE,INDEX(Banco,$Y215,7),0),0)</f>
        <v>1.25</v>
      </c>
      <c r="S215" s="109" t="s">
        <v>62</v>
      </c>
      <c r="T215" s="99">
        <f ca="1">IF($J215=$G$2,ROUND(ROUND($R215,2)*IF($R$9="Preço Unitário (R$)",1,1+$AA215),2),0)</f>
        <v>1.56</v>
      </c>
      <c r="U215" s="102">
        <f ca="1">IF($A215="S",VTOTAL1,IF($A215=0,0,ROUND(SomaAgrup,2)))</f>
        <v>46.8</v>
      </c>
      <c r="W215" s="1" t="str">
        <f ca="1">IF(OR($A215=0,$A215="S",$A215&gt;CFF!$A$9),"",MAX(W$11:OFFSET(W215,-1,0))+1)</f>
        <v/>
      </c>
      <c r="X215" s="3" t="str">
        <f>IF(AND($J215=$G$2,$N215&lt;&gt;"",$M215&lt;&gt;""),CONCATENATE($M215,"-",$N215))</f>
        <v>Rec. Materiais-009</v>
      </c>
      <c r="Y215" s="1">
        <f ca="1">IF(X215&lt;&gt;FALSE,MATCH(X215,OFFSET(Banco,0,0,,1),0))</f>
        <v>16</v>
      </c>
      <c r="AA215" s="106">
        <f>IF($J215=$G$2,ROUND(IF(ISNUMBER(S215),S215,IF(LEFT(S215,2)="DI",HLOOKUP(S215,DADOS!$T$29:$X$30,2,FALSE),0)),4),"")</f>
        <v>0.25</v>
      </c>
      <c r="AB215" s="1"/>
    </row>
    <row r="216" spans="1:28" x14ac:dyDescent="0.2">
      <c r="A216" t="str">
        <f t="shared" si="153"/>
        <v>S</v>
      </c>
      <c r="B216">
        <f t="shared" si="154"/>
        <v>0</v>
      </c>
      <c r="C216">
        <f t="shared" ca="1" si="155"/>
        <v>6</v>
      </c>
      <c r="D216">
        <f t="shared" ca="1" si="156"/>
        <v>1</v>
      </c>
      <c r="E216">
        <f t="shared" ca="1" si="157"/>
        <v>0</v>
      </c>
      <c r="F216">
        <f t="shared" ca="1" si="158"/>
        <v>0</v>
      </c>
      <c r="G216">
        <f t="shared" ca="1" si="159"/>
        <v>27</v>
      </c>
      <c r="H216">
        <f t="shared" ca="1" si="151"/>
        <v>0</v>
      </c>
      <c r="I216">
        <f t="shared" ca="1" si="152"/>
        <v>0</v>
      </c>
      <c r="J216" s="105" t="s">
        <v>29</v>
      </c>
      <c r="K216" s="97" t="str">
        <f t="shared" ca="1" si="160"/>
        <v>6.1.27.</v>
      </c>
      <c r="L216" s="110">
        <f t="shared" ca="1" si="161"/>
        <v>0</v>
      </c>
      <c r="M216" s="98" t="s">
        <v>79</v>
      </c>
      <c r="N216" s="112" t="s">
        <v>225</v>
      </c>
      <c r="O216" s="110" t="str">
        <f t="shared" ca="1" si="162"/>
        <v xml:space="preserve">Placa de EPS (ísopor) 30mm Isorecort </v>
      </c>
      <c r="P216" s="111" t="str">
        <f t="shared" ca="1" si="163"/>
        <v>UNIDADE</v>
      </c>
      <c r="Q216" s="107">
        <v>15</v>
      </c>
      <c r="R216" s="100">
        <f t="shared" ca="1" si="164"/>
        <v>10</v>
      </c>
      <c r="S216" s="109" t="s">
        <v>62</v>
      </c>
      <c r="T216" s="99">
        <f t="shared" ca="1" si="165"/>
        <v>12.5</v>
      </c>
      <c r="U216" s="102">
        <f t="shared" ca="1" si="166"/>
        <v>187.5</v>
      </c>
      <c r="W216" s="1" t="str">
        <f ca="1">IF(OR($A216=0,$A216="S",$A216&gt;CFF!$A$9),"",MAX(W$11:OFFSET(W216,-1,0))+1)</f>
        <v/>
      </c>
      <c r="X216" s="3" t="str">
        <f t="shared" si="167"/>
        <v>Rec. Materiais-020</v>
      </c>
      <c r="Y216" s="1">
        <f t="shared" ca="1" si="168"/>
        <v>27</v>
      </c>
      <c r="AA216" s="106">
        <f>IF($J216=$G$2,ROUND(IF(ISNUMBER(S216),S216,IF(LEFT(S216,2)="DI",HLOOKUP(S216,DADOS!$T$29:$X$30,2,FALSE),0)),4),"")</f>
        <v>0.25</v>
      </c>
      <c r="AB216" s="1"/>
    </row>
    <row r="217" spans="1:28" x14ac:dyDescent="0.2">
      <c r="A217" t="str">
        <f t="shared" si="153"/>
        <v>S</v>
      </c>
      <c r="B217">
        <f t="shared" si="154"/>
        <v>0</v>
      </c>
      <c r="C217">
        <f t="shared" ca="1" si="155"/>
        <v>6</v>
      </c>
      <c r="D217">
        <f t="shared" ca="1" si="156"/>
        <v>1</v>
      </c>
      <c r="E217">
        <f t="shared" ca="1" si="157"/>
        <v>0</v>
      </c>
      <c r="F217">
        <f t="shared" ca="1" si="158"/>
        <v>0</v>
      </c>
      <c r="G217">
        <f t="shared" ca="1" si="159"/>
        <v>28</v>
      </c>
      <c r="H217">
        <f t="shared" ca="1" si="151"/>
        <v>0</v>
      </c>
      <c r="I217">
        <f t="shared" ca="1" si="152"/>
        <v>0</v>
      </c>
      <c r="J217" s="105" t="s">
        <v>29</v>
      </c>
      <c r="K217" s="97" t="str">
        <f t="shared" ca="1" si="160"/>
        <v>6.1.28.</v>
      </c>
      <c r="L217" s="110">
        <f t="shared" ca="1" si="161"/>
        <v>0</v>
      </c>
      <c r="M217" s="98" t="s">
        <v>79</v>
      </c>
      <c r="N217" s="112" t="s">
        <v>254</v>
      </c>
      <c r="O217" s="110" t="str">
        <f t="shared" ca="1" si="162"/>
        <v>Barbante pequeno 6 fios 85% algodão c/101 mts Euroroma</v>
      </c>
      <c r="P217" s="111" t="str">
        <f t="shared" ca="1" si="163"/>
        <v>UNIDADE</v>
      </c>
      <c r="Q217" s="107">
        <v>10</v>
      </c>
      <c r="R217" s="100">
        <f t="shared" ca="1" si="164"/>
        <v>2.5</v>
      </c>
      <c r="S217" s="109" t="s">
        <v>62</v>
      </c>
      <c r="T217" s="99">
        <f t="shared" ca="1" si="165"/>
        <v>3.13</v>
      </c>
      <c r="U217" s="102">
        <f t="shared" ca="1" si="166"/>
        <v>31.3</v>
      </c>
      <c r="W217" s="1" t="str">
        <f ca="1">IF(OR($A217=0,$A217="S",$A217&gt;CFF!$A$9),"",MAX(W$11:OFFSET(W217,-1,0))+1)</f>
        <v/>
      </c>
      <c r="X217" s="3" t="str">
        <f t="shared" si="167"/>
        <v>Rec. Materiais-019</v>
      </c>
      <c r="Y217" s="1">
        <f t="shared" ca="1" si="168"/>
        <v>26</v>
      </c>
      <c r="AA217" s="106">
        <f>IF($J217=$G$2,ROUND(IF(ISNUMBER(S217),S217,IF(LEFT(S217,2)="DI",HLOOKUP(S217,DADOS!$T$29:$X$30,2,FALSE),0)),4),"")</f>
        <v>0.25</v>
      </c>
      <c r="AB217" s="1"/>
    </row>
    <row r="218" spans="1:28" x14ac:dyDescent="0.2">
      <c r="A218" t="str">
        <f t="shared" si="153"/>
        <v>S</v>
      </c>
      <c r="B218">
        <f t="shared" si="154"/>
        <v>0</v>
      </c>
      <c r="C218">
        <f t="shared" ca="1" si="155"/>
        <v>6</v>
      </c>
      <c r="D218">
        <f t="shared" ca="1" si="156"/>
        <v>1</v>
      </c>
      <c r="E218">
        <f t="shared" ca="1" si="157"/>
        <v>0</v>
      </c>
      <c r="F218">
        <f t="shared" ca="1" si="158"/>
        <v>0</v>
      </c>
      <c r="G218">
        <f t="shared" ca="1" si="159"/>
        <v>29</v>
      </c>
      <c r="H218">
        <f t="shared" ca="1" si="151"/>
        <v>0</v>
      </c>
      <c r="I218">
        <f t="shared" ca="1" si="152"/>
        <v>0</v>
      </c>
      <c r="J218" s="105" t="s">
        <v>29</v>
      </c>
      <c r="K218" s="97" t="str">
        <f t="shared" ca="1" si="160"/>
        <v>6.1.29.</v>
      </c>
      <c r="L218" s="110">
        <f t="shared" ca="1" si="161"/>
        <v>0</v>
      </c>
      <c r="M218" s="98" t="s">
        <v>79</v>
      </c>
      <c r="N218" s="112" t="s">
        <v>232</v>
      </c>
      <c r="O218" s="110" t="str">
        <f t="shared" ca="1" si="162"/>
        <v xml:space="preserve">Tesoura uso geral 21cm 160/8N Mundial </v>
      </c>
      <c r="P218" s="111" t="str">
        <f t="shared" ca="1" si="163"/>
        <v>UNIDADE</v>
      </c>
      <c r="Q218" s="107">
        <v>5</v>
      </c>
      <c r="R218" s="100">
        <f t="shared" ca="1" si="164"/>
        <v>68.36</v>
      </c>
      <c r="S218" s="109" t="s">
        <v>62</v>
      </c>
      <c r="T218" s="99">
        <f t="shared" ca="1" si="165"/>
        <v>85.45</v>
      </c>
      <c r="U218" s="102">
        <f t="shared" ca="1" si="166"/>
        <v>427.25</v>
      </c>
      <c r="W218" s="1" t="str">
        <f ca="1">IF(OR($A218=0,$A218="S",$A218&gt;CFF!$A$9),"",MAX(W$11:OFFSET(W218,-1,0))+1)</f>
        <v/>
      </c>
      <c r="X218" s="3" t="str">
        <f t="shared" si="167"/>
        <v>Rec. Materiais-021</v>
      </c>
      <c r="Y218" s="1">
        <f t="shared" ca="1" si="168"/>
        <v>28</v>
      </c>
      <c r="AA218" s="106">
        <f>IF($J218=$G$2,ROUND(IF(ISNUMBER(S218),S218,IF(LEFT(S218,2)="DI",HLOOKUP(S218,DADOS!$T$29:$X$30,2,FALSE),0)),4),"")</f>
        <v>0.25</v>
      </c>
      <c r="AB218" s="1"/>
    </row>
    <row r="219" spans="1:28" x14ac:dyDescent="0.2">
      <c r="A219" t="str">
        <f t="shared" si="153"/>
        <v>S</v>
      </c>
      <c r="B219">
        <f t="shared" si="154"/>
        <v>0</v>
      </c>
      <c r="C219">
        <f t="shared" ca="1" si="155"/>
        <v>6</v>
      </c>
      <c r="D219">
        <f t="shared" ca="1" si="156"/>
        <v>1</v>
      </c>
      <c r="E219">
        <f t="shared" ca="1" si="157"/>
        <v>0</v>
      </c>
      <c r="F219">
        <f t="shared" ca="1" si="158"/>
        <v>0</v>
      </c>
      <c r="G219">
        <f t="shared" ca="1" si="159"/>
        <v>30</v>
      </c>
      <c r="H219">
        <f t="shared" ca="1" si="151"/>
        <v>0</v>
      </c>
      <c r="I219">
        <f t="shared" ca="1" si="152"/>
        <v>0</v>
      </c>
      <c r="J219" s="105" t="s">
        <v>29</v>
      </c>
      <c r="K219" s="97" t="str">
        <f t="shared" ca="1" si="160"/>
        <v>6.1.30.</v>
      </c>
      <c r="L219" s="110">
        <f t="shared" ca="1" si="161"/>
        <v>0</v>
      </c>
      <c r="M219" s="98" t="s">
        <v>80</v>
      </c>
      <c r="N219" s="112" t="s">
        <v>243</v>
      </c>
      <c r="O219" s="110" t="str">
        <f t="shared" ca="1" si="162"/>
        <v>Picole de fruta</v>
      </c>
      <c r="P219" s="111" t="str">
        <f t="shared" ca="1" si="163"/>
        <v>unidade</v>
      </c>
      <c r="Q219" s="107">
        <v>500</v>
      </c>
      <c r="R219" s="100">
        <f t="shared" ca="1" si="164"/>
        <v>1</v>
      </c>
      <c r="S219" s="109" t="s">
        <v>62</v>
      </c>
      <c r="T219" s="99">
        <f t="shared" ca="1" si="165"/>
        <v>1.25</v>
      </c>
      <c r="U219" s="102">
        <f t="shared" ca="1" si="166"/>
        <v>625</v>
      </c>
      <c r="W219" s="1" t="str">
        <f ca="1">IF(OR($A219=0,$A219="S",$A219&gt;CFF!$A$9),"",MAX(W$11:OFFSET(W219,-1,0))+1)</f>
        <v/>
      </c>
      <c r="X219" s="3" t="str">
        <f t="shared" si="167"/>
        <v>Serv. Terc.-030</v>
      </c>
      <c r="Y219" s="1">
        <f t="shared" ca="1" si="168"/>
        <v>76</v>
      </c>
      <c r="AA219" s="106">
        <f>IF($J219=$G$2,ROUND(IF(ISNUMBER(S219),S219,IF(LEFT(S219,2)="DI",HLOOKUP(S219,DADOS!$T$29:$X$30,2,FALSE),0)),4),"")</f>
        <v>0.25</v>
      </c>
      <c r="AB219" s="1"/>
    </row>
    <row r="220" spans="1:28" x14ac:dyDescent="0.2">
      <c r="A220" t="str">
        <f t="shared" si="153"/>
        <v>S</v>
      </c>
      <c r="B220">
        <f t="shared" si="154"/>
        <v>0</v>
      </c>
      <c r="C220">
        <f t="shared" ca="1" si="155"/>
        <v>6</v>
      </c>
      <c r="D220">
        <f t="shared" ca="1" si="156"/>
        <v>1</v>
      </c>
      <c r="E220">
        <f t="shared" ca="1" si="157"/>
        <v>0</v>
      </c>
      <c r="F220">
        <f t="shared" ca="1" si="158"/>
        <v>0</v>
      </c>
      <c r="G220">
        <f t="shared" ca="1" si="159"/>
        <v>31</v>
      </c>
      <c r="H220">
        <f t="shared" ca="1" si="151"/>
        <v>0</v>
      </c>
      <c r="I220">
        <f t="shared" ca="1" si="152"/>
        <v>0</v>
      </c>
      <c r="J220" s="105" t="s">
        <v>29</v>
      </c>
      <c r="K220" s="97" t="str">
        <f t="shared" ca="1" si="160"/>
        <v>6.1.31.</v>
      </c>
      <c r="L220" s="110">
        <f t="shared" ca="1" si="161"/>
        <v>0</v>
      </c>
      <c r="M220" s="98" t="s">
        <v>80</v>
      </c>
      <c r="N220" s="112" t="s">
        <v>227</v>
      </c>
      <c r="O220" s="110" t="str">
        <f t="shared" ca="1" si="162"/>
        <v>Pipoca para 200 pessoas</v>
      </c>
      <c r="P220" s="111" t="str">
        <f t="shared" ca="1" si="163"/>
        <v>diaria</v>
      </c>
      <c r="Q220" s="107">
        <v>2</v>
      </c>
      <c r="R220" s="100">
        <f t="shared" ca="1" si="164"/>
        <v>130</v>
      </c>
      <c r="S220" s="109" t="s">
        <v>62</v>
      </c>
      <c r="T220" s="99">
        <f t="shared" ca="1" si="165"/>
        <v>162.5</v>
      </c>
      <c r="U220" s="102">
        <f t="shared" ca="1" si="166"/>
        <v>325</v>
      </c>
      <c r="W220" s="1" t="str">
        <f ca="1">IF(OR($A220=0,$A220="S",$A220&gt;CFF!$A$9),"",MAX(W$11:OFFSET(W220,-1,0))+1)</f>
        <v/>
      </c>
      <c r="X220" s="3" t="str">
        <f t="shared" si="167"/>
        <v>Serv. Terc.-014</v>
      </c>
      <c r="Y220" s="1">
        <f t="shared" ca="1" si="168"/>
        <v>60</v>
      </c>
      <c r="AA220" s="106">
        <f>IF($J220=$G$2,ROUND(IF(ISNUMBER(S220),S220,IF(LEFT(S220,2)="DI",HLOOKUP(S220,DADOS!$T$29:$X$30,2,FALSE),0)),4),"")</f>
        <v>0.25</v>
      </c>
      <c r="AB220" s="1"/>
    </row>
    <row r="221" spans="1:28" x14ac:dyDescent="0.2">
      <c r="A221" t="str">
        <f t="shared" si="153"/>
        <v>S</v>
      </c>
      <c r="B221">
        <f t="shared" si="154"/>
        <v>0</v>
      </c>
      <c r="C221">
        <f t="shared" ca="1" si="155"/>
        <v>6</v>
      </c>
      <c r="D221">
        <f t="shared" ca="1" si="156"/>
        <v>1</v>
      </c>
      <c r="E221">
        <f t="shared" ca="1" si="157"/>
        <v>0</v>
      </c>
      <c r="F221">
        <f t="shared" ca="1" si="158"/>
        <v>0</v>
      </c>
      <c r="G221">
        <f t="shared" ca="1" si="159"/>
        <v>32</v>
      </c>
      <c r="H221">
        <f t="shared" ca="1" si="151"/>
        <v>0</v>
      </c>
      <c r="I221">
        <f t="shared" ca="1" si="152"/>
        <v>0</v>
      </c>
      <c r="J221" s="105" t="s">
        <v>29</v>
      </c>
      <c r="K221" s="97" t="str">
        <f t="shared" ca="1" si="160"/>
        <v>6.1.32.</v>
      </c>
      <c r="L221" s="110">
        <f t="shared" ca="1" si="161"/>
        <v>0</v>
      </c>
      <c r="M221" s="98" t="s">
        <v>80</v>
      </c>
      <c r="N221" s="112" t="s">
        <v>228</v>
      </c>
      <c r="O221" s="110" t="str">
        <f t="shared" ca="1" si="162"/>
        <v>Algodão doce para 200 pessoas</v>
      </c>
      <c r="P221" s="111" t="str">
        <f t="shared" ca="1" si="163"/>
        <v>diaria</v>
      </c>
      <c r="Q221" s="107">
        <v>2</v>
      </c>
      <c r="R221" s="100">
        <f t="shared" ca="1" si="164"/>
        <v>130</v>
      </c>
      <c r="S221" s="109" t="s">
        <v>62</v>
      </c>
      <c r="T221" s="99">
        <f t="shared" ca="1" si="165"/>
        <v>162.5</v>
      </c>
      <c r="U221" s="102">
        <f t="shared" ca="1" si="166"/>
        <v>325</v>
      </c>
      <c r="W221" s="1" t="str">
        <f ca="1">IF(OR($A221=0,$A221="S",$A221&gt;CFF!$A$9),"",MAX(W$11:OFFSET(W221,-1,0))+1)</f>
        <v/>
      </c>
      <c r="X221" s="3" t="str">
        <f t="shared" si="167"/>
        <v>Serv. Terc.-016</v>
      </c>
      <c r="Y221" s="1">
        <f t="shared" ca="1" si="168"/>
        <v>62</v>
      </c>
      <c r="AA221" s="106">
        <f>IF($J221=$G$2,ROUND(IF(ISNUMBER(S221),S221,IF(LEFT(S221,2)="DI",HLOOKUP(S221,DADOS!$T$29:$X$30,2,FALSE),0)),4),"")</f>
        <v>0.25</v>
      </c>
      <c r="AB221" s="1"/>
    </row>
    <row r="222" spans="1:28" x14ac:dyDescent="0.2">
      <c r="A222" t="str">
        <f t="shared" si="153"/>
        <v>S</v>
      </c>
      <c r="B222">
        <f t="shared" si="154"/>
        <v>0</v>
      </c>
      <c r="C222">
        <f t="shared" ca="1" si="155"/>
        <v>6</v>
      </c>
      <c r="D222">
        <f t="shared" ca="1" si="156"/>
        <v>1</v>
      </c>
      <c r="E222">
        <f t="shared" ca="1" si="157"/>
        <v>0</v>
      </c>
      <c r="F222">
        <f t="shared" ca="1" si="158"/>
        <v>0</v>
      </c>
      <c r="G222">
        <f t="shared" ca="1" si="159"/>
        <v>33</v>
      </c>
      <c r="H222">
        <f t="shared" ca="1" si="151"/>
        <v>0</v>
      </c>
      <c r="I222">
        <f t="shared" ca="1" si="152"/>
        <v>0</v>
      </c>
      <c r="J222" s="105" t="s">
        <v>29</v>
      </c>
      <c r="K222" s="97" t="str">
        <f t="shared" ca="1" si="160"/>
        <v>6.1.33.</v>
      </c>
      <c r="L222" s="110">
        <f t="shared" ca="1" si="161"/>
        <v>0</v>
      </c>
      <c r="M222" s="98" t="s">
        <v>80</v>
      </c>
      <c r="N222" s="112" t="s">
        <v>251</v>
      </c>
      <c r="O222" s="110" t="str">
        <f t="shared" ca="1" si="162"/>
        <v>Kit de brinquedos</v>
      </c>
      <c r="P222" s="111" t="str">
        <f t="shared" ca="1" si="163"/>
        <v>unidade</v>
      </c>
      <c r="Q222" s="107">
        <v>3</v>
      </c>
      <c r="R222" s="100">
        <f t="shared" ca="1" si="164"/>
        <v>149.97</v>
      </c>
      <c r="S222" s="109" t="s">
        <v>62</v>
      </c>
      <c r="T222" s="99">
        <f t="shared" ca="1" si="165"/>
        <v>187.46</v>
      </c>
      <c r="U222" s="102">
        <f t="shared" ca="1" si="166"/>
        <v>562.38</v>
      </c>
      <c r="W222" s="1" t="str">
        <f ca="1">IF(OR($A222=0,$A222="S",$A222&gt;CFF!$A$9),"",MAX(W$11:OFFSET(W222,-1,0))+1)</f>
        <v/>
      </c>
      <c r="X222" s="3" t="str">
        <f t="shared" si="167"/>
        <v>Serv. Terc.-013</v>
      </c>
      <c r="Y222" s="1">
        <f t="shared" ca="1" si="168"/>
        <v>59</v>
      </c>
      <c r="AA222" s="106">
        <f>IF($J222=$G$2,ROUND(IF(ISNUMBER(S222),S222,IF(LEFT(S222,2)="DI",HLOOKUP(S222,DADOS!$T$29:$X$30,2,FALSE),0)),4),"")</f>
        <v>0.25</v>
      </c>
      <c r="AB222" s="1"/>
    </row>
    <row r="223" spans="1:28" x14ac:dyDescent="0.2">
      <c r="A223" t="str">
        <f t="shared" si="153"/>
        <v>S</v>
      </c>
      <c r="B223">
        <f t="shared" si="154"/>
        <v>0</v>
      </c>
      <c r="C223">
        <f t="shared" ca="1" si="155"/>
        <v>6</v>
      </c>
      <c r="D223">
        <f t="shared" ca="1" si="156"/>
        <v>1</v>
      </c>
      <c r="E223">
        <f t="shared" ca="1" si="157"/>
        <v>0</v>
      </c>
      <c r="F223">
        <f t="shared" ca="1" si="158"/>
        <v>0</v>
      </c>
      <c r="G223">
        <f t="shared" ca="1" si="159"/>
        <v>34</v>
      </c>
      <c r="H223">
        <f t="shared" ca="1" si="151"/>
        <v>0</v>
      </c>
      <c r="I223">
        <f t="shared" ca="1" si="152"/>
        <v>0</v>
      </c>
      <c r="J223" s="105" t="s">
        <v>29</v>
      </c>
      <c r="K223" s="97" t="str">
        <f t="shared" ca="1" si="160"/>
        <v>6.1.34.</v>
      </c>
      <c r="L223" s="110">
        <f t="shared" ca="1" si="161"/>
        <v>0</v>
      </c>
      <c r="M223" s="98" t="s">
        <v>80</v>
      </c>
      <c r="N223" s="112" t="s">
        <v>241</v>
      </c>
      <c r="O223" s="110" t="str">
        <f t="shared" ca="1" si="162"/>
        <v>Tablet 9.6 G tela sansung Galaxy</v>
      </c>
      <c r="P223" s="111" t="str">
        <f t="shared" ca="1" si="163"/>
        <v>unidade</v>
      </c>
      <c r="Q223" s="107">
        <v>3</v>
      </c>
      <c r="R223" s="100">
        <f t="shared" ca="1" si="164"/>
        <v>899</v>
      </c>
      <c r="S223" s="109" t="s">
        <v>62</v>
      </c>
      <c r="T223" s="99">
        <f t="shared" ca="1" si="165"/>
        <v>1123.75</v>
      </c>
      <c r="U223" s="102">
        <f t="shared" ca="1" si="166"/>
        <v>3371.25</v>
      </c>
      <c r="W223" s="1" t="str">
        <f ca="1">IF(OR($A223=0,$A223="S",$A223&gt;CFF!$A$9),"",MAX(W$11:OFFSET(W223,-1,0))+1)</f>
        <v/>
      </c>
      <c r="X223" s="3" t="str">
        <f t="shared" si="167"/>
        <v>Serv. Terc.-015</v>
      </c>
      <c r="Y223" s="1">
        <f t="shared" ca="1" si="168"/>
        <v>61</v>
      </c>
      <c r="AA223" s="106">
        <f>IF($J223=$G$2,ROUND(IF(ISNUMBER(S223),S223,IF(LEFT(S223,2)="DI",HLOOKUP(S223,DADOS!$T$29:$X$30,2,FALSE),0)),4),"")</f>
        <v>0.25</v>
      </c>
      <c r="AB223" s="1"/>
    </row>
    <row r="224" spans="1:28" x14ac:dyDescent="0.2">
      <c r="A224" t="str">
        <f t="shared" si="153"/>
        <v>S</v>
      </c>
      <c r="B224">
        <f t="shared" si="154"/>
        <v>0</v>
      </c>
      <c r="C224">
        <f t="shared" ca="1" si="155"/>
        <v>6</v>
      </c>
      <c r="D224">
        <f t="shared" ca="1" si="156"/>
        <v>1</v>
      </c>
      <c r="E224">
        <f t="shared" ca="1" si="157"/>
        <v>0</v>
      </c>
      <c r="F224">
        <f t="shared" ca="1" si="158"/>
        <v>0</v>
      </c>
      <c r="G224">
        <f t="shared" ca="1" si="159"/>
        <v>35</v>
      </c>
      <c r="H224">
        <f t="shared" ca="1" si="151"/>
        <v>0</v>
      </c>
      <c r="I224">
        <f t="shared" ca="1" si="152"/>
        <v>0</v>
      </c>
      <c r="J224" s="105" t="s">
        <v>29</v>
      </c>
      <c r="K224" s="97" t="str">
        <f t="shared" ca="1" si="160"/>
        <v>6.1.35.</v>
      </c>
      <c r="L224" s="110">
        <f t="shared" ca="1" si="161"/>
        <v>0</v>
      </c>
      <c r="M224" s="98" t="s">
        <v>80</v>
      </c>
      <c r="N224" s="112" t="s">
        <v>220</v>
      </c>
      <c r="O224" s="110" t="str">
        <f t="shared" ca="1" si="162"/>
        <v>Som (2 caixas de som, 2 microfones, mesa de som, cabos)</v>
      </c>
      <c r="P224" s="111" t="str">
        <f t="shared" ca="1" si="163"/>
        <v>unidade</v>
      </c>
      <c r="Q224" s="107">
        <v>1</v>
      </c>
      <c r="R224" s="100">
        <f t="shared" ca="1" si="164"/>
        <v>350</v>
      </c>
      <c r="S224" s="109" t="s">
        <v>62</v>
      </c>
      <c r="T224" s="99">
        <f t="shared" ca="1" si="165"/>
        <v>437.5</v>
      </c>
      <c r="U224" s="102">
        <f t="shared" ca="1" si="166"/>
        <v>437.5</v>
      </c>
      <c r="W224" s="1" t="str">
        <f ca="1">IF(OR($A224=0,$A224="S",$A224&gt;CFF!$A$9),"",MAX(W$11:OFFSET(W224,-1,0))+1)</f>
        <v/>
      </c>
      <c r="X224" s="3" t="str">
        <f t="shared" si="167"/>
        <v>Serv. Terc.-003</v>
      </c>
      <c r="Y224" s="1">
        <f t="shared" ca="1" si="168"/>
        <v>49</v>
      </c>
      <c r="AA224" s="106">
        <f>IF($J224=$G$2,ROUND(IF(ISNUMBER(S224),S224,IF(LEFT(S224,2)="DI",HLOOKUP(S224,DADOS!$T$29:$X$30,2,FALSE),0)),4),"")</f>
        <v>0.25</v>
      </c>
      <c r="AB224" s="1"/>
    </row>
    <row r="225" spans="1:28" x14ac:dyDescent="0.2">
      <c r="A225" t="str">
        <f>CHOOSE(1+LOG(1+2*(J225=$C$2)+4*(J225=$D$2)+8*(J225=$E$2)+16*(J225=$F$2)+32*(J225=$G$2),2),0,1,2,3,4,"S")</f>
        <v>S</v>
      </c>
      <c r="B225">
        <f>IF(OR(A225="S",A225=0),0,IF(ISERROR(I225),H225,SMALL(H225:I225,1)))</f>
        <v>0</v>
      </c>
      <c r="C225">
        <f ca="1">IF($A225=1,OFFSET(C225,-1,0)+1,OFFSET(C225,-1,0))</f>
        <v>6</v>
      </c>
      <c r="D225">
        <f ca="1">IF($A225=1,0,IF($A225=2,OFFSET(D225,-1,0)+1,OFFSET(D225,-1,0)))</f>
        <v>1</v>
      </c>
      <c r="E225">
        <f ca="1">IF(AND($A225&lt;=2,$A225&lt;&gt;0),0,IF($A225=3,OFFSET(E225,-1,0)+1,OFFSET(E225,-1,0)))</f>
        <v>0</v>
      </c>
      <c r="F225">
        <f ca="1">IF(AND($A225&lt;=3,$A225&lt;&gt;0),0,IF($A225=4,OFFSET(F225,-1,0)+1,OFFSET(F225,-1,0)))</f>
        <v>0</v>
      </c>
      <c r="G225">
        <f ca="1">IF(AND($A225&lt;=4,$A225&lt;&gt;0),0,IF($A225="S",OFFSET(G225,-1,0)+1,OFFSET(G225,-1,0)))</f>
        <v>36</v>
      </c>
      <c r="H225">
        <f t="shared" ca="1" si="151"/>
        <v>0</v>
      </c>
      <c r="I225">
        <f t="shared" ca="1" si="152"/>
        <v>0</v>
      </c>
      <c r="J225" s="105" t="s">
        <v>29</v>
      </c>
      <c r="K225" s="97" t="str">
        <f ca="1">IF($A225=0,"-",CONCATENATE(C225&amp;".",IF(AND($A$5&gt;=2,$A225&gt;=2),D225&amp;".",""),IF(AND($A$5&gt;=3,$A225&gt;=3),E225&amp;".",""),IF(AND($A$5&gt;=4,$A225&gt;=4),F225&amp;".",""),IF($A225="S",G225&amp;".","")))</f>
        <v>6.1.36.</v>
      </c>
      <c r="L225" s="110">
        <f ca="1">IF(NOT(ISERROR($Y225)),IF($Y225&lt;&gt;FALSE,INDEX(Banco,$Y225,4),""),"")</f>
        <v>0</v>
      </c>
      <c r="M225" s="98" t="s">
        <v>79</v>
      </c>
      <c r="N225" s="112" t="s">
        <v>265</v>
      </c>
      <c r="O225" s="110" t="str">
        <f ca="1">IF(NOT(ISERROR($Y225)),IF($Y225&lt;&gt;FALSE,INDEX(Banco,$Y225,5),""),"")</f>
        <v xml:space="preserve">Estojo completo c/ 18 itens Caveirinhas 182212RX Faber Castell </v>
      </c>
      <c r="P225" s="111" t="str">
        <f ca="1">IF(NOT(ISERROR($Y225)),IF($Y225&lt;&gt;FALSE,INDEX(Banco,$Y225,6),""),"")</f>
        <v>UNIDADE</v>
      </c>
      <c r="Q225" s="107">
        <v>3</v>
      </c>
      <c r="R225" s="100">
        <f ca="1">IF(NOT(ISERROR($Y225)),IF($Y225&lt;&gt;FALSE,INDEX(Banco,$Y225,7),0),0)</f>
        <v>54.6</v>
      </c>
      <c r="S225" s="109" t="s">
        <v>62</v>
      </c>
      <c r="T225" s="99">
        <f ca="1">IF($J225=$G$2,ROUND(ROUND($R225,2)*IF($R$9="Preço Unitário (R$)",1,1+$AA225),2),0)</f>
        <v>68.25</v>
      </c>
      <c r="U225" s="102">
        <f ca="1">IF($A225="S",VTOTAL1,IF($A225=0,0,ROUND(SomaAgrup,2)))</f>
        <v>204.75</v>
      </c>
      <c r="W225" s="1" t="str">
        <f ca="1">IF(OR($A225=0,$A225="S",$A225&gt;CFF!$A$9),"",MAX(W$11:OFFSET(W225,-1,0))+1)</f>
        <v/>
      </c>
      <c r="X225" s="3" t="str">
        <f>IF(AND($J225=$G$2,$N225&lt;&gt;"",$M225&lt;&gt;""),CONCATENATE($M225,"-",$N225))</f>
        <v>Rec. Materiais-031</v>
      </c>
      <c r="Y225" s="1">
        <f ca="1">IF(X225&lt;&gt;FALSE,MATCH(X225,OFFSET(Banco,0,0,,1),0))</f>
        <v>38</v>
      </c>
      <c r="AA225" s="106">
        <f>IF($J225=$G$2,ROUND(IF(ISNUMBER(S225),S225,IF(LEFT(S225,2)="DI",HLOOKUP(S225,DADOS!$T$29:$X$30,2,FALSE),0)),4),"")</f>
        <v>0.25</v>
      </c>
      <c r="AB225" s="1"/>
    </row>
    <row r="226" spans="1:28" x14ac:dyDescent="0.2">
      <c r="A226">
        <f>CHOOSE(1+LOG(1+2*(J226=$C$2)+4*(J226=$D$2)+8*(J226=$E$2)+16*(J226=$F$2)+32*(J226=$G$2),2),0,1,2,3,4,"S")</f>
        <v>2</v>
      </c>
      <c r="B226">
        <f ca="1">IF(OR(A226="S",A226=0),0,IF(ISERROR(I226),H226,SMALL(H226:I226,1)))</f>
        <v>11</v>
      </c>
      <c r="C226">
        <f ca="1">IF($A226=1,OFFSET(C226,-1,0)+1,OFFSET(C226,-1,0))</f>
        <v>6</v>
      </c>
      <c r="D226">
        <f ca="1">IF($A226=1,0,IF($A226=2,OFFSET(D226,-1,0)+1,OFFSET(D226,-1,0)))</f>
        <v>2</v>
      </c>
      <c r="E226">
        <f ca="1">IF(AND($A226&lt;=2,$A226&lt;&gt;0),0,IF($A226=3,OFFSET(E226,-1,0)+1,OFFSET(E226,-1,0)))</f>
        <v>0</v>
      </c>
      <c r="F226">
        <f ca="1">IF(AND($A226&lt;=3,$A226&lt;&gt;0),0,IF($A226=4,OFFSET(F226,-1,0)+1,OFFSET(F226,-1,0)))</f>
        <v>0</v>
      </c>
      <c r="G226">
        <f ca="1">IF(AND($A226&lt;=4,$A226&lt;&gt;0),0,IF($A226="S",OFFSET(G226,-1,0)+1,OFFSET(G226,-1,0)))</f>
        <v>0</v>
      </c>
      <c r="H226">
        <f t="shared" ca="1" si="151"/>
        <v>11</v>
      </c>
      <c r="I226" t="e">
        <f t="shared" ca="1" si="152"/>
        <v>#N/A</v>
      </c>
      <c r="J226" s="105" t="s">
        <v>68</v>
      </c>
      <c r="K226" s="97" t="str">
        <f ca="1">IF($A226=0,"-",CONCATENATE(C226&amp;".",IF(AND($A$5&gt;=2,$A226&gt;=2),D226&amp;".",""),IF(AND($A$5&gt;=3,$A226&gt;=3),E226&amp;".",""),IF(AND($A$5&gt;=4,$A226&gt;=4),F226&amp;".",""),IF($A226="S",G226&amp;".","")))</f>
        <v>6.2.</v>
      </c>
      <c r="L226" s="110" t="str">
        <f ca="1">IF(NOT(ISERROR($Y226)),IF($Y226&lt;&gt;FALSE,INDEX(Banco,$Y226,4),""),"")</f>
        <v/>
      </c>
      <c r="M226" s="98"/>
      <c r="N226" s="112"/>
      <c r="O226" s="110" t="s">
        <v>277</v>
      </c>
      <c r="P226" s="111" t="str">
        <f ca="1">IF(NOT(ISERROR($Y226)),IF($Y226&lt;&gt;FALSE,INDEX(Banco,$Y226,6),""),"")</f>
        <v/>
      </c>
      <c r="Q226" s="107"/>
      <c r="R226" s="100">
        <f ca="1">IF(NOT(ISERROR($Y226)),IF($Y226&lt;&gt;FALSE,INDEX(Banco,$Y226,7),0),0)</f>
        <v>0</v>
      </c>
      <c r="S226" s="109" t="s">
        <v>62</v>
      </c>
      <c r="T226" s="99">
        <f>IF($J226=$G$2,ROUND(ROUND($R226,2)*IF($R$9="Preço Unitário (R$)",1,1+$AA226),2),0)</f>
        <v>0</v>
      </c>
      <c r="U226" s="102">
        <f ca="1">IF($A226="S",VTOTAL1,IF($A226=0,0,ROUND(SomaAgrup,2)))</f>
        <v>16898.18</v>
      </c>
      <c r="W226" s="1">
        <f ca="1">IF(OR($A226=0,$A226="S",$A226&gt;CFF!$A$9),"",MAX(W$11:OFFSET(W226,-1,0))+1)</f>
        <v>17</v>
      </c>
      <c r="X226" s="3" t="b">
        <f>IF(AND($J226=$G$2,$N226&lt;&gt;"",$M226&lt;&gt;""),CONCATENATE($M226,"-",$N226))</f>
        <v>0</v>
      </c>
      <c r="Y226" s="1" t="b">
        <f ca="1">IF(X226&lt;&gt;FALSE,MATCH(X226,OFFSET(Banco,0,0,,1),0))</f>
        <v>0</v>
      </c>
      <c r="AA226" s="106" t="str">
        <f>IF($J226=$G$2,ROUND(IF(ISNUMBER(S226),S226,IF(LEFT(S226,2)="DI",HLOOKUP(S226,DADOS!$T$29:$X$30,2,FALSE),0)),4),"")</f>
        <v/>
      </c>
      <c r="AB226" s="1"/>
    </row>
    <row r="227" spans="1:28" x14ac:dyDescent="0.2">
      <c r="A227" t="str">
        <f t="shared" ref="A227:A235" si="169">CHOOSE(1+LOG(1+2*(J227=$C$2)+4*(J227=$D$2)+8*(J227=$E$2)+16*(J227=$F$2)+32*(J227=$G$2),2),0,1,2,3,4,"S")</f>
        <v>S</v>
      </c>
      <c r="B227">
        <f t="shared" ref="B227:B235" si="170">IF(OR(A227="S",A227=0),0,IF(ISERROR(I227),H227,SMALL(H227:I227,1)))</f>
        <v>0</v>
      </c>
      <c r="C227">
        <f t="shared" ref="C227:C235" ca="1" si="171">IF($A227=1,OFFSET(C227,-1,0)+1,OFFSET(C227,-1,0))</f>
        <v>6</v>
      </c>
      <c r="D227">
        <f t="shared" ref="D227:D235" ca="1" si="172">IF($A227=1,0,IF($A227=2,OFFSET(D227,-1,0)+1,OFFSET(D227,-1,0)))</f>
        <v>2</v>
      </c>
      <c r="E227">
        <f t="shared" ref="E227:E235" ca="1" si="173">IF(AND($A227&lt;=2,$A227&lt;&gt;0),0,IF($A227=3,OFFSET(E227,-1,0)+1,OFFSET(E227,-1,0)))</f>
        <v>0</v>
      </c>
      <c r="F227">
        <f t="shared" ref="F227:F235" ca="1" si="174">IF(AND($A227&lt;=3,$A227&lt;&gt;0),0,IF($A227=4,OFFSET(F227,-1,0)+1,OFFSET(F227,-1,0)))</f>
        <v>0</v>
      </c>
      <c r="G227">
        <f t="shared" ref="G227:G235" ca="1" si="175">IF(AND($A227&lt;=4,$A227&lt;&gt;0),0,IF($A227="S",OFFSET(G227,-1,0)+1,OFFSET(G227,-1,0)))</f>
        <v>1</v>
      </c>
      <c r="H227">
        <f t="shared" ca="1" si="151"/>
        <v>0</v>
      </c>
      <c r="I227">
        <f t="shared" ca="1" si="152"/>
        <v>0</v>
      </c>
      <c r="J227" s="105" t="s">
        <v>29</v>
      </c>
      <c r="K227" s="97" t="str">
        <f t="shared" ref="K227:K235" ca="1" si="176">IF($A227=0,"-",CONCATENATE(C227&amp;".",IF(AND($A$5&gt;=2,$A227&gt;=2),D227&amp;".",""),IF(AND($A$5&gt;=3,$A227&gt;=3),E227&amp;".",""),IF(AND($A$5&gt;=4,$A227&gt;=4),F227&amp;".",""),IF($A227="S",G227&amp;".","")))</f>
        <v>6.2.1.</v>
      </c>
      <c r="L227" s="110" t="str">
        <f t="shared" ref="L227:L235" ca="1" si="177">IF(NOT(ISERROR($Y227)),IF($Y227&lt;&gt;FALSE,INDEX(Banco,$Y227,4),""),"")</f>
        <v>CRESS</v>
      </c>
      <c r="M227" s="98" t="s">
        <v>78</v>
      </c>
      <c r="N227" s="112" t="s">
        <v>218</v>
      </c>
      <c r="O227" s="110" t="str">
        <f t="shared" ref="O227:O235" ca="1" si="178">IF(NOT(ISERROR($Y227)),IF($Y227&lt;&gt;FALSE,INDEX(Banco,$Y227,5),""),"")</f>
        <v>RT</v>
      </c>
      <c r="P227" s="111" t="str">
        <f t="shared" ref="P227:P235" ca="1" si="179">IF(NOT(ISERROR($Y227)),IF($Y227&lt;&gt;FALSE,INDEX(Banco,$Y227,6),""),"")</f>
        <v>hora</v>
      </c>
      <c r="Q227" s="107">
        <v>40</v>
      </c>
      <c r="R227" s="100">
        <f t="shared" ref="R227:R235" ca="1" si="180">IF(NOT(ISERROR($Y227)),IF($Y227&lt;&gt;FALSE,INDEX(Banco,$Y227,7),0),0)</f>
        <v>150.28</v>
      </c>
      <c r="S227" s="109" t="s">
        <v>62</v>
      </c>
      <c r="T227" s="99">
        <f t="shared" ref="T227:T235" ca="1" si="181">IF($J227=$G$2,ROUND(ROUND($R227,2)*IF($R$9="Preço Unitário (R$)",1,1+$AA227),2),0)</f>
        <v>187.85</v>
      </c>
      <c r="U227" s="102">
        <f t="shared" ref="U227:U235" ca="1" si="182">IF($A227="S",VTOTAL1,IF($A227=0,0,ROUND(SomaAgrup,2)))</f>
        <v>7514</v>
      </c>
      <c r="W227" s="1" t="str">
        <f ca="1">IF(OR($A227=0,$A227="S",$A227&gt;CFF!$A$9),"",MAX(W$11:OFFSET(W227,-1,0))+1)</f>
        <v/>
      </c>
      <c r="X227" s="3" t="str">
        <f t="shared" ref="X227:X235" si="183">IF(AND($J227=$G$2,$N227&lt;&gt;"",$M227&lt;&gt;""),CONCATENATE($M227,"-",$N227))</f>
        <v>Rec. Humanos-001</v>
      </c>
      <c r="Y227" s="1">
        <f t="shared" ref="Y227:Y235" ca="1" si="184">IF(X227&lt;&gt;FALSE,MATCH(X227,OFFSET(Banco,0,0,,1),0))</f>
        <v>3</v>
      </c>
      <c r="AA227" s="106">
        <f>IF($J227=$G$2,ROUND(IF(ISNUMBER(S227),S227,IF(LEFT(S227,2)="DI",HLOOKUP(S227,DADOS!$T$29:$X$30,2,FALSE),0)),4),"")</f>
        <v>0.25</v>
      </c>
      <c r="AB227" s="1"/>
    </row>
    <row r="228" spans="1:28" x14ac:dyDescent="0.2">
      <c r="A228" t="str">
        <f t="shared" si="169"/>
        <v>S</v>
      </c>
      <c r="B228">
        <f t="shared" si="170"/>
        <v>0</v>
      </c>
      <c r="C228">
        <f t="shared" ca="1" si="171"/>
        <v>6</v>
      </c>
      <c r="D228">
        <f t="shared" ca="1" si="172"/>
        <v>2</v>
      </c>
      <c r="E228">
        <f t="shared" ca="1" si="173"/>
        <v>0</v>
      </c>
      <c r="F228">
        <f t="shared" ca="1" si="174"/>
        <v>0</v>
      </c>
      <c r="G228">
        <f t="shared" ca="1" si="175"/>
        <v>2</v>
      </c>
      <c r="H228">
        <f t="shared" ca="1" si="151"/>
        <v>0</v>
      </c>
      <c r="I228">
        <f t="shared" ca="1" si="152"/>
        <v>0</v>
      </c>
      <c r="J228" s="105" t="s">
        <v>29</v>
      </c>
      <c r="K228" s="97" t="str">
        <f t="shared" ca="1" si="176"/>
        <v>6.2.2.</v>
      </c>
      <c r="L228" s="110">
        <f t="shared" ca="1" si="177"/>
        <v>0</v>
      </c>
      <c r="M228" s="98" t="s">
        <v>78</v>
      </c>
      <c r="N228" s="112" t="s">
        <v>219</v>
      </c>
      <c r="O228" s="110" t="str">
        <f t="shared" ca="1" si="178"/>
        <v>Assistente Social</v>
      </c>
      <c r="P228" s="111" t="str">
        <f t="shared" ca="1" si="179"/>
        <v>hora</v>
      </c>
      <c r="Q228" s="107">
        <v>30</v>
      </c>
      <c r="R228" s="100">
        <f t="shared" ca="1" si="180"/>
        <v>133.81</v>
      </c>
      <c r="S228" s="109" t="s">
        <v>62</v>
      </c>
      <c r="T228" s="99">
        <f t="shared" ca="1" si="181"/>
        <v>167.26</v>
      </c>
      <c r="U228" s="102">
        <f t="shared" ca="1" si="182"/>
        <v>5017.8</v>
      </c>
      <c r="W228" s="1" t="str">
        <f ca="1">IF(OR($A228=0,$A228="S",$A228&gt;CFF!$A$9),"",MAX(W$11:OFFSET(W228,-1,0))+1)</f>
        <v/>
      </c>
      <c r="X228" s="3" t="str">
        <f t="shared" si="183"/>
        <v>Rec. Humanos-002</v>
      </c>
      <c r="Y228" s="1">
        <f t="shared" ca="1" si="184"/>
        <v>4</v>
      </c>
      <c r="AA228" s="106">
        <f>IF($J228=$G$2,ROUND(IF(ISNUMBER(S228),S228,IF(LEFT(S228,2)="DI",HLOOKUP(S228,DADOS!$T$29:$X$30,2,FALSE),0)),4),"")</f>
        <v>0.25</v>
      </c>
      <c r="AB228" s="1"/>
    </row>
    <row r="229" spans="1:28" x14ac:dyDescent="0.2">
      <c r="A229" t="str">
        <f t="shared" si="169"/>
        <v>S</v>
      </c>
      <c r="B229">
        <f t="shared" si="170"/>
        <v>0</v>
      </c>
      <c r="C229">
        <f t="shared" ca="1" si="171"/>
        <v>6</v>
      </c>
      <c r="D229">
        <f t="shared" ca="1" si="172"/>
        <v>2</v>
      </c>
      <c r="E229">
        <f t="shared" ca="1" si="173"/>
        <v>0</v>
      </c>
      <c r="F229">
        <f t="shared" ca="1" si="174"/>
        <v>0</v>
      </c>
      <c r="G229">
        <f t="shared" ca="1" si="175"/>
        <v>3</v>
      </c>
      <c r="H229">
        <f t="shared" ca="1" si="151"/>
        <v>0</v>
      </c>
      <c r="I229">
        <f t="shared" ca="1" si="152"/>
        <v>0</v>
      </c>
      <c r="J229" s="105" t="s">
        <v>29</v>
      </c>
      <c r="K229" s="97" t="str">
        <f t="shared" ca="1" si="176"/>
        <v>6.2.3.</v>
      </c>
      <c r="L229" s="110">
        <f t="shared" ca="1" si="177"/>
        <v>0</v>
      </c>
      <c r="M229" s="98" t="s">
        <v>78</v>
      </c>
      <c r="N229" s="112" t="s">
        <v>231</v>
      </c>
      <c r="O229" s="110" t="str">
        <f t="shared" ca="1" si="178"/>
        <v>Biólogo</v>
      </c>
      <c r="P229" s="111" t="str">
        <f t="shared" ca="1" si="179"/>
        <v>hora</v>
      </c>
      <c r="Q229" s="107">
        <v>30</v>
      </c>
      <c r="R229" s="100">
        <f t="shared" ca="1" si="180"/>
        <v>14.97</v>
      </c>
      <c r="S229" s="109" t="s">
        <v>62</v>
      </c>
      <c r="T229" s="99">
        <f t="shared" ca="1" si="181"/>
        <v>18.71</v>
      </c>
      <c r="U229" s="102">
        <f t="shared" ca="1" si="182"/>
        <v>561.29999999999995</v>
      </c>
      <c r="W229" s="1" t="str">
        <f ca="1">IF(OR($A229=0,$A229="S",$A229&gt;CFF!$A$9),"",MAX(W$11:OFFSET(W229,-1,0))+1)</f>
        <v/>
      </c>
      <c r="X229" s="3" t="str">
        <f t="shared" si="183"/>
        <v>Rec. Humanos-004</v>
      </c>
      <c r="Y229" s="1">
        <f t="shared" ca="1" si="184"/>
        <v>6</v>
      </c>
      <c r="AA229" s="106">
        <f>IF($J229=$G$2,ROUND(IF(ISNUMBER(S229),S229,IF(LEFT(S229,2)="DI",HLOOKUP(S229,DADOS!$T$29:$X$30,2,FALSE),0)),4),"")</f>
        <v>0.25</v>
      </c>
      <c r="AB229" s="1"/>
    </row>
    <row r="230" spans="1:28" x14ac:dyDescent="0.2">
      <c r="A230" t="str">
        <f t="shared" si="169"/>
        <v>S</v>
      </c>
      <c r="B230">
        <f t="shared" si="170"/>
        <v>0</v>
      </c>
      <c r="C230">
        <f t="shared" ca="1" si="171"/>
        <v>6</v>
      </c>
      <c r="D230">
        <f t="shared" ca="1" si="172"/>
        <v>2</v>
      </c>
      <c r="E230">
        <f t="shared" ca="1" si="173"/>
        <v>0</v>
      </c>
      <c r="F230">
        <f t="shared" ca="1" si="174"/>
        <v>0</v>
      </c>
      <c r="G230">
        <f t="shared" ca="1" si="175"/>
        <v>4</v>
      </c>
      <c r="H230">
        <f t="shared" ca="1" si="151"/>
        <v>0</v>
      </c>
      <c r="I230">
        <f t="shared" ca="1" si="152"/>
        <v>0</v>
      </c>
      <c r="J230" s="105" t="s">
        <v>29</v>
      </c>
      <c r="K230" s="97" t="str">
        <f t="shared" ca="1" si="176"/>
        <v>6.2.4.</v>
      </c>
      <c r="L230" s="110">
        <f t="shared" ca="1" si="177"/>
        <v>0</v>
      </c>
      <c r="M230" s="98" t="s">
        <v>78</v>
      </c>
      <c r="N230" s="112" t="s">
        <v>221</v>
      </c>
      <c r="O230" s="110" t="str">
        <f t="shared" ca="1" si="178"/>
        <v>Estagiarios</v>
      </c>
      <c r="P230" s="111" t="str">
        <f t="shared" ca="1" si="179"/>
        <v>hora</v>
      </c>
      <c r="Q230" s="107">
        <v>30</v>
      </c>
      <c r="R230" s="100">
        <f t="shared" ca="1" si="180"/>
        <v>8.26</v>
      </c>
      <c r="S230" s="109" t="s">
        <v>62</v>
      </c>
      <c r="T230" s="99">
        <f t="shared" ca="1" si="181"/>
        <v>10.33</v>
      </c>
      <c r="U230" s="102">
        <f t="shared" ca="1" si="182"/>
        <v>309.89999999999998</v>
      </c>
      <c r="W230" s="1" t="str">
        <f ca="1">IF(OR($A230=0,$A230="S",$A230&gt;CFF!$A$9),"",MAX(W$11:OFFSET(W230,-1,0))+1)</f>
        <v/>
      </c>
      <c r="X230" s="3" t="str">
        <f t="shared" si="183"/>
        <v>Rec. Humanos-005</v>
      </c>
      <c r="Y230" s="1">
        <f t="shared" ca="1" si="184"/>
        <v>7</v>
      </c>
      <c r="AA230" s="106">
        <f>IF($J230=$G$2,ROUND(IF(ISNUMBER(S230),S230,IF(LEFT(S230,2)="DI",HLOOKUP(S230,DADOS!$T$29:$X$30,2,FALSE),0)),4),"")</f>
        <v>0.25</v>
      </c>
      <c r="AB230" s="1"/>
    </row>
    <row r="231" spans="1:28" x14ac:dyDescent="0.2">
      <c r="A231" t="str">
        <f t="shared" si="169"/>
        <v>S</v>
      </c>
      <c r="B231">
        <f t="shared" si="170"/>
        <v>0</v>
      </c>
      <c r="C231">
        <f t="shared" ca="1" si="171"/>
        <v>6</v>
      </c>
      <c r="D231">
        <f t="shared" ca="1" si="172"/>
        <v>2</v>
      </c>
      <c r="E231">
        <f t="shared" ca="1" si="173"/>
        <v>0</v>
      </c>
      <c r="F231">
        <f t="shared" ca="1" si="174"/>
        <v>0</v>
      </c>
      <c r="G231">
        <f t="shared" ca="1" si="175"/>
        <v>5</v>
      </c>
      <c r="H231">
        <f t="shared" ca="1" si="151"/>
        <v>0</v>
      </c>
      <c r="I231">
        <f t="shared" ca="1" si="152"/>
        <v>0</v>
      </c>
      <c r="J231" s="105" t="s">
        <v>29</v>
      </c>
      <c r="K231" s="97" t="str">
        <f t="shared" ca="1" si="176"/>
        <v>6.2.5.</v>
      </c>
      <c r="L231" s="110">
        <f t="shared" ca="1" si="177"/>
        <v>0</v>
      </c>
      <c r="M231" s="98" t="s">
        <v>78</v>
      </c>
      <c r="N231" s="112" t="s">
        <v>221</v>
      </c>
      <c r="O231" s="110" t="str">
        <f t="shared" ca="1" si="178"/>
        <v>Estagiarios</v>
      </c>
      <c r="P231" s="111" t="str">
        <f t="shared" ca="1" si="179"/>
        <v>hora</v>
      </c>
      <c r="Q231" s="107">
        <v>30</v>
      </c>
      <c r="R231" s="100">
        <f t="shared" ca="1" si="180"/>
        <v>8.26</v>
      </c>
      <c r="S231" s="109" t="s">
        <v>62</v>
      </c>
      <c r="T231" s="99">
        <f t="shared" ca="1" si="181"/>
        <v>10.33</v>
      </c>
      <c r="U231" s="102">
        <f t="shared" ca="1" si="182"/>
        <v>309.89999999999998</v>
      </c>
      <c r="W231" s="1" t="str">
        <f ca="1">IF(OR($A231=0,$A231="S",$A231&gt;CFF!$A$9),"",MAX(W$11:OFFSET(W231,-1,0))+1)</f>
        <v/>
      </c>
      <c r="X231" s="3" t="str">
        <f t="shared" si="183"/>
        <v>Rec. Humanos-005</v>
      </c>
      <c r="Y231" s="1">
        <f t="shared" ca="1" si="184"/>
        <v>7</v>
      </c>
      <c r="AA231" s="106">
        <f>IF($J231=$G$2,ROUND(IF(ISNUMBER(S231),S231,IF(LEFT(S231,2)="DI",HLOOKUP(S231,DADOS!$T$29:$X$30,2,FALSE),0)),4),"")</f>
        <v>0.25</v>
      </c>
      <c r="AB231" s="1"/>
    </row>
    <row r="232" spans="1:28" x14ac:dyDescent="0.2">
      <c r="A232" t="str">
        <f t="shared" si="169"/>
        <v>S</v>
      </c>
      <c r="B232">
        <f t="shared" si="170"/>
        <v>0</v>
      </c>
      <c r="C232">
        <f t="shared" ca="1" si="171"/>
        <v>6</v>
      </c>
      <c r="D232">
        <f t="shared" ca="1" si="172"/>
        <v>2</v>
      </c>
      <c r="E232">
        <f t="shared" ca="1" si="173"/>
        <v>0</v>
      </c>
      <c r="F232">
        <f t="shared" ca="1" si="174"/>
        <v>0</v>
      </c>
      <c r="G232">
        <f t="shared" ca="1" si="175"/>
        <v>6</v>
      </c>
      <c r="H232">
        <f t="shared" ca="1" si="151"/>
        <v>0</v>
      </c>
      <c r="I232">
        <f t="shared" ca="1" si="152"/>
        <v>0</v>
      </c>
      <c r="J232" s="105" t="s">
        <v>29</v>
      </c>
      <c r="K232" s="97" t="str">
        <f t="shared" ca="1" si="176"/>
        <v>6.2.6.</v>
      </c>
      <c r="L232" s="110">
        <f t="shared" ca="1" si="177"/>
        <v>0</v>
      </c>
      <c r="M232" s="98" t="s">
        <v>78</v>
      </c>
      <c r="N232" s="112" t="s">
        <v>221</v>
      </c>
      <c r="O232" s="110" t="str">
        <f t="shared" ca="1" si="178"/>
        <v>Estagiarios</v>
      </c>
      <c r="P232" s="111" t="str">
        <f t="shared" ca="1" si="179"/>
        <v>hora</v>
      </c>
      <c r="Q232" s="107">
        <v>30</v>
      </c>
      <c r="R232" s="100">
        <f t="shared" ca="1" si="180"/>
        <v>8.26</v>
      </c>
      <c r="S232" s="109" t="s">
        <v>62</v>
      </c>
      <c r="T232" s="99">
        <f t="shared" ca="1" si="181"/>
        <v>10.33</v>
      </c>
      <c r="U232" s="102">
        <f t="shared" ca="1" si="182"/>
        <v>309.89999999999998</v>
      </c>
      <c r="W232" s="1" t="str">
        <f ca="1">IF(OR($A232=0,$A232="S",$A232&gt;CFF!$A$9),"",MAX(W$11:OFFSET(W232,-1,0))+1)</f>
        <v/>
      </c>
      <c r="X232" s="3" t="str">
        <f t="shared" si="183"/>
        <v>Rec. Humanos-005</v>
      </c>
      <c r="Y232" s="1">
        <f t="shared" ca="1" si="184"/>
        <v>7</v>
      </c>
      <c r="AA232" s="106">
        <f>IF($J232=$G$2,ROUND(IF(ISNUMBER(S232),S232,IF(LEFT(S232,2)="DI",HLOOKUP(S232,DADOS!$T$29:$X$30,2,FALSE),0)),4),"")</f>
        <v>0.25</v>
      </c>
      <c r="AB232" s="1"/>
    </row>
    <row r="233" spans="1:28" x14ac:dyDescent="0.2">
      <c r="A233" t="str">
        <f t="shared" si="169"/>
        <v>S</v>
      </c>
      <c r="B233">
        <f t="shared" si="170"/>
        <v>0</v>
      </c>
      <c r="C233">
        <f t="shared" ca="1" si="171"/>
        <v>6</v>
      </c>
      <c r="D233">
        <f t="shared" ca="1" si="172"/>
        <v>2</v>
      </c>
      <c r="E233">
        <f t="shared" ca="1" si="173"/>
        <v>0</v>
      </c>
      <c r="F233">
        <f t="shared" ca="1" si="174"/>
        <v>0</v>
      </c>
      <c r="G233">
        <f t="shared" ca="1" si="175"/>
        <v>7</v>
      </c>
      <c r="H233">
        <f t="shared" ca="1" si="151"/>
        <v>0</v>
      </c>
      <c r="I233">
        <f t="shared" ca="1" si="152"/>
        <v>0</v>
      </c>
      <c r="J233" s="105" t="s">
        <v>29</v>
      </c>
      <c r="K233" s="97" t="str">
        <f t="shared" ca="1" si="176"/>
        <v>6.2.7.</v>
      </c>
      <c r="L233" s="110">
        <f t="shared" ca="1" si="177"/>
        <v>0</v>
      </c>
      <c r="M233" s="98" t="s">
        <v>78</v>
      </c>
      <c r="N233" s="112" t="s">
        <v>221</v>
      </c>
      <c r="O233" s="110" t="str">
        <f t="shared" ca="1" si="178"/>
        <v>Estagiarios</v>
      </c>
      <c r="P233" s="111" t="str">
        <f t="shared" ca="1" si="179"/>
        <v>hora</v>
      </c>
      <c r="Q233" s="107">
        <v>30</v>
      </c>
      <c r="R233" s="100">
        <f t="shared" ca="1" si="180"/>
        <v>8.26</v>
      </c>
      <c r="S233" s="109" t="s">
        <v>62</v>
      </c>
      <c r="T233" s="99">
        <f t="shared" ca="1" si="181"/>
        <v>10.33</v>
      </c>
      <c r="U233" s="102">
        <f t="shared" ca="1" si="182"/>
        <v>309.89999999999998</v>
      </c>
      <c r="W233" s="1" t="str">
        <f ca="1">IF(OR($A233=0,$A233="S",$A233&gt;CFF!$A$9),"",MAX(W$11:OFFSET(W233,-1,0))+1)</f>
        <v/>
      </c>
      <c r="X233" s="3" t="str">
        <f t="shared" si="183"/>
        <v>Rec. Humanos-005</v>
      </c>
      <c r="Y233" s="1">
        <f t="shared" ca="1" si="184"/>
        <v>7</v>
      </c>
      <c r="AA233" s="106">
        <f>IF($J233=$G$2,ROUND(IF(ISNUMBER(S233),S233,IF(LEFT(S233,2)="DI",HLOOKUP(S233,DADOS!$T$29:$X$30,2,FALSE),0)),4),"")</f>
        <v>0.25</v>
      </c>
      <c r="AB233" s="1"/>
    </row>
    <row r="234" spans="1:28" x14ac:dyDescent="0.2">
      <c r="A234" t="str">
        <f t="shared" si="169"/>
        <v>S</v>
      </c>
      <c r="B234">
        <f t="shared" si="170"/>
        <v>0</v>
      </c>
      <c r="C234">
        <f t="shared" ca="1" si="171"/>
        <v>6</v>
      </c>
      <c r="D234">
        <f t="shared" ca="1" si="172"/>
        <v>2</v>
      </c>
      <c r="E234">
        <f t="shared" ca="1" si="173"/>
        <v>0</v>
      </c>
      <c r="F234">
        <f t="shared" ca="1" si="174"/>
        <v>0</v>
      </c>
      <c r="G234">
        <f t="shared" ca="1" si="175"/>
        <v>8</v>
      </c>
      <c r="H234">
        <f t="shared" ca="1" si="151"/>
        <v>0</v>
      </c>
      <c r="I234">
        <f t="shared" ca="1" si="152"/>
        <v>0</v>
      </c>
      <c r="J234" s="105" t="s">
        <v>29</v>
      </c>
      <c r="K234" s="97" t="str">
        <f t="shared" ca="1" si="176"/>
        <v>6.2.8.</v>
      </c>
      <c r="L234" s="110">
        <f t="shared" ca="1" si="177"/>
        <v>0</v>
      </c>
      <c r="M234" s="98" t="s">
        <v>79</v>
      </c>
      <c r="N234" s="112" t="s">
        <v>227</v>
      </c>
      <c r="O234" s="110" t="str">
        <f t="shared" ca="1" si="178"/>
        <v>Copo de agua 300 ml Lebrinha/Brunado</v>
      </c>
      <c r="P234" s="111" t="str">
        <f t="shared" ca="1" si="179"/>
        <v>UNIDADE</v>
      </c>
      <c r="Q234" s="107">
        <v>83</v>
      </c>
      <c r="R234" s="100">
        <f t="shared" ca="1" si="180"/>
        <v>4.2</v>
      </c>
      <c r="S234" s="109" t="s">
        <v>62</v>
      </c>
      <c r="T234" s="99">
        <f t="shared" ca="1" si="181"/>
        <v>5.25</v>
      </c>
      <c r="U234" s="102">
        <f t="shared" ca="1" si="182"/>
        <v>435.75</v>
      </c>
      <c r="W234" s="1" t="str">
        <f ca="1">IF(OR($A234=0,$A234="S",$A234&gt;CFF!$A$9),"",MAX(W$11:OFFSET(W234,-1,0))+1)</f>
        <v/>
      </c>
      <c r="X234" s="3" t="str">
        <f t="shared" si="183"/>
        <v>Rec. Materiais-014</v>
      </c>
      <c r="Y234" s="1">
        <f t="shared" ca="1" si="184"/>
        <v>21</v>
      </c>
      <c r="AA234" s="106">
        <f>IF($J234=$G$2,ROUND(IF(ISNUMBER(S234),S234,IF(LEFT(S234,2)="DI",HLOOKUP(S234,DADOS!$T$29:$X$30,2,FALSE),0)),4),"")</f>
        <v>0.25</v>
      </c>
      <c r="AB234" s="1"/>
    </row>
    <row r="235" spans="1:28" x14ac:dyDescent="0.2">
      <c r="A235" t="str">
        <f t="shared" si="169"/>
        <v>S</v>
      </c>
      <c r="B235">
        <f t="shared" si="170"/>
        <v>0</v>
      </c>
      <c r="C235">
        <f t="shared" ca="1" si="171"/>
        <v>6</v>
      </c>
      <c r="D235">
        <f t="shared" ca="1" si="172"/>
        <v>2</v>
      </c>
      <c r="E235">
        <f t="shared" ca="1" si="173"/>
        <v>0</v>
      </c>
      <c r="F235">
        <f t="shared" ca="1" si="174"/>
        <v>0</v>
      </c>
      <c r="G235">
        <f t="shared" ca="1" si="175"/>
        <v>9</v>
      </c>
      <c r="H235">
        <f t="shared" ca="1" si="151"/>
        <v>0</v>
      </c>
      <c r="I235">
        <f t="shared" ca="1" si="152"/>
        <v>0</v>
      </c>
      <c r="J235" s="105" t="s">
        <v>29</v>
      </c>
      <c r="K235" s="97" t="str">
        <f t="shared" ca="1" si="176"/>
        <v>6.2.9.</v>
      </c>
      <c r="L235" s="110">
        <f t="shared" ca="1" si="177"/>
        <v>0</v>
      </c>
      <c r="M235" s="98" t="s">
        <v>80</v>
      </c>
      <c r="N235" s="112" t="s">
        <v>231</v>
      </c>
      <c r="O235" s="110" t="str">
        <f t="shared" ca="1" si="178"/>
        <v xml:space="preserve">Impressão Colorida 1 folha </v>
      </c>
      <c r="P235" s="111" t="str">
        <f t="shared" ca="1" si="179"/>
        <v>unidade</v>
      </c>
      <c r="Q235" s="107">
        <v>521</v>
      </c>
      <c r="R235" s="100">
        <f t="shared" ca="1" si="180"/>
        <v>2.5</v>
      </c>
      <c r="S235" s="109" t="s">
        <v>62</v>
      </c>
      <c r="T235" s="99">
        <f t="shared" ca="1" si="181"/>
        <v>3.13</v>
      </c>
      <c r="U235" s="102">
        <f t="shared" ca="1" si="182"/>
        <v>1630.73</v>
      </c>
      <c r="W235" s="1" t="str">
        <f ca="1">IF(OR($A235=0,$A235="S",$A235&gt;CFF!$A$9),"",MAX(W$11:OFFSET(W235,-1,0))+1)</f>
        <v/>
      </c>
      <c r="X235" s="3" t="str">
        <f t="shared" si="183"/>
        <v>Serv. Terc.-004</v>
      </c>
      <c r="Y235" s="1">
        <f t="shared" ca="1" si="184"/>
        <v>50</v>
      </c>
      <c r="AA235" s="106">
        <f>IF($J235=$G$2,ROUND(IF(ISNUMBER(S235),S235,IF(LEFT(S235,2)="DI",HLOOKUP(S235,DADOS!$T$29:$X$30,2,FALSE),0)),4),"")</f>
        <v>0.25</v>
      </c>
      <c r="AB235" s="1"/>
    </row>
    <row r="236" spans="1:28" x14ac:dyDescent="0.2">
      <c r="A236" t="str">
        <f t="shared" ref="A236:A248" si="185">CHOOSE(1+LOG(1+2*(J236=$C$2)+4*(J236=$D$2)+8*(J236=$E$2)+16*(J236=$F$2)+32*(J236=$G$2),2),0,1,2,3,4,"S")</f>
        <v>S</v>
      </c>
      <c r="B236">
        <f t="shared" ref="B236:B248" si="186">IF(OR(A236="S",A236=0),0,IF(ISERROR(I236),H236,SMALL(H236:I236,1)))</f>
        <v>0</v>
      </c>
      <c r="C236">
        <f t="shared" ref="C236:C248" ca="1" si="187">IF($A236=1,OFFSET(C236,-1,0)+1,OFFSET(C236,-1,0))</f>
        <v>6</v>
      </c>
      <c r="D236">
        <f t="shared" ref="D236:D248" ca="1" si="188">IF($A236=1,0,IF($A236=2,OFFSET(D236,-1,0)+1,OFFSET(D236,-1,0)))</f>
        <v>2</v>
      </c>
      <c r="E236">
        <f t="shared" ref="E236:E248" ca="1" si="189">IF(AND($A236&lt;=2,$A236&lt;&gt;0),0,IF($A236=3,OFFSET(E236,-1,0)+1,OFFSET(E236,-1,0)))</f>
        <v>0</v>
      </c>
      <c r="F236">
        <f t="shared" ref="F236:F248" ca="1" si="190">IF(AND($A236&lt;=3,$A236&lt;&gt;0),0,IF($A236=4,OFFSET(F236,-1,0)+1,OFFSET(F236,-1,0)))</f>
        <v>0</v>
      </c>
      <c r="G236">
        <f t="shared" ref="G236:G248" ca="1" si="191">IF(AND($A236&lt;=4,$A236&lt;&gt;0),0,IF($A236="S",OFFSET(G236,-1,0)+1,OFFSET(G236,-1,0)))</f>
        <v>10</v>
      </c>
      <c r="H236">
        <f t="shared" ca="1" si="151"/>
        <v>0</v>
      </c>
      <c r="I236">
        <f t="shared" ca="1" si="152"/>
        <v>0</v>
      </c>
      <c r="J236" s="105" t="s">
        <v>29</v>
      </c>
      <c r="K236" s="97" t="str">
        <f t="shared" ref="K236:K248" ca="1" si="192">IF($A236=0,"-",CONCATENATE(C236&amp;".",IF(AND($A$5&gt;=2,$A236&gt;=2),D236&amp;".",""),IF(AND($A$5&gt;=3,$A236&gt;=3),E236&amp;".",""),IF(AND($A$5&gt;=4,$A236&gt;=4),F236&amp;".",""),IF($A236="S",G236&amp;".","")))</f>
        <v>6.2.10.</v>
      </c>
      <c r="L236" s="110">
        <f t="shared" ref="L236:L248" ca="1" si="193">IF(NOT(ISERROR($Y236)),IF($Y236&lt;&gt;FALSE,INDEX(Banco,$Y236,4),""),"")</f>
        <v>0</v>
      </c>
      <c r="M236" s="98" t="s">
        <v>80</v>
      </c>
      <c r="N236" s="112" t="s">
        <v>240</v>
      </c>
      <c r="O236" s="110" t="str">
        <f ca="1">IF(NOT(ISERROR($Y236)),IF($Y236&lt;&gt;FALSE,INDEX(Banco,$Y236,5),""),"")</f>
        <v>Combustivel</v>
      </c>
      <c r="P236" s="111" t="str">
        <f t="shared" ref="P236:P248" ca="1" si="194">IF(NOT(ISERROR($Y236)),IF($Y236&lt;&gt;FALSE,INDEX(Banco,$Y236,6),""),"")</f>
        <v>litro</v>
      </c>
      <c r="Q236" s="107">
        <v>100</v>
      </c>
      <c r="R236" s="100">
        <f t="shared" ref="R236:R248" ca="1" si="195">IF(NOT(ISERROR($Y236)),IF($Y236&lt;&gt;FALSE,INDEX(Banco,$Y236,7),0),0)</f>
        <v>3.99</v>
      </c>
      <c r="S236" s="109" t="s">
        <v>62</v>
      </c>
      <c r="T236" s="99">
        <f t="shared" ref="T236:T248" ca="1" si="196">IF($J236=$G$2,ROUND(ROUND($R236,2)*IF($R$9="Preço Unitário (R$)",1,1+$AA236),2),0)</f>
        <v>4.99</v>
      </c>
      <c r="U236" s="102">
        <f t="shared" ref="U236:U248" ca="1" si="197">IF($A236="S",VTOTAL1,IF($A236=0,0,ROUND(SomaAgrup,2)))</f>
        <v>499</v>
      </c>
      <c r="W236" s="1" t="str">
        <f ca="1">IF(OR($A236=0,$A236="S",$A236&gt;CFF!$A$9),"",MAX(W$11:OFFSET(W236,-1,0))+1)</f>
        <v/>
      </c>
      <c r="X236" s="3" t="str">
        <f t="shared" ref="X236:X248" si="198">IF(AND($J236=$G$2,$N236&lt;&gt;"",$M236&lt;&gt;""),CONCATENATE($M236,"-",$N236))</f>
        <v>Serv. Terc.-027</v>
      </c>
      <c r="Y236" s="1">
        <f t="shared" ref="Y236:Y248" ca="1" si="199">IF(X236&lt;&gt;FALSE,MATCH(X236,OFFSET(Banco,0,0,,1),0))</f>
        <v>73</v>
      </c>
      <c r="AA236" s="106">
        <f>IF($J236=$G$2,ROUND(IF(ISNUMBER(S236),S236,IF(LEFT(S236,2)="DI",HLOOKUP(S236,DADOS!$T$29:$X$30,2,FALSE),0)),4),"")</f>
        <v>0.25</v>
      </c>
      <c r="AB236" s="1"/>
    </row>
    <row r="237" spans="1:28" ht="25.5" x14ac:dyDescent="0.2">
      <c r="A237">
        <f t="shared" si="185"/>
        <v>1</v>
      </c>
      <c r="B237">
        <f t="shared" ca="1" si="186"/>
        <v>35</v>
      </c>
      <c r="C237">
        <f t="shared" ca="1" si="187"/>
        <v>7</v>
      </c>
      <c r="D237">
        <f t="shared" ca="1" si="188"/>
        <v>0</v>
      </c>
      <c r="E237">
        <f t="shared" ca="1" si="189"/>
        <v>0</v>
      </c>
      <c r="F237">
        <f t="shared" ca="1" si="190"/>
        <v>0</v>
      </c>
      <c r="G237">
        <f t="shared" ca="1" si="191"/>
        <v>0</v>
      </c>
      <c r="H237">
        <f t="shared" ca="1" si="151"/>
        <v>130</v>
      </c>
      <c r="I237">
        <f t="shared" ca="1" si="152"/>
        <v>35</v>
      </c>
      <c r="J237" s="105" t="s">
        <v>67</v>
      </c>
      <c r="K237" s="97" t="str">
        <f t="shared" ca="1" si="192"/>
        <v>7.</v>
      </c>
      <c r="L237" s="110" t="str">
        <f t="shared" ca="1" si="193"/>
        <v/>
      </c>
      <c r="M237" s="98"/>
      <c r="N237" s="112"/>
      <c r="O237" s="110" t="s">
        <v>281</v>
      </c>
      <c r="P237" s="111" t="str">
        <f t="shared" ca="1" si="194"/>
        <v/>
      </c>
      <c r="Q237" s="107"/>
      <c r="R237" s="100">
        <f t="shared" ca="1" si="195"/>
        <v>0</v>
      </c>
      <c r="S237" s="109" t="s">
        <v>62</v>
      </c>
      <c r="T237" s="99">
        <f t="shared" si="196"/>
        <v>0</v>
      </c>
      <c r="U237" s="102">
        <f t="shared" ca="1" si="197"/>
        <v>27405.42</v>
      </c>
      <c r="W237" s="1">
        <f ca="1">IF(OR($A237=0,$A237="S",$A237&gt;CFF!$A$9),"",MAX(W$11:OFFSET(W237,-1,0))+1)</f>
        <v>18</v>
      </c>
      <c r="X237" s="3" t="b">
        <f t="shared" si="198"/>
        <v>0</v>
      </c>
      <c r="Y237" s="1" t="b">
        <f t="shared" ca="1" si="199"/>
        <v>0</v>
      </c>
      <c r="AA237" s="106" t="str">
        <f>IF($J237=$G$2,ROUND(IF(ISNUMBER(S237),S237,IF(LEFT(S237,2)="DI",HLOOKUP(S237,DADOS!$T$29:$X$30,2,FALSE),0)),4),"")</f>
        <v/>
      </c>
      <c r="AB237" s="1"/>
    </row>
    <row r="238" spans="1:28" x14ac:dyDescent="0.2">
      <c r="A238">
        <f t="shared" si="185"/>
        <v>2</v>
      </c>
      <c r="B238">
        <f t="shared" ca="1" si="186"/>
        <v>6</v>
      </c>
      <c r="C238">
        <f t="shared" ca="1" si="187"/>
        <v>7</v>
      </c>
      <c r="D238">
        <f t="shared" ca="1" si="188"/>
        <v>1</v>
      </c>
      <c r="E238">
        <f t="shared" ca="1" si="189"/>
        <v>0</v>
      </c>
      <c r="F238">
        <f t="shared" ca="1" si="190"/>
        <v>0</v>
      </c>
      <c r="G238">
        <f t="shared" ca="1" si="191"/>
        <v>0</v>
      </c>
      <c r="H238">
        <f t="shared" ca="1" si="151"/>
        <v>34</v>
      </c>
      <c r="I238">
        <f t="shared" ca="1" si="152"/>
        <v>6</v>
      </c>
      <c r="J238" s="105" t="s">
        <v>68</v>
      </c>
      <c r="K238" s="97" t="str">
        <f t="shared" ca="1" si="192"/>
        <v>7.1.</v>
      </c>
      <c r="L238" s="110" t="str">
        <f t="shared" ca="1" si="193"/>
        <v/>
      </c>
      <c r="M238" s="98"/>
      <c r="N238" s="112"/>
      <c r="O238" s="110" t="s">
        <v>278</v>
      </c>
      <c r="P238" s="111" t="str">
        <f t="shared" ca="1" si="194"/>
        <v/>
      </c>
      <c r="Q238" s="107"/>
      <c r="R238" s="100">
        <f t="shared" ca="1" si="195"/>
        <v>0</v>
      </c>
      <c r="S238" s="109" t="s">
        <v>62</v>
      </c>
      <c r="T238" s="99">
        <f t="shared" si="196"/>
        <v>0</v>
      </c>
      <c r="U238" s="102">
        <f t="shared" ca="1" si="197"/>
        <v>9313.43</v>
      </c>
      <c r="W238" s="1">
        <f ca="1">IF(OR($A238=0,$A238="S",$A238&gt;CFF!$A$9),"",MAX(W$11:OFFSET(W238,-1,0))+1)</f>
        <v>19</v>
      </c>
      <c r="X238" s="3" t="b">
        <f t="shared" si="198"/>
        <v>0</v>
      </c>
      <c r="Y238" s="1" t="b">
        <f t="shared" ca="1" si="199"/>
        <v>0</v>
      </c>
      <c r="AA238" s="106" t="str">
        <f>IF($J238=$G$2,ROUND(IF(ISNUMBER(S238),S238,IF(LEFT(S238,2)="DI",HLOOKUP(S238,DADOS!$T$29:$X$30,2,FALSE),0)),4),"")</f>
        <v/>
      </c>
      <c r="AB238" s="1"/>
    </row>
    <row r="239" spans="1:28" x14ac:dyDescent="0.2">
      <c r="A239" t="str">
        <f t="shared" si="185"/>
        <v>S</v>
      </c>
      <c r="B239">
        <f t="shared" si="186"/>
        <v>0</v>
      </c>
      <c r="C239">
        <f t="shared" ca="1" si="187"/>
        <v>7</v>
      </c>
      <c r="D239">
        <f t="shared" ca="1" si="188"/>
        <v>1</v>
      </c>
      <c r="E239">
        <f t="shared" ca="1" si="189"/>
        <v>0</v>
      </c>
      <c r="F239">
        <f t="shared" ca="1" si="190"/>
        <v>0</v>
      </c>
      <c r="G239">
        <f t="shared" ca="1" si="191"/>
        <v>1</v>
      </c>
      <c r="H239">
        <f t="shared" ca="1" si="151"/>
        <v>0</v>
      </c>
      <c r="I239">
        <f t="shared" ca="1" si="152"/>
        <v>0</v>
      </c>
      <c r="J239" s="105" t="s">
        <v>29</v>
      </c>
      <c r="K239" s="97" t="str">
        <f t="shared" ca="1" si="192"/>
        <v>7.1.1.</v>
      </c>
      <c r="L239" s="110" t="str">
        <f t="shared" ca="1" si="193"/>
        <v>CRESS</v>
      </c>
      <c r="M239" s="98" t="s">
        <v>78</v>
      </c>
      <c r="N239" s="112" t="s">
        <v>218</v>
      </c>
      <c r="O239" s="110" t="str">
        <f ca="1">IF(NOT(ISERROR($Y239)),IF($Y239&lt;&gt;FALSE,INDEX(Banco,$Y239,5),""),"")</f>
        <v>RT</v>
      </c>
      <c r="P239" s="111" t="str">
        <f t="shared" ca="1" si="194"/>
        <v>hora</v>
      </c>
      <c r="Q239" s="107">
        <v>20</v>
      </c>
      <c r="R239" s="100">
        <f t="shared" ca="1" si="195"/>
        <v>150.28</v>
      </c>
      <c r="S239" s="109" t="s">
        <v>62</v>
      </c>
      <c r="T239" s="99">
        <f t="shared" ca="1" si="196"/>
        <v>187.85</v>
      </c>
      <c r="U239" s="102">
        <f t="shared" ca="1" si="197"/>
        <v>3757</v>
      </c>
      <c r="W239" s="1" t="str">
        <f ca="1">IF(OR($A239=0,$A239="S",$A239&gt;CFF!$A$9),"",MAX(W$11:OFFSET(W239,-1,0))+1)</f>
        <v/>
      </c>
      <c r="X239" s="3" t="str">
        <f t="shared" si="198"/>
        <v>Rec. Humanos-001</v>
      </c>
      <c r="Y239" s="1">
        <f t="shared" ca="1" si="199"/>
        <v>3</v>
      </c>
      <c r="AA239" s="106">
        <f>IF($J239=$G$2,ROUND(IF(ISNUMBER(S239),S239,IF(LEFT(S239,2)="DI",HLOOKUP(S239,DADOS!$T$29:$X$30,2,FALSE),0)),4),"")</f>
        <v>0.25</v>
      </c>
      <c r="AB239" s="1"/>
    </row>
    <row r="240" spans="1:28" x14ac:dyDescent="0.2">
      <c r="A240" t="str">
        <f t="shared" si="185"/>
        <v>S</v>
      </c>
      <c r="B240">
        <f t="shared" si="186"/>
        <v>0</v>
      </c>
      <c r="C240">
        <f t="shared" ca="1" si="187"/>
        <v>7</v>
      </c>
      <c r="D240">
        <f t="shared" ca="1" si="188"/>
        <v>1</v>
      </c>
      <c r="E240">
        <f t="shared" ca="1" si="189"/>
        <v>0</v>
      </c>
      <c r="F240">
        <f t="shared" ca="1" si="190"/>
        <v>0</v>
      </c>
      <c r="G240">
        <f t="shared" ca="1" si="191"/>
        <v>2</v>
      </c>
      <c r="H240">
        <f t="shared" ca="1" si="151"/>
        <v>0</v>
      </c>
      <c r="I240">
        <f t="shared" ca="1" si="152"/>
        <v>0</v>
      </c>
      <c r="J240" s="105" t="s">
        <v>29</v>
      </c>
      <c r="K240" s="97" t="str">
        <f t="shared" ca="1" si="192"/>
        <v>7.1.2.</v>
      </c>
      <c r="L240" s="110">
        <f t="shared" ca="1" si="193"/>
        <v>0</v>
      </c>
      <c r="M240" s="98" t="s">
        <v>78</v>
      </c>
      <c r="N240" s="112" t="s">
        <v>219</v>
      </c>
      <c r="O240" s="110" t="str">
        <f ca="1">IF(NOT(ISERROR($Y240)),IF($Y240&lt;&gt;FALSE,INDEX(Banco,$Y240,5),""),"")</f>
        <v>Assistente Social</v>
      </c>
      <c r="P240" s="111" t="str">
        <f t="shared" ca="1" si="194"/>
        <v>hora</v>
      </c>
      <c r="Q240" s="107">
        <v>15</v>
      </c>
      <c r="R240" s="100">
        <f t="shared" ca="1" si="195"/>
        <v>133.81</v>
      </c>
      <c r="S240" s="109" t="s">
        <v>62</v>
      </c>
      <c r="T240" s="99">
        <f t="shared" ca="1" si="196"/>
        <v>167.26</v>
      </c>
      <c r="U240" s="102">
        <f t="shared" ca="1" si="197"/>
        <v>2508.9</v>
      </c>
      <c r="W240" s="1" t="str">
        <f ca="1">IF(OR($A240=0,$A240="S",$A240&gt;CFF!$A$9),"",MAX(W$11:OFFSET(W240,-1,0))+1)</f>
        <v/>
      </c>
      <c r="X240" s="3" t="str">
        <f t="shared" si="198"/>
        <v>Rec. Humanos-002</v>
      </c>
      <c r="Y240" s="1">
        <f t="shared" ca="1" si="199"/>
        <v>4</v>
      </c>
      <c r="AA240" s="106">
        <f>IF($J240=$G$2,ROUND(IF(ISNUMBER(S240),S240,IF(LEFT(S240,2)="DI",HLOOKUP(S240,DADOS!$T$29:$X$30,2,FALSE),0)),4),"")</f>
        <v>0.25</v>
      </c>
      <c r="AB240" s="1"/>
    </row>
    <row r="241" spans="1:28" x14ac:dyDescent="0.2">
      <c r="A241" t="str">
        <f t="shared" si="185"/>
        <v>S</v>
      </c>
      <c r="B241">
        <f t="shared" si="186"/>
        <v>0</v>
      </c>
      <c r="C241">
        <f t="shared" ca="1" si="187"/>
        <v>7</v>
      </c>
      <c r="D241">
        <f t="shared" ca="1" si="188"/>
        <v>1</v>
      </c>
      <c r="E241">
        <f t="shared" ca="1" si="189"/>
        <v>0</v>
      </c>
      <c r="F241">
        <f t="shared" ca="1" si="190"/>
        <v>0</v>
      </c>
      <c r="G241">
        <f t="shared" ca="1" si="191"/>
        <v>3</v>
      </c>
      <c r="H241">
        <f t="shared" ca="1" si="151"/>
        <v>0</v>
      </c>
      <c r="I241">
        <f t="shared" ca="1" si="152"/>
        <v>0</v>
      </c>
      <c r="J241" s="105" t="s">
        <v>29</v>
      </c>
      <c r="K241" s="97" t="str">
        <f t="shared" ca="1" si="192"/>
        <v>7.1.3.</v>
      </c>
      <c r="L241" s="110">
        <f t="shared" ca="1" si="193"/>
        <v>0</v>
      </c>
      <c r="M241" s="98" t="s">
        <v>78</v>
      </c>
      <c r="N241" s="112" t="s">
        <v>220</v>
      </c>
      <c r="O241" s="110" t="str">
        <f ca="1">IF(NOT(ISERROR($Y241)),IF($Y241&lt;&gt;FALSE,INDEX(Banco,$Y241,5),""),"")</f>
        <v>Administrativo</v>
      </c>
      <c r="P241" s="111" t="str">
        <f t="shared" ca="1" si="194"/>
        <v>mensal</v>
      </c>
      <c r="Q241" s="107">
        <v>1</v>
      </c>
      <c r="R241" s="100">
        <f t="shared" ca="1" si="195"/>
        <v>1463.5</v>
      </c>
      <c r="S241" s="109" t="s">
        <v>62</v>
      </c>
      <c r="T241" s="99">
        <f t="shared" ca="1" si="196"/>
        <v>1829.38</v>
      </c>
      <c r="U241" s="102">
        <f t="shared" ca="1" si="197"/>
        <v>1829.38</v>
      </c>
      <c r="W241" s="1" t="str">
        <f ca="1">IF(OR($A241=0,$A241="S",$A241&gt;CFF!$A$9),"",MAX(W$11:OFFSET(W241,-1,0))+1)</f>
        <v/>
      </c>
      <c r="X241" s="3" t="str">
        <f t="shared" si="198"/>
        <v>Rec. Humanos-003</v>
      </c>
      <c r="Y241" s="1">
        <f t="shared" ca="1" si="199"/>
        <v>5</v>
      </c>
      <c r="AA241" s="106">
        <f>IF($J241=$G$2,ROUND(IF(ISNUMBER(S241),S241,IF(LEFT(S241,2)="DI",HLOOKUP(S241,DADOS!$T$29:$X$30,2,FALSE),0)),4),"")</f>
        <v>0.25</v>
      </c>
      <c r="AB241" s="1"/>
    </row>
    <row r="242" spans="1:28" x14ac:dyDescent="0.2">
      <c r="A242" t="str">
        <f t="shared" si="185"/>
        <v>S</v>
      </c>
      <c r="B242">
        <f t="shared" si="186"/>
        <v>0</v>
      </c>
      <c r="C242">
        <f t="shared" ca="1" si="187"/>
        <v>7</v>
      </c>
      <c r="D242">
        <f t="shared" ca="1" si="188"/>
        <v>1</v>
      </c>
      <c r="E242">
        <f t="shared" ca="1" si="189"/>
        <v>0</v>
      </c>
      <c r="F242">
        <f t="shared" ca="1" si="190"/>
        <v>0</v>
      </c>
      <c r="G242">
        <f t="shared" ca="1" si="191"/>
        <v>4</v>
      </c>
      <c r="H242">
        <f t="shared" ca="1" si="151"/>
        <v>0</v>
      </c>
      <c r="I242">
        <f t="shared" ca="1" si="152"/>
        <v>0</v>
      </c>
      <c r="J242" s="105" t="s">
        <v>29</v>
      </c>
      <c r="K242" s="97" t="str">
        <f t="shared" ca="1" si="192"/>
        <v>7.1.4.</v>
      </c>
      <c r="L242" s="110">
        <f t="shared" ca="1" si="193"/>
        <v>0</v>
      </c>
      <c r="M242" s="98" t="s">
        <v>78</v>
      </c>
      <c r="N242" s="112" t="s">
        <v>231</v>
      </c>
      <c r="O242" s="110" t="str">
        <f ca="1">IF(NOT(ISERROR($Y242)),IF($Y242&lt;&gt;FALSE,INDEX(Banco,$Y242,5),""),"")</f>
        <v>Biólogo</v>
      </c>
      <c r="P242" s="111" t="str">
        <f t="shared" ca="1" si="194"/>
        <v>hora</v>
      </c>
      <c r="Q242" s="107">
        <v>15</v>
      </c>
      <c r="R242" s="100">
        <f t="shared" ca="1" si="195"/>
        <v>14.97</v>
      </c>
      <c r="S242" s="109" t="s">
        <v>62</v>
      </c>
      <c r="T242" s="99">
        <f t="shared" ca="1" si="196"/>
        <v>18.71</v>
      </c>
      <c r="U242" s="102">
        <f t="shared" ca="1" si="197"/>
        <v>280.64999999999998</v>
      </c>
      <c r="W242" s="1" t="str">
        <f ca="1">IF(OR($A242=0,$A242="S",$A242&gt;CFF!$A$9),"",MAX(W$11:OFFSET(W242,-1,0))+1)</f>
        <v/>
      </c>
      <c r="X242" s="3" t="str">
        <f t="shared" si="198"/>
        <v>Rec. Humanos-004</v>
      </c>
      <c r="Y242" s="1">
        <f t="shared" ca="1" si="199"/>
        <v>6</v>
      </c>
      <c r="AA242" s="106">
        <f>IF($J242=$G$2,ROUND(IF(ISNUMBER(S242),S242,IF(LEFT(S242,2)="DI",HLOOKUP(S242,DADOS!$T$29:$X$30,2,FALSE),0)),4),"")</f>
        <v>0.25</v>
      </c>
      <c r="AB242" s="1"/>
    </row>
    <row r="243" spans="1:28" x14ac:dyDescent="0.2">
      <c r="A243" t="str">
        <f t="shared" si="185"/>
        <v>S</v>
      </c>
      <c r="B243">
        <f t="shared" si="186"/>
        <v>0</v>
      </c>
      <c r="C243">
        <f t="shared" ca="1" si="187"/>
        <v>7</v>
      </c>
      <c r="D243">
        <f t="shared" ca="1" si="188"/>
        <v>1</v>
      </c>
      <c r="E243">
        <f t="shared" ca="1" si="189"/>
        <v>0</v>
      </c>
      <c r="F243">
        <f t="shared" ca="1" si="190"/>
        <v>0</v>
      </c>
      <c r="G243">
        <f t="shared" ca="1" si="191"/>
        <v>5</v>
      </c>
      <c r="H243">
        <f t="shared" ca="1" si="151"/>
        <v>0</v>
      </c>
      <c r="I243">
        <f t="shared" ca="1" si="152"/>
        <v>0</v>
      </c>
      <c r="J243" s="105" t="s">
        <v>29</v>
      </c>
      <c r="K243" s="97" t="str">
        <f t="shared" ca="1" si="192"/>
        <v>7.1.5.</v>
      </c>
      <c r="L243" s="110">
        <f t="shared" ca="1" si="193"/>
        <v>0</v>
      </c>
      <c r="M243" s="98" t="s">
        <v>80</v>
      </c>
      <c r="N243" s="112" t="s">
        <v>260</v>
      </c>
      <c r="O243" s="110" t="str">
        <f ca="1">IF(NOT(ISERROR($Y243)),IF($Y243&lt;&gt;FALSE,INDEX(Banco,$Y243,5),""),"")</f>
        <v>Instrutora de sabao de oleo usado</v>
      </c>
      <c r="P243" s="111" t="str">
        <f t="shared" ca="1" si="194"/>
        <v>curso</v>
      </c>
      <c r="Q243" s="107">
        <v>1</v>
      </c>
      <c r="R243" s="100">
        <f t="shared" ca="1" si="195"/>
        <v>750</v>
      </c>
      <c r="S243" s="109" t="s">
        <v>62</v>
      </c>
      <c r="T243" s="99">
        <f t="shared" ca="1" si="196"/>
        <v>937.5</v>
      </c>
      <c r="U243" s="102">
        <f t="shared" ca="1" si="197"/>
        <v>937.5</v>
      </c>
      <c r="W243" s="1" t="str">
        <f ca="1">IF(OR($A243=0,$A243="S",$A243&gt;CFF!$A$9),"",MAX(W$11:OFFSET(W243,-1,0))+1)</f>
        <v/>
      </c>
      <c r="X243" s="3" t="str">
        <f t="shared" si="198"/>
        <v>Serv. Terc.-029</v>
      </c>
      <c r="Y243" s="1">
        <f t="shared" ca="1" si="199"/>
        <v>75</v>
      </c>
      <c r="AA243" s="106">
        <f>IF($J243=$G$2,ROUND(IF(ISNUMBER(S243),S243,IF(LEFT(S243,2)="DI",HLOOKUP(S243,DADOS!$T$29:$X$30,2,FALSE),0)),4),"")</f>
        <v>0.25</v>
      </c>
      <c r="AB243" s="1"/>
    </row>
    <row r="244" spans="1:28" x14ac:dyDescent="0.2">
      <c r="A244">
        <f t="shared" si="185"/>
        <v>2</v>
      </c>
      <c r="B244">
        <f t="shared" ca="1" si="186"/>
        <v>28</v>
      </c>
      <c r="C244">
        <f t="shared" ca="1" si="187"/>
        <v>7</v>
      </c>
      <c r="D244">
        <f t="shared" ca="1" si="188"/>
        <v>2</v>
      </c>
      <c r="E244">
        <f t="shared" ca="1" si="189"/>
        <v>0</v>
      </c>
      <c r="F244">
        <f t="shared" ca="1" si="190"/>
        <v>0</v>
      </c>
      <c r="G244">
        <f t="shared" ca="1" si="191"/>
        <v>0</v>
      </c>
      <c r="H244">
        <f t="shared" ca="1" si="151"/>
        <v>28</v>
      </c>
      <c r="I244" t="e">
        <f t="shared" ca="1" si="152"/>
        <v>#N/A</v>
      </c>
      <c r="J244" s="105" t="s">
        <v>68</v>
      </c>
      <c r="K244" s="97" t="str">
        <f t="shared" ca="1" si="192"/>
        <v>7.2.</v>
      </c>
      <c r="L244" s="110" t="str">
        <f t="shared" ca="1" si="193"/>
        <v/>
      </c>
      <c r="M244" s="98"/>
      <c r="N244" s="112"/>
      <c r="O244" s="110" t="s">
        <v>279</v>
      </c>
      <c r="P244" s="111" t="str">
        <f t="shared" ca="1" si="194"/>
        <v/>
      </c>
      <c r="Q244" s="107"/>
      <c r="R244" s="100">
        <f t="shared" ca="1" si="195"/>
        <v>0</v>
      </c>
      <c r="S244" s="109" t="s">
        <v>62</v>
      </c>
      <c r="T244" s="99">
        <f t="shared" si="196"/>
        <v>0</v>
      </c>
      <c r="U244" s="102">
        <f t="shared" ca="1" si="197"/>
        <v>18091.990000000002</v>
      </c>
      <c r="W244" s="1">
        <f ca="1">IF(OR($A244=0,$A244="S",$A244&gt;CFF!$A$9),"",MAX(W$11:OFFSET(W244,-1,0))+1)</f>
        <v>20</v>
      </c>
      <c r="X244" s="3" t="b">
        <f t="shared" si="198"/>
        <v>0</v>
      </c>
      <c r="Y244" s="1" t="b">
        <f t="shared" ca="1" si="199"/>
        <v>0</v>
      </c>
      <c r="AA244" s="106" t="str">
        <f>IF($J244=$G$2,ROUND(IF(ISNUMBER(S244),S244,IF(LEFT(S244,2)="DI",HLOOKUP(S244,DADOS!$T$29:$X$30,2,FALSE),0)),4),"")</f>
        <v/>
      </c>
      <c r="AB244" s="1"/>
    </row>
    <row r="245" spans="1:28" x14ac:dyDescent="0.2">
      <c r="A245" t="str">
        <f t="shared" si="185"/>
        <v>S</v>
      </c>
      <c r="B245">
        <f t="shared" si="186"/>
        <v>0</v>
      </c>
      <c r="C245">
        <f t="shared" ca="1" si="187"/>
        <v>7</v>
      </c>
      <c r="D245">
        <f t="shared" ca="1" si="188"/>
        <v>2</v>
      </c>
      <c r="E245">
        <f t="shared" ca="1" si="189"/>
        <v>0</v>
      </c>
      <c r="F245">
        <f t="shared" ca="1" si="190"/>
        <v>0</v>
      </c>
      <c r="G245">
        <f t="shared" ca="1" si="191"/>
        <v>1</v>
      </c>
      <c r="H245">
        <f t="shared" ca="1" si="151"/>
        <v>0</v>
      </c>
      <c r="I245">
        <f t="shared" ca="1" si="152"/>
        <v>0</v>
      </c>
      <c r="J245" s="105" t="s">
        <v>29</v>
      </c>
      <c r="K245" s="97" t="str">
        <f t="shared" ca="1" si="192"/>
        <v>7.2.1.</v>
      </c>
      <c r="L245" s="110" t="str">
        <f t="shared" ca="1" si="193"/>
        <v>CRESS</v>
      </c>
      <c r="M245" s="98" t="s">
        <v>78</v>
      </c>
      <c r="N245" s="112" t="s">
        <v>218</v>
      </c>
      <c r="O245" s="110" t="str">
        <f t="shared" ref="O245:O271" ca="1" si="200">IF(NOT(ISERROR($Y245)),IF($Y245&lt;&gt;FALSE,INDEX(Banco,$Y245,5),""),"")</f>
        <v>RT</v>
      </c>
      <c r="P245" s="111" t="str">
        <f t="shared" ca="1" si="194"/>
        <v>hora</v>
      </c>
      <c r="Q245" s="107">
        <v>20</v>
      </c>
      <c r="R245" s="100">
        <f t="shared" ca="1" si="195"/>
        <v>150.28</v>
      </c>
      <c r="S245" s="109" t="s">
        <v>62</v>
      </c>
      <c r="T245" s="99">
        <f t="shared" ca="1" si="196"/>
        <v>187.85</v>
      </c>
      <c r="U245" s="102">
        <f t="shared" ca="1" si="197"/>
        <v>3757</v>
      </c>
      <c r="W245" s="1" t="str">
        <f ca="1">IF(OR($A245=0,$A245="S",$A245&gt;CFF!$A$9),"",MAX(W$11:OFFSET(W245,-1,0))+1)</f>
        <v/>
      </c>
      <c r="X245" s="3" t="str">
        <f t="shared" si="198"/>
        <v>Rec. Humanos-001</v>
      </c>
      <c r="Y245" s="1">
        <f t="shared" ca="1" si="199"/>
        <v>3</v>
      </c>
      <c r="AA245" s="106">
        <f>IF($J245=$G$2,ROUND(IF(ISNUMBER(S245),S245,IF(LEFT(S245,2)="DI",HLOOKUP(S245,DADOS!$T$29:$X$30,2,FALSE),0)),4),"")</f>
        <v>0.25</v>
      </c>
      <c r="AB245" s="1"/>
    </row>
    <row r="246" spans="1:28" x14ac:dyDescent="0.2">
      <c r="A246" t="str">
        <f t="shared" si="185"/>
        <v>S</v>
      </c>
      <c r="B246">
        <f t="shared" si="186"/>
        <v>0</v>
      </c>
      <c r="C246">
        <f t="shared" ca="1" si="187"/>
        <v>7</v>
      </c>
      <c r="D246">
        <f t="shared" ca="1" si="188"/>
        <v>2</v>
      </c>
      <c r="E246">
        <f t="shared" ca="1" si="189"/>
        <v>0</v>
      </c>
      <c r="F246">
        <f t="shared" ca="1" si="190"/>
        <v>0</v>
      </c>
      <c r="G246">
        <f t="shared" ca="1" si="191"/>
        <v>2</v>
      </c>
      <c r="H246">
        <f t="shared" ca="1" si="151"/>
        <v>0</v>
      </c>
      <c r="I246">
        <f t="shared" ca="1" si="152"/>
        <v>0</v>
      </c>
      <c r="J246" s="105" t="s">
        <v>29</v>
      </c>
      <c r="K246" s="97" t="str">
        <f t="shared" ca="1" si="192"/>
        <v>7.2.2.</v>
      </c>
      <c r="L246" s="110">
        <f t="shared" ca="1" si="193"/>
        <v>0</v>
      </c>
      <c r="M246" s="98" t="s">
        <v>78</v>
      </c>
      <c r="N246" s="112" t="s">
        <v>219</v>
      </c>
      <c r="O246" s="110" t="str">
        <f t="shared" ca="1" si="200"/>
        <v>Assistente Social</v>
      </c>
      <c r="P246" s="111" t="str">
        <f t="shared" ca="1" si="194"/>
        <v>hora</v>
      </c>
      <c r="Q246" s="107">
        <v>20</v>
      </c>
      <c r="R246" s="100">
        <f t="shared" ca="1" si="195"/>
        <v>133.81</v>
      </c>
      <c r="S246" s="109" t="s">
        <v>62</v>
      </c>
      <c r="T246" s="99">
        <f t="shared" ca="1" si="196"/>
        <v>167.26</v>
      </c>
      <c r="U246" s="102">
        <f t="shared" ca="1" si="197"/>
        <v>3345.2</v>
      </c>
      <c r="W246" s="1" t="str">
        <f ca="1">IF(OR($A246=0,$A246="S",$A246&gt;CFF!$A$9),"",MAX(W$11:OFFSET(W246,-1,0))+1)</f>
        <v/>
      </c>
      <c r="X246" s="3" t="str">
        <f t="shared" si="198"/>
        <v>Rec. Humanos-002</v>
      </c>
      <c r="Y246" s="1">
        <f t="shared" ca="1" si="199"/>
        <v>4</v>
      </c>
      <c r="AA246" s="106">
        <f>IF($J246=$G$2,ROUND(IF(ISNUMBER(S246),S246,IF(LEFT(S246,2)="DI",HLOOKUP(S246,DADOS!$T$29:$X$30,2,FALSE),0)),4),"")</f>
        <v>0.25</v>
      </c>
      <c r="AB246" s="1"/>
    </row>
    <row r="247" spans="1:28" x14ac:dyDescent="0.2">
      <c r="A247" t="str">
        <f t="shared" si="185"/>
        <v>S</v>
      </c>
      <c r="B247">
        <f t="shared" si="186"/>
        <v>0</v>
      </c>
      <c r="C247">
        <f t="shared" ca="1" si="187"/>
        <v>7</v>
      </c>
      <c r="D247">
        <f t="shared" ca="1" si="188"/>
        <v>2</v>
      </c>
      <c r="E247">
        <f t="shared" ca="1" si="189"/>
        <v>0</v>
      </c>
      <c r="F247">
        <f t="shared" ca="1" si="190"/>
        <v>0</v>
      </c>
      <c r="G247">
        <f t="shared" ca="1" si="191"/>
        <v>3</v>
      </c>
      <c r="H247">
        <f t="shared" ca="1" si="151"/>
        <v>0</v>
      </c>
      <c r="I247">
        <f t="shared" ca="1" si="152"/>
        <v>0</v>
      </c>
      <c r="J247" s="105" t="s">
        <v>29</v>
      </c>
      <c r="K247" s="97" t="str">
        <f t="shared" ca="1" si="192"/>
        <v>7.2.3.</v>
      </c>
      <c r="L247" s="110">
        <f t="shared" ca="1" si="193"/>
        <v>0</v>
      </c>
      <c r="M247" s="98" t="s">
        <v>78</v>
      </c>
      <c r="N247" s="112" t="s">
        <v>220</v>
      </c>
      <c r="O247" s="110" t="str">
        <f t="shared" ca="1" si="200"/>
        <v>Administrativo</v>
      </c>
      <c r="P247" s="111" t="str">
        <f t="shared" ca="1" si="194"/>
        <v>mensal</v>
      </c>
      <c r="Q247" s="107">
        <v>1</v>
      </c>
      <c r="R247" s="100">
        <f t="shared" ca="1" si="195"/>
        <v>1463.5</v>
      </c>
      <c r="S247" s="109" t="s">
        <v>62</v>
      </c>
      <c r="T247" s="99">
        <f t="shared" ca="1" si="196"/>
        <v>1829.38</v>
      </c>
      <c r="U247" s="102">
        <f t="shared" ca="1" si="197"/>
        <v>1829.38</v>
      </c>
      <c r="W247" s="1" t="str">
        <f ca="1">IF(OR($A247=0,$A247="S",$A247&gt;CFF!$A$9),"",MAX(W$11:OFFSET(W247,-1,0))+1)</f>
        <v/>
      </c>
      <c r="X247" s="3" t="str">
        <f t="shared" si="198"/>
        <v>Rec. Humanos-003</v>
      </c>
      <c r="Y247" s="1">
        <f t="shared" ca="1" si="199"/>
        <v>5</v>
      </c>
      <c r="AA247" s="106">
        <f>IF($J247=$G$2,ROUND(IF(ISNUMBER(S247),S247,IF(LEFT(S247,2)="DI",HLOOKUP(S247,DADOS!$T$29:$X$30,2,FALSE),0)),4),"")</f>
        <v>0.25</v>
      </c>
      <c r="AB247" s="1"/>
    </row>
    <row r="248" spans="1:28" x14ac:dyDescent="0.2">
      <c r="A248" t="str">
        <f t="shared" si="185"/>
        <v>S</v>
      </c>
      <c r="B248">
        <f t="shared" si="186"/>
        <v>0</v>
      </c>
      <c r="C248">
        <f t="shared" ca="1" si="187"/>
        <v>7</v>
      </c>
      <c r="D248">
        <f t="shared" ca="1" si="188"/>
        <v>2</v>
      </c>
      <c r="E248">
        <f t="shared" ca="1" si="189"/>
        <v>0</v>
      </c>
      <c r="F248">
        <f t="shared" ca="1" si="190"/>
        <v>0</v>
      </c>
      <c r="G248">
        <f t="shared" ca="1" si="191"/>
        <v>4</v>
      </c>
      <c r="H248">
        <f t="shared" ca="1" si="151"/>
        <v>0</v>
      </c>
      <c r="I248">
        <f t="shared" ca="1" si="152"/>
        <v>0</v>
      </c>
      <c r="J248" s="105" t="s">
        <v>29</v>
      </c>
      <c r="K248" s="97" t="str">
        <f t="shared" ca="1" si="192"/>
        <v>7.2.4.</v>
      </c>
      <c r="L248" s="110">
        <f t="shared" ca="1" si="193"/>
        <v>0</v>
      </c>
      <c r="M248" s="98" t="s">
        <v>78</v>
      </c>
      <c r="N248" s="112" t="s">
        <v>221</v>
      </c>
      <c r="O248" s="110" t="str">
        <f t="shared" ca="1" si="200"/>
        <v>Estagiarios</v>
      </c>
      <c r="P248" s="111" t="str">
        <f t="shared" ca="1" si="194"/>
        <v>hora</v>
      </c>
      <c r="Q248" s="107">
        <v>10</v>
      </c>
      <c r="R248" s="100">
        <f t="shared" ca="1" si="195"/>
        <v>8.26</v>
      </c>
      <c r="S248" s="109" t="s">
        <v>62</v>
      </c>
      <c r="T248" s="99">
        <f t="shared" ca="1" si="196"/>
        <v>10.33</v>
      </c>
      <c r="U248" s="102">
        <f t="shared" ca="1" si="197"/>
        <v>103.3</v>
      </c>
      <c r="W248" s="1" t="str">
        <f ca="1">IF(OR($A248=0,$A248="S",$A248&gt;CFF!$A$9),"",MAX(W$11:OFFSET(W248,-1,0))+1)</f>
        <v/>
      </c>
      <c r="X248" s="3" t="str">
        <f t="shared" si="198"/>
        <v>Rec. Humanos-005</v>
      </c>
      <c r="Y248" s="1">
        <f t="shared" ca="1" si="199"/>
        <v>7</v>
      </c>
      <c r="AA248" s="106">
        <f>IF($J248=$G$2,ROUND(IF(ISNUMBER(S248),S248,IF(LEFT(S248,2)="DI",HLOOKUP(S248,DADOS!$T$29:$X$30,2,FALSE),0)),4),"")</f>
        <v>0.25</v>
      </c>
      <c r="AB248" s="1"/>
    </row>
    <row r="249" spans="1:28" x14ac:dyDescent="0.2">
      <c r="A249" t="str">
        <f t="shared" ref="A249:A271" si="201">CHOOSE(1+LOG(1+2*(J249=$C$2)+4*(J249=$D$2)+8*(J249=$E$2)+16*(J249=$F$2)+32*(J249=$G$2),2),0,1,2,3,4,"S")</f>
        <v>S</v>
      </c>
      <c r="B249">
        <f t="shared" ref="B249:B271" si="202">IF(OR(A249="S",A249=0),0,IF(ISERROR(I249),H249,SMALL(H249:I249,1)))</f>
        <v>0</v>
      </c>
      <c r="C249">
        <f t="shared" ref="C249:C271" ca="1" si="203">IF($A249=1,OFFSET(C249,-1,0)+1,OFFSET(C249,-1,0))</f>
        <v>7</v>
      </c>
      <c r="D249">
        <f t="shared" ref="D249:D271" ca="1" si="204">IF($A249=1,0,IF($A249=2,OFFSET(D249,-1,0)+1,OFFSET(D249,-1,0)))</f>
        <v>2</v>
      </c>
      <c r="E249">
        <f t="shared" ref="E249:E271" ca="1" si="205">IF(AND($A249&lt;=2,$A249&lt;&gt;0),0,IF($A249=3,OFFSET(E249,-1,0)+1,OFFSET(E249,-1,0)))</f>
        <v>0</v>
      </c>
      <c r="F249">
        <f t="shared" ref="F249:F271" ca="1" si="206">IF(AND($A249&lt;=3,$A249&lt;&gt;0),0,IF($A249=4,OFFSET(F249,-1,0)+1,OFFSET(F249,-1,0)))</f>
        <v>0</v>
      </c>
      <c r="G249">
        <f t="shared" ref="G249:G271" ca="1" si="207">IF(AND($A249&lt;=4,$A249&lt;&gt;0),0,IF($A249="S",OFFSET(G249,-1,0)+1,OFFSET(G249,-1,0)))</f>
        <v>5</v>
      </c>
      <c r="H249">
        <f t="shared" ca="1" si="151"/>
        <v>0</v>
      </c>
      <c r="I249">
        <f t="shared" ca="1" si="152"/>
        <v>0</v>
      </c>
      <c r="J249" s="105" t="s">
        <v>29</v>
      </c>
      <c r="K249" s="97" t="str">
        <f t="shared" ref="K249:K271" ca="1" si="208">IF($A249=0,"-",CONCATENATE(C249&amp;".",IF(AND($A$5&gt;=2,$A249&gt;=2),D249&amp;".",""),IF(AND($A$5&gt;=3,$A249&gt;=3),E249&amp;".",""),IF(AND($A$5&gt;=4,$A249&gt;=4),F249&amp;".",""),IF($A249="S",G249&amp;".","")))</f>
        <v>7.2.5.</v>
      </c>
      <c r="L249" s="110">
        <f t="shared" ref="L249:L271" ca="1" si="209">IF(NOT(ISERROR($Y249)),IF($Y249&lt;&gt;FALSE,INDEX(Banco,$Y249,4),""),"")</f>
        <v>0</v>
      </c>
      <c r="M249" s="98" t="s">
        <v>78</v>
      </c>
      <c r="N249" s="112" t="s">
        <v>221</v>
      </c>
      <c r="O249" s="110" t="str">
        <f t="shared" ca="1" si="200"/>
        <v>Estagiarios</v>
      </c>
      <c r="P249" s="111" t="str">
        <f t="shared" ref="P249:P271" ca="1" si="210">IF(NOT(ISERROR($Y249)),IF($Y249&lt;&gt;FALSE,INDEX(Banco,$Y249,6),""),"")</f>
        <v>hora</v>
      </c>
      <c r="Q249" s="107">
        <v>10</v>
      </c>
      <c r="R249" s="100">
        <f t="shared" ref="R249:R271" ca="1" si="211">IF(NOT(ISERROR($Y249)),IF($Y249&lt;&gt;FALSE,INDEX(Banco,$Y249,7),0),0)</f>
        <v>8.26</v>
      </c>
      <c r="S249" s="109" t="s">
        <v>62</v>
      </c>
      <c r="T249" s="99">
        <f t="shared" ref="T249:T271" ca="1" si="212">IF($J249=$G$2,ROUND(ROUND($R249,2)*IF($R$9="Preço Unitário (R$)",1,1+$AA249),2),0)</f>
        <v>10.33</v>
      </c>
      <c r="U249" s="102">
        <f t="shared" ref="U249:U271" ca="1" si="213">IF($A249="S",VTOTAL1,IF($A249=0,0,ROUND(SomaAgrup,2)))</f>
        <v>103.3</v>
      </c>
      <c r="W249" s="1" t="str">
        <f ca="1">IF(OR($A249=0,$A249="S",$A249&gt;CFF!$A$9),"",MAX(W$11:OFFSET(W249,-1,0))+1)</f>
        <v/>
      </c>
      <c r="X249" s="3" t="str">
        <f t="shared" ref="X249:X271" si="214">IF(AND($J249=$G$2,$N249&lt;&gt;"",$M249&lt;&gt;""),CONCATENATE($M249,"-",$N249))</f>
        <v>Rec. Humanos-005</v>
      </c>
      <c r="Y249" s="1">
        <f t="shared" ref="Y249:Y271" ca="1" si="215">IF(X249&lt;&gt;FALSE,MATCH(X249,OFFSET(Banco,0,0,,1),0))</f>
        <v>7</v>
      </c>
      <c r="AA249" s="106">
        <f>IF($J249=$G$2,ROUND(IF(ISNUMBER(S249),S249,IF(LEFT(S249,2)="DI",HLOOKUP(S249,DADOS!$T$29:$X$30,2,FALSE),0)),4),"")</f>
        <v>0.25</v>
      </c>
      <c r="AB249" s="1"/>
    </row>
    <row r="250" spans="1:28" x14ac:dyDescent="0.2">
      <c r="A250" t="str">
        <f t="shared" si="201"/>
        <v>S</v>
      </c>
      <c r="B250">
        <f t="shared" si="202"/>
        <v>0</v>
      </c>
      <c r="C250">
        <f t="shared" ca="1" si="203"/>
        <v>7</v>
      </c>
      <c r="D250">
        <f t="shared" ca="1" si="204"/>
        <v>2</v>
      </c>
      <c r="E250">
        <f t="shared" ca="1" si="205"/>
        <v>0</v>
      </c>
      <c r="F250">
        <f t="shared" ca="1" si="206"/>
        <v>0</v>
      </c>
      <c r="G250">
        <f t="shared" ca="1" si="207"/>
        <v>6</v>
      </c>
      <c r="H250">
        <f t="shared" ca="1" si="151"/>
        <v>0</v>
      </c>
      <c r="I250">
        <f t="shared" ca="1" si="152"/>
        <v>0</v>
      </c>
      <c r="J250" s="105" t="s">
        <v>29</v>
      </c>
      <c r="K250" s="97" t="str">
        <f t="shared" ca="1" si="208"/>
        <v>7.2.6.</v>
      </c>
      <c r="L250" s="110">
        <f t="shared" ca="1" si="209"/>
        <v>0</v>
      </c>
      <c r="M250" s="98" t="s">
        <v>78</v>
      </c>
      <c r="N250" s="112" t="s">
        <v>221</v>
      </c>
      <c r="O250" s="110" t="str">
        <f t="shared" ca="1" si="200"/>
        <v>Estagiarios</v>
      </c>
      <c r="P250" s="111" t="str">
        <f t="shared" ca="1" si="210"/>
        <v>hora</v>
      </c>
      <c r="Q250" s="107">
        <v>10</v>
      </c>
      <c r="R250" s="100">
        <f t="shared" ca="1" si="211"/>
        <v>8.26</v>
      </c>
      <c r="S250" s="109" t="s">
        <v>62</v>
      </c>
      <c r="T250" s="99">
        <f t="shared" ca="1" si="212"/>
        <v>10.33</v>
      </c>
      <c r="U250" s="102">
        <f t="shared" ca="1" si="213"/>
        <v>103.3</v>
      </c>
      <c r="W250" s="1" t="str">
        <f ca="1">IF(OR($A250=0,$A250="S",$A250&gt;CFF!$A$9),"",MAX(W$11:OFFSET(W250,-1,0))+1)</f>
        <v/>
      </c>
      <c r="X250" s="3" t="str">
        <f t="shared" si="214"/>
        <v>Rec. Humanos-005</v>
      </c>
      <c r="Y250" s="1">
        <f t="shared" ca="1" si="215"/>
        <v>7</v>
      </c>
      <c r="AA250" s="106">
        <f>IF($J250=$G$2,ROUND(IF(ISNUMBER(S250),S250,IF(LEFT(S250,2)="DI",HLOOKUP(S250,DADOS!$T$29:$X$30,2,FALSE),0)),4),"")</f>
        <v>0.25</v>
      </c>
      <c r="AB250" s="1"/>
    </row>
    <row r="251" spans="1:28" x14ac:dyDescent="0.2">
      <c r="A251" t="str">
        <f t="shared" si="201"/>
        <v>S</v>
      </c>
      <c r="B251">
        <f t="shared" si="202"/>
        <v>0</v>
      </c>
      <c r="C251">
        <f t="shared" ca="1" si="203"/>
        <v>7</v>
      </c>
      <c r="D251">
        <f t="shared" ca="1" si="204"/>
        <v>2</v>
      </c>
      <c r="E251">
        <f t="shared" ca="1" si="205"/>
        <v>0</v>
      </c>
      <c r="F251">
        <f t="shared" ca="1" si="206"/>
        <v>0</v>
      </c>
      <c r="G251">
        <f t="shared" ca="1" si="207"/>
        <v>7</v>
      </c>
      <c r="H251">
        <f t="shared" ca="1" si="151"/>
        <v>0</v>
      </c>
      <c r="I251">
        <f t="shared" ca="1" si="152"/>
        <v>0</v>
      </c>
      <c r="J251" s="105" t="s">
        <v>29</v>
      </c>
      <c r="K251" s="97" t="str">
        <f t="shared" ca="1" si="208"/>
        <v>7.2.7.</v>
      </c>
      <c r="L251" s="110">
        <f t="shared" ca="1" si="209"/>
        <v>0</v>
      </c>
      <c r="M251" s="98" t="s">
        <v>78</v>
      </c>
      <c r="N251" s="112" t="s">
        <v>221</v>
      </c>
      <c r="O251" s="110" t="str">
        <f t="shared" ca="1" si="200"/>
        <v>Estagiarios</v>
      </c>
      <c r="P251" s="111" t="str">
        <f t="shared" ca="1" si="210"/>
        <v>hora</v>
      </c>
      <c r="Q251" s="107">
        <v>10</v>
      </c>
      <c r="R251" s="100">
        <f t="shared" ca="1" si="211"/>
        <v>8.26</v>
      </c>
      <c r="S251" s="109" t="s">
        <v>62</v>
      </c>
      <c r="T251" s="99">
        <f t="shared" ca="1" si="212"/>
        <v>10.33</v>
      </c>
      <c r="U251" s="102">
        <f t="shared" ca="1" si="213"/>
        <v>103.3</v>
      </c>
      <c r="W251" s="1" t="str">
        <f ca="1">IF(OR($A251=0,$A251="S",$A251&gt;CFF!$A$9),"",MAX(W$11:OFFSET(W251,-1,0))+1)</f>
        <v/>
      </c>
      <c r="X251" s="3" t="str">
        <f t="shared" si="214"/>
        <v>Rec. Humanos-005</v>
      </c>
      <c r="Y251" s="1">
        <f t="shared" ca="1" si="215"/>
        <v>7</v>
      </c>
      <c r="AA251" s="106">
        <f>IF($J251=$G$2,ROUND(IF(ISNUMBER(S251),S251,IF(LEFT(S251,2)="DI",HLOOKUP(S251,DADOS!$T$29:$X$30,2,FALSE),0)),4),"")</f>
        <v>0.25</v>
      </c>
      <c r="AB251" s="1"/>
    </row>
    <row r="252" spans="1:28" x14ac:dyDescent="0.2">
      <c r="A252" t="str">
        <f t="shared" si="201"/>
        <v>S</v>
      </c>
      <c r="B252">
        <f t="shared" si="202"/>
        <v>0</v>
      </c>
      <c r="C252">
        <f t="shared" ca="1" si="203"/>
        <v>7</v>
      </c>
      <c r="D252">
        <f t="shared" ca="1" si="204"/>
        <v>2</v>
      </c>
      <c r="E252">
        <f t="shared" ca="1" si="205"/>
        <v>0</v>
      </c>
      <c r="F252">
        <f t="shared" ca="1" si="206"/>
        <v>0</v>
      </c>
      <c r="G252">
        <f t="shared" ca="1" si="207"/>
        <v>8</v>
      </c>
      <c r="H252">
        <f t="shared" ca="1" si="151"/>
        <v>0</v>
      </c>
      <c r="I252">
        <f t="shared" ca="1" si="152"/>
        <v>0</v>
      </c>
      <c r="J252" s="105" t="s">
        <v>29</v>
      </c>
      <c r="K252" s="97" t="str">
        <f t="shared" ca="1" si="208"/>
        <v>7.2.8.</v>
      </c>
      <c r="L252" s="110">
        <f t="shared" ca="1" si="209"/>
        <v>0</v>
      </c>
      <c r="M252" s="98" t="s">
        <v>78</v>
      </c>
      <c r="N252" s="112" t="s">
        <v>231</v>
      </c>
      <c r="O252" s="110" t="str">
        <f t="shared" ca="1" si="200"/>
        <v>Biólogo</v>
      </c>
      <c r="P252" s="111" t="str">
        <f t="shared" ca="1" si="210"/>
        <v>hora</v>
      </c>
      <c r="Q252" s="107">
        <v>10</v>
      </c>
      <c r="R252" s="100">
        <f t="shared" ca="1" si="211"/>
        <v>14.97</v>
      </c>
      <c r="S252" s="109" t="s">
        <v>62</v>
      </c>
      <c r="T252" s="99">
        <f t="shared" ca="1" si="212"/>
        <v>18.71</v>
      </c>
      <c r="U252" s="102">
        <f t="shared" ca="1" si="213"/>
        <v>187.1</v>
      </c>
      <c r="W252" s="1" t="str">
        <f ca="1">IF(OR($A252=0,$A252="S",$A252&gt;CFF!$A$9),"",MAX(W$11:OFFSET(W252,-1,0))+1)</f>
        <v/>
      </c>
      <c r="X252" s="3" t="str">
        <f t="shared" si="214"/>
        <v>Rec. Humanos-004</v>
      </c>
      <c r="Y252" s="1">
        <f t="shared" ca="1" si="215"/>
        <v>6</v>
      </c>
      <c r="AA252" s="106">
        <f>IF($J252=$G$2,ROUND(IF(ISNUMBER(S252),S252,IF(LEFT(S252,2)="DI",HLOOKUP(S252,DADOS!$T$29:$X$30,2,FALSE),0)),4),"")</f>
        <v>0.25</v>
      </c>
      <c r="AB252" s="1"/>
    </row>
    <row r="253" spans="1:28" x14ac:dyDescent="0.2">
      <c r="A253" t="str">
        <f t="shared" si="201"/>
        <v>S</v>
      </c>
      <c r="B253">
        <f t="shared" si="202"/>
        <v>0</v>
      </c>
      <c r="C253">
        <f t="shared" ca="1" si="203"/>
        <v>7</v>
      </c>
      <c r="D253">
        <f t="shared" ca="1" si="204"/>
        <v>2</v>
      </c>
      <c r="E253">
        <f t="shared" ca="1" si="205"/>
        <v>0</v>
      </c>
      <c r="F253">
        <f t="shared" ca="1" si="206"/>
        <v>0</v>
      </c>
      <c r="G253">
        <f t="shared" ca="1" si="207"/>
        <v>9</v>
      </c>
      <c r="H253">
        <f t="shared" ca="1" si="151"/>
        <v>0</v>
      </c>
      <c r="I253">
        <f t="shared" ca="1" si="152"/>
        <v>0</v>
      </c>
      <c r="J253" s="105" t="s">
        <v>29</v>
      </c>
      <c r="K253" s="97" t="str">
        <f t="shared" ca="1" si="208"/>
        <v>7.2.9.</v>
      </c>
      <c r="L253" s="110">
        <f t="shared" ca="1" si="209"/>
        <v>0</v>
      </c>
      <c r="M253" s="98" t="s">
        <v>79</v>
      </c>
      <c r="N253" s="112" t="s">
        <v>218</v>
      </c>
      <c r="O253" s="110" t="str">
        <f t="shared" ca="1" si="200"/>
        <v>Papel A4 (Internatonal Paper) 500 folhas</v>
      </c>
      <c r="P253" s="111" t="str">
        <f t="shared" ca="1" si="210"/>
        <v>resma</v>
      </c>
      <c r="Q253" s="107">
        <v>1</v>
      </c>
      <c r="R253" s="100">
        <f t="shared" ca="1" si="211"/>
        <v>25.8</v>
      </c>
      <c r="S253" s="109" t="s">
        <v>62</v>
      </c>
      <c r="T253" s="99">
        <f t="shared" ca="1" si="212"/>
        <v>32.25</v>
      </c>
      <c r="U253" s="102">
        <f t="shared" ca="1" si="213"/>
        <v>32.25</v>
      </c>
      <c r="W253" s="1" t="str">
        <f ca="1">IF(OR($A253=0,$A253="S",$A253&gt;CFF!$A$9),"",MAX(W$11:OFFSET(W253,-1,0))+1)</f>
        <v/>
      </c>
      <c r="X253" s="3" t="str">
        <f t="shared" si="214"/>
        <v>Rec. Materiais-001</v>
      </c>
      <c r="Y253" s="1">
        <f t="shared" ca="1" si="215"/>
        <v>8</v>
      </c>
      <c r="AA253" s="106">
        <f>IF($J253=$G$2,ROUND(IF(ISNUMBER(S253),S253,IF(LEFT(S253,2)="DI",HLOOKUP(S253,DADOS!$T$29:$X$30,2,FALSE),0)),4),"")</f>
        <v>0.25</v>
      </c>
      <c r="AB253" s="1"/>
    </row>
    <row r="254" spans="1:28" x14ac:dyDescent="0.2">
      <c r="A254" t="str">
        <f t="shared" si="201"/>
        <v>S</v>
      </c>
      <c r="B254">
        <f t="shared" si="202"/>
        <v>0</v>
      </c>
      <c r="C254">
        <f t="shared" ca="1" si="203"/>
        <v>7</v>
      </c>
      <c r="D254">
        <f t="shared" ca="1" si="204"/>
        <v>2</v>
      </c>
      <c r="E254">
        <f t="shared" ca="1" si="205"/>
        <v>0</v>
      </c>
      <c r="F254">
        <f t="shared" ca="1" si="206"/>
        <v>0</v>
      </c>
      <c r="G254">
        <f t="shared" ca="1" si="207"/>
        <v>10</v>
      </c>
      <c r="H254">
        <f t="shared" ca="1" si="151"/>
        <v>0</v>
      </c>
      <c r="I254">
        <f t="shared" ca="1" si="152"/>
        <v>0</v>
      </c>
      <c r="J254" s="105" t="s">
        <v>29</v>
      </c>
      <c r="K254" s="97" t="str">
        <f t="shared" ca="1" si="208"/>
        <v>7.2.10.</v>
      </c>
      <c r="L254" s="110">
        <f t="shared" ca="1" si="209"/>
        <v>0</v>
      </c>
      <c r="M254" s="98" t="s">
        <v>79</v>
      </c>
      <c r="N254" s="112" t="s">
        <v>227</v>
      </c>
      <c r="O254" s="110" t="str">
        <f t="shared" ca="1" si="200"/>
        <v>Copo de agua 300 ml Lebrinha/Brunado</v>
      </c>
      <c r="P254" s="111" t="str">
        <f t="shared" ca="1" si="210"/>
        <v>UNIDADE</v>
      </c>
      <c r="Q254" s="107">
        <v>300</v>
      </c>
      <c r="R254" s="100">
        <f t="shared" ca="1" si="211"/>
        <v>4.2</v>
      </c>
      <c r="S254" s="109" t="s">
        <v>62</v>
      </c>
      <c r="T254" s="99">
        <f t="shared" ca="1" si="212"/>
        <v>5.25</v>
      </c>
      <c r="U254" s="102">
        <f t="shared" ca="1" si="213"/>
        <v>1575</v>
      </c>
      <c r="W254" s="1" t="str">
        <f ca="1">IF(OR($A254=0,$A254="S",$A254&gt;CFF!$A$9),"",MAX(W$11:OFFSET(W254,-1,0))+1)</f>
        <v/>
      </c>
      <c r="X254" s="3" t="str">
        <f t="shared" si="214"/>
        <v>Rec. Materiais-014</v>
      </c>
      <c r="Y254" s="1">
        <f t="shared" ca="1" si="215"/>
        <v>21</v>
      </c>
      <c r="AA254" s="106">
        <f>IF($J254=$G$2,ROUND(IF(ISNUMBER(S254),S254,IF(LEFT(S254,2)="DI",HLOOKUP(S254,DADOS!$T$29:$X$30,2,FALSE),0)),4),"")</f>
        <v>0.25</v>
      </c>
      <c r="AB254" s="1"/>
    </row>
    <row r="255" spans="1:28" x14ac:dyDescent="0.2">
      <c r="A255" t="str">
        <f t="shared" si="201"/>
        <v>S</v>
      </c>
      <c r="B255">
        <f t="shared" si="202"/>
        <v>0</v>
      </c>
      <c r="C255">
        <f t="shared" ca="1" si="203"/>
        <v>7</v>
      </c>
      <c r="D255">
        <f t="shared" ca="1" si="204"/>
        <v>2</v>
      </c>
      <c r="E255">
        <f t="shared" ca="1" si="205"/>
        <v>0</v>
      </c>
      <c r="F255">
        <f t="shared" ca="1" si="206"/>
        <v>0</v>
      </c>
      <c r="G255">
        <f t="shared" ca="1" si="207"/>
        <v>11</v>
      </c>
      <c r="H255">
        <f t="shared" ca="1" si="151"/>
        <v>0</v>
      </c>
      <c r="I255">
        <f t="shared" ca="1" si="152"/>
        <v>0</v>
      </c>
      <c r="J255" s="105" t="s">
        <v>29</v>
      </c>
      <c r="K255" s="97" t="str">
        <f t="shared" ca="1" si="208"/>
        <v>7.2.11.</v>
      </c>
      <c r="L255" s="110">
        <f t="shared" ca="1" si="209"/>
        <v>0</v>
      </c>
      <c r="M255" s="98" t="s">
        <v>80</v>
      </c>
      <c r="N255" s="112" t="s">
        <v>226</v>
      </c>
      <c r="O255" s="110" t="str">
        <f t="shared" ca="1" si="200"/>
        <v>Copo descartavel 180 ml pacote com 100 unidade</v>
      </c>
      <c r="P255" s="111" t="str">
        <f t="shared" ca="1" si="210"/>
        <v>pacote</v>
      </c>
      <c r="Q255" s="107">
        <v>5</v>
      </c>
      <c r="R255" s="100">
        <f t="shared" ca="1" si="211"/>
        <v>3.83</v>
      </c>
      <c r="S255" s="109" t="s">
        <v>62</v>
      </c>
      <c r="T255" s="99">
        <f t="shared" ca="1" si="212"/>
        <v>4.79</v>
      </c>
      <c r="U255" s="102">
        <f t="shared" ca="1" si="213"/>
        <v>23.95</v>
      </c>
      <c r="W255" s="1" t="str">
        <f ca="1">IF(OR($A255=0,$A255="S",$A255&gt;CFF!$A$9),"",MAX(W$11:OFFSET(W255,-1,0))+1)</f>
        <v/>
      </c>
      <c r="X255" s="3" t="str">
        <f t="shared" si="214"/>
        <v>Serv. Terc.-022</v>
      </c>
      <c r="Y255" s="1">
        <f t="shared" ca="1" si="215"/>
        <v>68</v>
      </c>
      <c r="AA255" s="106">
        <f>IF($J255=$G$2,ROUND(IF(ISNUMBER(S255),S255,IF(LEFT(S255,2)="DI",HLOOKUP(S255,DADOS!$T$29:$X$30,2,FALSE),0)),4),"")</f>
        <v>0.25</v>
      </c>
      <c r="AB255" s="1"/>
    </row>
    <row r="256" spans="1:28" x14ac:dyDescent="0.2">
      <c r="A256" t="str">
        <f t="shared" si="201"/>
        <v>S</v>
      </c>
      <c r="B256">
        <f t="shared" si="202"/>
        <v>0</v>
      </c>
      <c r="C256">
        <f t="shared" ca="1" si="203"/>
        <v>7</v>
      </c>
      <c r="D256">
        <f t="shared" ca="1" si="204"/>
        <v>2</v>
      </c>
      <c r="E256">
        <f t="shared" ca="1" si="205"/>
        <v>0</v>
      </c>
      <c r="F256">
        <f t="shared" ca="1" si="206"/>
        <v>0</v>
      </c>
      <c r="G256">
        <f t="shared" ca="1" si="207"/>
        <v>12</v>
      </c>
      <c r="H256">
        <f t="shared" ca="1" si="151"/>
        <v>0</v>
      </c>
      <c r="I256">
        <f t="shared" ca="1" si="152"/>
        <v>0</v>
      </c>
      <c r="J256" s="105" t="s">
        <v>29</v>
      </c>
      <c r="K256" s="97" t="str">
        <f t="shared" ca="1" si="208"/>
        <v>7.2.12.</v>
      </c>
      <c r="L256" s="110">
        <f t="shared" ca="1" si="209"/>
        <v>0</v>
      </c>
      <c r="M256" s="98" t="s">
        <v>80</v>
      </c>
      <c r="N256" s="112" t="s">
        <v>218</v>
      </c>
      <c r="O256" s="110" t="str">
        <f t="shared" ca="1" si="200"/>
        <v>Salgado</v>
      </c>
      <c r="P256" s="111" t="str">
        <f t="shared" ca="1" si="210"/>
        <v>cento</v>
      </c>
      <c r="Q256" s="107">
        <v>8</v>
      </c>
      <c r="R256" s="100">
        <f t="shared" ca="1" si="211"/>
        <v>59</v>
      </c>
      <c r="S256" s="109" t="s">
        <v>62</v>
      </c>
      <c r="T256" s="99">
        <f t="shared" ca="1" si="212"/>
        <v>73.75</v>
      </c>
      <c r="U256" s="102">
        <f t="shared" ca="1" si="213"/>
        <v>590</v>
      </c>
      <c r="W256" s="1" t="str">
        <f ca="1">IF(OR($A256=0,$A256="S",$A256&gt;CFF!$A$9),"",MAX(W$11:OFFSET(W256,-1,0))+1)</f>
        <v/>
      </c>
      <c r="X256" s="3" t="str">
        <f t="shared" si="214"/>
        <v>Serv. Terc.-001</v>
      </c>
      <c r="Y256" s="1">
        <f t="shared" ca="1" si="215"/>
        <v>47</v>
      </c>
      <c r="AA256" s="106">
        <f>IF($J256=$G$2,ROUND(IF(ISNUMBER(S256),S256,IF(LEFT(S256,2)="DI",HLOOKUP(S256,DADOS!$T$29:$X$30,2,FALSE),0)),4),"")</f>
        <v>0.25</v>
      </c>
      <c r="AB256" s="1"/>
    </row>
    <row r="257" spans="1:28" x14ac:dyDescent="0.2">
      <c r="A257" t="str">
        <f t="shared" si="201"/>
        <v>S</v>
      </c>
      <c r="B257">
        <f t="shared" si="202"/>
        <v>0</v>
      </c>
      <c r="C257">
        <f t="shared" ca="1" si="203"/>
        <v>7</v>
      </c>
      <c r="D257">
        <f t="shared" ca="1" si="204"/>
        <v>2</v>
      </c>
      <c r="E257">
        <f t="shared" ca="1" si="205"/>
        <v>0</v>
      </c>
      <c r="F257">
        <f t="shared" ca="1" si="206"/>
        <v>0</v>
      </c>
      <c r="G257">
        <f t="shared" ca="1" si="207"/>
        <v>13</v>
      </c>
      <c r="H257">
        <f t="shared" ca="1" si="151"/>
        <v>0</v>
      </c>
      <c r="I257">
        <f t="shared" ca="1" si="152"/>
        <v>0</v>
      </c>
      <c r="J257" s="105" t="s">
        <v>29</v>
      </c>
      <c r="K257" s="97" t="str">
        <f t="shared" ca="1" si="208"/>
        <v>7.2.13.</v>
      </c>
      <c r="L257" s="110">
        <f t="shared" ca="1" si="209"/>
        <v>0</v>
      </c>
      <c r="M257" s="98" t="s">
        <v>80</v>
      </c>
      <c r="N257" s="112" t="s">
        <v>222</v>
      </c>
      <c r="O257" s="110" t="str">
        <f t="shared" ca="1" si="200"/>
        <v>Mesa de plastico</v>
      </c>
      <c r="P257" s="111" t="str">
        <f t="shared" ca="1" si="210"/>
        <v>unidade</v>
      </c>
      <c r="Q257" s="107">
        <v>15</v>
      </c>
      <c r="R257" s="100">
        <f t="shared" ca="1" si="211"/>
        <v>2</v>
      </c>
      <c r="S257" s="109" t="s">
        <v>62</v>
      </c>
      <c r="T257" s="99">
        <f t="shared" ca="1" si="212"/>
        <v>2.5</v>
      </c>
      <c r="U257" s="102">
        <f t="shared" ca="1" si="213"/>
        <v>37.5</v>
      </c>
      <c r="W257" s="1" t="str">
        <f ca="1">IF(OR($A257=0,$A257="S",$A257&gt;CFF!$A$9),"",MAX(W$11:OFFSET(W257,-1,0))+1)</f>
        <v/>
      </c>
      <c r="X257" s="3" t="str">
        <f t="shared" si="214"/>
        <v>Serv. Terc.-006</v>
      </c>
      <c r="Y257" s="1">
        <f t="shared" ca="1" si="215"/>
        <v>52</v>
      </c>
      <c r="AA257" s="106">
        <f>IF($J257=$G$2,ROUND(IF(ISNUMBER(S257),S257,IF(LEFT(S257,2)="DI",HLOOKUP(S257,DADOS!$T$29:$X$30,2,FALSE),0)),4),"")</f>
        <v>0.25</v>
      </c>
      <c r="AB257" s="1"/>
    </row>
    <row r="258" spans="1:28" x14ac:dyDescent="0.2">
      <c r="A258" t="str">
        <f t="shared" si="201"/>
        <v>S</v>
      </c>
      <c r="B258">
        <f t="shared" si="202"/>
        <v>0</v>
      </c>
      <c r="C258">
        <f t="shared" ca="1" si="203"/>
        <v>7</v>
      </c>
      <c r="D258">
        <f t="shared" ca="1" si="204"/>
        <v>2</v>
      </c>
      <c r="E258">
        <f t="shared" ca="1" si="205"/>
        <v>0</v>
      </c>
      <c r="F258">
        <f t="shared" ca="1" si="206"/>
        <v>0</v>
      </c>
      <c r="G258">
        <f t="shared" ca="1" si="207"/>
        <v>14</v>
      </c>
      <c r="H258">
        <f t="shared" ca="1" si="151"/>
        <v>0</v>
      </c>
      <c r="I258">
        <f t="shared" ca="1" si="152"/>
        <v>0</v>
      </c>
      <c r="J258" s="105" t="s">
        <v>29</v>
      </c>
      <c r="K258" s="97" t="str">
        <f t="shared" ca="1" si="208"/>
        <v>7.2.14.</v>
      </c>
      <c r="L258" s="110">
        <f t="shared" ca="1" si="209"/>
        <v>0</v>
      </c>
      <c r="M258" s="98" t="s">
        <v>80</v>
      </c>
      <c r="N258" s="112" t="s">
        <v>221</v>
      </c>
      <c r="O258" s="110" t="str">
        <f t="shared" ca="1" si="200"/>
        <v>Cadeira de Plastico</v>
      </c>
      <c r="P258" s="111" t="str">
        <f t="shared" ca="1" si="210"/>
        <v>unidade</v>
      </c>
      <c r="Q258" s="107">
        <v>300</v>
      </c>
      <c r="R258" s="100">
        <f t="shared" ca="1" si="211"/>
        <v>1.6</v>
      </c>
      <c r="S258" s="109" t="s">
        <v>62</v>
      </c>
      <c r="T258" s="99">
        <f t="shared" ca="1" si="212"/>
        <v>2</v>
      </c>
      <c r="U258" s="102">
        <f t="shared" ca="1" si="213"/>
        <v>600</v>
      </c>
      <c r="W258" s="1" t="str">
        <f ca="1">IF(OR($A258=0,$A258="S",$A258&gt;CFF!$A$9),"",MAX(W$11:OFFSET(W258,-1,0))+1)</f>
        <v/>
      </c>
      <c r="X258" s="3" t="str">
        <f t="shared" si="214"/>
        <v>Serv. Terc.-005</v>
      </c>
      <c r="Y258" s="1">
        <f t="shared" ca="1" si="215"/>
        <v>51</v>
      </c>
      <c r="AA258" s="106">
        <f>IF($J258=$G$2,ROUND(IF(ISNUMBER(S258),S258,IF(LEFT(S258,2)="DI",HLOOKUP(S258,DADOS!$T$29:$X$30,2,FALSE),0)),4),"")</f>
        <v>0.25</v>
      </c>
      <c r="AB258" s="1"/>
    </row>
    <row r="259" spans="1:28" x14ac:dyDescent="0.2">
      <c r="A259" t="str">
        <f t="shared" si="201"/>
        <v>S</v>
      </c>
      <c r="B259">
        <f t="shared" si="202"/>
        <v>0</v>
      </c>
      <c r="C259">
        <f t="shared" ca="1" si="203"/>
        <v>7</v>
      </c>
      <c r="D259">
        <f t="shared" ca="1" si="204"/>
        <v>2</v>
      </c>
      <c r="E259">
        <f t="shared" ca="1" si="205"/>
        <v>0</v>
      </c>
      <c r="F259">
        <f t="shared" ca="1" si="206"/>
        <v>0</v>
      </c>
      <c r="G259">
        <f t="shared" ca="1" si="207"/>
        <v>15</v>
      </c>
      <c r="H259">
        <f t="shared" ca="1" si="151"/>
        <v>0</v>
      </c>
      <c r="I259">
        <f t="shared" ca="1" si="152"/>
        <v>0</v>
      </c>
      <c r="J259" s="105" t="s">
        <v>29</v>
      </c>
      <c r="K259" s="97" t="str">
        <f t="shared" ca="1" si="208"/>
        <v>7.2.15.</v>
      </c>
      <c r="L259" s="110">
        <f t="shared" ca="1" si="209"/>
        <v>0</v>
      </c>
      <c r="M259" s="98" t="s">
        <v>80</v>
      </c>
      <c r="N259" s="112" t="s">
        <v>225</v>
      </c>
      <c r="O259" s="110" t="str">
        <f t="shared" ca="1" si="200"/>
        <v>Coca cola 2 litros</v>
      </c>
      <c r="P259" s="111" t="str">
        <f t="shared" ca="1" si="210"/>
        <v>unidade</v>
      </c>
      <c r="Q259" s="107">
        <v>17</v>
      </c>
      <c r="R259" s="100">
        <f t="shared" ca="1" si="211"/>
        <v>7</v>
      </c>
      <c r="S259" s="109" t="s">
        <v>62</v>
      </c>
      <c r="T259" s="99">
        <f t="shared" ca="1" si="212"/>
        <v>8.75</v>
      </c>
      <c r="U259" s="102">
        <f t="shared" ca="1" si="213"/>
        <v>148.75</v>
      </c>
      <c r="W259" s="1" t="str">
        <f ca="1">IF(OR($A259=0,$A259="S",$A259&gt;CFF!$A$9),"",MAX(W$11:OFFSET(W259,-1,0))+1)</f>
        <v/>
      </c>
      <c r="X259" s="3" t="str">
        <f t="shared" si="214"/>
        <v>Serv. Terc.-020</v>
      </c>
      <c r="Y259" s="1">
        <f t="shared" ca="1" si="215"/>
        <v>66</v>
      </c>
      <c r="AA259" s="106">
        <f>IF($J259=$G$2,ROUND(IF(ISNUMBER(S259),S259,IF(LEFT(S259,2)="DI",HLOOKUP(S259,DADOS!$T$29:$X$30,2,FALSE),0)),4),"")</f>
        <v>0.25</v>
      </c>
      <c r="AB259" s="1"/>
    </row>
    <row r="260" spans="1:28" x14ac:dyDescent="0.2">
      <c r="A260" t="str">
        <f t="shared" si="201"/>
        <v>S</v>
      </c>
      <c r="B260">
        <f t="shared" si="202"/>
        <v>0</v>
      </c>
      <c r="C260">
        <f t="shared" ca="1" si="203"/>
        <v>7</v>
      </c>
      <c r="D260">
        <f t="shared" ca="1" si="204"/>
        <v>2</v>
      </c>
      <c r="E260">
        <f t="shared" ca="1" si="205"/>
        <v>0</v>
      </c>
      <c r="F260">
        <f t="shared" ca="1" si="206"/>
        <v>0</v>
      </c>
      <c r="G260">
        <f t="shared" ca="1" si="207"/>
        <v>16</v>
      </c>
      <c r="H260">
        <f t="shared" ca="1" si="151"/>
        <v>0</v>
      </c>
      <c r="I260">
        <f t="shared" ca="1" si="152"/>
        <v>0</v>
      </c>
      <c r="J260" s="105" t="s">
        <v>29</v>
      </c>
      <c r="K260" s="97" t="str">
        <f t="shared" ca="1" si="208"/>
        <v>7.2.16.</v>
      </c>
      <c r="L260" s="110">
        <f t="shared" ca="1" si="209"/>
        <v>0</v>
      </c>
      <c r="M260" s="98" t="s">
        <v>80</v>
      </c>
      <c r="N260" s="112" t="s">
        <v>232</v>
      </c>
      <c r="O260" s="110" t="str">
        <f t="shared" ca="1" si="200"/>
        <v>Fanta 2 litros</v>
      </c>
      <c r="P260" s="111" t="str">
        <f t="shared" ca="1" si="210"/>
        <v>unidade</v>
      </c>
      <c r="Q260" s="107">
        <v>17</v>
      </c>
      <c r="R260" s="100">
        <f t="shared" ca="1" si="211"/>
        <v>6.3</v>
      </c>
      <c r="S260" s="109" t="s">
        <v>62</v>
      </c>
      <c r="T260" s="99">
        <f t="shared" ca="1" si="212"/>
        <v>7.88</v>
      </c>
      <c r="U260" s="102">
        <f t="shared" ca="1" si="213"/>
        <v>133.96</v>
      </c>
      <c r="W260" s="1" t="str">
        <f ca="1">IF(OR($A260=0,$A260="S",$A260&gt;CFF!$A$9),"",MAX(W$11:OFFSET(W260,-1,0))+1)</f>
        <v/>
      </c>
      <c r="X260" s="3" t="str">
        <f t="shared" si="214"/>
        <v>Serv. Terc.-021</v>
      </c>
      <c r="Y260" s="1">
        <f t="shared" ca="1" si="215"/>
        <v>67</v>
      </c>
      <c r="AA260" s="106">
        <f>IF($J260=$G$2,ROUND(IF(ISNUMBER(S260),S260,IF(LEFT(S260,2)="DI",HLOOKUP(S260,DADOS!$T$29:$X$30,2,FALSE),0)),4),"")</f>
        <v>0.25</v>
      </c>
      <c r="AB260" s="1"/>
    </row>
    <row r="261" spans="1:28" x14ac:dyDescent="0.2">
      <c r="A261" t="str">
        <f t="shared" si="201"/>
        <v>S</v>
      </c>
      <c r="B261">
        <f t="shared" si="202"/>
        <v>0</v>
      </c>
      <c r="C261">
        <f t="shared" ca="1" si="203"/>
        <v>7</v>
      </c>
      <c r="D261">
        <f t="shared" ca="1" si="204"/>
        <v>2</v>
      </c>
      <c r="E261">
        <f t="shared" ca="1" si="205"/>
        <v>0</v>
      </c>
      <c r="F261">
        <f t="shared" ca="1" si="206"/>
        <v>0</v>
      </c>
      <c r="G261">
        <f t="shared" ca="1" si="207"/>
        <v>17</v>
      </c>
      <c r="H261">
        <f t="shared" ca="1" si="151"/>
        <v>0</v>
      </c>
      <c r="I261">
        <f t="shared" ca="1" si="152"/>
        <v>0</v>
      </c>
      <c r="J261" s="105" t="s">
        <v>29</v>
      </c>
      <c r="K261" s="97" t="str">
        <f t="shared" ca="1" si="208"/>
        <v>7.2.17.</v>
      </c>
      <c r="L261" s="110">
        <f t="shared" ca="1" si="209"/>
        <v>0</v>
      </c>
      <c r="M261" s="98" t="s">
        <v>80</v>
      </c>
      <c r="N261" s="112" t="s">
        <v>233</v>
      </c>
      <c r="O261" s="110" t="str">
        <f t="shared" ca="1" si="200"/>
        <v>Tenda 5x5 m2</v>
      </c>
      <c r="P261" s="111" t="str">
        <f t="shared" ca="1" si="210"/>
        <v>unidade</v>
      </c>
      <c r="Q261" s="107">
        <v>4</v>
      </c>
      <c r="R261" s="100">
        <f t="shared" ca="1" si="211"/>
        <v>540</v>
      </c>
      <c r="S261" s="109" t="s">
        <v>62</v>
      </c>
      <c r="T261" s="99">
        <f t="shared" ca="1" si="212"/>
        <v>675</v>
      </c>
      <c r="U261" s="102">
        <f t="shared" ca="1" si="213"/>
        <v>2700</v>
      </c>
      <c r="W261" s="1" t="str">
        <f ca="1">IF(OR($A261=0,$A261="S",$A261&gt;CFF!$A$9),"",MAX(W$11:OFFSET(W261,-1,0))+1)</f>
        <v/>
      </c>
      <c r="X261" s="3" t="str">
        <f t="shared" si="214"/>
        <v>Serv. Terc.-009</v>
      </c>
      <c r="Y261" s="1">
        <f t="shared" ca="1" si="215"/>
        <v>55</v>
      </c>
      <c r="AA261" s="106">
        <f>IF($J261=$G$2,ROUND(IF(ISNUMBER(S261),S261,IF(LEFT(S261,2)="DI",HLOOKUP(S261,DADOS!$T$29:$X$30,2,FALSE),0)),4),"")</f>
        <v>0.25</v>
      </c>
      <c r="AB261" s="1"/>
    </row>
    <row r="262" spans="1:28" x14ac:dyDescent="0.2">
      <c r="A262" t="str">
        <f t="shared" si="201"/>
        <v>S</v>
      </c>
      <c r="B262">
        <f t="shared" si="202"/>
        <v>0</v>
      </c>
      <c r="C262">
        <f t="shared" ca="1" si="203"/>
        <v>7</v>
      </c>
      <c r="D262">
        <f t="shared" ca="1" si="204"/>
        <v>2</v>
      </c>
      <c r="E262">
        <f t="shared" ca="1" si="205"/>
        <v>0</v>
      </c>
      <c r="F262">
        <f t="shared" ca="1" si="206"/>
        <v>0</v>
      </c>
      <c r="G262">
        <f t="shared" ca="1" si="207"/>
        <v>18</v>
      </c>
      <c r="H262">
        <f t="shared" ca="1" si="151"/>
        <v>0</v>
      </c>
      <c r="I262">
        <f t="shared" ca="1" si="152"/>
        <v>0</v>
      </c>
      <c r="J262" s="105" t="s">
        <v>29</v>
      </c>
      <c r="K262" s="97" t="str">
        <f t="shared" ca="1" si="208"/>
        <v>7.2.18.</v>
      </c>
      <c r="L262" s="110">
        <f t="shared" ca="1" si="209"/>
        <v>0</v>
      </c>
      <c r="M262" s="98" t="s">
        <v>80</v>
      </c>
      <c r="N262" s="112" t="s">
        <v>220</v>
      </c>
      <c r="O262" s="110" t="str">
        <f t="shared" ca="1" si="200"/>
        <v>Som (2 caixas de som, 2 microfones, mesa de som, cabos)</v>
      </c>
      <c r="P262" s="111" t="str">
        <f t="shared" ca="1" si="210"/>
        <v>unidade</v>
      </c>
      <c r="Q262" s="107">
        <v>1</v>
      </c>
      <c r="R262" s="100">
        <f t="shared" ca="1" si="211"/>
        <v>350</v>
      </c>
      <c r="S262" s="109" t="s">
        <v>62</v>
      </c>
      <c r="T262" s="99">
        <f t="shared" ca="1" si="212"/>
        <v>437.5</v>
      </c>
      <c r="U262" s="102">
        <f t="shared" ca="1" si="213"/>
        <v>437.5</v>
      </c>
      <c r="W262" s="1" t="str">
        <f ca="1">IF(OR($A262=0,$A262="S",$A262&gt;CFF!$A$9),"",MAX(W$11:OFFSET(W262,-1,0))+1)</f>
        <v/>
      </c>
      <c r="X262" s="3" t="str">
        <f t="shared" si="214"/>
        <v>Serv. Terc.-003</v>
      </c>
      <c r="Y262" s="1">
        <f t="shared" ca="1" si="215"/>
        <v>49</v>
      </c>
      <c r="AA262" s="106">
        <f>IF($J262=$G$2,ROUND(IF(ISNUMBER(S262),S262,IF(LEFT(S262,2)="DI",HLOOKUP(S262,DADOS!$T$29:$X$30,2,FALSE),0)),4),"")</f>
        <v>0.25</v>
      </c>
      <c r="AB262" s="1"/>
    </row>
    <row r="263" spans="1:28" x14ac:dyDescent="0.2">
      <c r="A263" t="str">
        <f t="shared" si="201"/>
        <v>S</v>
      </c>
      <c r="B263">
        <f t="shared" si="202"/>
        <v>0</v>
      </c>
      <c r="C263">
        <f t="shared" ca="1" si="203"/>
        <v>7</v>
      </c>
      <c r="D263">
        <f t="shared" ca="1" si="204"/>
        <v>2</v>
      </c>
      <c r="E263">
        <f t="shared" ca="1" si="205"/>
        <v>0</v>
      </c>
      <c r="F263">
        <f t="shared" ca="1" si="206"/>
        <v>0</v>
      </c>
      <c r="G263">
        <f t="shared" ca="1" si="207"/>
        <v>19</v>
      </c>
      <c r="H263">
        <f t="shared" ca="1" si="151"/>
        <v>0</v>
      </c>
      <c r="I263">
        <f t="shared" ca="1" si="152"/>
        <v>0</v>
      </c>
      <c r="J263" s="105" t="s">
        <v>29</v>
      </c>
      <c r="K263" s="97" t="str">
        <f t="shared" ca="1" si="208"/>
        <v>7.2.19.</v>
      </c>
      <c r="L263" s="110">
        <f t="shared" ca="1" si="209"/>
        <v>0</v>
      </c>
      <c r="M263" s="98" t="s">
        <v>80</v>
      </c>
      <c r="N263" s="112" t="s">
        <v>237</v>
      </c>
      <c r="O263" s="110" t="str">
        <f t="shared" ca="1" si="200"/>
        <v>Carro de som</v>
      </c>
      <c r="P263" s="111" t="str">
        <f t="shared" ca="1" si="210"/>
        <v>hora</v>
      </c>
      <c r="Q263" s="107">
        <v>3</v>
      </c>
      <c r="R263" s="100">
        <f t="shared" ca="1" si="211"/>
        <v>40</v>
      </c>
      <c r="S263" s="109" t="s">
        <v>62</v>
      </c>
      <c r="T263" s="99">
        <f t="shared" ca="1" si="212"/>
        <v>50</v>
      </c>
      <c r="U263" s="102">
        <f t="shared" ca="1" si="213"/>
        <v>150</v>
      </c>
      <c r="W263" s="1" t="str">
        <f ca="1">IF(OR($A263=0,$A263="S",$A263&gt;CFF!$A$9),"",MAX(W$11:OFFSET(W263,-1,0))+1)</f>
        <v/>
      </c>
      <c r="X263" s="3" t="str">
        <f t="shared" si="214"/>
        <v>Serv. Terc.-011</v>
      </c>
      <c r="Y263" s="1">
        <f t="shared" ca="1" si="215"/>
        <v>57</v>
      </c>
      <c r="AA263" s="106">
        <f>IF($J263=$G$2,ROUND(IF(ISNUMBER(S263),S263,IF(LEFT(S263,2)="DI",HLOOKUP(S263,DADOS!$T$29:$X$30,2,FALSE),0)),4),"")</f>
        <v>0.25</v>
      </c>
      <c r="AB263" s="1"/>
    </row>
    <row r="264" spans="1:28" x14ac:dyDescent="0.2">
      <c r="A264" t="str">
        <f t="shared" si="201"/>
        <v>S</v>
      </c>
      <c r="B264">
        <f t="shared" si="202"/>
        <v>0</v>
      </c>
      <c r="C264">
        <f t="shared" ca="1" si="203"/>
        <v>7</v>
      </c>
      <c r="D264">
        <f t="shared" ca="1" si="204"/>
        <v>2</v>
      </c>
      <c r="E264">
        <f t="shared" ca="1" si="205"/>
        <v>0</v>
      </c>
      <c r="F264">
        <f t="shared" ca="1" si="206"/>
        <v>0</v>
      </c>
      <c r="G264">
        <f t="shared" ca="1" si="207"/>
        <v>20</v>
      </c>
      <c r="H264">
        <f t="shared" ca="1" si="151"/>
        <v>0</v>
      </c>
      <c r="I264">
        <f t="shared" ca="1" si="152"/>
        <v>0</v>
      </c>
      <c r="J264" s="105" t="s">
        <v>29</v>
      </c>
      <c r="K264" s="97" t="str">
        <f t="shared" ca="1" si="208"/>
        <v>7.2.20.</v>
      </c>
      <c r="L264" s="110">
        <f t="shared" ca="1" si="209"/>
        <v>0</v>
      </c>
      <c r="M264" s="98" t="s">
        <v>80</v>
      </c>
      <c r="N264" s="112" t="s">
        <v>236</v>
      </c>
      <c r="O264" s="110" t="str">
        <f t="shared" ca="1" si="200"/>
        <v>Gravação de spot</v>
      </c>
      <c r="P264" s="111" t="str">
        <f t="shared" ca="1" si="210"/>
        <v>gravação</v>
      </c>
      <c r="Q264" s="107">
        <v>1</v>
      </c>
      <c r="R264" s="100">
        <f t="shared" ca="1" si="211"/>
        <v>50</v>
      </c>
      <c r="S264" s="109" t="s">
        <v>62</v>
      </c>
      <c r="T264" s="99">
        <f t="shared" ca="1" si="212"/>
        <v>62.5</v>
      </c>
      <c r="U264" s="102">
        <f t="shared" ca="1" si="213"/>
        <v>62.5</v>
      </c>
      <c r="W264" s="1" t="str">
        <f ca="1">IF(OR($A264=0,$A264="S",$A264&gt;CFF!$A$9),"",MAX(W$11:OFFSET(W264,-1,0))+1)</f>
        <v/>
      </c>
      <c r="X264" s="3" t="str">
        <f t="shared" si="214"/>
        <v>Serv. Terc.-010</v>
      </c>
      <c r="Y264" s="1">
        <f t="shared" ca="1" si="215"/>
        <v>56</v>
      </c>
      <c r="AA264" s="106">
        <f>IF($J264=$G$2,ROUND(IF(ISNUMBER(S264),S264,IF(LEFT(S264,2)="DI",HLOOKUP(S264,DADOS!$T$29:$X$30,2,FALSE),0)),4),"")</f>
        <v>0.25</v>
      </c>
      <c r="AB264" s="1"/>
    </row>
    <row r="265" spans="1:28" x14ac:dyDescent="0.2">
      <c r="A265" t="str">
        <f t="shared" si="201"/>
        <v>S</v>
      </c>
      <c r="B265">
        <f t="shared" si="202"/>
        <v>0</v>
      </c>
      <c r="C265">
        <f t="shared" ca="1" si="203"/>
        <v>7</v>
      </c>
      <c r="D265">
        <f t="shared" ca="1" si="204"/>
        <v>2</v>
      </c>
      <c r="E265">
        <f t="shared" ca="1" si="205"/>
        <v>0</v>
      </c>
      <c r="F265">
        <f t="shared" ca="1" si="206"/>
        <v>0</v>
      </c>
      <c r="G265">
        <f t="shared" ca="1" si="207"/>
        <v>21</v>
      </c>
      <c r="H265">
        <f t="shared" ca="1" si="151"/>
        <v>0</v>
      </c>
      <c r="I265">
        <f t="shared" ca="1" si="152"/>
        <v>0</v>
      </c>
      <c r="J265" s="105" t="s">
        <v>29</v>
      </c>
      <c r="K265" s="97" t="str">
        <f t="shared" ca="1" si="208"/>
        <v>7.2.21.</v>
      </c>
      <c r="L265" s="110">
        <f t="shared" ca="1" si="209"/>
        <v>0</v>
      </c>
      <c r="M265" s="98" t="s">
        <v>80</v>
      </c>
      <c r="N265" s="112" t="s">
        <v>234</v>
      </c>
      <c r="O265" s="110" t="str">
        <f t="shared" ca="1" si="200"/>
        <v>Recreadora infantil</v>
      </c>
      <c r="P265" s="111" t="str">
        <f t="shared" ca="1" si="210"/>
        <v>diaria</v>
      </c>
      <c r="Q265" s="107">
        <v>4</v>
      </c>
      <c r="R265" s="100">
        <f t="shared" ca="1" si="211"/>
        <v>100</v>
      </c>
      <c r="S265" s="109" t="s">
        <v>62</v>
      </c>
      <c r="T265" s="99">
        <f t="shared" ca="1" si="212"/>
        <v>125</v>
      </c>
      <c r="U265" s="102">
        <f t="shared" ca="1" si="213"/>
        <v>500</v>
      </c>
      <c r="W265" s="1" t="str">
        <f ca="1">IF(OR($A265=0,$A265="S",$A265&gt;CFF!$A$9),"",MAX(W$11:OFFSET(W265,-1,0))+1)</f>
        <v/>
      </c>
      <c r="X265" s="3" t="str">
        <f t="shared" si="214"/>
        <v>Serv. Terc.-012</v>
      </c>
      <c r="Y265" s="1">
        <f t="shared" ca="1" si="215"/>
        <v>58</v>
      </c>
      <c r="AA265" s="106">
        <f>IF($J265=$G$2,ROUND(IF(ISNUMBER(S265),S265,IF(LEFT(S265,2)="DI",HLOOKUP(S265,DADOS!$T$29:$X$30,2,FALSE),0)),4),"")</f>
        <v>0.25</v>
      </c>
      <c r="AB265" s="1"/>
    </row>
    <row r="266" spans="1:28" x14ac:dyDescent="0.2">
      <c r="A266" t="str">
        <f t="shared" si="201"/>
        <v>S</v>
      </c>
      <c r="B266">
        <f t="shared" si="202"/>
        <v>0</v>
      </c>
      <c r="C266">
        <f t="shared" ca="1" si="203"/>
        <v>7</v>
      </c>
      <c r="D266">
        <f t="shared" ca="1" si="204"/>
        <v>2</v>
      </c>
      <c r="E266">
        <f t="shared" ca="1" si="205"/>
        <v>0</v>
      </c>
      <c r="F266">
        <f t="shared" ca="1" si="206"/>
        <v>0</v>
      </c>
      <c r="G266">
        <f t="shared" ca="1" si="207"/>
        <v>22</v>
      </c>
      <c r="H266">
        <f t="shared" ca="1" si="151"/>
        <v>0</v>
      </c>
      <c r="I266">
        <f t="shared" ca="1" si="152"/>
        <v>0</v>
      </c>
      <c r="J266" s="105" t="s">
        <v>29</v>
      </c>
      <c r="K266" s="97" t="str">
        <f t="shared" ca="1" si="208"/>
        <v>7.2.22.</v>
      </c>
      <c r="L266" s="110">
        <f t="shared" ca="1" si="209"/>
        <v>0</v>
      </c>
      <c r="M266" s="98" t="s">
        <v>80</v>
      </c>
      <c r="N266" s="112" t="s">
        <v>231</v>
      </c>
      <c r="O266" s="110" t="str">
        <f t="shared" ca="1" si="200"/>
        <v xml:space="preserve">Impressão Colorida 1 folha </v>
      </c>
      <c r="P266" s="111" t="str">
        <f t="shared" ca="1" si="210"/>
        <v>unidade</v>
      </c>
      <c r="Q266" s="107">
        <v>150</v>
      </c>
      <c r="R266" s="100">
        <f t="shared" ca="1" si="211"/>
        <v>2.5</v>
      </c>
      <c r="S266" s="109" t="s">
        <v>62</v>
      </c>
      <c r="T266" s="99">
        <f t="shared" ca="1" si="212"/>
        <v>3.13</v>
      </c>
      <c r="U266" s="102">
        <f t="shared" ca="1" si="213"/>
        <v>469.5</v>
      </c>
      <c r="W266" s="1" t="str">
        <f ca="1">IF(OR($A266=0,$A266="S",$A266&gt;CFF!$A$9),"",MAX(W$11:OFFSET(W266,-1,0))+1)</f>
        <v/>
      </c>
      <c r="X266" s="3" t="str">
        <f t="shared" si="214"/>
        <v>Serv. Terc.-004</v>
      </c>
      <c r="Y266" s="1">
        <f t="shared" ca="1" si="215"/>
        <v>50</v>
      </c>
      <c r="AA266" s="106">
        <f>IF($J266=$G$2,ROUND(IF(ISNUMBER(S266),S266,IF(LEFT(S266,2)="DI",HLOOKUP(S266,DADOS!$T$29:$X$30,2,FALSE),0)),4),"")</f>
        <v>0.25</v>
      </c>
      <c r="AB266" s="1"/>
    </row>
    <row r="267" spans="1:28" x14ac:dyDescent="0.2">
      <c r="A267" t="str">
        <f t="shared" si="201"/>
        <v>S</v>
      </c>
      <c r="B267">
        <f t="shared" si="202"/>
        <v>0</v>
      </c>
      <c r="C267">
        <f t="shared" ca="1" si="203"/>
        <v>7</v>
      </c>
      <c r="D267">
        <f t="shared" ca="1" si="204"/>
        <v>2</v>
      </c>
      <c r="E267">
        <f t="shared" ca="1" si="205"/>
        <v>0</v>
      </c>
      <c r="F267">
        <f t="shared" ca="1" si="206"/>
        <v>0</v>
      </c>
      <c r="G267">
        <f t="shared" ca="1" si="207"/>
        <v>23</v>
      </c>
      <c r="H267">
        <f t="shared" ca="1" si="151"/>
        <v>0</v>
      </c>
      <c r="I267">
        <f t="shared" ca="1" si="152"/>
        <v>0</v>
      </c>
      <c r="J267" s="105" t="s">
        <v>29</v>
      </c>
      <c r="K267" s="97" t="str">
        <f t="shared" ca="1" si="208"/>
        <v>7.2.23.</v>
      </c>
      <c r="L267" s="110">
        <f t="shared" ca="1" si="209"/>
        <v>0</v>
      </c>
      <c r="M267" s="98" t="s">
        <v>80</v>
      </c>
      <c r="N267" s="112" t="s">
        <v>235</v>
      </c>
      <c r="O267" s="110" t="str">
        <f t="shared" ca="1" si="200"/>
        <v>Pula pula</v>
      </c>
      <c r="P267" s="111" t="str">
        <f t="shared" ca="1" si="210"/>
        <v>unidade</v>
      </c>
      <c r="Q267" s="107">
        <v>2</v>
      </c>
      <c r="R267" s="100">
        <f t="shared" ca="1" si="211"/>
        <v>150</v>
      </c>
      <c r="S267" s="109" t="s">
        <v>62</v>
      </c>
      <c r="T267" s="99">
        <f t="shared" ca="1" si="212"/>
        <v>187.5</v>
      </c>
      <c r="U267" s="102">
        <f t="shared" ca="1" si="213"/>
        <v>375</v>
      </c>
      <c r="W267" s="1" t="str">
        <f ca="1">IF(OR($A267=0,$A267="S",$A267&gt;CFF!$A$9),"",MAX(W$11:OFFSET(W267,-1,0))+1)</f>
        <v/>
      </c>
      <c r="X267" s="3" t="str">
        <f t="shared" si="214"/>
        <v>Serv. Terc.-008</v>
      </c>
      <c r="Y267" s="1">
        <f t="shared" ca="1" si="215"/>
        <v>54</v>
      </c>
      <c r="AA267" s="106">
        <f>IF($J267=$G$2,ROUND(IF(ISNUMBER(S267),S267,IF(LEFT(S267,2)="DI",HLOOKUP(S267,DADOS!$T$29:$X$30,2,FALSE),0)),4),"")</f>
        <v>0.25</v>
      </c>
      <c r="AB267" s="1"/>
    </row>
    <row r="268" spans="1:28" x14ac:dyDescent="0.2">
      <c r="A268" t="str">
        <f t="shared" si="201"/>
        <v>S</v>
      </c>
      <c r="B268">
        <f t="shared" si="202"/>
        <v>0</v>
      </c>
      <c r="C268">
        <f t="shared" ca="1" si="203"/>
        <v>7</v>
      </c>
      <c r="D268">
        <f t="shared" ca="1" si="204"/>
        <v>2</v>
      </c>
      <c r="E268">
        <f t="shared" ca="1" si="205"/>
        <v>0</v>
      </c>
      <c r="F268">
        <f t="shared" ca="1" si="206"/>
        <v>0</v>
      </c>
      <c r="G268">
        <f t="shared" ca="1" si="207"/>
        <v>24</v>
      </c>
      <c r="H268">
        <f t="shared" ref="H268:H324" ca="1" si="216">IF(OR($A268="S",$A268=0),0,MATCH(0,OFFSET($B268,1,$A268,ROW($A$367)-ROW($A268)),0))</f>
        <v>0</v>
      </c>
      <c r="I268">
        <f t="shared" ref="I268:I324" ca="1" si="217">IF(OR($A268="S",$A268=0),0,MATCH(OFFSET($B268,0,$A268)+1,OFFSET($B268,1,$A268,ROW($A$367)-ROW($A268)),0))</f>
        <v>0</v>
      </c>
      <c r="J268" s="105" t="s">
        <v>29</v>
      </c>
      <c r="K268" s="97" t="str">
        <f t="shared" ca="1" si="208"/>
        <v>7.2.24.</v>
      </c>
      <c r="L268" s="110">
        <f t="shared" ca="1" si="209"/>
        <v>0</v>
      </c>
      <c r="M268" s="98" t="s">
        <v>79</v>
      </c>
      <c r="N268" s="112" t="s">
        <v>241</v>
      </c>
      <c r="O268" s="110" t="str">
        <f t="shared" ca="1" si="200"/>
        <v>Fotocopia preto e branco</v>
      </c>
      <c r="P268" s="111" t="str">
        <f t="shared" ca="1" si="210"/>
        <v>UNIDADE</v>
      </c>
      <c r="Q268" s="107">
        <v>300</v>
      </c>
      <c r="R268" s="100">
        <f t="shared" ca="1" si="211"/>
        <v>0.25</v>
      </c>
      <c r="S268" s="109" t="s">
        <v>62</v>
      </c>
      <c r="T268" s="99">
        <f t="shared" ca="1" si="212"/>
        <v>0.31</v>
      </c>
      <c r="U268" s="102">
        <f t="shared" ca="1" si="213"/>
        <v>93</v>
      </c>
      <c r="W268" s="1" t="str">
        <f ca="1">IF(OR($A268=0,$A268="S",$A268&gt;CFF!$A$9),"",MAX(W$11:OFFSET(W268,-1,0))+1)</f>
        <v/>
      </c>
      <c r="X268" s="3" t="str">
        <f t="shared" si="214"/>
        <v>Rec. Materiais-015</v>
      </c>
      <c r="Y268" s="1">
        <f t="shared" ca="1" si="215"/>
        <v>22</v>
      </c>
      <c r="AA268" s="106">
        <f>IF($J268=$G$2,ROUND(IF(ISNUMBER(S268),S268,IF(LEFT(S268,2)="DI",HLOOKUP(S268,DADOS!$T$29:$X$30,2,FALSE),0)),4),"")</f>
        <v>0.25</v>
      </c>
      <c r="AB268" s="1"/>
    </row>
    <row r="269" spans="1:28" x14ac:dyDescent="0.2">
      <c r="A269" t="str">
        <f t="shared" si="201"/>
        <v>S</v>
      </c>
      <c r="B269">
        <f t="shared" si="202"/>
        <v>0</v>
      </c>
      <c r="C269">
        <f t="shared" ca="1" si="203"/>
        <v>7</v>
      </c>
      <c r="D269">
        <f t="shared" ca="1" si="204"/>
        <v>2</v>
      </c>
      <c r="E269">
        <f t="shared" ca="1" si="205"/>
        <v>0</v>
      </c>
      <c r="F269">
        <f t="shared" ca="1" si="206"/>
        <v>0</v>
      </c>
      <c r="G269">
        <f t="shared" ca="1" si="207"/>
        <v>25</v>
      </c>
      <c r="H269">
        <f t="shared" ca="1" si="216"/>
        <v>0</v>
      </c>
      <c r="I269">
        <f t="shared" ca="1" si="217"/>
        <v>0</v>
      </c>
      <c r="J269" s="105" t="s">
        <v>29</v>
      </c>
      <c r="K269" s="97" t="str">
        <f t="shared" ca="1" si="208"/>
        <v>7.2.25.</v>
      </c>
      <c r="L269" s="110">
        <f t="shared" ca="1" si="209"/>
        <v>0</v>
      </c>
      <c r="M269" s="98" t="s">
        <v>79</v>
      </c>
      <c r="N269" s="112" t="s">
        <v>242</v>
      </c>
      <c r="O269" s="110" t="str">
        <f t="shared" ca="1" si="200"/>
        <v xml:space="preserve">Saco plástico PP A4 4 furos 0,10mm A410-50 Spiral </v>
      </c>
      <c r="P269" s="111" t="str">
        <f t="shared" ca="1" si="210"/>
        <v>UNIDADE</v>
      </c>
      <c r="Q269" s="107">
        <v>20</v>
      </c>
      <c r="R269" s="100">
        <f t="shared" ca="1" si="211"/>
        <v>0.28999999999999998</v>
      </c>
      <c r="S269" s="109" t="s">
        <v>62</v>
      </c>
      <c r="T269" s="99">
        <f t="shared" ca="1" si="212"/>
        <v>0.36</v>
      </c>
      <c r="U269" s="102">
        <f t="shared" ca="1" si="213"/>
        <v>7.2</v>
      </c>
      <c r="W269" s="1" t="str">
        <f ca="1">IF(OR($A269=0,$A269="S",$A269&gt;CFF!$A$9),"",MAX(W$11:OFFSET(W269,-1,0))+1)</f>
        <v/>
      </c>
      <c r="X269" s="3" t="str">
        <f t="shared" si="214"/>
        <v>Rec. Materiais-026</v>
      </c>
      <c r="Y269" s="1">
        <f t="shared" ca="1" si="215"/>
        <v>33</v>
      </c>
      <c r="AA269" s="106">
        <f>IF($J269=$G$2,ROUND(IF(ISNUMBER(S269),S269,IF(LEFT(S269,2)="DI",HLOOKUP(S269,DADOS!$T$29:$X$30,2,FALSE),0)),4),"")</f>
        <v>0.25</v>
      </c>
      <c r="AB269" s="1"/>
    </row>
    <row r="270" spans="1:28" x14ac:dyDescent="0.2">
      <c r="A270" t="str">
        <f t="shared" si="201"/>
        <v>S</v>
      </c>
      <c r="B270">
        <f t="shared" si="202"/>
        <v>0</v>
      </c>
      <c r="C270">
        <f t="shared" ca="1" si="203"/>
        <v>7</v>
      </c>
      <c r="D270">
        <f t="shared" ca="1" si="204"/>
        <v>2</v>
      </c>
      <c r="E270">
        <f t="shared" ca="1" si="205"/>
        <v>0</v>
      </c>
      <c r="F270">
        <f t="shared" ca="1" si="206"/>
        <v>0</v>
      </c>
      <c r="G270">
        <f t="shared" ca="1" si="207"/>
        <v>26</v>
      </c>
      <c r="H270">
        <f t="shared" ca="1" si="216"/>
        <v>0</v>
      </c>
      <c r="I270">
        <f t="shared" ca="1" si="217"/>
        <v>0</v>
      </c>
      <c r="J270" s="105" t="s">
        <v>29</v>
      </c>
      <c r="K270" s="97" t="str">
        <f t="shared" ca="1" si="208"/>
        <v>7.2.26.</v>
      </c>
      <c r="L270" s="110">
        <f t="shared" ca="1" si="209"/>
        <v>0</v>
      </c>
      <c r="M270" s="98" t="s">
        <v>79</v>
      </c>
      <c r="N270" s="112" t="s">
        <v>243</v>
      </c>
      <c r="O270" s="110" t="str">
        <f t="shared" ca="1" si="200"/>
        <v xml:space="preserve">Garrafa squeeze Splash 700ml azul A0501 Fresko </v>
      </c>
      <c r="P270" s="111" t="str">
        <f t="shared" ca="1" si="210"/>
        <v>UNIDADE</v>
      </c>
      <c r="Q270" s="107">
        <v>10</v>
      </c>
      <c r="R270" s="100">
        <f t="shared" ca="1" si="211"/>
        <v>10</v>
      </c>
      <c r="S270" s="109" t="s">
        <v>62</v>
      </c>
      <c r="T270" s="99">
        <f t="shared" ca="1" si="212"/>
        <v>12.5</v>
      </c>
      <c r="U270" s="102">
        <f t="shared" ca="1" si="213"/>
        <v>125</v>
      </c>
      <c r="W270" s="1" t="str">
        <f ca="1">IF(OR($A270=0,$A270="S",$A270&gt;CFF!$A$9),"",MAX(W$11:OFFSET(W270,-1,0))+1)</f>
        <v/>
      </c>
      <c r="X270" s="3" t="str">
        <f t="shared" si="214"/>
        <v>Rec. Materiais-030</v>
      </c>
      <c r="Y270" s="1">
        <f t="shared" ca="1" si="215"/>
        <v>37</v>
      </c>
      <c r="AA270" s="106">
        <f>IF($J270=$G$2,ROUND(IF(ISNUMBER(S270),S270,IF(LEFT(S270,2)="DI",HLOOKUP(S270,DADOS!$T$29:$X$30,2,FALSE),0)),4),"")</f>
        <v>0.25</v>
      </c>
      <c r="AB270" s="1"/>
    </row>
    <row r="271" spans="1:28" x14ac:dyDescent="0.2">
      <c r="A271" t="str">
        <f t="shared" si="201"/>
        <v>S</v>
      </c>
      <c r="B271">
        <f t="shared" si="202"/>
        <v>0</v>
      </c>
      <c r="C271">
        <f t="shared" ca="1" si="203"/>
        <v>7</v>
      </c>
      <c r="D271">
        <f t="shared" ca="1" si="204"/>
        <v>2</v>
      </c>
      <c r="E271">
        <f t="shared" ca="1" si="205"/>
        <v>0</v>
      </c>
      <c r="F271">
        <f t="shared" ca="1" si="206"/>
        <v>0</v>
      </c>
      <c r="G271">
        <f t="shared" ca="1" si="207"/>
        <v>27</v>
      </c>
      <c r="H271">
        <f t="shared" ca="1" si="216"/>
        <v>0</v>
      </c>
      <c r="I271">
        <f t="shared" ca="1" si="217"/>
        <v>0</v>
      </c>
      <c r="J271" s="105" t="s">
        <v>29</v>
      </c>
      <c r="K271" s="97" t="str">
        <f t="shared" ca="1" si="208"/>
        <v>7.2.27.</v>
      </c>
      <c r="L271" s="110">
        <f t="shared" ca="1" si="209"/>
        <v>0</v>
      </c>
      <c r="M271" s="98" t="s">
        <v>80</v>
      </c>
      <c r="N271" s="112" t="s">
        <v>240</v>
      </c>
      <c r="O271" s="110" t="str">
        <f t="shared" ca="1" si="200"/>
        <v>Combustivel</v>
      </c>
      <c r="P271" s="111" t="str">
        <f t="shared" ca="1" si="210"/>
        <v>litro</v>
      </c>
      <c r="Q271" s="107">
        <v>100</v>
      </c>
      <c r="R271" s="100">
        <f t="shared" ca="1" si="211"/>
        <v>3.99</v>
      </c>
      <c r="S271" s="109" t="s">
        <v>62</v>
      </c>
      <c r="T271" s="99">
        <f t="shared" ca="1" si="212"/>
        <v>4.99</v>
      </c>
      <c r="U271" s="102">
        <f t="shared" ca="1" si="213"/>
        <v>499</v>
      </c>
      <c r="W271" s="1" t="str">
        <f ca="1">IF(OR($A271=0,$A271="S",$A271&gt;CFF!$A$9),"",MAX(W$11:OFFSET(W271,-1,0))+1)</f>
        <v/>
      </c>
      <c r="X271" s="3" t="str">
        <f t="shared" si="214"/>
        <v>Serv. Terc.-027</v>
      </c>
      <c r="Y271" s="1">
        <f t="shared" ca="1" si="215"/>
        <v>73</v>
      </c>
      <c r="AA271" s="106">
        <f>IF($J271=$G$2,ROUND(IF(ISNUMBER(S271),S271,IF(LEFT(S271,2)="DI",HLOOKUP(S271,DADOS!$T$29:$X$30,2,FALSE),0)),4),"")</f>
        <v>0.25</v>
      </c>
      <c r="AB271" s="1"/>
    </row>
    <row r="272" spans="1:28" x14ac:dyDescent="0.2">
      <c r="A272">
        <f>CHOOSE(1+LOG(1+2*(J272=$C$2)+4*(J272=$D$2)+8*(J272=$E$2)+16*(J272=$F$2)+32*(J272=$G$2),2),0,1,2,3,4,"S")</f>
        <v>1</v>
      </c>
      <c r="B272">
        <f ca="1">IF(OR(A272="S",A272=0),0,IF(ISERROR(I272),H272,SMALL(H272:I272,1)))</f>
        <v>12</v>
      </c>
      <c r="C272">
        <f ca="1">IF($A272=1,OFFSET(C272,-1,0)+1,OFFSET(C272,-1,0))</f>
        <v>8</v>
      </c>
      <c r="D272">
        <f ca="1">IF($A272=1,0,IF($A272=2,OFFSET(D272,-1,0)+1,OFFSET(D272,-1,0)))</f>
        <v>0</v>
      </c>
      <c r="E272">
        <f ca="1">IF(AND($A272&lt;=2,$A272&lt;&gt;0),0,IF($A272=3,OFFSET(E272,-1,0)+1,OFFSET(E272,-1,0)))</f>
        <v>0</v>
      </c>
      <c r="F272">
        <f ca="1">IF(AND($A272&lt;=3,$A272&lt;&gt;0),0,IF($A272=4,OFFSET(F272,-1,0)+1,OFFSET(F272,-1,0)))</f>
        <v>0</v>
      </c>
      <c r="G272">
        <f ca="1">IF(AND($A272&lt;=4,$A272&lt;&gt;0),0,IF($A272="S",OFFSET(G272,-1,0)+1,OFFSET(G272,-1,0)))</f>
        <v>0</v>
      </c>
      <c r="H272">
        <f t="shared" ca="1" si="216"/>
        <v>95</v>
      </c>
      <c r="I272">
        <f t="shared" ca="1" si="217"/>
        <v>12</v>
      </c>
      <c r="J272" s="105" t="s">
        <v>67</v>
      </c>
      <c r="K272" s="97" t="str">
        <f ca="1">IF($A272=0,"-",CONCATENATE(C272&amp;".",IF(AND($A$5&gt;=2,$A272&gt;=2),D272&amp;".",""),IF(AND($A$5&gt;=3,$A272&gt;=3),E272&amp;".",""),IF(AND($A$5&gt;=4,$A272&gt;=4),F272&amp;".",""),IF($A272="S",G272&amp;".","")))</f>
        <v>8.</v>
      </c>
      <c r="L272" s="110" t="str">
        <f ca="1">IF(NOT(ISERROR($Y272)),IF($Y272&lt;&gt;FALSE,INDEX(Banco,$Y272,4),""),"")</f>
        <v/>
      </c>
      <c r="M272" s="98"/>
      <c r="N272" s="112"/>
      <c r="O272" s="110" t="s">
        <v>282</v>
      </c>
      <c r="P272" s="111" t="str">
        <f ca="1">IF(NOT(ISERROR($Y272)),IF($Y272&lt;&gt;FALSE,INDEX(Banco,$Y272,6),""),"")</f>
        <v/>
      </c>
      <c r="Q272" s="107"/>
      <c r="R272" s="100">
        <f ca="1">IF(NOT(ISERROR($Y272)),IF($Y272&lt;&gt;FALSE,INDEX(Banco,$Y272,7),0),0)</f>
        <v>0</v>
      </c>
      <c r="S272" s="109" t="s">
        <v>62</v>
      </c>
      <c r="T272" s="99">
        <f>IF($J272=$G$2,ROUND(ROUND($R272,2)*IF($R$9="Preço Unitário (R$)",1,1+$AA272),2),0)</f>
        <v>0</v>
      </c>
      <c r="U272" s="102">
        <f ca="1">IF($A272="S",VTOTAL1,IF($A272=0,0,ROUND(SomaAgrup,2)))</f>
        <v>13706.38</v>
      </c>
      <c r="W272" s="1">
        <f ca="1">IF(OR($A272=0,$A272="S",$A272&gt;CFF!$A$9),"",MAX(W$11:OFFSET(W272,-1,0))+1)</f>
        <v>21</v>
      </c>
      <c r="X272" s="3" t="b">
        <f>IF(AND($J272=$G$2,$N272&lt;&gt;"",$M272&lt;&gt;""),CONCATENATE($M272,"-",$N272))</f>
        <v>0</v>
      </c>
      <c r="Y272" s="1" t="b">
        <f ca="1">IF(X272&lt;&gt;FALSE,MATCH(X272,OFFSET(Banco,0,0,,1),0))</f>
        <v>0</v>
      </c>
      <c r="AA272" s="106" t="str">
        <f>IF($J272=$G$2,ROUND(IF(ISNUMBER(S272),S272,IF(LEFT(S272,2)="DI",HLOOKUP(S272,DADOS!$T$29:$X$30,2,FALSE),0)),4),"")</f>
        <v/>
      </c>
      <c r="AB272" s="1"/>
    </row>
    <row r="273" spans="1:28" x14ac:dyDescent="0.2">
      <c r="A273">
        <f>CHOOSE(1+LOG(1+2*(J273=$C$2)+4*(J273=$D$2)+8*(J273=$E$2)+16*(J273=$F$2)+32*(J273=$G$2),2),0,1,2,3,4,"S")</f>
        <v>2</v>
      </c>
      <c r="B273">
        <f ca="1">IF(OR(A273="S",A273=0),0,IF(ISERROR(I273),H273,SMALL(H273:I273,1)))</f>
        <v>11</v>
      </c>
      <c r="C273">
        <f ca="1">IF($A273=1,OFFSET(C273,-1,0)+1,OFFSET(C273,-1,0))</f>
        <v>8</v>
      </c>
      <c r="D273">
        <f ca="1">IF($A273=1,0,IF($A273=2,OFFSET(D273,-1,0)+1,OFFSET(D273,-1,0)))</f>
        <v>1</v>
      </c>
      <c r="E273">
        <f ca="1">IF(AND($A273&lt;=2,$A273&lt;&gt;0),0,IF($A273=3,OFFSET(E273,-1,0)+1,OFFSET(E273,-1,0)))</f>
        <v>0</v>
      </c>
      <c r="F273">
        <f ca="1">IF(AND($A273&lt;=3,$A273&lt;&gt;0),0,IF($A273=4,OFFSET(F273,-1,0)+1,OFFSET(F273,-1,0)))</f>
        <v>0</v>
      </c>
      <c r="G273">
        <f ca="1">IF(AND($A273&lt;=4,$A273&lt;&gt;0),0,IF($A273="S",OFFSET(G273,-1,0)+1,OFFSET(G273,-1,0)))</f>
        <v>0</v>
      </c>
      <c r="H273">
        <f t="shared" ca="1" si="216"/>
        <v>11</v>
      </c>
      <c r="I273">
        <f t="shared" ca="1" si="217"/>
        <v>24</v>
      </c>
      <c r="J273" s="105" t="s">
        <v>68</v>
      </c>
      <c r="K273" s="97" t="str">
        <f ca="1">IF($A273=0,"-",CONCATENATE(C273&amp;".",IF(AND($A$5&gt;=2,$A273&gt;=2),D273&amp;".",""),IF(AND($A$5&gt;=3,$A273&gt;=3),E273&amp;".",""),IF(AND($A$5&gt;=4,$A273&gt;=4),F273&amp;".",""),IF($A273="S",G273&amp;".","")))</f>
        <v>8.1.</v>
      </c>
      <c r="L273" s="110" t="str">
        <f ca="1">IF(NOT(ISERROR($Y273)),IF($Y273&lt;&gt;FALSE,INDEX(Banco,$Y273,4),""),"")</f>
        <v/>
      </c>
      <c r="M273" s="98"/>
      <c r="N273" s="112"/>
      <c r="O273" s="110" t="s">
        <v>280</v>
      </c>
      <c r="P273" s="111" t="str">
        <f ca="1">IF(NOT(ISERROR($Y273)),IF($Y273&lt;&gt;FALSE,INDEX(Banco,$Y273,6),""),"")</f>
        <v/>
      </c>
      <c r="Q273" s="107"/>
      <c r="R273" s="100">
        <f ca="1">IF(NOT(ISERROR($Y273)),IF($Y273&lt;&gt;FALSE,INDEX(Banco,$Y273,7),0),0)</f>
        <v>0</v>
      </c>
      <c r="S273" s="109" t="s">
        <v>62</v>
      </c>
      <c r="T273" s="99">
        <f>IF($J273=$G$2,ROUND(ROUND($R273,2)*IF($R$9="Preço Unitário (R$)",1,1+$AA273),2),0)</f>
        <v>0</v>
      </c>
      <c r="U273" s="102">
        <f ca="1">IF($A273="S",VTOTAL1,IF($A273=0,0,ROUND(SomaAgrup,2)))</f>
        <v>13706.38</v>
      </c>
      <c r="W273" s="1">
        <f ca="1">IF(OR($A273=0,$A273="S",$A273&gt;CFF!$A$9),"",MAX(W$11:OFFSET(W273,-1,0))+1)</f>
        <v>22</v>
      </c>
      <c r="X273" s="3" t="b">
        <f>IF(AND($J273=$G$2,$N273&lt;&gt;"",$M273&lt;&gt;""),CONCATENATE($M273,"-",$N273))</f>
        <v>0</v>
      </c>
      <c r="Y273" s="1" t="b">
        <f ca="1">IF(X273&lt;&gt;FALSE,MATCH(X273,OFFSET(Banco,0,0,,1),0))</f>
        <v>0</v>
      </c>
      <c r="AA273" s="106" t="str">
        <f>IF($J273=$G$2,ROUND(IF(ISNUMBER(S273),S273,IF(LEFT(S273,2)="DI",HLOOKUP(S273,DADOS!$T$29:$X$30,2,FALSE),0)),4),"")</f>
        <v/>
      </c>
      <c r="AB273" s="1"/>
    </row>
    <row r="274" spans="1:28" x14ac:dyDescent="0.2">
      <c r="A274" t="str">
        <f t="shared" ref="A274:A282" si="218">CHOOSE(1+LOG(1+2*(J274=$C$2)+4*(J274=$D$2)+8*(J274=$E$2)+16*(J274=$F$2)+32*(J274=$G$2),2),0,1,2,3,4,"S")</f>
        <v>S</v>
      </c>
      <c r="B274">
        <f t="shared" ref="B274:B282" si="219">IF(OR(A274="S",A274=0),0,IF(ISERROR(I274),H274,SMALL(H274:I274,1)))</f>
        <v>0</v>
      </c>
      <c r="C274">
        <f t="shared" ref="C274:C282" ca="1" si="220">IF($A274=1,OFFSET(C274,-1,0)+1,OFFSET(C274,-1,0))</f>
        <v>8</v>
      </c>
      <c r="D274">
        <f t="shared" ref="D274:D282" ca="1" si="221">IF($A274=1,0,IF($A274=2,OFFSET(D274,-1,0)+1,OFFSET(D274,-1,0)))</f>
        <v>1</v>
      </c>
      <c r="E274">
        <f t="shared" ref="E274:E282" ca="1" si="222">IF(AND($A274&lt;=2,$A274&lt;&gt;0),0,IF($A274=3,OFFSET(E274,-1,0)+1,OFFSET(E274,-1,0)))</f>
        <v>0</v>
      </c>
      <c r="F274">
        <f t="shared" ref="F274:F282" ca="1" si="223">IF(AND($A274&lt;=3,$A274&lt;&gt;0),0,IF($A274=4,OFFSET(F274,-1,0)+1,OFFSET(F274,-1,0)))</f>
        <v>0</v>
      </c>
      <c r="G274">
        <f t="shared" ref="G274:G282" ca="1" si="224">IF(AND($A274&lt;=4,$A274&lt;&gt;0),0,IF($A274="S",OFFSET(G274,-1,0)+1,OFFSET(G274,-1,0)))</f>
        <v>1</v>
      </c>
      <c r="H274">
        <f t="shared" ca="1" si="216"/>
        <v>0</v>
      </c>
      <c r="I274">
        <f t="shared" ca="1" si="217"/>
        <v>0</v>
      </c>
      <c r="J274" s="105" t="s">
        <v>29</v>
      </c>
      <c r="K274" s="97" t="str">
        <f t="shared" ref="K274:K282" ca="1" si="225">IF($A274=0,"-",CONCATENATE(C274&amp;".",IF(AND($A$5&gt;=2,$A274&gt;=2),D274&amp;".",""),IF(AND($A$5&gt;=3,$A274&gt;=3),E274&amp;".",""),IF(AND($A$5&gt;=4,$A274&gt;=4),F274&amp;".",""),IF($A274="S",G274&amp;".","")))</f>
        <v>8.1.1.</v>
      </c>
      <c r="L274" s="110" t="str">
        <f t="shared" ref="L274:L282" ca="1" si="226">IF(NOT(ISERROR($Y274)),IF($Y274&lt;&gt;FALSE,INDEX(Banco,$Y274,4),""),"")</f>
        <v>CRESS</v>
      </c>
      <c r="M274" s="98" t="s">
        <v>78</v>
      </c>
      <c r="N274" s="112" t="s">
        <v>218</v>
      </c>
      <c r="O274" s="110" t="str">
        <f t="shared" ref="O274:O282" ca="1" si="227">IF(NOT(ISERROR($Y274)),IF($Y274&lt;&gt;FALSE,INDEX(Banco,$Y274,5),""),"")</f>
        <v>RT</v>
      </c>
      <c r="P274" s="111" t="str">
        <f t="shared" ref="P274:P282" ca="1" si="228">IF(NOT(ISERROR($Y274)),IF($Y274&lt;&gt;FALSE,INDEX(Banco,$Y274,6),""),"")</f>
        <v>hora</v>
      </c>
      <c r="Q274" s="107">
        <v>40</v>
      </c>
      <c r="R274" s="100">
        <f t="shared" ref="R274:R282" ca="1" si="229">IF(NOT(ISERROR($Y274)),IF($Y274&lt;&gt;FALSE,INDEX(Banco,$Y274,7),0),0)</f>
        <v>150.28</v>
      </c>
      <c r="S274" s="109" t="s">
        <v>62</v>
      </c>
      <c r="T274" s="99">
        <f t="shared" ref="T274:T282" ca="1" si="230">IF($J274=$G$2,ROUND(ROUND($R274,2)*IF($R$9="Preço Unitário (R$)",1,1+$AA274),2),0)</f>
        <v>187.85</v>
      </c>
      <c r="U274" s="102">
        <f t="shared" ref="U274:U282" ca="1" si="231">IF($A274="S",VTOTAL1,IF($A274=0,0,ROUND(SomaAgrup,2)))</f>
        <v>7514</v>
      </c>
      <c r="W274" s="1" t="str">
        <f ca="1">IF(OR($A274=0,$A274="S",$A274&gt;CFF!$A$9),"",MAX(W$11:OFFSET(W274,-1,0))+1)</f>
        <v/>
      </c>
      <c r="X274" s="3" t="str">
        <f t="shared" ref="X274:X282" si="232">IF(AND($J274=$G$2,$N274&lt;&gt;"",$M274&lt;&gt;""),CONCATENATE($M274,"-",$N274))</f>
        <v>Rec. Humanos-001</v>
      </c>
      <c r="Y274" s="1">
        <f t="shared" ref="Y274:Y282" ca="1" si="233">IF(X274&lt;&gt;FALSE,MATCH(X274,OFFSET(Banco,0,0,,1),0))</f>
        <v>3</v>
      </c>
      <c r="AA274" s="106">
        <f>IF($J274=$G$2,ROUND(IF(ISNUMBER(S274),S274,IF(LEFT(S274,2)="DI",HLOOKUP(S274,DADOS!$T$29:$X$30,2,FALSE),0)),4),"")</f>
        <v>0.25</v>
      </c>
      <c r="AB274" s="1"/>
    </row>
    <row r="275" spans="1:28" x14ac:dyDescent="0.2">
      <c r="A275" t="str">
        <f t="shared" si="218"/>
        <v>S</v>
      </c>
      <c r="B275">
        <f t="shared" si="219"/>
        <v>0</v>
      </c>
      <c r="C275">
        <f t="shared" ca="1" si="220"/>
        <v>8</v>
      </c>
      <c r="D275">
        <f t="shared" ca="1" si="221"/>
        <v>1</v>
      </c>
      <c r="E275">
        <f t="shared" ca="1" si="222"/>
        <v>0</v>
      </c>
      <c r="F275">
        <f t="shared" ca="1" si="223"/>
        <v>0</v>
      </c>
      <c r="G275">
        <f t="shared" ca="1" si="224"/>
        <v>2</v>
      </c>
      <c r="H275">
        <f t="shared" ca="1" si="216"/>
        <v>0</v>
      </c>
      <c r="I275">
        <f t="shared" ca="1" si="217"/>
        <v>0</v>
      </c>
      <c r="J275" s="105" t="s">
        <v>29</v>
      </c>
      <c r="K275" s="97" t="str">
        <f t="shared" ca="1" si="225"/>
        <v>8.1.2.</v>
      </c>
      <c r="L275" s="110">
        <f t="shared" ca="1" si="226"/>
        <v>0</v>
      </c>
      <c r="M275" s="98" t="s">
        <v>78</v>
      </c>
      <c r="N275" s="112" t="s">
        <v>219</v>
      </c>
      <c r="O275" s="110" t="str">
        <f t="shared" ca="1" si="227"/>
        <v>Assistente Social</v>
      </c>
      <c r="P275" s="111" t="str">
        <f t="shared" ca="1" si="228"/>
        <v>hora</v>
      </c>
      <c r="Q275" s="107">
        <v>20</v>
      </c>
      <c r="R275" s="100">
        <f t="shared" ca="1" si="229"/>
        <v>133.81</v>
      </c>
      <c r="S275" s="109" t="s">
        <v>62</v>
      </c>
      <c r="T275" s="99">
        <f t="shared" ca="1" si="230"/>
        <v>167.26</v>
      </c>
      <c r="U275" s="102">
        <f t="shared" ca="1" si="231"/>
        <v>3345.2</v>
      </c>
      <c r="W275" s="1" t="str">
        <f ca="1">IF(OR($A275=0,$A275="S",$A275&gt;CFF!$A$9),"",MAX(W$11:OFFSET(W275,-1,0))+1)</f>
        <v/>
      </c>
      <c r="X275" s="3" t="str">
        <f t="shared" si="232"/>
        <v>Rec. Humanos-002</v>
      </c>
      <c r="Y275" s="1">
        <f t="shared" ca="1" si="233"/>
        <v>4</v>
      </c>
      <c r="AA275" s="106">
        <f>IF($J275=$G$2,ROUND(IF(ISNUMBER(S275),S275,IF(LEFT(S275,2)="DI",HLOOKUP(S275,DADOS!$T$29:$X$30,2,FALSE),0)),4),"")</f>
        <v>0.25</v>
      </c>
      <c r="AB275" s="1"/>
    </row>
    <row r="276" spans="1:28" x14ac:dyDescent="0.2">
      <c r="A276" t="str">
        <f t="shared" si="218"/>
        <v>S</v>
      </c>
      <c r="B276">
        <f t="shared" si="219"/>
        <v>0</v>
      </c>
      <c r="C276">
        <f t="shared" ca="1" si="220"/>
        <v>8</v>
      </c>
      <c r="D276">
        <f t="shared" ca="1" si="221"/>
        <v>1</v>
      </c>
      <c r="E276">
        <f t="shared" ca="1" si="222"/>
        <v>0</v>
      </c>
      <c r="F276">
        <f t="shared" ca="1" si="223"/>
        <v>0</v>
      </c>
      <c r="G276">
        <f t="shared" ca="1" si="224"/>
        <v>3</v>
      </c>
      <c r="H276">
        <f t="shared" ca="1" si="216"/>
        <v>0</v>
      </c>
      <c r="I276">
        <f t="shared" ca="1" si="217"/>
        <v>0</v>
      </c>
      <c r="J276" s="105" t="s">
        <v>29</v>
      </c>
      <c r="K276" s="97" t="str">
        <f t="shared" ca="1" si="225"/>
        <v>8.1.3.</v>
      </c>
      <c r="L276" s="110">
        <f t="shared" ca="1" si="226"/>
        <v>0</v>
      </c>
      <c r="M276" s="98" t="s">
        <v>78</v>
      </c>
      <c r="N276" s="112" t="s">
        <v>231</v>
      </c>
      <c r="O276" s="110" t="str">
        <f t="shared" ca="1" si="227"/>
        <v>Biólogo</v>
      </c>
      <c r="P276" s="111" t="str">
        <f t="shared" ca="1" si="228"/>
        <v>hora</v>
      </c>
      <c r="Q276" s="107">
        <v>20</v>
      </c>
      <c r="R276" s="100">
        <f t="shared" ca="1" si="229"/>
        <v>14.97</v>
      </c>
      <c r="S276" s="109" t="s">
        <v>62</v>
      </c>
      <c r="T276" s="99">
        <f t="shared" ca="1" si="230"/>
        <v>18.71</v>
      </c>
      <c r="U276" s="102">
        <f t="shared" ca="1" si="231"/>
        <v>374.2</v>
      </c>
      <c r="W276" s="1" t="str">
        <f ca="1">IF(OR($A276=0,$A276="S",$A276&gt;CFF!$A$9),"",MAX(W$11:OFFSET(W276,-1,0))+1)</f>
        <v/>
      </c>
      <c r="X276" s="3" t="str">
        <f t="shared" si="232"/>
        <v>Rec. Humanos-004</v>
      </c>
      <c r="Y276" s="1">
        <f t="shared" ca="1" si="233"/>
        <v>6</v>
      </c>
      <c r="AA276" s="106">
        <f>IF($J276=$G$2,ROUND(IF(ISNUMBER(S276),S276,IF(LEFT(S276,2)="DI",HLOOKUP(S276,DADOS!$T$29:$X$30,2,FALSE),0)),4),"")</f>
        <v>0.25</v>
      </c>
      <c r="AB276" s="1"/>
    </row>
    <row r="277" spans="1:28" x14ac:dyDescent="0.2">
      <c r="A277" t="str">
        <f t="shared" si="218"/>
        <v>S</v>
      </c>
      <c r="B277">
        <f t="shared" si="219"/>
        <v>0</v>
      </c>
      <c r="C277">
        <f t="shared" ca="1" si="220"/>
        <v>8</v>
      </c>
      <c r="D277">
        <f t="shared" ca="1" si="221"/>
        <v>1</v>
      </c>
      <c r="E277">
        <f t="shared" ca="1" si="222"/>
        <v>0</v>
      </c>
      <c r="F277">
        <f t="shared" ca="1" si="223"/>
        <v>0</v>
      </c>
      <c r="G277">
        <f t="shared" ca="1" si="224"/>
        <v>4</v>
      </c>
      <c r="H277">
        <f t="shared" ca="1" si="216"/>
        <v>0</v>
      </c>
      <c r="I277">
        <f t="shared" ca="1" si="217"/>
        <v>0</v>
      </c>
      <c r="J277" s="105" t="s">
        <v>29</v>
      </c>
      <c r="K277" s="97" t="str">
        <f t="shared" ca="1" si="225"/>
        <v>8.1.4.</v>
      </c>
      <c r="L277" s="110">
        <f t="shared" ca="1" si="226"/>
        <v>0</v>
      </c>
      <c r="M277" s="98" t="s">
        <v>78</v>
      </c>
      <c r="N277" s="112" t="s">
        <v>221</v>
      </c>
      <c r="O277" s="110" t="str">
        <f t="shared" ca="1" si="227"/>
        <v>Estagiarios</v>
      </c>
      <c r="P277" s="111" t="str">
        <f t="shared" ca="1" si="228"/>
        <v>hora</v>
      </c>
      <c r="Q277" s="107">
        <v>20</v>
      </c>
      <c r="R277" s="100">
        <f t="shared" ca="1" si="229"/>
        <v>8.26</v>
      </c>
      <c r="S277" s="109" t="s">
        <v>62</v>
      </c>
      <c r="T277" s="99">
        <f t="shared" ca="1" si="230"/>
        <v>10.33</v>
      </c>
      <c r="U277" s="102">
        <f t="shared" ca="1" si="231"/>
        <v>206.6</v>
      </c>
      <c r="W277" s="1" t="str">
        <f ca="1">IF(OR($A277=0,$A277="S",$A277&gt;CFF!$A$9),"",MAX(W$11:OFFSET(W277,-1,0))+1)</f>
        <v/>
      </c>
      <c r="X277" s="3" t="str">
        <f t="shared" si="232"/>
        <v>Rec. Humanos-005</v>
      </c>
      <c r="Y277" s="1">
        <f t="shared" ca="1" si="233"/>
        <v>7</v>
      </c>
      <c r="AA277" s="106">
        <f>IF($J277=$G$2,ROUND(IF(ISNUMBER(S277),S277,IF(LEFT(S277,2)="DI",HLOOKUP(S277,DADOS!$T$29:$X$30,2,FALSE),0)),4),"")</f>
        <v>0.25</v>
      </c>
      <c r="AB277" s="1"/>
    </row>
    <row r="278" spans="1:28" x14ac:dyDescent="0.2">
      <c r="A278" t="str">
        <f t="shared" si="218"/>
        <v>S</v>
      </c>
      <c r="B278">
        <f t="shared" si="219"/>
        <v>0</v>
      </c>
      <c r="C278">
        <f t="shared" ca="1" si="220"/>
        <v>8</v>
      </c>
      <c r="D278">
        <f t="shared" ca="1" si="221"/>
        <v>1</v>
      </c>
      <c r="E278">
        <f t="shared" ca="1" si="222"/>
        <v>0</v>
      </c>
      <c r="F278">
        <f t="shared" ca="1" si="223"/>
        <v>0</v>
      </c>
      <c r="G278">
        <f t="shared" ca="1" si="224"/>
        <v>5</v>
      </c>
      <c r="H278">
        <f t="shared" ca="1" si="216"/>
        <v>0</v>
      </c>
      <c r="I278">
        <f t="shared" ca="1" si="217"/>
        <v>0</v>
      </c>
      <c r="J278" s="105" t="s">
        <v>29</v>
      </c>
      <c r="K278" s="97" t="str">
        <f t="shared" ca="1" si="225"/>
        <v>8.1.5.</v>
      </c>
      <c r="L278" s="110">
        <f t="shared" ca="1" si="226"/>
        <v>0</v>
      </c>
      <c r="M278" s="98" t="s">
        <v>78</v>
      </c>
      <c r="N278" s="112" t="s">
        <v>221</v>
      </c>
      <c r="O278" s="110" t="str">
        <f t="shared" ca="1" si="227"/>
        <v>Estagiarios</v>
      </c>
      <c r="P278" s="111" t="str">
        <f t="shared" ca="1" si="228"/>
        <v>hora</v>
      </c>
      <c r="Q278" s="107">
        <v>20</v>
      </c>
      <c r="R278" s="100">
        <f t="shared" ca="1" si="229"/>
        <v>8.26</v>
      </c>
      <c r="S278" s="109" t="s">
        <v>62</v>
      </c>
      <c r="T278" s="99">
        <f t="shared" ca="1" si="230"/>
        <v>10.33</v>
      </c>
      <c r="U278" s="102">
        <f t="shared" ca="1" si="231"/>
        <v>206.6</v>
      </c>
      <c r="W278" s="1" t="str">
        <f ca="1">IF(OR($A278=0,$A278="S",$A278&gt;CFF!$A$9),"",MAX(W$11:OFFSET(W278,-1,0))+1)</f>
        <v/>
      </c>
      <c r="X278" s="3" t="str">
        <f t="shared" si="232"/>
        <v>Rec. Humanos-005</v>
      </c>
      <c r="Y278" s="1">
        <f t="shared" ca="1" si="233"/>
        <v>7</v>
      </c>
      <c r="AA278" s="106">
        <f>IF($J278=$G$2,ROUND(IF(ISNUMBER(S278),S278,IF(LEFT(S278,2)="DI",HLOOKUP(S278,DADOS!$T$29:$X$30,2,FALSE),0)),4),"")</f>
        <v>0.25</v>
      </c>
      <c r="AB278" s="1"/>
    </row>
    <row r="279" spans="1:28" x14ac:dyDescent="0.2">
      <c r="A279" t="str">
        <f t="shared" si="218"/>
        <v>S</v>
      </c>
      <c r="B279">
        <f t="shared" si="219"/>
        <v>0</v>
      </c>
      <c r="C279">
        <f t="shared" ca="1" si="220"/>
        <v>8</v>
      </c>
      <c r="D279">
        <f t="shared" ca="1" si="221"/>
        <v>1</v>
      </c>
      <c r="E279">
        <f t="shared" ca="1" si="222"/>
        <v>0</v>
      </c>
      <c r="F279">
        <f t="shared" ca="1" si="223"/>
        <v>0</v>
      </c>
      <c r="G279">
        <f t="shared" ca="1" si="224"/>
        <v>6</v>
      </c>
      <c r="H279">
        <f t="shared" ca="1" si="216"/>
        <v>0</v>
      </c>
      <c r="I279">
        <f t="shared" ca="1" si="217"/>
        <v>0</v>
      </c>
      <c r="J279" s="105" t="s">
        <v>29</v>
      </c>
      <c r="K279" s="97" t="str">
        <f t="shared" ca="1" si="225"/>
        <v>8.1.6.</v>
      </c>
      <c r="L279" s="110">
        <f t="shared" ca="1" si="226"/>
        <v>0</v>
      </c>
      <c r="M279" s="98" t="s">
        <v>78</v>
      </c>
      <c r="N279" s="112" t="s">
        <v>221</v>
      </c>
      <c r="O279" s="110" t="str">
        <f t="shared" ca="1" si="227"/>
        <v>Estagiarios</v>
      </c>
      <c r="P279" s="111" t="str">
        <f t="shared" ca="1" si="228"/>
        <v>hora</v>
      </c>
      <c r="Q279" s="107">
        <v>20</v>
      </c>
      <c r="R279" s="100">
        <f t="shared" ca="1" si="229"/>
        <v>8.26</v>
      </c>
      <c r="S279" s="109" t="s">
        <v>62</v>
      </c>
      <c r="T279" s="99">
        <f t="shared" ca="1" si="230"/>
        <v>10.33</v>
      </c>
      <c r="U279" s="102">
        <f t="shared" ca="1" si="231"/>
        <v>206.6</v>
      </c>
      <c r="W279" s="1" t="str">
        <f ca="1">IF(OR($A279=0,$A279="S",$A279&gt;CFF!$A$9),"",MAX(W$11:OFFSET(W279,-1,0))+1)</f>
        <v/>
      </c>
      <c r="X279" s="3" t="str">
        <f t="shared" si="232"/>
        <v>Rec. Humanos-005</v>
      </c>
      <c r="Y279" s="1">
        <f t="shared" ca="1" si="233"/>
        <v>7</v>
      </c>
      <c r="AA279" s="106">
        <f>IF($J279=$G$2,ROUND(IF(ISNUMBER(S279),S279,IF(LEFT(S279,2)="DI",HLOOKUP(S279,DADOS!$T$29:$X$30,2,FALSE),0)),4),"")</f>
        <v>0.25</v>
      </c>
      <c r="AB279" s="1"/>
    </row>
    <row r="280" spans="1:28" x14ac:dyDescent="0.2">
      <c r="A280" t="str">
        <f t="shared" si="218"/>
        <v>S</v>
      </c>
      <c r="B280">
        <f t="shared" si="219"/>
        <v>0</v>
      </c>
      <c r="C280">
        <f t="shared" ca="1" si="220"/>
        <v>8</v>
      </c>
      <c r="D280">
        <f t="shared" ca="1" si="221"/>
        <v>1</v>
      </c>
      <c r="E280">
        <f t="shared" ca="1" si="222"/>
        <v>0</v>
      </c>
      <c r="F280">
        <f t="shared" ca="1" si="223"/>
        <v>0</v>
      </c>
      <c r="G280">
        <f t="shared" ca="1" si="224"/>
        <v>7</v>
      </c>
      <c r="H280">
        <f t="shared" ca="1" si="216"/>
        <v>0</v>
      </c>
      <c r="I280">
        <f t="shared" ca="1" si="217"/>
        <v>0</v>
      </c>
      <c r="J280" s="105" t="s">
        <v>29</v>
      </c>
      <c r="K280" s="97" t="str">
        <f t="shared" ca="1" si="225"/>
        <v>8.1.7.</v>
      </c>
      <c r="L280" s="110">
        <f t="shared" ca="1" si="226"/>
        <v>0</v>
      </c>
      <c r="M280" s="98" t="s">
        <v>78</v>
      </c>
      <c r="N280" s="112" t="s">
        <v>221</v>
      </c>
      <c r="O280" s="110" t="str">
        <f t="shared" ca="1" si="227"/>
        <v>Estagiarios</v>
      </c>
      <c r="P280" s="111" t="str">
        <f t="shared" ca="1" si="228"/>
        <v>hora</v>
      </c>
      <c r="Q280" s="107">
        <v>20</v>
      </c>
      <c r="R280" s="100">
        <f t="shared" ca="1" si="229"/>
        <v>8.26</v>
      </c>
      <c r="S280" s="109" t="s">
        <v>62</v>
      </c>
      <c r="T280" s="99">
        <f t="shared" ca="1" si="230"/>
        <v>10.33</v>
      </c>
      <c r="U280" s="102">
        <f t="shared" ca="1" si="231"/>
        <v>206.6</v>
      </c>
      <c r="W280" s="1" t="str">
        <f ca="1">IF(OR($A280=0,$A280="S",$A280&gt;CFF!$A$9),"",MAX(W$11:OFFSET(W280,-1,0))+1)</f>
        <v/>
      </c>
      <c r="X280" s="3" t="str">
        <f t="shared" si="232"/>
        <v>Rec. Humanos-005</v>
      </c>
      <c r="Y280" s="1">
        <f t="shared" ca="1" si="233"/>
        <v>7</v>
      </c>
      <c r="AA280" s="106">
        <f>IF($J280=$G$2,ROUND(IF(ISNUMBER(S280),S280,IF(LEFT(S280,2)="DI",HLOOKUP(S280,DADOS!$T$29:$X$30,2,FALSE),0)),4),"")</f>
        <v>0.25</v>
      </c>
      <c r="AB280" s="1"/>
    </row>
    <row r="281" spans="1:28" x14ac:dyDescent="0.2">
      <c r="A281" t="str">
        <f t="shared" si="218"/>
        <v>S</v>
      </c>
      <c r="B281">
        <f t="shared" si="219"/>
        <v>0</v>
      </c>
      <c r="C281">
        <f t="shared" ca="1" si="220"/>
        <v>8</v>
      </c>
      <c r="D281">
        <f t="shared" ca="1" si="221"/>
        <v>1</v>
      </c>
      <c r="E281">
        <f t="shared" ca="1" si="222"/>
        <v>0</v>
      </c>
      <c r="F281">
        <f t="shared" ca="1" si="223"/>
        <v>0</v>
      </c>
      <c r="G281">
        <f t="shared" ca="1" si="224"/>
        <v>8</v>
      </c>
      <c r="H281">
        <f t="shared" ca="1" si="216"/>
        <v>0</v>
      </c>
      <c r="I281">
        <f t="shared" ca="1" si="217"/>
        <v>0</v>
      </c>
      <c r="J281" s="105" t="s">
        <v>29</v>
      </c>
      <c r="K281" s="97" t="str">
        <f t="shared" ca="1" si="225"/>
        <v>8.1.8.</v>
      </c>
      <c r="L281" s="110">
        <f t="shared" ca="1" si="226"/>
        <v>0</v>
      </c>
      <c r="M281" s="98" t="s">
        <v>79</v>
      </c>
      <c r="N281" s="112" t="s">
        <v>227</v>
      </c>
      <c r="O281" s="110" t="str">
        <f t="shared" ca="1" si="227"/>
        <v>Copo de agua 300 ml Lebrinha/Brunado</v>
      </c>
      <c r="P281" s="111" t="str">
        <f t="shared" ca="1" si="228"/>
        <v>UNIDADE</v>
      </c>
      <c r="Q281" s="107">
        <v>60</v>
      </c>
      <c r="R281" s="100">
        <f t="shared" ca="1" si="229"/>
        <v>4.2</v>
      </c>
      <c r="S281" s="109" t="s">
        <v>62</v>
      </c>
      <c r="T281" s="99">
        <f t="shared" ca="1" si="230"/>
        <v>5.25</v>
      </c>
      <c r="U281" s="102">
        <f t="shared" ca="1" si="231"/>
        <v>315</v>
      </c>
      <c r="W281" s="1" t="str">
        <f ca="1">IF(OR($A281=0,$A281="S",$A281&gt;CFF!$A$9),"",MAX(W$11:OFFSET(W281,-1,0))+1)</f>
        <v/>
      </c>
      <c r="X281" s="3" t="str">
        <f t="shared" si="232"/>
        <v>Rec. Materiais-014</v>
      </c>
      <c r="Y281" s="1">
        <f t="shared" ca="1" si="233"/>
        <v>21</v>
      </c>
      <c r="AA281" s="106">
        <f>IF($J281=$G$2,ROUND(IF(ISNUMBER(S281),S281,IF(LEFT(S281,2)="DI",HLOOKUP(S281,DADOS!$T$29:$X$30,2,FALSE),0)),4),"")</f>
        <v>0.25</v>
      </c>
      <c r="AB281" s="1"/>
    </row>
    <row r="282" spans="1:28" x14ac:dyDescent="0.2">
      <c r="A282" t="str">
        <f t="shared" si="218"/>
        <v>S</v>
      </c>
      <c r="B282">
        <f t="shared" si="219"/>
        <v>0</v>
      </c>
      <c r="C282">
        <f t="shared" ca="1" si="220"/>
        <v>8</v>
      </c>
      <c r="D282">
        <f t="shared" ca="1" si="221"/>
        <v>1</v>
      </c>
      <c r="E282">
        <f t="shared" ca="1" si="222"/>
        <v>0</v>
      </c>
      <c r="F282">
        <f t="shared" ca="1" si="223"/>
        <v>0</v>
      </c>
      <c r="G282">
        <f t="shared" ca="1" si="224"/>
        <v>9</v>
      </c>
      <c r="H282">
        <f t="shared" ca="1" si="216"/>
        <v>0</v>
      </c>
      <c r="I282">
        <f t="shared" ca="1" si="217"/>
        <v>0</v>
      </c>
      <c r="J282" s="105" t="s">
        <v>29</v>
      </c>
      <c r="K282" s="97" t="str">
        <f t="shared" ca="1" si="225"/>
        <v>8.1.9.</v>
      </c>
      <c r="L282" s="110">
        <f t="shared" ca="1" si="226"/>
        <v>0</v>
      </c>
      <c r="M282" s="98" t="s">
        <v>80</v>
      </c>
      <c r="N282" s="112" t="s">
        <v>231</v>
      </c>
      <c r="O282" s="110" t="str">
        <f t="shared" ca="1" si="227"/>
        <v xml:space="preserve">Impressão Colorida 1 folha </v>
      </c>
      <c r="P282" s="111" t="str">
        <f t="shared" ca="1" si="228"/>
        <v>unidade</v>
      </c>
      <c r="Q282" s="107">
        <v>266</v>
      </c>
      <c r="R282" s="100">
        <f t="shared" ca="1" si="229"/>
        <v>2.5</v>
      </c>
      <c r="S282" s="109" t="s">
        <v>62</v>
      </c>
      <c r="T282" s="99">
        <f t="shared" ca="1" si="230"/>
        <v>3.13</v>
      </c>
      <c r="U282" s="102">
        <f t="shared" ca="1" si="231"/>
        <v>832.58</v>
      </c>
      <c r="W282" s="1" t="str">
        <f ca="1">IF(OR($A282=0,$A282="S",$A282&gt;CFF!$A$9),"",MAX(W$11:OFFSET(W282,-1,0))+1)</f>
        <v/>
      </c>
      <c r="X282" s="3" t="str">
        <f t="shared" si="232"/>
        <v>Serv. Terc.-004</v>
      </c>
      <c r="Y282" s="1">
        <f t="shared" ca="1" si="233"/>
        <v>50</v>
      </c>
      <c r="AA282" s="106">
        <f>IF($J282=$G$2,ROUND(IF(ISNUMBER(S282),S282,IF(LEFT(S282,2)="DI",HLOOKUP(S282,DADOS!$T$29:$X$30,2,FALSE),0)),4),"")</f>
        <v>0.25</v>
      </c>
      <c r="AB282" s="1"/>
    </row>
    <row r="283" spans="1:28" x14ac:dyDescent="0.2">
      <c r="A283" t="str">
        <f>CHOOSE(1+LOG(1+2*(J283=$C$2)+4*(J283=$D$2)+8*(J283=$E$2)+16*(J283=$F$2)+32*(J283=$G$2),2),0,1,2,3,4,"S")</f>
        <v>S</v>
      </c>
      <c r="B283">
        <f>IF(OR(A283="S",A283=0),0,IF(ISERROR(I283),H283,SMALL(H283:I283,1)))</f>
        <v>0</v>
      </c>
      <c r="C283">
        <f ca="1">IF($A283=1,OFFSET(C283,-1,0)+1,OFFSET(C283,-1,0))</f>
        <v>8</v>
      </c>
      <c r="D283">
        <f ca="1">IF($A283=1,0,IF($A283=2,OFFSET(D283,-1,0)+1,OFFSET(D283,-1,0)))</f>
        <v>1</v>
      </c>
      <c r="E283">
        <f ca="1">IF(AND($A283&lt;=2,$A283&lt;&gt;0),0,IF($A283=3,OFFSET(E283,-1,0)+1,OFFSET(E283,-1,0)))</f>
        <v>0</v>
      </c>
      <c r="F283">
        <f ca="1">IF(AND($A283&lt;=3,$A283&lt;&gt;0),0,IF($A283=4,OFFSET(F283,-1,0)+1,OFFSET(F283,-1,0)))</f>
        <v>0</v>
      </c>
      <c r="G283">
        <f ca="1">IF(AND($A283&lt;=4,$A283&lt;&gt;0),0,IF($A283="S",OFFSET(G283,-1,0)+1,OFFSET(G283,-1,0)))</f>
        <v>10</v>
      </c>
      <c r="H283">
        <f t="shared" ca="1" si="216"/>
        <v>0</v>
      </c>
      <c r="I283">
        <f t="shared" ca="1" si="217"/>
        <v>0</v>
      </c>
      <c r="J283" s="105" t="s">
        <v>29</v>
      </c>
      <c r="K283" s="97" t="str">
        <f ca="1">IF($A283=0,"-",CONCATENATE(C283&amp;".",IF(AND($A$5&gt;=2,$A283&gt;=2),D283&amp;".",""),IF(AND($A$5&gt;=3,$A283&gt;=3),E283&amp;".",""),IF(AND($A$5&gt;=4,$A283&gt;=4),F283&amp;".",""),IF($A283="S",G283&amp;".","")))</f>
        <v>8.1.10.</v>
      </c>
      <c r="L283" s="110">
        <f ca="1">IF(NOT(ISERROR($Y283)),IF($Y283&lt;&gt;FALSE,INDEX(Banco,$Y283,4),""),"")</f>
        <v>0</v>
      </c>
      <c r="M283" s="98" t="s">
        <v>80</v>
      </c>
      <c r="N283" s="112" t="s">
        <v>240</v>
      </c>
      <c r="O283" s="110" t="str">
        <f ca="1">IF(NOT(ISERROR($Y283)),IF($Y283&lt;&gt;FALSE,INDEX(Banco,$Y283,5),""),"")</f>
        <v>Combustivel</v>
      </c>
      <c r="P283" s="111" t="str">
        <f ca="1">IF(NOT(ISERROR($Y283)),IF($Y283&lt;&gt;FALSE,INDEX(Banco,$Y283,6),""),"")</f>
        <v>litro</v>
      </c>
      <c r="Q283" s="107">
        <v>100</v>
      </c>
      <c r="R283" s="100">
        <f ca="1">IF(NOT(ISERROR($Y283)),IF($Y283&lt;&gt;FALSE,INDEX(Banco,$Y283,7),0),0)</f>
        <v>3.99</v>
      </c>
      <c r="S283" s="109" t="s">
        <v>62</v>
      </c>
      <c r="T283" s="99">
        <f ca="1">IF($J283=$G$2,ROUND(ROUND($R283,2)*IF($R$9="Preço Unitário (R$)",1,1+$AA283),2),0)</f>
        <v>4.99</v>
      </c>
      <c r="U283" s="102">
        <f ca="1">IF($A283="S",VTOTAL1,IF($A283=0,0,ROUND(SomaAgrup,2)))</f>
        <v>499</v>
      </c>
      <c r="W283" s="1" t="str">
        <f ca="1">IF(OR($A283=0,$A283="S",$A283&gt;CFF!$A$9),"",MAX(W$11:OFFSET(W283,-1,0))+1)</f>
        <v/>
      </c>
      <c r="X283" s="3" t="str">
        <f>IF(AND($J283=$G$2,$N283&lt;&gt;"",$M283&lt;&gt;""),CONCATENATE($M283,"-",$N283))</f>
        <v>Serv. Terc.-027</v>
      </c>
      <c r="Y283" s="1">
        <f ca="1">IF(X283&lt;&gt;FALSE,MATCH(X283,OFFSET(Banco,0,0,,1),0))</f>
        <v>73</v>
      </c>
      <c r="AA283" s="106">
        <f>IF($J283=$G$2,ROUND(IF(ISNUMBER(S283),S283,IF(LEFT(S283,2)="DI",HLOOKUP(S283,DADOS!$T$29:$X$30,2,FALSE),0)),4),"")</f>
        <v>0.25</v>
      </c>
      <c r="AB283" s="1"/>
    </row>
    <row r="284" spans="1:28" x14ac:dyDescent="0.2">
      <c r="A284">
        <f>CHOOSE(1+LOG(1+2*(J284=$C$2)+4*(J284=$D$2)+8*(J284=$E$2)+16*(J284=$F$2)+32*(J284=$G$2),2),0,1,2,3,4,"S")</f>
        <v>1</v>
      </c>
      <c r="B284">
        <f ca="1">IF(OR(A284="S",A284=0),0,IF(ISERROR(I284),H284,SMALL(H284:I284,1)))</f>
        <v>24</v>
      </c>
      <c r="C284">
        <f ca="1">IF($A284=1,OFFSET(C284,-1,0)+1,OFFSET(C284,-1,0))</f>
        <v>9</v>
      </c>
      <c r="D284">
        <f ca="1">IF($A284=1,0,IF($A284=2,OFFSET(D284,-1,0)+1,OFFSET(D284,-1,0)))</f>
        <v>0</v>
      </c>
      <c r="E284">
        <f ca="1">IF(AND($A284&lt;=2,$A284&lt;&gt;0),0,IF($A284=3,OFFSET(E284,-1,0)+1,OFFSET(E284,-1,0)))</f>
        <v>0</v>
      </c>
      <c r="F284">
        <f ca="1">IF(AND($A284&lt;=3,$A284&lt;&gt;0),0,IF($A284=4,OFFSET(F284,-1,0)+1,OFFSET(F284,-1,0)))</f>
        <v>0</v>
      </c>
      <c r="G284">
        <f ca="1">IF(AND($A284&lt;=4,$A284&lt;&gt;0),0,IF($A284="S",OFFSET(G284,-1,0)+1,OFFSET(G284,-1,0)))</f>
        <v>0</v>
      </c>
      <c r="H284">
        <f t="shared" ca="1" si="216"/>
        <v>83</v>
      </c>
      <c r="I284">
        <f t="shared" ca="1" si="217"/>
        <v>24</v>
      </c>
      <c r="J284" s="105" t="s">
        <v>67</v>
      </c>
      <c r="K284" s="97" t="str">
        <f ca="1">IF($A284=0,"-",CONCATENATE(C284&amp;".",IF(AND($A$5&gt;=2,$A284&gt;=2),D284&amp;".",""),IF(AND($A$5&gt;=3,$A284&gt;=3),E284&amp;".",""),IF(AND($A$5&gt;=4,$A284&gt;=4),F284&amp;".",""),IF($A284="S",G284&amp;".","")))</f>
        <v>9.</v>
      </c>
      <c r="L284" s="110" t="str">
        <f ca="1">IF(NOT(ISERROR($Y284)),IF($Y284&lt;&gt;FALSE,INDEX(Banco,$Y284,4),""),"")</f>
        <v/>
      </c>
      <c r="M284" s="98"/>
      <c r="N284" s="112"/>
      <c r="O284" s="110" t="s">
        <v>261</v>
      </c>
      <c r="P284" s="111" t="str">
        <f ca="1">IF(NOT(ISERROR($Y284)),IF($Y284&lt;&gt;FALSE,INDEX(Banco,$Y284,6),""),"")</f>
        <v/>
      </c>
      <c r="Q284" s="107"/>
      <c r="R284" s="100">
        <f ca="1">IF(NOT(ISERROR($Y284)),IF($Y284&lt;&gt;FALSE,INDEX(Banco,$Y284,7),0),0)</f>
        <v>0</v>
      </c>
      <c r="S284" s="109" t="s">
        <v>62</v>
      </c>
      <c r="T284" s="99">
        <f>IF($J284=$G$2,ROUND(ROUND($R284,2)*IF($R$9="Preço Unitário (R$)",1,1+$AA284),2),0)</f>
        <v>0</v>
      </c>
      <c r="U284" s="102">
        <f ca="1">IF($A284="S",VTOTAL1,IF($A284=0,0,ROUND(SomaAgrup,2)))</f>
        <v>17608.5</v>
      </c>
      <c r="W284" s="1">
        <f ca="1">IF(OR($A284=0,$A284="S",$A284&gt;CFF!$A$9),"",MAX(W$11:OFFSET(W284,-1,0))+1)</f>
        <v>23</v>
      </c>
      <c r="X284" s="3" t="b">
        <f>IF(AND($J284=$G$2,$N284&lt;&gt;"",$M284&lt;&gt;""),CONCATENATE($M284,"-",$N284))</f>
        <v>0</v>
      </c>
      <c r="Y284" s="1" t="b">
        <f ca="1">IF(X284&lt;&gt;FALSE,MATCH(X284,OFFSET(Banco,0,0,,1),0))</f>
        <v>0</v>
      </c>
      <c r="AA284" s="106" t="str">
        <f>IF($J284=$G$2,ROUND(IF(ISNUMBER(S284),S284,IF(LEFT(S284,2)="DI",HLOOKUP(S284,DADOS!$T$29:$X$30,2,FALSE),0)),4),"")</f>
        <v/>
      </c>
      <c r="AB284" s="1"/>
    </row>
    <row r="285" spans="1:28" x14ac:dyDescent="0.2">
      <c r="A285">
        <f>CHOOSE(1+LOG(1+2*(J285=$C$2)+4*(J285=$D$2)+8*(J285=$E$2)+16*(J285=$F$2)+32*(J285=$G$2),2),0,1,2,3,4,"S")</f>
        <v>2</v>
      </c>
      <c r="B285">
        <f ca="1">IF(OR(A285="S",A285=0),0,IF(ISERROR(I285),H285,SMALL(H285:I285,1)))</f>
        <v>12</v>
      </c>
      <c r="C285">
        <f ca="1">IF($A285=1,OFFSET(C285,-1,0)+1,OFFSET(C285,-1,0))</f>
        <v>9</v>
      </c>
      <c r="D285">
        <f ca="1">IF($A285=1,0,IF($A285=2,OFFSET(D285,-1,0)+1,OFFSET(D285,-1,0)))</f>
        <v>1</v>
      </c>
      <c r="E285">
        <f ca="1">IF(AND($A285&lt;=2,$A285&lt;&gt;0),0,IF($A285=3,OFFSET(E285,-1,0)+1,OFFSET(E285,-1,0)))</f>
        <v>0</v>
      </c>
      <c r="F285">
        <f ca="1">IF(AND($A285&lt;=3,$A285&lt;&gt;0),0,IF($A285=4,OFFSET(F285,-1,0)+1,OFFSET(F285,-1,0)))</f>
        <v>0</v>
      </c>
      <c r="G285">
        <f ca="1">IF(AND($A285&lt;=4,$A285&lt;&gt;0),0,IF($A285="S",OFFSET(G285,-1,0)+1,OFFSET(G285,-1,0)))</f>
        <v>0</v>
      </c>
      <c r="H285">
        <f t="shared" ca="1" si="216"/>
        <v>23</v>
      </c>
      <c r="I285">
        <f t="shared" ca="1" si="217"/>
        <v>12</v>
      </c>
      <c r="J285" s="105" t="s">
        <v>68</v>
      </c>
      <c r="K285" s="97" t="str">
        <f ca="1">IF($A285=0,"-",CONCATENATE(C285&amp;".",IF(AND($A$5&gt;=2,$A285&gt;=2),D285&amp;".",""),IF(AND($A$5&gt;=3,$A285&gt;=3),E285&amp;".",""),IF(AND($A$5&gt;=4,$A285&gt;=4),F285&amp;".",""),IF($A285="S",G285&amp;".","")))</f>
        <v>9.1.</v>
      </c>
      <c r="L285" s="110" t="str">
        <f ca="1">IF(NOT(ISERROR($Y285)),IF($Y285&lt;&gt;FALSE,INDEX(Banco,$Y285,4),""),"")</f>
        <v/>
      </c>
      <c r="M285" s="98"/>
      <c r="N285" s="112"/>
      <c r="O285" s="110" t="s">
        <v>283</v>
      </c>
      <c r="P285" s="111" t="str">
        <f ca="1">IF(NOT(ISERROR($Y285)),IF($Y285&lt;&gt;FALSE,INDEX(Banco,$Y285,6),""),"")</f>
        <v/>
      </c>
      <c r="Q285" s="107"/>
      <c r="R285" s="100">
        <f ca="1">IF(NOT(ISERROR($Y285)),IF($Y285&lt;&gt;FALSE,INDEX(Banco,$Y285,7),0),0)</f>
        <v>0</v>
      </c>
      <c r="S285" s="109" t="s">
        <v>62</v>
      </c>
      <c r="T285" s="99">
        <f>IF($J285=$G$2,ROUND(ROUND($R285,2)*IF($R$9="Preço Unitário (R$)",1,1+$AA285),2),0)</f>
        <v>0</v>
      </c>
      <c r="U285" s="102">
        <f ca="1">IF($A285="S",VTOTAL1,IF($A285=0,0,ROUND(SomaAgrup,2)))</f>
        <v>9700.16</v>
      </c>
      <c r="W285" s="1">
        <f ca="1">IF(OR($A285=0,$A285="S",$A285&gt;CFF!$A$9),"",MAX(W$11:OFFSET(W285,-1,0))+1)</f>
        <v>24</v>
      </c>
      <c r="X285" s="3" t="b">
        <f>IF(AND($J285=$G$2,$N285&lt;&gt;"",$M285&lt;&gt;""),CONCATENATE($M285,"-",$N285))</f>
        <v>0</v>
      </c>
      <c r="Y285" s="1" t="b">
        <f ca="1">IF(X285&lt;&gt;FALSE,MATCH(X285,OFFSET(Banco,0,0,,1),0))</f>
        <v>0</v>
      </c>
      <c r="AA285" s="106" t="str">
        <f>IF($J285=$G$2,ROUND(IF(ISNUMBER(S285),S285,IF(LEFT(S285,2)="DI",HLOOKUP(S285,DADOS!$T$29:$X$30,2,FALSE),0)),4),"")</f>
        <v/>
      </c>
      <c r="AB285" s="1"/>
    </row>
    <row r="286" spans="1:28" x14ac:dyDescent="0.2">
      <c r="A286" t="str">
        <f t="shared" ref="A286:A295" si="234">CHOOSE(1+LOG(1+2*(J286=$C$2)+4*(J286=$D$2)+8*(J286=$E$2)+16*(J286=$F$2)+32*(J286=$G$2),2),0,1,2,3,4,"S")</f>
        <v>S</v>
      </c>
      <c r="B286">
        <f t="shared" ref="B286:B295" si="235">IF(OR(A286="S",A286=0),0,IF(ISERROR(I286),H286,SMALL(H286:I286,1)))</f>
        <v>0</v>
      </c>
      <c r="C286">
        <f t="shared" ref="C286:C295" ca="1" si="236">IF($A286=1,OFFSET(C286,-1,0)+1,OFFSET(C286,-1,0))</f>
        <v>9</v>
      </c>
      <c r="D286">
        <f t="shared" ref="D286:D295" ca="1" si="237">IF($A286=1,0,IF($A286=2,OFFSET(D286,-1,0)+1,OFFSET(D286,-1,0)))</f>
        <v>1</v>
      </c>
      <c r="E286">
        <f t="shared" ref="E286:E295" ca="1" si="238">IF(AND($A286&lt;=2,$A286&lt;&gt;0),0,IF($A286=3,OFFSET(E286,-1,0)+1,OFFSET(E286,-1,0)))</f>
        <v>0</v>
      </c>
      <c r="F286">
        <f t="shared" ref="F286:F295" ca="1" si="239">IF(AND($A286&lt;=3,$A286&lt;&gt;0),0,IF($A286=4,OFFSET(F286,-1,0)+1,OFFSET(F286,-1,0)))</f>
        <v>0</v>
      </c>
      <c r="G286">
        <f t="shared" ref="G286:G295" ca="1" si="240">IF(AND($A286&lt;=4,$A286&lt;&gt;0),0,IF($A286="S",OFFSET(G286,-1,0)+1,OFFSET(G286,-1,0)))</f>
        <v>1</v>
      </c>
      <c r="H286">
        <f t="shared" ca="1" si="216"/>
        <v>0</v>
      </c>
      <c r="I286">
        <f t="shared" ca="1" si="217"/>
        <v>0</v>
      </c>
      <c r="J286" s="105" t="s">
        <v>29</v>
      </c>
      <c r="K286" s="97" t="str">
        <f t="shared" ref="K286:K295" ca="1" si="241">IF($A286=0,"-",CONCATENATE(C286&amp;".",IF(AND($A$5&gt;=2,$A286&gt;=2),D286&amp;".",""),IF(AND($A$5&gt;=3,$A286&gt;=3),E286&amp;".",""),IF(AND($A$5&gt;=4,$A286&gt;=4),F286&amp;".",""),IF($A286="S",G286&amp;".","")))</f>
        <v>9.1.1.</v>
      </c>
      <c r="L286" s="110" t="str">
        <f t="shared" ref="L286:L295" ca="1" si="242">IF(NOT(ISERROR($Y286)),IF($Y286&lt;&gt;FALSE,INDEX(Banco,$Y286,4),""),"")</f>
        <v>CRESS</v>
      </c>
      <c r="M286" s="98" t="s">
        <v>78</v>
      </c>
      <c r="N286" s="112" t="s">
        <v>218</v>
      </c>
      <c r="O286" s="110" t="str">
        <f t="shared" ref="O286:O295" ca="1" si="243">IF(NOT(ISERROR($Y286)),IF($Y286&lt;&gt;FALSE,INDEX(Banco,$Y286,5),""),"")</f>
        <v>RT</v>
      </c>
      <c r="P286" s="111" t="str">
        <f t="shared" ref="P286:P295" ca="1" si="244">IF(NOT(ISERROR($Y286)),IF($Y286&lt;&gt;FALSE,INDEX(Banco,$Y286,6),""),"")</f>
        <v>hora</v>
      </c>
      <c r="Q286" s="107">
        <v>20</v>
      </c>
      <c r="R286" s="100">
        <f t="shared" ref="R286:R295" ca="1" si="245">IF(NOT(ISERROR($Y286)),IF($Y286&lt;&gt;FALSE,INDEX(Banco,$Y286,7),0),0)</f>
        <v>150.28</v>
      </c>
      <c r="S286" s="109" t="s">
        <v>62</v>
      </c>
      <c r="T286" s="99">
        <f t="shared" ref="T286:T295" ca="1" si="246">IF($J286=$G$2,ROUND(ROUND($R286,2)*IF($R$9="Preço Unitário (R$)",1,1+$AA286),2),0)</f>
        <v>187.85</v>
      </c>
      <c r="U286" s="102">
        <f t="shared" ref="U286:U295" ca="1" si="247">IF($A286="S",VTOTAL1,IF($A286=0,0,ROUND(SomaAgrup,2)))</f>
        <v>3757</v>
      </c>
      <c r="W286" s="1" t="str">
        <f ca="1">IF(OR($A286=0,$A286="S",$A286&gt;CFF!$A$9),"",MAX(W$11:OFFSET(W286,-1,0))+1)</f>
        <v/>
      </c>
      <c r="X286" s="3" t="str">
        <f t="shared" ref="X286:X295" si="248">IF(AND($J286=$G$2,$N286&lt;&gt;"",$M286&lt;&gt;""),CONCATENATE($M286,"-",$N286))</f>
        <v>Rec. Humanos-001</v>
      </c>
      <c r="Y286" s="1">
        <f t="shared" ref="Y286:Y295" ca="1" si="249">IF(X286&lt;&gt;FALSE,MATCH(X286,OFFSET(Banco,0,0,,1),0))</f>
        <v>3</v>
      </c>
      <c r="AA286" s="106">
        <f>IF($J286=$G$2,ROUND(IF(ISNUMBER(S286),S286,IF(LEFT(S286,2)="DI",HLOOKUP(S286,DADOS!$T$29:$X$30,2,FALSE),0)),4),"")</f>
        <v>0.25</v>
      </c>
      <c r="AB286" s="1"/>
    </row>
    <row r="287" spans="1:28" x14ac:dyDescent="0.2">
      <c r="A287" t="str">
        <f t="shared" si="234"/>
        <v>S</v>
      </c>
      <c r="B287">
        <f t="shared" si="235"/>
        <v>0</v>
      </c>
      <c r="C287">
        <f t="shared" ca="1" si="236"/>
        <v>9</v>
      </c>
      <c r="D287">
        <f t="shared" ca="1" si="237"/>
        <v>1</v>
      </c>
      <c r="E287">
        <f t="shared" ca="1" si="238"/>
        <v>0</v>
      </c>
      <c r="F287">
        <f t="shared" ca="1" si="239"/>
        <v>0</v>
      </c>
      <c r="G287">
        <f t="shared" ca="1" si="240"/>
        <v>2</v>
      </c>
      <c r="H287">
        <f t="shared" ca="1" si="216"/>
        <v>0</v>
      </c>
      <c r="I287">
        <f t="shared" ca="1" si="217"/>
        <v>0</v>
      </c>
      <c r="J287" s="105" t="s">
        <v>29</v>
      </c>
      <c r="K287" s="97" t="str">
        <f t="shared" ca="1" si="241"/>
        <v>9.1.2.</v>
      </c>
      <c r="L287" s="110">
        <f t="shared" ca="1" si="242"/>
        <v>0</v>
      </c>
      <c r="M287" s="98" t="s">
        <v>78</v>
      </c>
      <c r="N287" s="112" t="s">
        <v>219</v>
      </c>
      <c r="O287" s="110" t="str">
        <f t="shared" ca="1" si="243"/>
        <v>Assistente Social</v>
      </c>
      <c r="P287" s="111" t="str">
        <f t="shared" ca="1" si="244"/>
        <v>hora</v>
      </c>
      <c r="Q287" s="107">
        <v>15</v>
      </c>
      <c r="R287" s="100">
        <f t="shared" ca="1" si="245"/>
        <v>133.81</v>
      </c>
      <c r="S287" s="109" t="s">
        <v>62</v>
      </c>
      <c r="T287" s="99">
        <f t="shared" ca="1" si="246"/>
        <v>167.26</v>
      </c>
      <c r="U287" s="102">
        <f t="shared" ca="1" si="247"/>
        <v>2508.9</v>
      </c>
      <c r="W287" s="1" t="str">
        <f ca="1">IF(OR($A287=0,$A287="S",$A287&gt;CFF!$A$9),"",MAX(W$11:OFFSET(W287,-1,0))+1)</f>
        <v/>
      </c>
      <c r="X287" s="3" t="str">
        <f t="shared" si="248"/>
        <v>Rec. Humanos-002</v>
      </c>
      <c r="Y287" s="1">
        <f t="shared" ca="1" si="249"/>
        <v>4</v>
      </c>
      <c r="AA287" s="106">
        <f>IF($J287=$G$2,ROUND(IF(ISNUMBER(S287),S287,IF(LEFT(S287,2)="DI",HLOOKUP(S287,DADOS!$T$29:$X$30,2,FALSE),0)),4),"")</f>
        <v>0.25</v>
      </c>
      <c r="AB287" s="1"/>
    </row>
    <row r="288" spans="1:28" x14ac:dyDescent="0.2">
      <c r="A288" t="str">
        <f t="shared" si="234"/>
        <v>S</v>
      </c>
      <c r="B288">
        <f t="shared" si="235"/>
        <v>0</v>
      </c>
      <c r="C288">
        <f t="shared" ca="1" si="236"/>
        <v>9</v>
      </c>
      <c r="D288">
        <f t="shared" ca="1" si="237"/>
        <v>1</v>
      </c>
      <c r="E288">
        <f t="shared" ca="1" si="238"/>
        <v>0</v>
      </c>
      <c r="F288">
        <f t="shared" ca="1" si="239"/>
        <v>0</v>
      </c>
      <c r="G288">
        <f t="shared" ca="1" si="240"/>
        <v>3</v>
      </c>
      <c r="H288">
        <f t="shared" ca="1" si="216"/>
        <v>0</v>
      </c>
      <c r="I288">
        <f t="shared" ca="1" si="217"/>
        <v>0</v>
      </c>
      <c r="J288" s="105" t="s">
        <v>29</v>
      </c>
      <c r="K288" s="97" t="str">
        <f t="shared" ca="1" si="241"/>
        <v>9.1.3.</v>
      </c>
      <c r="L288" s="110">
        <f t="shared" ca="1" si="242"/>
        <v>0</v>
      </c>
      <c r="M288" s="98" t="s">
        <v>78</v>
      </c>
      <c r="N288" s="112" t="s">
        <v>220</v>
      </c>
      <c r="O288" s="110" t="str">
        <f t="shared" ca="1" si="243"/>
        <v>Administrativo</v>
      </c>
      <c r="P288" s="111" t="str">
        <f t="shared" ca="1" si="244"/>
        <v>mensal</v>
      </c>
      <c r="Q288" s="107">
        <v>1</v>
      </c>
      <c r="R288" s="100">
        <f t="shared" ca="1" si="245"/>
        <v>1463.5</v>
      </c>
      <c r="S288" s="109" t="s">
        <v>62</v>
      </c>
      <c r="T288" s="99">
        <f t="shared" ca="1" si="246"/>
        <v>1829.38</v>
      </c>
      <c r="U288" s="102">
        <f t="shared" ca="1" si="247"/>
        <v>1829.38</v>
      </c>
      <c r="W288" s="1" t="str">
        <f ca="1">IF(OR($A288=0,$A288="S",$A288&gt;CFF!$A$9),"",MAX(W$11:OFFSET(W288,-1,0))+1)</f>
        <v/>
      </c>
      <c r="X288" s="3" t="str">
        <f t="shared" si="248"/>
        <v>Rec. Humanos-003</v>
      </c>
      <c r="Y288" s="1">
        <f t="shared" ca="1" si="249"/>
        <v>5</v>
      </c>
      <c r="AA288" s="106">
        <f>IF($J288=$G$2,ROUND(IF(ISNUMBER(S288),S288,IF(LEFT(S288,2)="DI",HLOOKUP(S288,DADOS!$T$29:$X$30,2,FALSE),0)),4),"")</f>
        <v>0.25</v>
      </c>
      <c r="AB288" s="1"/>
    </row>
    <row r="289" spans="1:28" x14ac:dyDescent="0.2">
      <c r="A289" t="str">
        <f t="shared" si="234"/>
        <v>S</v>
      </c>
      <c r="B289">
        <f t="shared" si="235"/>
        <v>0</v>
      </c>
      <c r="C289">
        <f t="shared" ca="1" si="236"/>
        <v>9</v>
      </c>
      <c r="D289">
        <f t="shared" ca="1" si="237"/>
        <v>1</v>
      </c>
      <c r="E289">
        <f t="shared" ca="1" si="238"/>
        <v>0</v>
      </c>
      <c r="F289">
        <f t="shared" ca="1" si="239"/>
        <v>0</v>
      </c>
      <c r="G289">
        <f t="shared" ca="1" si="240"/>
        <v>4</v>
      </c>
      <c r="H289">
        <f t="shared" ca="1" si="216"/>
        <v>0</v>
      </c>
      <c r="I289">
        <f t="shared" ca="1" si="217"/>
        <v>0</v>
      </c>
      <c r="J289" s="105" t="s">
        <v>29</v>
      </c>
      <c r="K289" s="97" t="str">
        <f t="shared" ca="1" si="241"/>
        <v>9.1.4.</v>
      </c>
      <c r="L289" s="110">
        <f t="shared" ca="1" si="242"/>
        <v>0</v>
      </c>
      <c r="M289" s="98" t="s">
        <v>78</v>
      </c>
      <c r="N289" s="112" t="s">
        <v>231</v>
      </c>
      <c r="O289" s="110" t="str">
        <f t="shared" ca="1" si="243"/>
        <v>Biólogo</v>
      </c>
      <c r="P289" s="111" t="str">
        <f t="shared" ca="1" si="244"/>
        <v>hora</v>
      </c>
      <c r="Q289" s="107">
        <v>15</v>
      </c>
      <c r="R289" s="100">
        <f t="shared" ca="1" si="245"/>
        <v>14.97</v>
      </c>
      <c r="S289" s="109" t="s">
        <v>62</v>
      </c>
      <c r="T289" s="99">
        <f t="shared" ca="1" si="246"/>
        <v>18.71</v>
      </c>
      <c r="U289" s="102">
        <f t="shared" ca="1" si="247"/>
        <v>280.64999999999998</v>
      </c>
      <c r="W289" s="1" t="str">
        <f ca="1">IF(OR($A289=0,$A289="S",$A289&gt;CFF!$A$9),"",MAX(W$11:OFFSET(W289,-1,0))+1)</f>
        <v/>
      </c>
      <c r="X289" s="3" t="str">
        <f t="shared" si="248"/>
        <v>Rec. Humanos-004</v>
      </c>
      <c r="Y289" s="1">
        <f t="shared" ca="1" si="249"/>
        <v>6</v>
      </c>
      <c r="AA289" s="106">
        <f>IF($J289=$G$2,ROUND(IF(ISNUMBER(S289),S289,IF(LEFT(S289,2)="DI",HLOOKUP(S289,DADOS!$T$29:$X$30,2,FALSE),0)),4),"")</f>
        <v>0.25</v>
      </c>
      <c r="AB289" s="1"/>
    </row>
    <row r="290" spans="1:28" x14ac:dyDescent="0.2">
      <c r="A290" t="str">
        <f t="shared" si="234"/>
        <v>S</v>
      </c>
      <c r="B290">
        <f t="shared" si="235"/>
        <v>0</v>
      </c>
      <c r="C290">
        <f t="shared" ca="1" si="236"/>
        <v>9</v>
      </c>
      <c r="D290">
        <f t="shared" ca="1" si="237"/>
        <v>1</v>
      </c>
      <c r="E290">
        <f t="shared" ca="1" si="238"/>
        <v>0</v>
      </c>
      <c r="F290">
        <f t="shared" ca="1" si="239"/>
        <v>0</v>
      </c>
      <c r="G290">
        <f t="shared" ca="1" si="240"/>
        <v>5</v>
      </c>
      <c r="H290">
        <f t="shared" ca="1" si="216"/>
        <v>0</v>
      </c>
      <c r="I290">
        <f t="shared" ca="1" si="217"/>
        <v>0</v>
      </c>
      <c r="J290" s="105" t="s">
        <v>29</v>
      </c>
      <c r="K290" s="97" t="str">
        <f t="shared" ca="1" si="241"/>
        <v>9.1.5.</v>
      </c>
      <c r="L290" s="110">
        <f t="shared" ca="1" si="242"/>
        <v>0</v>
      </c>
      <c r="M290" s="98" t="s">
        <v>78</v>
      </c>
      <c r="N290" s="112" t="s">
        <v>221</v>
      </c>
      <c r="O290" s="110" t="str">
        <f t="shared" ca="1" si="243"/>
        <v>Estagiarios</v>
      </c>
      <c r="P290" s="111" t="str">
        <f t="shared" ca="1" si="244"/>
        <v>hora</v>
      </c>
      <c r="Q290" s="107">
        <v>10</v>
      </c>
      <c r="R290" s="100">
        <f t="shared" ca="1" si="245"/>
        <v>8.26</v>
      </c>
      <c r="S290" s="109" t="s">
        <v>62</v>
      </c>
      <c r="T290" s="99">
        <f t="shared" ca="1" si="246"/>
        <v>10.33</v>
      </c>
      <c r="U290" s="102">
        <f t="shared" ca="1" si="247"/>
        <v>103.3</v>
      </c>
      <c r="W290" s="1" t="str">
        <f ca="1">IF(OR($A290=0,$A290="S",$A290&gt;CFF!$A$9),"",MAX(W$11:OFFSET(W290,-1,0))+1)</f>
        <v/>
      </c>
      <c r="X290" s="3" t="str">
        <f t="shared" si="248"/>
        <v>Rec. Humanos-005</v>
      </c>
      <c r="Y290" s="1">
        <f t="shared" ca="1" si="249"/>
        <v>7</v>
      </c>
      <c r="AA290" s="106">
        <f>IF($J290=$G$2,ROUND(IF(ISNUMBER(S290),S290,IF(LEFT(S290,2)="DI",HLOOKUP(S290,DADOS!$T$29:$X$30,2,FALSE),0)),4),"")</f>
        <v>0.25</v>
      </c>
      <c r="AB290" s="1"/>
    </row>
    <row r="291" spans="1:28" x14ac:dyDescent="0.2">
      <c r="A291" t="str">
        <f t="shared" si="234"/>
        <v>S</v>
      </c>
      <c r="B291">
        <f t="shared" si="235"/>
        <v>0</v>
      </c>
      <c r="C291">
        <f t="shared" ca="1" si="236"/>
        <v>9</v>
      </c>
      <c r="D291">
        <f t="shared" ca="1" si="237"/>
        <v>1</v>
      </c>
      <c r="E291">
        <f t="shared" ca="1" si="238"/>
        <v>0</v>
      </c>
      <c r="F291">
        <f t="shared" ca="1" si="239"/>
        <v>0</v>
      </c>
      <c r="G291">
        <f t="shared" ca="1" si="240"/>
        <v>6</v>
      </c>
      <c r="H291">
        <f t="shared" ca="1" si="216"/>
        <v>0</v>
      </c>
      <c r="I291">
        <f t="shared" ca="1" si="217"/>
        <v>0</v>
      </c>
      <c r="J291" s="105" t="s">
        <v>29</v>
      </c>
      <c r="K291" s="97" t="str">
        <f t="shared" ca="1" si="241"/>
        <v>9.1.6.</v>
      </c>
      <c r="L291" s="110">
        <f t="shared" ca="1" si="242"/>
        <v>0</v>
      </c>
      <c r="M291" s="98" t="s">
        <v>78</v>
      </c>
      <c r="N291" s="112" t="s">
        <v>221</v>
      </c>
      <c r="O291" s="110" t="str">
        <f t="shared" ca="1" si="243"/>
        <v>Estagiarios</v>
      </c>
      <c r="P291" s="111" t="str">
        <f t="shared" ca="1" si="244"/>
        <v>hora</v>
      </c>
      <c r="Q291" s="107">
        <v>10</v>
      </c>
      <c r="R291" s="100">
        <f t="shared" ca="1" si="245"/>
        <v>8.26</v>
      </c>
      <c r="S291" s="109" t="s">
        <v>62</v>
      </c>
      <c r="T291" s="99">
        <f t="shared" ca="1" si="246"/>
        <v>10.33</v>
      </c>
      <c r="U291" s="102">
        <f t="shared" ca="1" si="247"/>
        <v>103.3</v>
      </c>
      <c r="W291" s="1" t="str">
        <f ca="1">IF(OR($A291=0,$A291="S",$A291&gt;CFF!$A$9),"",MAX(W$11:OFFSET(W291,-1,0))+1)</f>
        <v/>
      </c>
      <c r="X291" s="3" t="str">
        <f t="shared" si="248"/>
        <v>Rec. Humanos-005</v>
      </c>
      <c r="Y291" s="1">
        <f t="shared" ca="1" si="249"/>
        <v>7</v>
      </c>
      <c r="AA291" s="106">
        <f>IF($J291=$G$2,ROUND(IF(ISNUMBER(S291),S291,IF(LEFT(S291,2)="DI",HLOOKUP(S291,DADOS!$T$29:$X$30,2,FALSE),0)),4),"")</f>
        <v>0.25</v>
      </c>
      <c r="AB291" s="1"/>
    </row>
    <row r="292" spans="1:28" x14ac:dyDescent="0.2">
      <c r="A292" t="str">
        <f t="shared" si="234"/>
        <v>S</v>
      </c>
      <c r="B292">
        <f t="shared" si="235"/>
        <v>0</v>
      </c>
      <c r="C292">
        <f t="shared" ca="1" si="236"/>
        <v>9</v>
      </c>
      <c r="D292">
        <f t="shared" ca="1" si="237"/>
        <v>1</v>
      </c>
      <c r="E292">
        <f t="shared" ca="1" si="238"/>
        <v>0</v>
      </c>
      <c r="F292">
        <f t="shared" ca="1" si="239"/>
        <v>0</v>
      </c>
      <c r="G292">
        <f t="shared" ca="1" si="240"/>
        <v>7</v>
      </c>
      <c r="H292">
        <f t="shared" ca="1" si="216"/>
        <v>0</v>
      </c>
      <c r="I292">
        <f t="shared" ca="1" si="217"/>
        <v>0</v>
      </c>
      <c r="J292" s="105" t="s">
        <v>29</v>
      </c>
      <c r="K292" s="97" t="str">
        <f t="shared" ca="1" si="241"/>
        <v>9.1.7.</v>
      </c>
      <c r="L292" s="110">
        <f t="shared" ca="1" si="242"/>
        <v>0</v>
      </c>
      <c r="M292" s="98" t="s">
        <v>78</v>
      </c>
      <c r="N292" s="112" t="s">
        <v>221</v>
      </c>
      <c r="O292" s="110" t="str">
        <f t="shared" ca="1" si="243"/>
        <v>Estagiarios</v>
      </c>
      <c r="P292" s="111" t="str">
        <f t="shared" ca="1" si="244"/>
        <v>hora</v>
      </c>
      <c r="Q292" s="107">
        <v>10</v>
      </c>
      <c r="R292" s="100">
        <f t="shared" ca="1" si="245"/>
        <v>8.26</v>
      </c>
      <c r="S292" s="109" t="s">
        <v>62</v>
      </c>
      <c r="T292" s="99">
        <f t="shared" ca="1" si="246"/>
        <v>10.33</v>
      </c>
      <c r="U292" s="102">
        <f t="shared" ca="1" si="247"/>
        <v>103.3</v>
      </c>
      <c r="W292" s="1" t="str">
        <f ca="1">IF(OR($A292=0,$A292="S",$A292&gt;CFF!$A$9),"",MAX(W$11:OFFSET(W292,-1,0))+1)</f>
        <v/>
      </c>
      <c r="X292" s="3" t="str">
        <f t="shared" si="248"/>
        <v>Rec. Humanos-005</v>
      </c>
      <c r="Y292" s="1">
        <f t="shared" ca="1" si="249"/>
        <v>7</v>
      </c>
      <c r="AA292" s="106">
        <f>IF($J292=$G$2,ROUND(IF(ISNUMBER(S292),S292,IF(LEFT(S292,2)="DI",HLOOKUP(S292,DADOS!$T$29:$X$30,2,FALSE),0)),4),"")</f>
        <v>0.25</v>
      </c>
      <c r="AB292" s="1"/>
    </row>
    <row r="293" spans="1:28" x14ac:dyDescent="0.2">
      <c r="A293" t="str">
        <f t="shared" si="234"/>
        <v>S</v>
      </c>
      <c r="B293">
        <f t="shared" si="235"/>
        <v>0</v>
      </c>
      <c r="C293">
        <f t="shared" ca="1" si="236"/>
        <v>9</v>
      </c>
      <c r="D293">
        <f t="shared" ca="1" si="237"/>
        <v>1</v>
      </c>
      <c r="E293">
        <f t="shared" ca="1" si="238"/>
        <v>0</v>
      </c>
      <c r="F293">
        <f t="shared" ca="1" si="239"/>
        <v>0</v>
      </c>
      <c r="G293">
        <f t="shared" ca="1" si="240"/>
        <v>8</v>
      </c>
      <c r="H293">
        <f t="shared" ca="1" si="216"/>
        <v>0</v>
      </c>
      <c r="I293">
        <f t="shared" ca="1" si="217"/>
        <v>0</v>
      </c>
      <c r="J293" s="105" t="s">
        <v>29</v>
      </c>
      <c r="K293" s="97" t="str">
        <f t="shared" ca="1" si="241"/>
        <v>9.1.8.</v>
      </c>
      <c r="L293" s="110">
        <f t="shared" ca="1" si="242"/>
        <v>0</v>
      </c>
      <c r="M293" s="98" t="s">
        <v>78</v>
      </c>
      <c r="N293" s="112" t="s">
        <v>221</v>
      </c>
      <c r="O293" s="110" t="str">
        <f t="shared" ca="1" si="243"/>
        <v>Estagiarios</v>
      </c>
      <c r="P293" s="111" t="str">
        <f t="shared" ca="1" si="244"/>
        <v>hora</v>
      </c>
      <c r="Q293" s="107">
        <v>10</v>
      </c>
      <c r="R293" s="100">
        <f t="shared" ca="1" si="245"/>
        <v>8.26</v>
      </c>
      <c r="S293" s="109" t="s">
        <v>62</v>
      </c>
      <c r="T293" s="99">
        <f t="shared" ca="1" si="246"/>
        <v>10.33</v>
      </c>
      <c r="U293" s="102">
        <f t="shared" ca="1" si="247"/>
        <v>103.3</v>
      </c>
      <c r="W293" s="1" t="str">
        <f ca="1">IF(OR($A293=0,$A293="S",$A293&gt;CFF!$A$9),"",MAX(W$11:OFFSET(W293,-1,0))+1)</f>
        <v/>
      </c>
      <c r="X293" s="3" t="str">
        <f t="shared" si="248"/>
        <v>Rec. Humanos-005</v>
      </c>
      <c r="Y293" s="1">
        <f t="shared" ca="1" si="249"/>
        <v>7</v>
      </c>
      <c r="AA293" s="106">
        <f>IF($J293=$G$2,ROUND(IF(ISNUMBER(S293),S293,IF(LEFT(S293,2)="DI",HLOOKUP(S293,DADOS!$T$29:$X$30,2,FALSE),0)),4),"")</f>
        <v>0.25</v>
      </c>
      <c r="AB293" s="1"/>
    </row>
    <row r="294" spans="1:28" x14ac:dyDescent="0.2">
      <c r="A294" t="str">
        <f t="shared" si="234"/>
        <v>S</v>
      </c>
      <c r="B294">
        <f t="shared" si="235"/>
        <v>0</v>
      </c>
      <c r="C294">
        <f t="shared" ca="1" si="236"/>
        <v>9</v>
      </c>
      <c r="D294">
        <f t="shared" ca="1" si="237"/>
        <v>1</v>
      </c>
      <c r="E294">
        <f t="shared" ca="1" si="238"/>
        <v>0</v>
      </c>
      <c r="F294">
        <f t="shared" ca="1" si="239"/>
        <v>0</v>
      </c>
      <c r="G294">
        <f t="shared" ca="1" si="240"/>
        <v>9</v>
      </c>
      <c r="H294">
        <f t="shared" ca="1" si="216"/>
        <v>0</v>
      </c>
      <c r="I294">
        <f t="shared" ca="1" si="217"/>
        <v>0</v>
      </c>
      <c r="J294" s="105" t="s">
        <v>29</v>
      </c>
      <c r="K294" s="97" t="str">
        <f t="shared" ca="1" si="241"/>
        <v>9.1.9.</v>
      </c>
      <c r="L294" s="110">
        <f t="shared" ca="1" si="242"/>
        <v>0</v>
      </c>
      <c r="M294" s="98" t="s">
        <v>79</v>
      </c>
      <c r="N294" s="112" t="s">
        <v>227</v>
      </c>
      <c r="O294" s="110" t="str">
        <f t="shared" ca="1" si="243"/>
        <v>Copo de agua 300 ml Lebrinha/Brunado</v>
      </c>
      <c r="P294" s="111" t="str">
        <f t="shared" ca="1" si="244"/>
        <v>UNIDADE</v>
      </c>
      <c r="Q294" s="107">
        <v>60</v>
      </c>
      <c r="R294" s="100">
        <f t="shared" ca="1" si="245"/>
        <v>4.2</v>
      </c>
      <c r="S294" s="109" t="s">
        <v>62</v>
      </c>
      <c r="T294" s="99">
        <f t="shared" ca="1" si="246"/>
        <v>5.25</v>
      </c>
      <c r="U294" s="102">
        <f t="shared" ca="1" si="247"/>
        <v>315</v>
      </c>
      <c r="W294" s="1" t="str">
        <f ca="1">IF(OR($A294=0,$A294="S",$A294&gt;CFF!$A$9),"",MAX(W$11:OFFSET(W294,-1,0))+1)</f>
        <v/>
      </c>
      <c r="X294" s="3" t="str">
        <f t="shared" si="248"/>
        <v>Rec. Materiais-014</v>
      </c>
      <c r="Y294" s="1">
        <f t="shared" ca="1" si="249"/>
        <v>21</v>
      </c>
      <c r="AA294" s="106">
        <f>IF($J294=$G$2,ROUND(IF(ISNUMBER(S294),S294,IF(LEFT(S294,2)="DI",HLOOKUP(S294,DADOS!$T$29:$X$30,2,FALSE),0)),4),"")</f>
        <v>0.25</v>
      </c>
      <c r="AB294" s="1"/>
    </row>
    <row r="295" spans="1:28" x14ac:dyDescent="0.2">
      <c r="A295" t="str">
        <f t="shared" si="234"/>
        <v>S</v>
      </c>
      <c r="B295">
        <f t="shared" si="235"/>
        <v>0</v>
      </c>
      <c r="C295">
        <f t="shared" ca="1" si="236"/>
        <v>9</v>
      </c>
      <c r="D295">
        <f t="shared" ca="1" si="237"/>
        <v>1</v>
      </c>
      <c r="E295">
        <f t="shared" ca="1" si="238"/>
        <v>0</v>
      </c>
      <c r="F295">
        <f t="shared" ca="1" si="239"/>
        <v>0</v>
      </c>
      <c r="G295">
        <f t="shared" ca="1" si="240"/>
        <v>10</v>
      </c>
      <c r="H295">
        <f t="shared" ca="1" si="216"/>
        <v>0</v>
      </c>
      <c r="I295">
        <f t="shared" ca="1" si="217"/>
        <v>0</v>
      </c>
      <c r="J295" s="105" t="s">
        <v>29</v>
      </c>
      <c r="K295" s="97" t="str">
        <f t="shared" ca="1" si="241"/>
        <v>9.1.10.</v>
      </c>
      <c r="L295" s="110">
        <f t="shared" ca="1" si="242"/>
        <v>0</v>
      </c>
      <c r="M295" s="98" t="s">
        <v>80</v>
      </c>
      <c r="N295" s="112" t="s">
        <v>231</v>
      </c>
      <c r="O295" s="110" t="str">
        <f t="shared" ca="1" si="243"/>
        <v xml:space="preserve">Impressão Colorida 1 folha </v>
      </c>
      <c r="P295" s="111" t="str">
        <f t="shared" ca="1" si="244"/>
        <v>unidade</v>
      </c>
      <c r="Q295" s="107">
        <v>31</v>
      </c>
      <c r="R295" s="100">
        <f t="shared" ca="1" si="245"/>
        <v>2.5</v>
      </c>
      <c r="S295" s="109" t="s">
        <v>62</v>
      </c>
      <c r="T295" s="99">
        <f t="shared" ca="1" si="246"/>
        <v>3.13</v>
      </c>
      <c r="U295" s="102">
        <f t="shared" ca="1" si="247"/>
        <v>97.03</v>
      </c>
      <c r="W295" s="1" t="str">
        <f ca="1">IF(OR($A295=0,$A295="S",$A295&gt;CFF!$A$9),"",MAX(W$11:OFFSET(W295,-1,0))+1)</f>
        <v/>
      </c>
      <c r="X295" s="3" t="str">
        <f t="shared" si="248"/>
        <v>Serv. Terc.-004</v>
      </c>
      <c r="Y295" s="1">
        <f t="shared" ca="1" si="249"/>
        <v>50</v>
      </c>
      <c r="AA295" s="106">
        <f>IF($J295=$G$2,ROUND(IF(ISNUMBER(S295),S295,IF(LEFT(S295,2)="DI",HLOOKUP(S295,DADOS!$T$29:$X$30,2,FALSE),0)),4),"")</f>
        <v>0.25</v>
      </c>
      <c r="AB295" s="1"/>
    </row>
    <row r="296" spans="1:28" x14ac:dyDescent="0.2">
      <c r="A296" t="str">
        <f>CHOOSE(1+LOG(1+2*(J296=$C$2)+4*(J296=$D$2)+8*(J296=$E$2)+16*(J296=$F$2)+32*(J296=$G$2),2),0,1,2,3,4,"S")</f>
        <v>S</v>
      </c>
      <c r="B296">
        <f>IF(OR(A296="S",A296=0),0,IF(ISERROR(I296),H296,SMALL(H296:I296,1)))</f>
        <v>0</v>
      </c>
      <c r="C296">
        <f ca="1">IF($A296=1,OFFSET(C296,-1,0)+1,OFFSET(C296,-1,0))</f>
        <v>9</v>
      </c>
      <c r="D296">
        <f ca="1">IF($A296=1,0,IF($A296=2,OFFSET(D296,-1,0)+1,OFFSET(D296,-1,0)))</f>
        <v>1</v>
      </c>
      <c r="E296">
        <f ca="1">IF(AND($A296&lt;=2,$A296&lt;&gt;0),0,IF($A296=3,OFFSET(E296,-1,0)+1,OFFSET(E296,-1,0)))</f>
        <v>0</v>
      </c>
      <c r="F296">
        <f ca="1">IF(AND($A296&lt;=3,$A296&lt;&gt;0),0,IF($A296=4,OFFSET(F296,-1,0)+1,OFFSET(F296,-1,0)))</f>
        <v>0</v>
      </c>
      <c r="G296">
        <f ca="1">IF(AND($A296&lt;=4,$A296&lt;&gt;0),0,IF($A296="S",OFFSET(G296,-1,0)+1,OFFSET(G296,-1,0)))</f>
        <v>11</v>
      </c>
      <c r="H296">
        <f t="shared" ca="1" si="216"/>
        <v>0</v>
      </c>
      <c r="I296">
        <f t="shared" ca="1" si="217"/>
        <v>0</v>
      </c>
      <c r="J296" s="105" t="s">
        <v>29</v>
      </c>
      <c r="K296" s="97" t="str">
        <f ca="1">IF($A296=0,"-",CONCATENATE(C296&amp;".",IF(AND($A$5&gt;=2,$A296&gt;=2),D296&amp;".",""),IF(AND($A$5&gt;=3,$A296&gt;=3),E296&amp;".",""),IF(AND($A$5&gt;=4,$A296&gt;=4),F296&amp;".",""),IF($A296="S",G296&amp;".","")))</f>
        <v>9.1.11.</v>
      </c>
      <c r="L296" s="110">
        <f ca="1">IF(NOT(ISERROR($Y296)),IF($Y296&lt;&gt;FALSE,INDEX(Banco,$Y296,4),""),"")</f>
        <v>0</v>
      </c>
      <c r="M296" s="98" t="s">
        <v>80</v>
      </c>
      <c r="N296" s="112" t="s">
        <v>240</v>
      </c>
      <c r="O296" s="110" t="str">
        <f ca="1">IF(NOT(ISERROR($Y296)),IF($Y296&lt;&gt;FALSE,INDEX(Banco,$Y296,5),""),"")</f>
        <v>Combustivel</v>
      </c>
      <c r="P296" s="111" t="str">
        <f ca="1">IF(NOT(ISERROR($Y296)),IF($Y296&lt;&gt;FALSE,INDEX(Banco,$Y296,6),""),"")</f>
        <v>litro</v>
      </c>
      <c r="Q296" s="107">
        <v>100</v>
      </c>
      <c r="R296" s="100">
        <f ca="1">IF(NOT(ISERROR($Y296)),IF($Y296&lt;&gt;FALSE,INDEX(Banco,$Y296,7),0),0)</f>
        <v>3.99</v>
      </c>
      <c r="S296" s="109" t="s">
        <v>62</v>
      </c>
      <c r="T296" s="99">
        <f ca="1">IF($J296=$G$2,ROUND(ROUND($R296,2)*IF($R$9="Preço Unitário (R$)",1,1+$AA296),2),0)</f>
        <v>4.99</v>
      </c>
      <c r="U296" s="102">
        <f ca="1">IF($A296="S",VTOTAL1,IF($A296=0,0,ROUND(SomaAgrup,2)))</f>
        <v>499</v>
      </c>
      <c r="W296" s="1" t="str">
        <f ca="1">IF(OR($A296=0,$A296="S",$A296&gt;CFF!$A$9),"",MAX(W$11:OFFSET(W296,-1,0))+1)</f>
        <v/>
      </c>
      <c r="X296" s="3" t="str">
        <f>IF(AND($J296=$G$2,$N296&lt;&gt;"",$M296&lt;&gt;""),CONCATENATE($M296,"-",$N296))</f>
        <v>Serv. Terc.-027</v>
      </c>
      <c r="Y296" s="1">
        <f ca="1">IF(X296&lt;&gt;FALSE,MATCH(X296,OFFSET(Banco,0,0,,1),0))</f>
        <v>73</v>
      </c>
      <c r="AA296" s="106">
        <f>IF($J296=$G$2,ROUND(IF(ISNUMBER(S296),S296,IF(LEFT(S296,2)="DI",HLOOKUP(S296,DADOS!$T$29:$X$30,2,FALSE),0)),4),"")</f>
        <v>0.25</v>
      </c>
      <c r="AB296" s="1"/>
    </row>
    <row r="297" spans="1:28" x14ac:dyDescent="0.2">
      <c r="A297">
        <f>CHOOSE(1+LOG(1+2*(J297=$C$2)+4*(J297=$D$2)+8*(J297=$E$2)+16*(J297=$F$2)+32*(J297=$G$2),2),0,1,2,3,4,"S")</f>
        <v>2</v>
      </c>
      <c r="B297">
        <f ca="1">IF(OR(A297="S",A297=0),0,IF(ISERROR(I297),H297,SMALL(H297:I297,1)))</f>
        <v>11</v>
      </c>
      <c r="C297">
        <f ca="1">IF($A297=1,OFFSET(C297,-1,0)+1,OFFSET(C297,-1,0))</f>
        <v>9</v>
      </c>
      <c r="D297">
        <f ca="1">IF($A297=1,0,IF($A297=2,OFFSET(D297,-1,0)+1,OFFSET(D297,-1,0)))</f>
        <v>2</v>
      </c>
      <c r="E297">
        <f ca="1">IF(AND($A297&lt;=2,$A297&lt;&gt;0),0,IF($A297=3,OFFSET(E297,-1,0)+1,OFFSET(E297,-1,0)))</f>
        <v>0</v>
      </c>
      <c r="F297">
        <f ca="1">IF(AND($A297&lt;=3,$A297&lt;&gt;0),0,IF($A297=4,OFFSET(F297,-1,0)+1,OFFSET(F297,-1,0)))</f>
        <v>0</v>
      </c>
      <c r="G297">
        <f ca="1">IF(AND($A297&lt;=4,$A297&lt;&gt;0),0,IF($A297="S",OFFSET(G297,-1,0)+1,OFFSET(G297,-1,0)))</f>
        <v>0</v>
      </c>
      <c r="H297">
        <f t="shared" ca="1" si="216"/>
        <v>11</v>
      </c>
      <c r="I297" t="e">
        <f t="shared" ca="1" si="217"/>
        <v>#N/A</v>
      </c>
      <c r="J297" s="105" t="s">
        <v>68</v>
      </c>
      <c r="K297" s="97" t="str">
        <f ca="1">IF($A297=0,"-",CONCATENATE(C297&amp;".",IF(AND($A$5&gt;=2,$A297&gt;=2),D297&amp;".",""),IF(AND($A$5&gt;=3,$A297&gt;=3),E297&amp;".",""),IF(AND($A$5&gt;=4,$A297&gt;=4),F297&amp;".",""),IF($A297="S",G297&amp;".","")))</f>
        <v>9.2.</v>
      </c>
      <c r="L297" s="110" t="str">
        <f ca="1">IF(NOT(ISERROR($Y297)),IF($Y297&lt;&gt;FALSE,INDEX(Banco,$Y297,4),""),"")</f>
        <v/>
      </c>
      <c r="M297" s="98"/>
      <c r="N297" s="112"/>
      <c r="O297" s="110" t="s">
        <v>284</v>
      </c>
      <c r="P297" s="111" t="str">
        <f ca="1">IF(NOT(ISERROR($Y297)),IF($Y297&lt;&gt;FALSE,INDEX(Banco,$Y297,6),""),"")</f>
        <v/>
      </c>
      <c r="Q297" s="107"/>
      <c r="R297" s="100">
        <f ca="1">IF(NOT(ISERROR($Y297)),IF($Y297&lt;&gt;FALSE,INDEX(Banco,$Y297,7),0),0)</f>
        <v>0</v>
      </c>
      <c r="S297" s="109" t="s">
        <v>62</v>
      </c>
      <c r="T297" s="99">
        <f>IF($J297=$G$2,ROUND(ROUND($R297,2)*IF($R$9="Preço Unitário (R$)",1,1+$AA297),2),0)</f>
        <v>0</v>
      </c>
      <c r="U297" s="102">
        <f ca="1">IF($A297="S",VTOTAL1,IF($A297=0,0,ROUND(SomaAgrup,2)))</f>
        <v>7908.34</v>
      </c>
      <c r="W297" s="1">
        <f ca="1">IF(OR($A297=0,$A297="S",$A297&gt;CFF!$A$9),"",MAX(W$11:OFFSET(W297,-1,0))+1)</f>
        <v>25</v>
      </c>
      <c r="X297" s="3" t="b">
        <f>IF(AND($J297=$G$2,$N297&lt;&gt;"",$M297&lt;&gt;""),CONCATENATE($M297,"-",$N297))</f>
        <v>0</v>
      </c>
      <c r="Y297" s="1" t="b">
        <f ca="1">IF(X297&lt;&gt;FALSE,MATCH(X297,OFFSET(Banco,0,0,,1),0))</f>
        <v>0</v>
      </c>
      <c r="AA297" s="106" t="str">
        <f>IF($J297=$G$2,ROUND(IF(ISNUMBER(S297),S297,IF(LEFT(S297,2)="DI",HLOOKUP(S297,DADOS!$T$29:$X$30,2,FALSE),0)),4),"")</f>
        <v/>
      </c>
      <c r="AB297" s="1"/>
    </row>
    <row r="298" spans="1:28" x14ac:dyDescent="0.2">
      <c r="A298" t="str">
        <f t="shared" ref="A298:A306" si="250">CHOOSE(1+LOG(1+2*(J298=$C$2)+4*(J298=$D$2)+8*(J298=$E$2)+16*(J298=$F$2)+32*(J298=$G$2),2),0,1,2,3,4,"S")</f>
        <v>S</v>
      </c>
      <c r="B298">
        <f t="shared" ref="B298:B306" si="251">IF(OR(A298="S",A298=0),0,IF(ISERROR(I298),H298,SMALL(H298:I298,1)))</f>
        <v>0</v>
      </c>
      <c r="C298">
        <f t="shared" ref="C298:C306" ca="1" si="252">IF($A298=1,OFFSET(C298,-1,0)+1,OFFSET(C298,-1,0))</f>
        <v>9</v>
      </c>
      <c r="D298">
        <f t="shared" ref="D298:D306" ca="1" si="253">IF($A298=1,0,IF($A298=2,OFFSET(D298,-1,0)+1,OFFSET(D298,-1,0)))</f>
        <v>2</v>
      </c>
      <c r="E298">
        <f t="shared" ref="E298:E306" ca="1" si="254">IF(AND($A298&lt;=2,$A298&lt;&gt;0),0,IF($A298=3,OFFSET(E298,-1,0)+1,OFFSET(E298,-1,0)))</f>
        <v>0</v>
      </c>
      <c r="F298">
        <f t="shared" ref="F298:F306" ca="1" si="255">IF(AND($A298&lt;=3,$A298&lt;&gt;0),0,IF($A298=4,OFFSET(F298,-1,0)+1,OFFSET(F298,-1,0)))</f>
        <v>0</v>
      </c>
      <c r="G298">
        <f t="shared" ref="G298:G306" ca="1" si="256">IF(AND($A298&lt;=4,$A298&lt;&gt;0),0,IF($A298="S",OFFSET(G298,-1,0)+1,OFFSET(G298,-1,0)))</f>
        <v>1</v>
      </c>
      <c r="H298">
        <f t="shared" ca="1" si="216"/>
        <v>0</v>
      </c>
      <c r="I298">
        <f t="shared" ca="1" si="217"/>
        <v>0</v>
      </c>
      <c r="J298" s="105" t="s">
        <v>29</v>
      </c>
      <c r="K298" s="97" t="str">
        <f t="shared" ref="K298:K306" ca="1" si="257">IF($A298=0,"-",CONCATENATE(C298&amp;".",IF(AND($A$5&gt;=2,$A298&gt;=2),D298&amp;".",""),IF(AND($A$5&gt;=3,$A298&gt;=3),E298&amp;".",""),IF(AND($A$5&gt;=4,$A298&gt;=4),F298&amp;".",""),IF($A298="S",G298&amp;".","")))</f>
        <v>9.2.1.</v>
      </c>
      <c r="L298" s="110" t="str">
        <f t="shared" ref="L298:L306" ca="1" si="258">IF(NOT(ISERROR($Y298)),IF($Y298&lt;&gt;FALSE,INDEX(Banco,$Y298,4),""),"")</f>
        <v>CRESS</v>
      </c>
      <c r="M298" s="98" t="s">
        <v>78</v>
      </c>
      <c r="N298" s="112" t="s">
        <v>218</v>
      </c>
      <c r="O298" s="110" t="str">
        <f t="shared" ref="O298:O306" ca="1" si="259">IF(NOT(ISERROR($Y298)),IF($Y298&lt;&gt;FALSE,INDEX(Banco,$Y298,5),""),"")</f>
        <v>RT</v>
      </c>
      <c r="P298" s="111" t="str">
        <f t="shared" ref="P298:P306" ca="1" si="260">IF(NOT(ISERROR($Y298)),IF($Y298&lt;&gt;FALSE,INDEX(Banco,$Y298,6),""),"")</f>
        <v>hora</v>
      </c>
      <c r="Q298" s="107">
        <v>20</v>
      </c>
      <c r="R298" s="100">
        <f t="shared" ref="R298:R306" ca="1" si="261">IF(NOT(ISERROR($Y298)),IF($Y298&lt;&gt;FALSE,INDEX(Banco,$Y298,7),0),0)</f>
        <v>150.28</v>
      </c>
      <c r="S298" s="109" t="s">
        <v>62</v>
      </c>
      <c r="T298" s="99">
        <f t="shared" ref="T298:T306" ca="1" si="262">IF($J298=$G$2,ROUND(ROUND($R298,2)*IF($R$9="Preço Unitário (R$)",1,1+$AA298),2),0)</f>
        <v>187.85</v>
      </c>
      <c r="U298" s="102">
        <f t="shared" ref="U298:U306" ca="1" si="263">IF($A298="S",VTOTAL1,IF($A298=0,0,ROUND(SomaAgrup,2)))</f>
        <v>3757</v>
      </c>
      <c r="W298" s="1" t="str">
        <f ca="1">IF(OR($A298=0,$A298="S",$A298&gt;CFF!$A$9),"",MAX(W$11:OFFSET(W298,-1,0))+1)</f>
        <v/>
      </c>
      <c r="X298" s="3" t="str">
        <f t="shared" ref="X298:X306" si="264">IF(AND($J298=$G$2,$N298&lt;&gt;"",$M298&lt;&gt;""),CONCATENATE($M298,"-",$N298))</f>
        <v>Rec. Humanos-001</v>
      </c>
      <c r="Y298" s="1">
        <f t="shared" ref="Y298:Y306" ca="1" si="265">IF(X298&lt;&gt;FALSE,MATCH(X298,OFFSET(Banco,0,0,,1),0))</f>
        <v>3</v>
      </c>
      <c r="AA298" s="106">
        <f>IF($J298=$G$2,ROUND(IF(ISNUMBER(S298),S298,IF(LEFT(S298,2)="DI",HLOOKUP(S298,DADOS!$T$29:$X$30,2,FALSE),0)),4),"")</f>
        <v>0.25</v>
      </c>
      <c r="AB298" s="1"/>
    </row>
    <row r="299" spans="1:28" x14ac:dyDescent="0.2">
      <c r="A299" t="str">
        <f t="shared" si="250"/>
        <v>S</v>
      </c>
      <c r="B299">
        <f t="shared" si="251"/>
        <v>0</v>
      </c>
      <c r="C299">
        <f t="shared" ca="1" si="252"/>
        <v>9</v>
      </c>
      <c r="D299">
        <f t="shared" ca="1" si="253"/>
        <v>2</v>
      </c>
      <c r="E299">
        <f t="shared" ca="1" si="254"/>
        <v>0</v>
      </c>
      <c r="F299">
        <f t="shared" ca="1" si="255"/>
        <v>0</v>
      </c>
      <c r="G299">
        <f t="shared" ca="1" si="256"/>
        <v>2</v>
      </c>
      <c r="H299">
        <f t="shared" ca="1" si="216"/>
        <v>0</v>
      </c>
      <c r="I299">
        <f t="shared" ca="1" si="217"/>
        <v>0</v>
      </c>
      <c r="J299" s="105" t="s">
        <v>29</v>
      </c>
      <c r="K299" s="97" t="str">
        <f t="shared" ca="1" si="257"/>
        <v>9.2.2.</v>
      </c>
      <c r="L299" s="110">
        <f t="shared" ca="1" si="258"/>
        <v>0</v>
      </c>
      <c r="M299" s="98" t="s">
        <v>78</v>
      </c>
      <c r="N299" s="112" t="s">
        <v>219</v>
      </c>
      <c r="O299" s="110" t="str">
        <f t="shared" ca="1" si="259"/>
        <v>Assistente Social</v>
      </c>
      <c r="P299" s="111" t="str">
        <f t="shared" ca="1" si="260"/>
        <v>hora</v>
      </c>
      <c r="Q299" s="107">
        <v>15</v>
      </c>
      <c r="R299" s="100">
        <f t="shared" ca="1" si="261"/>
        <v>133.81</v>
      </c>
      <c r="S299" s="109" t="s">
        <v>62</v>
      </c>
      <c r="T299" s="99">
        <f t="shared" ca="1" si="262"/>
        <v>167.26</v>
      </c>
      <c r="U299" s="102">
        <f t="shared" ca="1" si="263"/>
        <v>2508.9</v>
      </c>
      <c r="W299" s="1" t="str">
        <f ca="1">IF(OR($A299=0,$A299="S",$A299&gt;CFF!$A$9),"",MAX(W$11:OFFSET(W299,-1,0))+1)</f>
        <v/>
      </c>
      <c r="X299" s="3" t="str">
        <f t="shared" si="264"/>
        <v>Rec. Humanos-002</v>
      </c>
      <c r="Y299" s="1">
        <f t="shared" ca="1" si="265"/>
        <v>4</v>
      </c>
      <c r="AA299" s="106">
        <f>IF($J299=$G$2,ROUND(IF(ISNUMBER(S299),S299,IF(LEFT(S299,2)="DI",HLOOKUP(S299,DADOS!$T$29:$X$30,2,FALSE),0)),4),"")</f>
        <v>0.25</v>
      </c>
      <c r="AB299" s="1"/>
    </row>
    <row r="300" spans="1:28" x14ac:dyDescent="0.2">
      <c r="A300" t="str">
        <f t="shared" si="250"/>
        <v>S</v>
      </c>
      <c r="B300">
        <f t="shared" si="251"/>
        <v>0</v>
      </c>
      <c r="C300">
        <f t="shared" ca="1" si="252"/>
        <v>9</v>
      </c>
      <c r="D300">
        <f t="shared" ca="1" si="253"/>
        <v>2</v>
      </c>
      <c r="E300">
        <f t="shared" ca="1" si="254"/>
        <v>0</v>
      </c>
      <c r="F300">
        <f t="shared" ca="1" si="255"/>
        <v>0</v>
      </c>
      <c r="G300">
        <f t="shared" ca="1" si="256"/>
        <v>3</v>
      </c>
      <c r="H300">
        <f t="shared" ca="1" si="216"/>
        <v>0</v>
      </c>
      <c r="I300">
        <f t="shared" ca="1" si="217"/>
        <v>0</v>
      </c>
      <c r="J300" s="105" t="s">
        <v>29</v>
      </c>
      <c r="K300" s="97" t="str">
        <f t="shared" ca="1" si="257"/>
        <v>9.2.3.</v>
      </c>
      <c r="L300" s="110">
        <f t="shared" ca="1" si="258"/>
        <v>0</v>
      </c>
      <c r="M300" s="98" t="s">
        <v>78</v>
      </c>
      <c r="N300" s="112" t="s">
        <v>231</v>
      </c>
      <c r="O300" s="110" t="str">
        <f t="shared" ca="1" si="259"/>
        <v>Biólogo</v>
      </c>
      <c r="P300" s="111" t="str">
        <f t="shared" ca="1" si="260"/>
        <v>hora</v>
      </c>
      <c r="Q300" s="107">
        <v>15</v>
      </c>
      <c r="R300" s="100">
        <f t="shared" ca="1" si="261"/>
        <v>14.97</v>
      </c>
      <c r="S300" s="109" t="s">
        <v>62</v>
      </c>
      <c r="T300" s="99">
        <f t="shared" ca="1" si="262"/>
        <v>18.71</v>
      </c>
      <c r="U300" s="102">
        <f t="shared" ca="1" si="263"/>
        <v>280.64999999999998</v>
      </c>
      <c r="W300" s="1" t="str">
        <f ca="1">IF(OR($A300=0,$A300="S",$A300&gt;CFF!$A$9),"",MAX(W$11:OFFSET(W300,-1,0))+1)</f>
        <v/>
      </c>
      <c r="X300" s="3" t="str">
        <f t="shared" si="264"/>
        <v>Rec. Humanos-004</v>
      </c>
      <c r="Y300" s="1">
        <f t="shared" ca="1" si="265"/>
        <v>6</v>
      </c>
      <c r="AA300" s="106">
        <f>IF($J300=$G$2,ROUND(IF(ISNUMBER(S300),S300,IF(LEFT(S300,2)="DI",HLOOKUP(S300,DADOS!$T$29:$X$30,2,FALSE),0)),4),"")</f>
        <v>0.25</v>
      </c>
      <c r="AB300" s="1"/>
    </row>
    <row r="301" spans="1:28" x14ac:dyDescent="0.2">
      <c r="A301" t="str">
        <f t="shared" si="250"/>
        <v>S</v>
      </c>
      <c r="B301">
        <f t="shared" si="251"/>
        <v>0</v>
      </c>
      <c r="C301">
        <f t="shared" ca="1" si="252"/>
        <v>9</v>
      </c>
      <c r="D301">
        <f t="shared" ca="1" si="253"/>
        <v>2</v>
      </c>
      <c r="E301">
        <f t="shared" ca="1" si="254"/>
        <v>0</v>
      </c>
      <c r="F301">
        <f t="shared" ca="1" si="255"/>
        <v>0</v>
      </c>
      <c r="G301">
        <f t="shared" ca="1" si="256"/>
        <v>4</v>
      </c>
      <c r="H301">
        <f t="shared" ca="1" si="216"/>
        <v>0</v>
      </c>
      <c r="I301">
        <f t="shared" ca="1" si="217"/>
        <v>0</v>
      </c>
      <c r="J301" s="105" t="s">
        <v>29</v>
      </c>
      <c r="K301" s="97" t="str">
        <f t="shared" ca="1" si="257"/>
        <v>9.2.4.</v>
      </c>
      <c r="L301" s="110">
        <f t="shared" ca="1" si="258"/>
        <v>0</v>
      </c>
      <c r="M301" s="98" t="s">
        <v>78</v>
      </c>
      <c r="N301" s="112" t="s">
        <v>221</v>
      </c>
      <c r="O301" s="110" t="str">
        <f t="shared" ca="1" si="259"/>
        <v>Estagiarios</v>
      </c>
      <c r="P301" s="111" t="str">
        <f t="shared" ca="1" si="260"/>
        <v>hora</v>
      </c>
      <c r="Q301" s="107">
        <v>10</v>
      </c>
      <c r="R301" s="100">
        <f t="shared" ca="1" si="261"/>
        <v>8.26</v>
      </c>
      <c r="S301" s="109" t="s">
        <v>62</v>
      </c>
      <c r="T301" s="99">
        <f t="shared" ca="1" si="262"/>
        <v>10.33</v>
      </c>
      <c r="U301" s="102">
        <f t="shared" ca="1" si="263"/>
        <v>103.3</v>
      </c>
      <c r="W301" s="1" t="str">
        <f ca="1">IF(OR($A301=0,$A301="S",$A301&gt;CFF!$A$9),"",MAX(W$11:OFFSET(W301,-1,0))+1)</f>
        <v/>
      </c>
      <c r="X301" s="3" t="str">
        <f t="shared" si="264"/>
        <v>Rec. Humanos-005</v>
      </c>
      <c r="Y301" s="1">
        <f t="shared" ca="1" si="265"/>
        <v>7</v>
      </c>
      <c r="AA301" s="106">
        <f>IF($J301=$G$2,ROUND(IF(ISNUMBER(S301),S301,IF(LEFT(S301,2)="DI",HLOOKUP(S301,DADOS!$T$29:$X$30,2,FALSE),0)),4),"")</f>
        <v>0.25</v>
      </c>
      <c r="AB301" s="1"/>
    </row>
    <row r="302" spans="1:28" x14ac:dyDescent="0.2">
      <c r="A302" t="str">
        <f t="shared" si="250"/>
        <v>S</v>
      </c>
      <c r="B302">
        <f t="shared" si="251"/>
        <v>0</v>
      </c>
      <c r="C302">
        <f t="shared" ca="1" si="252"/>
        <v>9</v>
      </c>
      <c r="D302">
        <f t="shared" ca="1" si="253"/>
        <v>2</v>
      </c>
      <c r="E302">
        <f t="shared" ca="1" si="254"/>
        <v>0</v>
      </c>
      <c r="F302">
        <f t="shared" ca="1" si="255"/>
        <v>0</v>
      </c>
      <c r="G302">
        <f t="shared" ca="1" si="256"/>
        <v>5</v>
      </c>
      <c r="H302">
        <f t="shared" ca="1" si="216"/>
        <v>0</v>
      </c>
      <c r="I302">
        <f t="shared" ca="1" si="217"/>
        <v>0</v>
      </c>
      <c r="J302" s="105" t="s">
        <v>29</v>
      </c>
      <c r="K302" s="97" t="str">
        <f t="shared" ca="1" si="257"/>
        <v>9.2.5.</v>
      </c>
      <c r="L302" s="110">
        <f t="shared" ca="1" si="258"/>
        <v>0</v>
      </c>
      <c r="M302" s="98" t="s">
        <v>78</v>
      </c>
      <c r="N302" s="112" t="s">
        <v>221</v>
      </c>
      <c r="O302" s="110" t="str">
        <f t="shared" ca="1" si="259"/>
        <v>Estagiarios</v>
      </c>
      <c r="P302" s="111" t="str">
        <f t="shared" ca="1" si="260"/>
        <v>hora</v>
      </c>
      <c r="Q302" s="107">
        <v>10</v>
      </c>
      <c r="R302" s="100">
        <f t="shared" ca="1" si="261"/>
        <v>8.26</v>
      </c>
      <c r="S302" s="109" t="s">
        <v>62</v>
      </c>
      <c r="T302" s="99">
        <f t="shared" ca="1" si="262"/>
        <v>10.33</v>
      </c>
      <c r="U302" s="102">
        <f t="shared" ca="1" si="263"/>
        <v>103.3</v>
      </c>
      <c r="W302" s="1" t="str">
        <f ca="1">IF(OR($A302=0,$A302="S",$A302&gt;CFF!$A$9),"",MAX(W$11:OFFSET(W302,-1,0))+1)</f>
        <v/>
      </c>
      <c r="X302" s="3" t="str">
        <f t="shared" si="264"/>
        <v>Rec. Humanos-005</v>
      </c>
      <c r="Y302" s="1">
        <f t="shared" ca="1" si="265"/>
        <v>7</v>
      </c>
      <c r="AA302" s="106">
        <f>IF($J302=$G$2,ROUND(IF(ISNUMBER(S302),S302,IF(LEFT(S302,2)="DI",HLOOKUP(S302,DADOS!$T$29:$X$30,2,FALSE),0)),4),"")</f>
        <v>0.25</v>
      </c>
      <c r="AB302" s="1"/>
    </row>
    <row r="303" spans="1:28" x14ac:dyDescent="0.2">
      <c r="A303" t="str">
        <f t="shared" si="250"/>
        <v>S</v>
      </c>
      <c r="B303">
        <f t="shared" si="251"/>
        <v>0</v>
      </c>
      <c r="C303">
        <f t="shared" ca="1" si="252"/>
        <v>9</v>
      </c>
      <c r="D303">
        <f t="shared" ca="1" si="253"/>
        <v>2</v>
      </c>
      <c r="E303">
        <f t="shared" ca="1" si="254"/>
        <v>0</v>
      </c>
      <c r="F303">
        <f t="shared" ca="1" si="255"/>
        <v>0</v>
      </c>
      <c r="G303">
        <f t="shared" ca="1" si="256"/>
        <v>6</v>
      </c>
      <c r="H303">
        <f t="shared" ca="1" si="216"/>
        <v>0</v>
      </c>
      <c r="I303">
        <f t="shared" ca="1" si="217"/>
        <v>0</v>
      </c>
      <c r="J303" s="105" t="s">
        <v>29</v>
      </c>
      <c r="K303" s="97" t="str">
        <f t="shared" ca="1" si="257"/>
        <v>9.2.6.</v>
      </c>
      <c r="L303" s="110">
        <f t="shared" ca="1" si="258"/>
        <v>0</v>
      </c>
      <c r="M303" s="98" t="s">
        <v>78</v>
      </c>
      <c r="N303" s="112" t="s">
        <v>221</v>
      </c>
      <c r="O303" s="110" t="str">
        <f t="shared" ca="1" si="259"/>
        <v>Estagiarios</v>
      </c>
      <c r="P303" s="111" t="str">
        <f t="shared" ca="1" si="260"/>
        <v>hora</v>
      </c>
      <c r="Q303" s="107">
        <v>10</v>
      </c>
      <c r="R303" s="100">
        <f t="shared" ca="1" si="261"/>
        <v>8.26</v>
      </c>
      <c r="S303" s="109" t="s">
        <v>62</v>
      </c>
      <c r="T303" s="99">
        <f t="shared" ca="1" si="262"/>
        <v>10.33</v>
      </c>
      <c r="U303" s="102">
        <f t="shared" ca="1" si="263"/>
        <v>103.3</v>
      </c>
      <c r="W303" s="1" t="str">
        <f ca="1">IF(OR($A303=0,$A303="S",$A303&gt;CFF!$A$9),"",MAX(W$11:OFFSET(W303,-1,0))+1)</f>
        <v/>
      </c>
      <c r="X303" s="3" t="str">
        <f t="shared" si="264"/>
        <v>Rec. Humanos-005</v>
      </c>
      <c r="Y303" s="1">
        <f t="shared" ca="1" si="265"/>
        <v>7</v>
      </c>
      <c r="AA303" s="106">
        <f>IF($J303=$G$2,ROUND(IF(ISNUMBER(S303),S303,IF(LEFT(S303,2)="DI",HLOOKUP(S303,DADOS!$T$29:$X$30,2,FALSE),0)),4),"")</f>
        <v>0.25</v>
      </c>
      <c r="AB303" s="1"/>
    </row>
    <row r="304" spans="1:28" x14ac:dyDescent="0.2">
      <c r="A304" t="str">
        <f t="shared" si="250"/>
        <v>S</v>
      </c>
      <c r="B304">
        <f t="shared" si="251"/>
        <v>0</v>
      </c>
      <c r="C304">
        <f t="shared" ca="1" si="252"/>
        <v>9</v>
      </c>
      <c r="D304">
        <f t="shared" ca="1" si="253"/>
        <v>2</v>
      </c>
      <c r="E304">
        <f t="shared" ca="1" si="254"/>
        <v>0</v>
      </c>
      <c r="F304">
        <f t="shared" ca="1" si="255"/>
        <v>0</v>
      </c>
      <c r="G304">
        <f t="shared" ca="1" si="256"/>
        <v>7</v>
      </c>
      <c r="H304">
        <f t="shared" ca="1" si="216"/>
        <v>0</v>
      </c>
      <c r="I304">
        <f t="shared" ca="1" si="217"/>
        <v>0</v>
      </c>
      <c r="J304" s="105" t="s">
        <v>29</v>
      </c>
      <c r="K304" s="97" t="str">
        <f t="shared" ca="1" si="257"/>
        <v>9.2.7.</v>
      </c>
      <c r="L304" s="110">
        <f t="shared" ca="1" si="258"/>
        <v>0</v>
      </c>
      <c r="M304" s="98" t="s">
        <v>78</v>
      </c>
      <c r="N304" s="112" t="s">
        <v>221</v>
      </c>
      <c r="O304" s="110" t="str">
        <f t="shared" ca="1" si="259"/>
        <v>Estagiarios</v>
      </c>
      <c r="P304" s="111" t="str">
        <f t="shared" ca="1" si="260"/>
        <v>hora</v>
      </c>
      <c r="Q304" s="107">
        <v>10</v>
      </c>
      <c r="R304" s="100">
        <f t="shared" ca="1" si="261"/>
        <v>8.26</v>
      </c>
      <c r="S304" s="109" t="s">
        <v>62</v>
      </c>
      <c r="T304" s="99">
        <f t="shared" ca="1" si="262"/>
        <v>10.33</v>
      </c>
      <c r="U304" s="102">
        <f t="shared" ca="1" si="263"/>
        <v>103.3</v>
      </c>
      <c r="W304" s="1" t="str">
        <f ca="1">IF(OR($A304=0,$A304="S",$A304&gt;CFF!$A$9),"",MAX(W$11:OFFSET(W304,-1,0))+1)</f>
        <v/>
      </c>
      <c r="X304" s="3" t="str">
        <f t="shared" si="264"/>
        <v>Rec. Humanos-005</v>
      </c>
      <c r="Y304" s="1">
        <f t="shared" ca="1" si="265"/>
        <v>7</v>
      </c>
      <c r="AA304" s="106">
        <f>IF($J304=$G$2,ROUND(IF(ISNUMBER(S304),S304,IF(LEFT(S304,2)="DI",HLOOKUP(S304,DADOS!$T$29:$X$30,2,FALSE),0)),4),"")</f>
        <v>0.25</v>
      </c>
      <c r="AB304" s="1"/>
    </row>
    <row r="305" spans="1:28" x14ac:dyDescent="0.2">
      <c r="A305" t="str">
        <f t="shared" si="250"/>
        <v>S</v>
      </c>
      <c r="B305">
        <f t="shared" si="251"/>
        <v>0</v>
      </c>
      <c r="C305">
        <f t="shared" ca="1" si="252"/>
        <v>9</v>
      </c>
      <c r="D305">
        <f t="shared" ca="1" si="253"/>
        <v>2</v>
      </c>
      <c r="E305">
        <f t="shared" ca="1" si="254"/>
        <v>0</v>
      </c>
      <c r="F305">
        <f t="shared" ca="1" si="255"/>
        <v>0</v>
      </c>
      <c r="G305">
        <f t="shared" ca="1" si="256"/>
        <v>8</v>
      </c>
      <c r="H305">
        <f t="shared" ca="1" si="216"/>
        <v>0</v>
      </c>
      <c r="I305">
        <f t="shared" ca="1" si="217"/>
        <v>0</v>
      </c>
      <c r="J305" s="105" t="s">
        <v>29</v>
      </c>
      <c r="K305" s="97" t="str">
        <f t="shared" ca="1" si="257"/>
        <v>9.2.8.</v>
      </c>
      <c r="L305" s="110">
        <f t="shared" ca="1" si="258"/>
        <v>0</v>
      </c>
      <c r="M305" s="98" t="s">
        <v>79</v>
      </c>
      <c r="N305" s="112" t="s">
        <v>227</v>
      </c>
      <c r="O305" s="110" t="str">
        <f t="shared" ca="1" si="259"/>
        <v>Copo de agua 300 ml Lebrinha/Brunado</v>
      </c>
      <c r="P305" s="111" t="str">
        <f t="shared" ca="1" si="260"/>
        <v>UNIDADE</v>
      </c>
      <c r="Q305" s="107">
        <v>60</v>
      </c>
      <c r="R305" s="100">
        <f t="shared" ca="1" si="261"/>
        <v>4.2</v>
      </c>
      <c r="S305" s="109" t="s">
        <v>62</v>
      </c>
      <c r="T305" s="99">
        <f t="shared" ca="1" si="262"/>
        <v>5.25</v>
      </c>
      <c r="U305" s="102">
        <f t="shared" ca="1" si="263"/>
        <v>315</v>
      </c>
      <c r="W305" s="1" t="str">
        <f ca="1">IF(OR($A305=0,$A305="S",$A305&gt;CFF!$A$9),"",MAX(W$11:OFFSET(W305,-1,0))+1)</f>
        <v/>
      </c>
      <c r="X305" s="3" t="str">
        <f t="shared" si="264"/>
        <v>Rec. Materiais-014</v>
      </c>
      <c r="Y305" s="1">
        <f t="shared" ca="1" si="265"/>
        <v>21</v>
      </c>
      <c r="AA305" s="106">
        <f>IF($J305=$G$2,ROUND(IF(ISNUMBER(S305),S305,IF(LEFT(S305,2)="DI",HLOOKUP(S305,DADOS!$T$29:$X$30,2,FALSE),0)),4),"")</f>
        <v>0.25</v>
      </c>
      <c r="AB305" s="1"/>
    </row>
    <row r="306" spans="1:28" x14ac:dyDescent="0.2">
      <c r="A306" t="str">
        <f t="shared" si="250"/>
        <v>S</v>
      </c>
      <c r="B306">
        <f t="shared" si="251"/>
        <v>0</v>
      </c>
      <c r="C306">
        <f t="shared" ca="1" si="252"/>
        <v>9</v>
      </c>
      <c r="D306">
        <f t="shared" ca="1" si="253"/>
        <v>2</v>
      </c>
      <c r="E306">
        <f t="shared" ca="1" si="254"/>
        <v>0</v>
      </c>
      <c r="F306">
        <f t="shared" ca="1" si="255"/>
        <v>0</v>
      </c>
      <c r="G306">
        <f t="shared" ca="1" si="256"/>
        <v>9</v>
      </c>
      <c r="H306">
        <f t="shared" ca="1" si="216"/>
        <v>0</v>
      </c>
      <c r="I306">
        <f t="shared" ca="1" si="217"/>
        <v>0</v>
      </c>
      <c r="J306" s="105" t="s">
        <v>29</v>
      </c>
      <c r="K306" s="97" t="str">
        <f t="shared" ca="1" si="257"/>
        <v>9.2.9.</v>
      </c>
      <c r="L306" s="110">
        <f t="shared" ca="1" si="258"/>
        <v>0</v>
      </c>
      <c r="M306" s="98" t="s">
        <v>80</v>
      </c>
      <c r="N306" s="112" t="s">
        <v>231</v>
      </c>
      <c r="O306" s="110" t="str">
        <f t="shared" ca="1" si="259"/>
        <v xml:space="preserve">Impressão Colorida 1 folha </v>
      </c>
      <c r="P306" s="111" t="str">
        <f t="shared" ca="1" si="260"/>
        <v>unidade</v>
      </c>
      <c r="Q306" s="107">
        <v>43</v>
      </c>
      <c r="R306" s="100">
        <f t="shared" ca="1" si="261"/>
        <v>2.5</v>
      </c>
      <c r="S306" s="109" t="s">
        <v>62</v>
      </c>
      <c r="T306" s="99">
        <f t="shared" ca="1" si="262"/>
        <v>3.13</v>
      </c>
      <c r="U306" s="102">
        <f t="shared" ca="1" si="263"/>
        <v>134.59</v>
      </c>
      <c r="W306" s="1" t="str">
        <f ca="1">IF(OR($A306=0,$A306="S",$A306&gt;CFF!$A$9),"",MAX(W$11:OFFSET(W306,-1,0))+1)</f>
        <v/>
      </c>
      <c r="X306" s="3" t="str">
        <f t="shared" si="264"/>
        <v>Serv. Terc.-004</v>
      </c>
      <c r="Y306" s="1">
        <f t="shared" ca="1" si="265"/>
        <v>50</v>
      </c>
      <c r="AA306" s="106">
        <f>IF($J306=$G$2,ROUND(IF(ISNUMBER(S306),S306,IF(LEFT(S306,2)="DI",HLOOKUP(S306,DADOS!$T$29:$X$30,2,FALSE),0)),4),"")</f>
        <v>0.25</v>
      </c>
      <c r="AB306" s="1"/>
    </row>
    <row r="307" spans="1:28" x14ac:dyDescent="0.2">
      <c r="A307" t="str">
        <f t="shared" ref="A307:A314" si="266">CHOOSE(1+LOG(1+2*(J307=$C$2)+4*(J307=$D$2)+8*(J307=$E$2)+16*(J307=$F$2)+32*(J307=$G$2),2),0,1,2,3,4,"S")</f>
        <v>S</v>
      </c>
      <c r="B307">
        <f t="shared" ref="B307:B314" si="267">IF(OR(A307="S",A307=0),0,IF(ISERROR(I307),H307,SMALL(H307:I307,1)))</f>
        <v>0</v>
      </c>
      <c r="C307">
        <f t="shared" ref="C307:C314" ca="1" si="268">IF($A307=1,OFFSET(C307,-1,0)+1,OFFSET(C307,-1,0))</f>
        <v>9</v>
      </c>
      <c r="D307">
        <f t="shared" ref="D307:D314" ca="1" si="269">IF($A307=1,0,IF($A307=2,OFFSET(D307,-1,0)+1,OFFSET(D307,-1,0)))</f>
        <v>2</v>
      </c>
      <c r="E307">
        <f t="shared" ref="E307:E314" ca="1" si="270">IF(AND($A307&lt;=2,$A307&lt;&gt;0),0,IF($A307=3,OFFSET(E307,-1,0)+1,OFFSET(E307,-1,0)))</f>
        <v>0</v>
      </c>
      <c r="F307">
        <f t="shared" ref="F307:F314" ca="1" si="271">IF(AND($A307&lt;=3,$A307&lt;&gt;0),0,IF($A307=4,OFFSET(F307,-1,0)+1,OFFSET(F307,-1,0)))</f>
        <v>0</v>
      </c>
      <c r="G307">
        <f t="shared" ref="G307:G314" ca="1" si="272">IF(AND($A307&lt;=4,$A307&lt;&gt;0),0,IF($A307="S",OFFSET(G307,-1,0)+1,OFFSET(G307,-1,0)))</f>
        <v>10</v>
      </c>
      <c r="H307">
        <f t="shared" ca="1" si="216"/>
        <v>0</v>
      </c>
      <c r="I307">
        <f t="shared" ca="1" si="217"/>
        <v>0</v>
      </c>
      <c r="J307" s="105" t="s">
        <v>29</v>
      </c>
      <c r="K307" s="97" t="str">
        <f t="shared" ref="K307:K314" ca="1" si="273">IF($A307=0,"-",CONCATENATE(C307&amp;".",IF(AND($A$5&gt;=2,$A307&gt;=2),D307&amp;".",""),IF(AND($A$5&gt;=3,$A307&gt;=3),E307&amp;".",""),IF(AND($A$5&gt;=4,$A307&gt;=4),F307&amp;".",""),IF($A307="S",G307&amp;".","")))</f>
        <v>9.2.10.</v>
      </c>
      <c r="L307" s="110">
        <f t="shared" ref="L307:L314" ca="1" si="274">IF(NOT(ISERROR($Y307)),IF($Y307&lt;&gt;FALSE,INDEX(Banco,$Y307,4),""),"")</f>
        <v>0</v>
      </c>
      <c r="M307" s="98" t="s">
        <v>80</v>
      </c>
      <c r="N307" s="112" t="s">
        <v>240</v>
      </c>
      <c r="O307" s="110" t="str">
        <f ca="1">IF(NOT(ISERROR($Y307)),IF($Y307&lt;&gt;FALSE,INDEX(Banco,$Y307,5),""),"")</f>
        <v>Combustivel</v>
      </c>
      <c r="P307" s="111" t="str">
        <f t="shared" ref="P307:P314" ca="1" si="275">IF(NOT(ISERROR($Y307)),IF($Y307&lt;&gt;FALSE,INDEX(Banco,$Y307,6),""),"")</f>
        <v>litro</v>
      </c>
      <c r="Q307" s="107">
        <v>100</v>
      </c>
      <c r="R307" s="100">
        <f t="shared" ref="R307:R314" ca="1" si="276">IF(NOT(ISERROR($Y307)),IF($Y307&lt;&gt;FALSE,INDEX(Banco,$Y307,7),0),0)</f>
        <v>3.99</v>
      </c>
      <c r="S307" s="109" t="s">
        <v>62</v>
      </c>
      <c r="T307" s="99">
        <f t="shared" ref="T307:T314" ca="1" si="277">IF($J307=$G$2,ROUND(ROUND($R307,2)*IF($R$9="Preço Unitário (R$)",1,1+$AA307),2),0)</f>
        <v>4.99</v>
      </c>
      <c r="U307" s="102">
        <f t="shared" ref="U307:U314" ca="1" si="278">IF($A307="S",VTOTAL1,IF($A307=0,0,ROUND(SomaAgrup,2)))</f>
        <v>499</v>
      </c>
      <c r="W307" s="1" t="str">
        <f ca="1">IF(OR($A307=0,$A307="S",$A307&gt;CFF!$A$9),"",MAX(W$11:OFFSET(W307,-1,0))+1)</f>
        <v/>
      </c>
      <c r="X307" s="3" t="str">
        <f t="shared" ref="X307:X314" si="279">IF(AND($J307=$G$2,$N307&lt;&gt;"",$M307&lt;&gt;""),CONCATENATE($M307,"-",$N307))</f>
        <v>Serv. Terc.-027</v>
      </c>
      <c r="Y307" s="1">
        <f t="shared" ref="Y307:Y314" ca="1" si="280">IF(X307&lt;&gt;FALSE,MATCH(X307,OFFSET(Banco,0,0,,1),0))</f>
        <v>73</v>
      </c>
      <c r="AA307" s="106">
        <f>IF($J307=$G$2,ROUND(IF(ISNUMBER(S307),S307,IF(LEFT(S307,2)="DI",HLOOKUP(S307,DADOS!$T$29:$X$30,2,FALSE),0)),4),"")</f>
        <v>0.25</v>
      </c>
      <c r="AB307" s="1"/>
    </row>
    <row r="308" spans="1:28" ht="25.5" x14ac:dyDescent="0.2">
      <c r="A308">
        <f t="shared" si="266"/>
        <v>1</v>
      </c>
      <c r="B308">
        <f t="shared" ca="1" si="267"/>
        <v>34</v>
      </c>
      <c r="C308">
        <f t="shared" ca="1" si="268"/>
        <v>10</v>
      </c>
      <c r="D308">
        <f t="shared" ca="1" si="269"/>
        <v>0</v>
      </c>
      <c r="E308">
        <f t="shared" ca="1" si="270"/>
        <v>0</v>
      </c>
      <c r="F308">
        <f t="shared" ca="1" si="271"/>
        <v>0</v>
      </c>
      <c r="G308">
        <f t="shared" ca="1" si="272"/>
        <v>0</v>
      </c>
      <c r="H308">
        <f t="shared" ca="1" si="216"/>
        <v>59</v>
      </c>
      <c r="I308">
        <f t="shared" ca="1" si="217"/>
        <v>34</v>
      </c>
      <c r="J308" s="105" t="s">
        <v>67</v>
      </c>
      <c r="K308" s="97" t="str">
        <f t="shared" ca="1" si="273"/>
        <v>10.</v>
      </c>
      <c r="L308" s="110" t="str">
        <f t="shared" ca="1" si="274"/>
        <v/>
      </c>
      <c r="M308" s="98"/>
      <c r="N308" s="112"/>
      <c r="O308" s="110" t="s">
        <v>262</v>
      </c>
      <c r="P308" s="111" t="str">
        <f t="shared" ca="1" si="275"/>
        <v/>
      </c>
      <c r="Q308" s="107"/>
      <c r="R308" s="100">
        <f t="shared" ca="1" si="276"/>
        <v>0</v>
      </c>
      <c r="S308" s="109" t="s">
        <v>62</v>
      </c>
      <c r="T308" s="99">
        <f t="shared" si="277"/>
        <v>0</v>
      </c>
      <c r="U308" s="102">
        <f t="shared" ca="1" si="278"/>
        <v>25490.68</v>
      </c>
      <c r="W308" s="1">
        <f ca="1">IF(OR($A308=0,$A308="S",$A308&gt;CFF!$A$9),"",MAX(W$11:OFFSET(W308,-1,0))+1)</f>
        <v>26</v>
      </c>
      <c r="X308" s="3" t="b">
        <f t="shared" si="279"/>
        <v>0</v>
      </c>
      <c r="Y308" s="1" t="b">
        <f t="shared" ca="1" si="280"/>
        <v>0</v>
      </c>
      <c r="AA308" s="106" t="str">
        <f>IF($J308=$G$2,ROUND(IF(ISNUMBER(S308),S308,IF(LEFT(S308,2)="DI",HLOOKUP(S308,DADOS!$T$29:$X$30,2,FALSE),0)),4),"")</f>
        <v/>
      </c>
      <c r="AB308" s="1"/>
    </row>
    <row r="309" spans="1:28" x14ac:dyDescent="0.2">
      <c r="A309">
        <f t="shared" si="266"/>
        <v>2</v>
      </c>
      <c r="B309">
        <f t="shared" ca="1" si="267"/>
        <v>27</v>
      </c>
      <c r="C309">
        <f t="shared" ca="1" si="268"/>
        <v>10</v>
      </c>
      <c r="D309">
        <f t="shared" ca="1" si="269"/>
        <v>1</v>
      </c>
      <c r="E309">
        <f t="shared" ca="1" si="270"/>
        <v>0</v>
      </c>
      <c r="F309">
        <f t="shared" ca="1" si="271"/>
        <v>0</v>
      </c>
      <c r="G309">
        <f t="shared" ca="1" si="272"/>
        <v>0</v>
      </c>
      <c r="H309">
        <f t="shared" ca="1" si="216"/>
        <v>33</v>
      </c>
      <c r="I309">
        <f t="shared" ca="1" si="217"/>
        <v>27</v>
      </c>
      <c r="J309" s="105" t="s">
        <v>68</v>
      </c>
      <c r="K309" s="97" t="str">
        <f t="shared" ca="1" si="273"/>
        <v>10.1.</v>
      </c>
      <c r="L309" s="110" t="str">
        <f t="shared" ca="1" si="274"/>
        <v/>
      </c>
      <c r="M309" s="98"/>
      <c r="N309" s="112"/>
      <c r="O309" s="110" t="s">
        <v>285</v>
      </c>
      <c r="P309" s="111" t="str">
        <f t="shared" ca="1" si="275"/>
        <v/>
      </c>
      <c r="Q309" s="107"/>
      <c r="R309" s="100">
        <f t="shared" ca="1" si="276"/>
        <v>0</v>
      </c>
      <c r="S309" s="109" t="s">
        <v>62</v>
      </c>
      <c r="T309" s="99">
        <f t="shared" si="277"/>
        <v>0</v>
      </c>
      <c r="U309" s="102">
        <f t="shared" ca="1" si="278"/>
        <v>17995.78</v>
      </c>
      <c r="W309" s="1">
        <f ca="1">IF(OR($A309=0,$A309="S",$A309&gt;CFF!$A$9),"",MAX(W$11:OFFSET(W309,-1,0))+1)</f>
        <v>27</v>
      </c>
      <c r="X309" s="3" t="b">
        <f t="shared" si="279"/>
        <v>0</v>
      </c>
      <c r="Y309" s="1" t="b">
        <f t="shared" ca="1" si="280"/>
        <v>0</v>
      </c>
      <c r="AA309" s="106" t="str">
        <f>IF($J309=$G$2,ROUND(IF(ISNUMBER(S309),S309,IF(LEFT(S309,2)="DI",HLOOKUP(S309,DADOS!$T$29:$X$30,2,FALSE),0)),4),"")</f>
        <v/>
      </c>
      <c r="AB309" s="1"/>
    </row>
    <row r="310" spans="1:28" x14ac:dyDescent="0.2">
      <c r="A310" t="str">
        <f t="shared" si="266"/>
        <v>S</v>
      </c>
      <c r="B310">
        <f t="shared" si="267"/>
        <v>0</v>
      </c>
      <c r="C310">
        <f t="shared" ca="1" si="268"/>
        <v>10</v>
      </c>
      <c r="D310">
        <f t="shared" ca="1" si="269"/>
        <v>1</v>
      </c>
      <c r="E310">
        <f t="shared" ca="1" si="270"/>
        <v>0</v>
      </c>
      <c r="F310">
        <f t="shared" ca="1" si="271"/>
        <v>0</v>
      </c>
      <c r="G310">
        <f t="shared" ca="1" si="272"/>
        <v>1</v>
      </c>
      <c r="H310">
        <f t="shared" ca="1" si="216"/>
        <v>0</v>
      </c>
      <c r="I310">
        <f t="shared" ca="1" si="217"/>
        <v>0</v>
      </c>
      <c r="J310" s="105" t="s">
        <v>29</v>
      </c>
      <c r="K310" s="97" t="str">
        <f t="shared" ca="1" si="273"/>
        <v>10.1.1.</v>
      </c>
      <c r="L310" s="110" t="str">
        <f t="shared" ca="1" si="274"/>
        <v>CRESS</v>
      </c>
      <c r="M310" s="98" t="s">
        <v>78</v>
      </c>
      <c r="N310" s="112" t="s">
        <v>218</v>
      </c>
      <c r="O310" s="110" t="str">
        <f t="shared" ref="O310:O335" ca="1" si="281">IF(NOT(ISERROR($Y310)),IF($Y310&lt;&gt;FALSE,INDEX(Banco,$Y310,5),""),"")</f>
        <v>RT</v>
      </c>
      <c r="P310" s="111" t="str">
        <f t="shared" ca="1" si="275"/>
        <v>hora</v>
      </c>
      <c r="Q310" s="107">
        <v>20</v>
      </c>
      <c r="R310" s="100">
        <f t="shared" ca="1" si="276"/>
        <v>150.28</v>
      </c>
      <c r="S310" s="109" t="s">
        <v>62</v>
      </c>
      <c r="T310" s="99">
        <f t="shared" ca="1" si="277"/>
        <v>187.85</v>
      </c>
      <c r="U310" s="102">
        <f t="shared" ca="1" si="278"/>
        <v>3757</v>
      </c>
      <c r="W310" s="1" t="str">
        <f ca="1">IF(OR($A310=0,$A310="S",$A310&gt;CFF!$A$9),"",MAX(W$11:OFFSET(W310,-1,0))+1)</f>
        <v/>
      </c>
      <c r="X310" s="3" t="str">
        <f t="shared" si="279"/>
        <v>Rec. Humanos-001</v>
      </c>
      <c r="Y310" s="1">
        <f t="shared" ca="1" si="280"/>
        <v>3</v>
      </c>
      <c r="AA310" s="106">
        <f>IF($J310=$G$2,ROUND(IF(ISNUMBER(S310),S310,IF(LEFT(S310,2)="DI",HLOOKUP(S310,DADOS!$T$29:$X$30,2,FALSE),0)),4),"")</f>
        <v>0.25</v>
      </c>
      <c r="AB310" s="1"/>
    </row>
    <row r="311" spans="1:28" x14ac:dyDescent="0.2">
      <c r="A311" t="str">
        <f t="shared" si="266"/>
        <v>S</v>
      </c>
      <c r="B311">
        <f t="shared" si="267"/>
        <v>0</v>
      </c>
      <c r="C311">
        <f t="shared" ca="1" si="268"/>
        <v>10</v>
      </c>
      <c r="D311">
        <f t="shared" ca="1" si="269"/>
        <v>1</v>
      </c>
      <c r="E311">
        <f t="shared" ca="1" si="270"/>
        <v>0</v>
      </c>
      <c r="F311">
        <f t="shared" ca="1" si="271"/>
        <v>0</v>
      </c>
      <c r="G311">
        <f t="shared" ca="1" si="272"/>
        <v>2</v>
      </c>
      <c r="H311">
        <f t="shared" ca="1" si="216"/>
        <v>0</v>
      </c>
      <c r="I311">
        <f t="shared" ca="1" si="217"/>
        <v>0</v>
      </c>
      <c r="J311" s="105" t="s">
        <v>29</v>
      </c>
      <c r="K311" s="97" t="str">
        <f t="shared" ca="1" si="273"/>
        <v>10.1.2.</v>
      </c>
      <c r="L311" s="110">
        <f t="shared" ca="1" si="274"/>
        <v>0</v>
      </c>
      <c r="M311" s="98" t="s">
        <v>78</v>
      </c>
      <c r="N311" s="112" t="s">
        <v>219</v>
      </c>
      <c r="O311" s="110" t="str">
        <f t="shared" ca="1" si="281"/>
        <v>Assistente Social</v>
      </c>
      <c r="P311" s="111" t="str">
        <f t="shared" ca="1" si="275"/>
        <v>hora</v>
      </c>
      <c r="Q311" s="107">
        <v>20</v>
      </c>
      <c r="R311" s="100">
        <f t="shared" ca="1" si="276"/>
        <v>133.81</v>
      </c>
      <c r="S311" s="109" t="s">
        <v>62</v>
      </c>
      <c r="T311" s="99">
        <f t="shared" ca="1" si="277"/>
        <v>167.26</v>
      </c>
      <c r="U311" s="102">
        <f t="shared" ca="1" si="278"/>
        <v>3345.2</v>
      </c>
      <c r="W311" s="1" t="str">
        <f ca="1">IF(OR($A311=0,$A311="S",$A311&gt;CFF!$A$9),"",MAX(W$11:OFFSET(W311,-1,0))+1)</f>
        <v/>
      </c>
      <c r="X311" s="3" t="str">
        <f t="shared" si="279"/>
        <v>Rec. Humanos-002</v>
      </c>
      <c r="Y311" s="1">
        <f t="shared" ca="1" si="280"/>
        <v>4</v>
      </c>
      <c r="AA311" s="106">
        <f>IF($J311=$G$2,ROUND(IF(ISNUMBER(S311),S311,IF(LEFT(S311,2)="DI",HLOOKUP(S311,DADOS!$T$29:$X$30,2,FALSE),0)),4),"")</f>
        <v>0.25</v>
      </c>
      <c r="AB311" s="1"/>
    </row>
    <row r="312" spans="1:28" x14ac:dyDescent="0.2">
      <c r="A312" t="str">
        <f t="shared" si="266"/>
        <v>S</v>
      </c>
      <c r="B312">
        <f t="shared" si="267"/>
        <v>0</v>
      </c>
      <c r="C312">
        <f t="shared" ca="1" si="268"/>
        <v>10</v>
      </c>
      <c r="D312">
        <f t="shared" ca="1" si="269"/>
        <v>1</v>
      </c>
      <c r="E312">
        <f t="shared" ca="1" si="270"/>
        <v>0</v>
      </c>
      <c r="F312">
        <f t="shared" ca="1" si="271"/>
        <v>0</v>
      </c>
      <c r="G312">
        <f t="shared" ca="1" si="272"/>
        <v>3</v>
      </c>
      <c r="H312">
        <f t="shared" ca="1" si="216"/>
        <v>0</v>
      </c>
      <c r="I312">
        <f t="shared" ca="1" si="217"/>
        <v>0</v>
      </c>
      <c r="J312" s="105" t="s">
        <v>29</v>
      </c>
      <c r="K312" s="97" t="str">
        <f t="shared" ca="1" si="273"/>
        <v>10.1.3.</v>
      </c>
      <c r="L312" s="110">
        <f t="shared" ca="1" si="274"/>
        <v>0</v>
      </c>
      <c r="M312" s="98" t="s">
        <v>78</v>
      </c>
      <c r="N312" s="112" t="s">
        <v>220</v>
      </c>
      <c r="O312" s="110" t="str">
        <f t="shared" ca="1" si="281"/>
        <v>Administrativo</v>
      </c>
      <c r="P312" s="111" t="str">
        <f t="shared" ca="1" si="275"/>
        <v>mensal</v>
      </c>
      <c r="Q312" s="107">
        <v>1</v>
      </c>
      <c r="R312" s="100">
        <f t="shared" ca="1" si="276"/>
        <v>1463.5</v>
      </c>
      <c r="S312" s="109" t="s">
        <v>62</v>
      </c>
      <c r="T312" s="99">
        <f t="shared" ca="1" si="277"/>
        <v>1829.38</v>
      </c>
      <c r="U312" s="102">
        <f t="shared" ca="1" si="278"/>
        <v>1829.38</v>
      </c>
      <c r="W312" s="1" t="str">
        <f ca="1">IF(OR($A312=0,$A312="S",$A312&gt;CFF!$A$9),"",MAX(W$11:OFFSET(W312,-1,0))+1)</f>
        <v/>
      </c>
      <c r="X312" s="3" t="str">
        <f t="shared" si="279"/>
        <v>Rec. Humanos-003</v>
      </c>
      <c r="Y312" s="1">
        <f t="shared" ca="1" si="280"/>
        <v>5</v>
      </c>
      <c r="AA312" s="106">
        <f>IF($J312=$G$2,ROUND(IF(ISNUMBER(S312),S312,IF(LEFT(S312,2)="DI",HLOOKUP(S312,DADOS!$T$29:$X$30,2,FALSE),0)),4),"")</f>
        <v>0.25</v>
      </c>
      <c r="AB312" s="1"/>
    </row>
    <row r="313" spans="1:28" x14ac:dyDescent="0.2">
      <c r="A313" t="str">
        <f t="shared" si="266"/>
        <v>S</v>
      </c>
      <c r="B313">
        <f t="shared" si="267"/>
        <v>0</v>
      </c>
      <c r="C313">
        <f t="shared" ca="1" si="268"/>
        <v>10</v>
      </c>
      <c r="D313">
        <f t="shared" ca="1" si="269"/>
        <v>1</v>
      </c>
      <c r="E313">
        <f t="shared" ca="1" si="270"/>
        <v>0</v>
      </c>
      <c r="F313">
        <f t="shared" ca="1" si="271"/>
        <v>0</v>
      </c>
      <c r="G313">
        <f t="shared" ca="1" si="272"/>
        <v>4</v>
      </c>
      <c r="H313">
        <f t="shared" ca="1" si="216"/>
        <v>0</v>
      </c>
      <c r="I313">
        <f t="shared" ca="1" si="217"/>
        <v>0</v>
      </c>
      <c r="J313" s="105" t="s">
        <v>29</v>
      </c>
      <c r="K313" s="97" t="str">
        <f t="shared" ca="1" si="273"/>
        <v>10.1.4.</v>
      </c>
      <c r="L313" s="110">
        <f t="shared" ca="1" si="274"/>
        <v>0</v>
      </c>
      <c r="M313" s="98" t="s">
        <v>78</v>
      </c>
      <c r="N313" s="112" t="s">
        <v>231</v>
      </c>
      <c r="O313" s="110" t="str">
        <f ca="1">IF(NOT(ISERROR($Y313)),IF($Y313&lt;&gt;FALSE,INDEX(Banco,$Y313,5),""),"")</f>
        <v>Biólogo</v>
      </c>
      <c r="P313" s="111" t="str">
        <f t="shared" ca="1" si="275"/>
        <v>hora</v>
      </c>
      <c r="Q313" s="107">
        <v>20</v>
      </c>
      <c r="R313" s="100">
        <f t="shared" ca="1" si="276"/>
        <v>14.97</v>
      </c>
      <c r="S313" s="109" t="s">
        <v>62</v>
      </c>
      <c r="T313" s="99">
        <f t="shared" ca="1" si="277"/>
        <v>18.71</v>
      </c>
      <c r="U313" s="102">
        <f t="shared" ca="1" si="278"/>
        <v>374.2</v>
      </c>
      <c r="W313" s="1" t="str">
        <f ca="1">IF(OR($A313=0,$A313="S",$A313&gt;CFF!$A$9),"",MAX(W$11:OFFSET(W313,-1,0))+1)</f>
        <v/>
      </c>
      <c r="X313" s="3" t="str">
        <f t="shared" si="279"/>
        <v>Rec. Humanos-004</v>
      </c>
      <c r="Y313" s="1">
        <f t="shared" ca="1" si="280"/>
        <v>6</v>
      </c>
      <c r="AA313" s="106">
        <f>IF($J313=$G$2,ROUND(IF(ISNUMBER(S313),S313,IF(LEFT(S313,2)="DI",HLOOKUP(S313,DADOS!$T$29:$X$30,2,FALSE),0)),4),"")</f>
        <v>0.25</v>
      </c>
      <c r="AB313" s="1"/>
    </row>
    <row r="314" spans="1:28" x14ac:dyDescent="0.2">
      <c r="A314" t="str">
        <f t="shared" si="266"/>
        <v>S</v>
      </c>
      <c r="B314">
        <f t="shared" si="267"/>
        <v>0</v>
      </c>
      <c r="C314">
        <f t="shared" ca="1" si="268"/>
        <v>10</v>
      </c>
      <c r="D314">
        <f t="shared" ca="1" si="269"/>
        <v>1</v>
      </c>
      <c r="E314">
        <f t="shared" ca="1" si="270"/>
        <v>0</v>
      </c>
      <c r="F314">
        <f t="shared" ca="1" si="271"/>
        <v>0</v>
      </c>
      <c r="G314">
        <f t="shared" ca="1" si="272"/>
        <v>5</v>
      </c>
      <c r="H314">
        <f t="shared" ca="1" si="216"/>
        <v>0</v>
      </c>
      <c r="I314">
        <f t="shared" ca="1" si="217"/>
        <v>0</v>
      </c>
      <c r="J314" s="105" t="s">
        <v>29</v>
      </c>
      <c r="K314" s="97" t="str">
        <f t="shared" ca="1" si="273"/>
        <v>10.1.5.</v>
      </c>
      <c r="L314" s="110">
        <f t="shared" ca="1" si="274"/>
        <v>0</v>
      </c>
      <c r="M314" s="98" t="s">
        <v>78</v>
      </c>
      <c r="N314" s="112" t="s">
        <v>221</v>
      </c>
      <c r="O314" s="110" t="str">
        <f t="shared" ca="1" si="281"/>
        <v>Estagiarios</v>
      </c>
      <c r="P314" s="111" t="str">
        <f t="shared" ca="1" si="275"/>
        <v>hora</v>
      </c>
      <c r="Q314" s="107">
        <v>10</v>
      </c>
      <c r="R314" s="100">
        <f t="shared" ca="1" si="276"/>
        <v>8.26</v>
      </c>
      <c r="S314" s="109" t="s">
        <v>62</v>
      </c>
      <c r="T314" s="99">
        <f t="shared" ca="1" si="277"/>
        <v>10.33</v>
      </c>
      <c r="U314" s="102">
        <f t="shared" ca="1" si="278"/>
        <v>103.3</v>
      </c>
      <c r="W314" s="1" t="str">
        <f ca="1">IF(OR($A314=0,$A314="S",$A314&gt;CFF!$A$9),"",MAX(W$11:OFFSET(W314,-1,0))+1)</f>
        <v/>
      </c>
      <c r="X314" s="3" t="str">
        <f t="shared" si="279"/>
        <v>Rec. Humanos-005</v>
      </c>
      <c r="Y314" s="1">
        <f t="shared" ca="1" si="280"/>
        <v>7</v>
      </c>
      <c r="AA314" s="106">
        <f>IF($J314=$G$2,ROUND(IF(ISNUMBER(S314),S314,IF(LEFT(S314,2)="DI",HLOOKUP(S314,DADOS!$T$29:$X$30,2,FALSE),0)),4),"")</f>
        <v>0.25</v>
      </c>
      <c r="AB314" s="1"/>
    </row>
    <row r="315" spans="1:28" x14ac:dyDescent="0.2">
      <c r="A315" t="str">
        <f t="shared" ref="A315:A342" si="282">CHOOSE(1+LOG(1+2*(J315=$C$2)+4*(J315=$D$2)+8*(J315=$E$2)+16*(J315=$F$2)+32*(J315=$G$2),2),0,1,2,3,4,"S")</f>
        <v>S</v>
      </c>
      <c r="B315">
        <f t="shared" ref="B315:B342" si="283">IF(OR(A315="S",A315=0),0,IF(ISERROR(I315),H315,SMALL(H315:I315,1)))</f>
        <v>0</v>
      </c>
      <c r="C315">
        <f t="shared" ref="C315:C342" ca="1" si="284">IF($A315=1,OFFSET(C315,-1,0)+1,OFFSET(C315,-1,0))</f>
        <v>10</v>
      </c>
      <c r="D315">
        <f t="shared" ref="D315:D342" ca="1" si="285">IF($A315=1,0,IF($A315=2,OFFSET(D315,-1,0)+1,OFFSET(D315,-1,0)))</f>
        <v>1</v>
      </c>
      <c r="E315">
        <f t="shared" ref="E315:E342" ca="1" si="286">IF(AND($A315&lt;=2,$A315&lt;&gt;0),0,IF($A315=3,OFFSET(E315,-1,0)+1,OFFSET(E315,-1,0)))</f>
        <v>0</v>
      </c>
      <c r="F315">
        <f t="shared" ref="F315:F342" ca="1" si="287">IF(AND($A315&lt;=3,$A315&lt;&gt;0),0,IF($A315=4,OFFSET(F315,-1,0)+1,OFFSET(F315,-1,0)))</f>
        <v>0</v>
      </c>
      <c r="G315">
        <f t="shared" ref="G315:G342" ca="1" si="288">IF(AND($A315&lt;=4,$A315&lt;&gt;0),0,IF($A315="S",OFFSET(G315,-1,0)+1,OFFSET(G315,-1,0)))</f>
        <v>6</v>
      </c>
      <c r="H315">
        <f t="shared" ca="1" si="216"/>
        <v>0</v>
      </c>
      <c r="I315">
        <f t="shared" ca="1" si="217"/>
        <v>0</v>
      </c>
      <c r="J315" s="105" t="s">
        <v>29</v>
      </c>
      <c r="K315" s="97" t="str">
        <f t="shared" ref="K315:K342" ca="1" si="289">IF($A315=0,"-",CONCATENATE(C315&amp;".",IF(AND($A$5&gt;=2,$A315&gt;=2),D315&amp;".",""),IF(AND($A$5&gt;=3,$A315&gt;=3),E315&amp;".",""),IF(AND($A$5&gt;=4,$A315&gt;=4),F315&amp;".",""),IF($A315="S",G315&amp;".","")))</f>
        <v>10.1.6.</v>
      </c>
      <c r="L315" s="110">
        <f t="shared" ref="L315:L342" ca="1" si="290">IF(NOT(ISERROR($Y315)),IF($Y315&lt;&gt;FALSE,INDEX(Banco,$Y315,4),""),"")</f>
        <v>0</v>
      </c>
      <c r="M315" s="98" t="s">
        <v>78</v>
      </c>
      <c r="N315" s="112" t="s">
        <v>221</v>
      </c>
      <c r="O315" s="110" t="str">
        <f t="shared" ca="1" si="281"/>
        <v>Estagiarios</v>
      </c>
      <c r="P315" s="111" t="str">
        <f t="shared" ref="P315:P342" ca="1" si="291">IF(NOT(ISERROR($Y315)),IF($Y315&lt;&gt;FALSE,INDEX(Banco,$Y315,6),""),"")</f>
        <v>hora</v>
      </c>
      <c r="Q315" s="107">
        <v>10</v>
      </c>
      <c r="R315" s="100">
        <f t="shared" ref="R315:R342" ca="1" si="292">IF(NOT(ISERROR($Y315)),IF($Y315&lt;&gt;FALSE,INDEX(Banco,$Y315,7),0),0)</f>
        <v>8.26</v>
      </c>
      <c r="S315" s="109" t="s">
        <v>62</v>
      </c>
      <c r="T315" s="99">
        <f t="shared" ref="T315:T342" ca="1" si="293">IF($J315=$G$2,ROUND(ROUND($R315,2)*IF($R$9="Preço Unitário (R$)",1,1+$AA315),2),0)</f>
        <v>10.33</v>
      </c>
      <c r="U315" s="102">
        <f t="shared" ref="U315:U342" ca="1" si="294">IF($A315="S",VTOTAL1,IF($A315=0,0,ROUND(SomaAgrup,2)))</f>
        <v>103.3</v>
      </c>
      <c r="W315" s="1" t="str">
        <f ca="1">IF(OR($A315=0,$A315="S",$A315&gt;CFF!$A$9),"",MAX(W$11:OFFSET(W315,-1,0))+1)</f>
        <v/>
      </c>
      <c r="X315" s="3" t="str">
        <f t="shared" ref="X315:X342" si="295">IF(AND($J315=$G$2,$N315&lt;&gt;"",$M315&lt;&gt;""),CONCATENATE($M315,"-",$N315))</f>
        <v>Rec. Humanos-005</v>
      </c>
      <c r="Y315" s="1">
        <f t="shared" ref="Y315:Y342" ca="1" si="296">IF(X315&lt;&gt;FALSE,MATCH(X315,OFFSET(Banco,0,0,,1),0))</f>
        <v>7</v>
      </c>
      <c r="AA315" s="106">
        <f>IF($J315=$G$2,ROUND(IF(ISNUMBER(S315),S315,IF(LEFT(S315,2)="DI",HLOOKUP(S315,DADOS!$T$29:$X$30,2,FALSE),0)),4),"")</f>
        <v>0.25</v>
      </c>
      <c r="AB315" s="1"/>
    </row>
    <row r="316" spans="1:28" x14ac:dyDescent="0.2">
      <c r="A316" t="str">
        <f t="shared" si="282"/>
        <v>S</v>
      </c>
      <c r="B316">
        <f t="shared" si="283"/>
        <v>0</v>
      </c>
      <c r="C316">
        <f t="shared" ca="1" si="284"/>
        <v>10</v>
      </c>
      <c r="D316">
        <f t="shared" ca="1" si="285"/>
        <v>1</v>
      </c>
      <c r="E316">
        <f t="shared" ca="1" si="286"/>
        <v>0</v>
      </c>
      <c r="F316">
        <f t="shared" ca="1" si="287"/>
        <v>0</v>
      </c>
      <c r="G316">
        <f t="shared" ca="1" si="288"/>
        <v>7</v>
      </c>
      <c r="H316">
        <f t="shared" ca="1" si="216"/>
        <v>0</v>
      </c>
      <c r="I316">
        <f t="shared" ca="1" si="217"/>
        <v>0</v>
      </c>
      <c r="J316" s="105" t="s">
        <v>29</v>
      </c>
      <c r="K316" s="97" t="str">
        <f t="shared" ca="1" si="289"/>
        <v>10.1.7.</v>
      </c>
      <c r="L316" s="110">
        <f t="shared" ca="1" si="290"/>
        <v>0</v>
      </c>
      <c r="M316" s="98" t="s">
        <v>78</v>
      </c>
      <c r="N316" s="112" t="s">
        <v>221</v>
      </c>
      <c r="O316" s="110" t="str">
        <f t="shared" ca="1" si="281"/>
        <v>Estagiarios</v>
      </c>
      <c r="P316" s="111" t="str">
        <f t="shared" ca="1" si="291"/>
        <v>hora</v>
      </c>
      <c r="Q316" s="107">
        <v>10</v>
      </c>
      <c r="R316" s="100">
        <f t="shared" ca="1" si="292"/>
        <v>8.26</v>
      </c>
      <c r="S316" s="109" t="s">
        <v>62</v>
      </c>
      <c r="T316" s="99">
        <f t="shared" ca="1" si="293"/>
        <v>10.33</v>
      </c>
      <c r="U316" s="102">
        <f t="shared" ca="1" si="294"/>
        <v>103.3</v>
      </c>
      <c r="W316" s="1" t="str">
        <f ca="1">IF(OR($A316=0,$A316="S",$A316&gt;CFF!$A$9),"",MAX(W$11:OFFSET(W316,-1,0))+1)</f>
        <v/>
      </c>
      <c r="X316" s="3" t="str">
        <f t="shared" si="295"/>
        <v>Rec. Humanos-005</v>
      </c>
      <c r="Y316" s="1">
        <f t="shared" ca="1" si="296"/>
        <v>7</v>
      </c>
      <c r="AA316" s="106">
        <f>IF($J316=$G$2,ROUND(IF(ISNUMBER(S316),S316,IF(LEFT(S316,2)="DI",HLOOKUP(S316,DADOS!$T$29:$X$30,2,FALSE),0)),4),"")</f>
        <v>0.25</v>
      </c>
      <c r="AB316" s="1"/>
    </row>
    <row r="317" spans="1:28" x14ac:dyDescent="0.2">
      <c r="A317" t="str">
        <f t="shared" si="282"/>
        <v>S</v>
      </c>
      <c r="B317">
        <f t="shared" si="283"/>
        <v>0</v>
      </c>
      <c r="C317">
        <f t="shared" ca="1" si="284"/>
        <v>10</v>
      </c>
      <c r="D317">
        <f t="shared" ca="1" si="285"/>
        <v>1</v>
      </c>
      <c r="E317">
        <f t="shared" ca="1" si="286"/>
        <v>0</v>
      </c>
      <c r="F317">
        <f t="shared" ca="1" si="287"/>
        <v>0</v>
      </c>
      <c r="G317">
        <f t="shared" ca="1" si="288"/>
        <v>8</v>
      </c>
      <c r="H317">
        <f t="shared" ca="1" si="216"/>
        <v>0</v>
      </c>
      <c r="I317">
        <f t="shared" ca="1" si="217"/>
        <v>0</v>
      </c>
      <c r="J317" s="105" t="s">
        <v>29</v>
      </c>
      <c r="K317" s="97" t="str">
        <f t="shared" ca="1" si="289"/>
        <v>10.1.8.</v>
      </c>
      <c r="L317" s="110">
        <f t="shared" ca="1" si="290"/>
        <v>0</v>
      </c>
      <c r="M317" s="98" t="s">
        <v>78</v>
      </c>
      <c r="N317" s="112" t="s">
        <v>221</v>
      </c>
      <c r="O317" s="110" t="str">
        <f t="shared" ca="1" si="281"/>
        <v>Estagiarios</v>
      </c>
      <c r="P317" s="111" t="str">
        <f t="shared" ca="1" si="291"/>
        <v>hora</v>
      </c>
      <c r="Q317" s="107">
        <v>10</v>
      </c>
      <c r="R317" s="100">
        <f t="shared" ca="1" si="292"/>
        <v>8.26</v>
      </c>
      <c r="S317" s="109" t="s">
        <v>62</v>
      </c>
      <c r="T317" s="99">
        <f t="shared" ca="1" si="293"/>
        <v>10.33</v>
      </c>
      <c r="U317" s="102">
        <f t="shared" ca="1" si="294"/>
        <v>103.3</v>
      </c>
      <c r="W317" s="1" t="str">
        <f ca="1">IF(OR($A317=0,$A317="S",$A317&gt;CFF!$A$9),"",MAX(W$11:OFFSET(W317,-1,0))+1)</f>
        <v/>
      </c>
      <c r="X317" s="3" t="str">
        <f t="shared" si="295"/>
        <v>Rec. Humanos-005</v>
      </c>
      <c r="Y317" s="1">
        <f t="shared" ca="1" si="296"/>
        <v>7</v>
      </c>
      <c r="AA317" s="106">
        <f>IF($J317=$G$2,ROUND(IF(ISNUMBER(S317),S317,IF(LEFT(S317,2)="DI",HLOOKUP(S317,DADOS!$T$29:$X$30,2,FALSE),0)),4),"")</f>
        <v>0.25</v>
      </c>
      <c r="AB317" s="1"/>
    </row>
    <row r="318" spans="1:28" x14ac:dyDescent="0.2">
      <c r="A318" t="str">
        <f t="shared" si="282"/>
        <v>S</v>
      </c>
      <c r="B318">
        <f t="shared" si="283"/>
        <v>0</v>
      </c>
      <c r="C318">
        <f t="shared" ca="1" si="284"/>
        <v>10</v>
      </c>
      <c r="D318">
        <f t="shared" ca="1" si="285"/>
        <v>1</v>
      </c>
      <c r="E318">
        <f t="shared" ca="1" si="286"/>
        <v>0</v>
      </c>
      <c r="F318">
        <f t="shared" ca="1" si="287"/>
        <v>0</v>
      </c>
      <c r="G318">
        <f t="shared" ca="1" si="288"/>
        <v>9</v>
      </c>
      <c r="H318">
        <f t="shared" ca="1" si="216"/>
        <v>0</v>
      </c>
      <c r="I318">
        <f t="shared" ca="1" si="217"/>
        <v>0</v>
      </c>
      <c r="J318" s="105" t="s">
        <v>29</v>
      </c>
      <c r="K318" s="97" t="str">
        <f t="shared" ca="1" si="289"/>
        <v>10.1.9.</v>
      </c>
      <c r="L318" s="110">
        <f t="shared" ca="1" si="290"/>
        <v>0</v>
      </c>
      <c r="M318" s="98" t="s">
        <v>79</v>
      </c>
      <c r="N318" s="112" t="s">
        <v>227</v>
      </c>
      <c r="O318" s="110" t="str">
        <f t="shared" ca="1" si="281"/>
        <v>Copo de agua 300 ml Lebrinha/Brunado</v>
      </c>
      <c r="P318" s="111" t="str">
        <f t="shared" ca="1" si="291"/>
        <v>UNIDADE</v>
      </c>
      <c r="Q318" s="107">
        <v>276</v>
      </c>
      <c r="R318" s="100">
        <f t="shared" ca="1" si="292"/>
        <v>4.2</v>
      </c>
      <c r="S318" s="109" t="s">
        <v>62</v>
      </c>
      <c r="T318" s="99">
        <f t="shared" ca="1" si="293"/>
        <v>5.25</v>
      </c>
      <c r="U318" s="102">
        <f t="shared" ca="1" si="294"/>
        <v>1449</v>
      </c>
      <c r="W318" s="1" t="str">
        <f ca="1">IF(OR($A318=0,$A318="S",$A318&gt;CFF!$A$9),"",MAX(W$11:OFFSET(W318,-1,0))+1)</f>
        <v/>
      </c>
      <c r="X318" s="3" t="str">
        <f t="shared" si="295"/>
        <v>Rec. Materiais-014</v>
      </c>
      <c r="Y318" s="1">
        <f t="shared" ca="1" si="296"/>
        <v>21</v>
      </c>
      <c r="AA318" s="106">
        <f>IF($J318=$G$2,ROUND(IF(ISNUMBER(S318),S318,IF(LEFT(S318,2)="DI",HLOOKUP(S318,DADOS!$T$29:$X$30,2,FALSE),0)),4),"")</f>
        <v>0.25</v>
      </c>
      <c r="AB318" s="1"/>
    </row>
    <row r="319" spans="1:28" x14ac:dyDescent="0.2">
      <c r="A319" t="str">
        <f>CHOOSE(1+LOG(1+2*(J319=$C$2)+4*(J319=$D$2)+8*(J319=$E$2)+16*(J319=$F$2)+32*(J319=$G$2),2),0,1,2,3,4,"S")</f>
        <v>S</v>
      </c>
      <c r="B319">
        <f>IF(OR(A319="S",A319=0),0,IF(ISERROR(I319),H319,SMALL(H319:I319,1)))</f>
        <v>0</v>
      </c>
      <c r="C319">
        <f ca="1">IF($A319=1,OFFSET(C319,-1,0)+1,OFFSET(C319,-1,0))</f>
        <v>10</v>
      </c>
      <c r="D319">
        <f ca="1">IF($A319=1,0,IF($A319=2,OFFSET(D319,-1,0)+1,OFFSET(D319,-1,0)))</f>
        <v>1</v>
      </c>
      <c r="E319">
        <f ca="1">IF(AND($A319&lt;=2,$A319&lt;&gt;0),0,IF($A319=3,OFFSET(E319,-1,0)+1,OFFSET(E319,-1,0)))</f>
        <v>0</v>
      </c>
      <c r="F319">
        <f ca="1">IF(AND($A319&lt;=3,$A319&lt;&gt;0),0,IF($A319=4,OFFSET(F319,-1,0)+1,OFFSET(F319,-1,0)))</f>
        <v>0</v>
      </c>
      <c r="G319">
        <f ca="1">IF(AND($A319&lt;=4,$A319&lt;&gt;0),0,IF($A319="S",OFFSET(G319,-1,0)+1,OFFSET(G319,-1,0)))</f>
        <v>10</v>
      </c>
      <c r="H319">
        <f t="shared" ca="1" si="216"/>
        <v>0</v>
      </c>
      <c r="I319">
        <f t="shared" ca="1" si="217"/>
        <v>0</v>
      </c>
      <c r="J319" s="105" t="s">
        <v>29</v>
      </c>
      <c r="K319" s="97" t="str">
        <f ca="1">IF($A319=0,"-",CONCATENATE(C319&amp;".",IF(AND($A$5&gt;=2,$A319&gt;=2),D319&amp;".",""),IF(AND($A$5&gt;=3,$A319&gt;=3),E319&amp;".",""),IF(AND($A$5&gt;=4,$A319&gt;=4),F319&amp;".",""),IF($A319="S",G319&amp;".","")))</f>
        <v>10.1.10.</v>
      </c>
      <c r="L319" s="110">
        <f ca="1">IF(NOT(ISERROR($Y319)),IF($Y319&lt;&gt;FALSE,INDEX(Banco,$Y319,4),""),"")</f>
        <v>0</v>
      </c>
      <c r="M319" s="98" t="s">
        <v>79</v>
      </c>
      <c r="N319" s="112" t="s">
        <v>218</v>
      </c>
      <c r="O319" s="110" t="str">
        <f ca="1">IF(NOT(ISERROR($Y319)),IF($Y319&lt;&gt;FALSE,INDEX(Banco,$Y319,5),""),"")</f>
        <v>Papel A4 (Internatonal Paper) 500 folhas</v>
      </c>
      <c r="P319" s="111" t="str">
        <f ca="1">IF(NOT(ISERROR($Y319)),IF($Y319&lt;&gt;FALSE,INDEX(Banco,$Y319,6),""),"")</f>
        <v>resma</v>
      </c>
      <c r="Q319" s="107">
        <v>1</v>
      </c>
      <c r="R319" s="100">
        <f ca="1">IF(NOT(ISERROR($Y319)),IF($Y319&lt;&gt;FALSE,INDEX(Banco,$Y319,7),0),0)</f>
        <v>25.8</v>
      </c>
      <c r="S319" s="109" t="s">
        <v>62</v>
      </c>
      <c r="T319" s="99">
        <f ca="1">IF($J319=$G$2,ROUND(ROUND($R319,2)*IF($R$9="Preço Unitário (R$)",1,1+$AA319),2),0)</f>
        <v>32.25</v>
      </c>
      <c r="U319" s="102">
        <f ca="1">IF($A319="S",VTOTAL1,IF($A319=0,0,ROUND(SomaAgrup,2)))</f>
        <v>32.25</v>
      </c>
      <c r="W319" s="1" t="str">
        <f ca="1">IF(OR($A319=0,$A319="S",$A319&gt;CFF!$A$9),"",MAX(W$11:OFFSET(W319,-1,0))+1)</f>
        <v/>
      </c>
      <c r="X319" s="3" t="str">
        <f>IF(AND($J319=$G$2,$N319&lt;&gt;"",$M319&lt;&gt;""),CONCATENATE($M319,"-",$N319))</f>
        <v>Rec. Materiais-001</v>
      </c>
      <c r="Y319" s="1">
        <f ca="1">IF(X319&lt;&gt;FALSE,MATCH(X319,OFFSET(Banco,0,0,,1),0))</f>
        <v>8</v>
      </c>
      <c r="AA319" s="106">
        <f>IF($J319=$G$2,ROUND(IF(ISNUMBER(S319),S319,IF(LEFT(S319,2)="DI",HLOOKUP(S319,DADOS!$T$29:$X$30,2,FALSE),0)),4),"")</f>
        <v>0.25</v>
      </c>
      <c r="AB319" s="1"/>
    </row>
    <row r="320" spans="1:28" x14ac:dyDescent="0.2">
      <c r="A320" t="str">
        <f t="shared" si="282"/>
        <v>S</v>
      </c>
      <c r="B320">
        <f t="shared" si="283"/>
        <v>0</v>
      </c>
      <c r="C320">
        <f t="shared" ca="1" si="284"/>
        <v>10</v>
      </c>
      <c r="D320">
        <f t="shared" ca="1" si="285"/>
        <v>1</v>
      </c>
      <c r="E320">
        <f t="shared" ca="1" si="286"/>
        <v>0</v>
      </c>
      <c r="F320">
        <f t="shared" ca="1" si="287"/>
        <v>0</v>
      </c>
      <c r="G320">
        <f t="shared" ca="1" si="288"/>
        <v>11</v>
      </c>
      <c r="H320">
        <f t="shared" ca="1" si="216"/>
        <v>0</v>
      </c>
      <c r="I320">
        <f t="shared" ca="1" si="217"/>
        <v>0</v>
      </c>
      <c r="J320" s="105" t="s">
        <v>29</v>
      </c>
      <c r="K320" s="97" t="str">
        <f t="shared" ca="1" si="289"/>
        <v>10.1.11.</v>
      </c>
      <c r="L320" s="110">
        <f t="shared" ca="1" si="290"/>
        <v>0</v>
      </c>
      <c r="M320" s="98" t="s">
        <v>80</v>
      </c>
      <c r="N320" s="112" t="s">
        <v>226</v>
      </c>
      <c r="O320" s="110" t="str">
        <f t="shared" ca="1" si="281"/>
        <v>Copo descartavel 180 ml pacote com 100 unidade</v>
      </c>
      <c r="P320" s="111" t="str">
        <f t="shared" ca="1" si="291"/>
        <v>pacote</v>
      </c>
      <c r="Q320" s="107">
        <v>5</v>
      </c>
      <c r="R320" s="100">
        <f t="shared" ca="1" si="292"/>
        <v>3.83</v>
      </c>
      <c r="S320" s="109" t="s">
        <v>62</v>
      </c>
      <c r="T320" s="99">
        <f t="shared" ca="1" si="293"/>
        <v>4.79</v>
      </c>
      <c r="U320" s="102">
        <f t="shared" ca="1" si="294"/>
        <v>23.95</v>
      </c>
      <c r="W320" s="1" t="str">
        <f ca="1">IF(OR($A320=0,$A320="S",$A320&gt;CFF!$A$9),"",MAX(W$11:OFFSET(W320,-1,0))+1)</f>
        <v/>
      </c>
      <c r="X320" s="3" t="str">
        <f t="shared" si="295"/>
        <v>Serv. Terc.-022</v>
      </c>
      <c r="Y320" s="1">
        <f t="shared" ca="1" si="296"/>
        <v>68</v>
      </c>
      <c r="AA320" s="106">
        <f>IF($J320=$G$2,ROUND(IF(ISNUMBER(S320),S320,IF(LEFT(S320,2)="DI",HLOOKUP(S320,DADOS!$T$29:$X$30,2,FALSE),0)),4),"")</f>
        <v>0.25</v>
      </c>
      <c r="AB320" s="1"/>
    </row>
    <row r="321" spans="1:28" x14ac:dyDescent="0.2">
      <c r="A321" t="str">
        <f t="shared" si="282"/>
        <v>S</v>
      </c>
      <c r="B321">
        <f t="shared" si="283"/>
        <v>0</v>
      </c>
      <c r="C321">
        <f t="shared" ca="1" si="284"/>
        <v>10</v>
      </c>
      <c r="D321">
        <f t="shared" ca="1" si="285"/>
        <v>1</v>
      </c>
      <c r="E321">
        <f t="shared" ca="1" si="286"/>
        <v>0</v>
      </c>
      <c r="F321">
        <f t="shared" ca="1" si="287"/>
        <v>0</v>
      </c>
      <c r="G321">
        <f t="shared" ca="1" si="288"/>
        <v>12</v>
      </c>
      <c r="H321">
        <f t="shared" ca="1" si="216"/>
        <v>0</v>
      </c>
      <c r="I321">
        <f t="shared" ca="1" si="217"/>
        <v>0</v>
      </c>
      <c r="J321" s="105" t="s">
        <v>29</v>
      </c>
      <c r="K321" s="97" t="str">
        <f t="shared" ca="1" si="289"/>
        <v>10.1.12.</v>
      </c>
      <c r="L321" s="110">
        <f t="shared" ca="1" si="290"/>
        <v>0</v>
      </c>
      <c r="M321" s="98" t="s">
        <v>80</v>
      </c>
      <c r="N321" s="112" t="s">
        <v>218</v>
      </c>
      <c r="O321" s="110" t="str">
        <f t="shared" ca="1" si="281"/>
        <v>Salgado</v>
      </c>
      <c r="P321" s="111" t="str">
        <f t="shared" ca="1" si="291"/>
        <v>cento</v>
      </c>
      <c r="Q321" s="107">
        <v>9</v>
      </c>
      <c r="R321" s="100">
        <f t="shared" ca="1" si="292"/>
        <v>59</v>
      </c>
      <c r="S321" s="109" t="s">
        <v>62</v>
      </c>
      <c r="T321" s="99">
        <f t="shared" ca="1" si="293"/>
        <v>73.75</v>
      </c>
      <c r="U321" s="102">
        <f t="shared" ca="1" si="294"/>
        <v>663.75</v>
      </c>
      <c r="W321" s="1" t="str">
        <f ca="1">IF(OR($A321=0,$A321="S",$A321&gt;CFF!$A$9),"",MAX(W$11:OFFSET(W321,-1,0))+1)</f>
        <v/>
      </c>
      <c r="X321" s="3" t="str">
        <f t="shared" si="295"/>
        <v>Serv. Terc.-001</v>
      </c>
      <c r="Y321" s="1">
        <f t="shared" ca="1" si="296"/>
        <v>47</v>
      </c>
      <c r="AA321" s="106">
        <f>IF($J321=$G$2,ROUND(IF(ISNUMBER(S321),S321,IF(LEFT(S321,2)="DI",HLOOKUP(S321,DADOS!$T$29:$X$30,2,FALSE),0)),4),"")</f>
        <v>0.25</v>
      </c>
      <c r="AB321" s="1"/>
    </row>
    <row r="322" spans="1:28" x14ac:dyDescent="0.2">
      <c r="A322" t="str">
        <f t="shared" si="282"/>
        <v>S</v>
      </c>
      <c r="B322">
        <f t="shared" si="283"/>
        <v>0</v>
      </c>
      <c r="C322">
        <f t="shared" ca="1" si="284"/>
        <v>10</v>
      </c>
      <c r="D322">
        <f t="shared" ca="1" si="285"/>
        <v>1</v>
      </c>
      <c r="E322">
        <f t="shared" ca="1" si="286"/>
        <v>0</v>
      </c>
      <c r="F322">
        <f t="shared" ca="1" si="287"/>
        <v>0</v>
      </c>
      <c r="G322">
        <f t="shared" ca="1" si="288"/>
        <v>13</v>
      </c>
      <c r="H322">
        <f t="shared" ca="1" si="216"/>
        <v>0</v>
      </c>
      <c r="I322">
        <f t="shared" ca="1" si="217"/>
        <v>0</v>
      </c>
      <c r="J322" s="105" t="s">
        <v>29</v>
      </c>
      <c r="K322" s="97" t="str">
        <f t="shared" ca="1" si="289"/>
        <v>10.1.13.</v>
      </c>
      <c r="L322" s="110">
        <f t="shared" ca="1" si="290"/>
        <v>0</v>
      </c>
      <c r="M322" s="98" t="s">
        <v>80</v>
      </c>
      <c r="N322" s="112" t="s">
        <v>222</v>
      </c>
      <c r="O322" s="110" t="str">
        <f t="shared" ca="1" si="281"/>
        <v>Mesa de plastico</v>
      </c>
      <c r="P322" s="111" t="str">
        <f t="shared" ca="1" si="291"/>
        <v>unidade</v>
      </c>
      <c r="Q322" s="107">
        <v>15</v>
      </c>
      <c r="R322" s="100">
        <f t="shared" ca="1" si="292"/>
        <v>2</v>
      </c>
      <c r="S322" s="109" t="s">
        <v>62</v>
      </c>
      <c r="T322" s="99">
        <f t="shared" ca="1" si="293"/>
        <v>2.5</v>
      </c>
      <c r="U322" s="102">
        <f t="shared" ca="1" si="294"/>
        <v>37.5</v>
      </c>
      <c r="W322" s="1" t="str">
        <f ca="1">IF(OR($A322=0,$A322="S",$A322&gt;CFF!$A$9),"",MAX(W$11:OFFSET(W322,-1,0))+1)</f>
        <v/>
      </c>
      <c r="X322" s="3" t="str">
        <f t="shared" si="295"/>
        <v>Serv. Terc.-006</v>
      </c>
      <c r="Y322" s="1">
        <f t="shared" ca="1" si="296"/>
        <v>52</v>
      </c>
      <c r="AA322" s="106">
        <f>IF($J322=$G$2,ROUND(IF(ISNUMBER(S322),S322,IF(LEFT(S322,2)="DI",HLOOKUP(S322,DADOS!$T$29:$X$30,2,FALSE),0)),4),"")</f>
        <v>0.25</v>
      </c>
      <c r="AB322" s="1"/>
    </row>
    <row r="323" spans="1:28" x14ac:dyDescent="0.2">
      <c r="A323" t="str">
        <f t="shared" si="282"/>
        <v>S</v>
      </c>
      <c r="B323">
        <f t="shared" si="283"/>
        <v>0</v>
      </c>
      <c r="C323">
        <f t="shared" ca="1" si="284"/>
        <v>10</v>
      </c>
      <c r="D323">
        <f t="shared" ca="1" si="285"/>
        <v>1</v>
      </c>
      <c r="E323">
        <f t="shared" ca="1" si="286"/>
        <v>0</v>
      </c>
      <c r="F323">
        <f t="shared" ca="1" si="287"/>
        <v>0</v>
      </c>
      <c r="G323">
        <f t="shared" ca="1" si="288"/>
        <v>14</v>
      </c>
      <c r="H323">
        <f t="shared" ca="1" si="216"/>
        <v>0</v>
      </c>
      <c r="I323">
        <f t="shared" ca="1" si="217"/>
        <v>0</v>
      </c>
      <c r="J323" s="105" t="s">
        <v>29</v>
      </c>
      <c r="K323" s="97" t="str">
        <f t="shared" ca="1" si="289"/>
        <v>10.1.14.</v>
      </c>
      <c r="L323" s="110">
        <f t="shared" ca="1" si="290"/>
        <v>0</v>
      </c>
      <c r="M323" s="98" t="s">
        <v>80</v>
      </c>
      <c r="N323" s="112" t="s">
        <v>221</v>
      </c>
      <c r="O323" s="110" t="str">
        <f t="shared" ca="1" si="281"/>
        <v>Cadeira de Plastico</v>
      </c>
      <c r="P323" s="111" t="str">
        <f t="shared" ca="1" si="291"/>
        <v>unidade</v>
      </c>
      <c r="Q323" s="107">
        <v>300</v>
      </c>
      <c r="R323" s="100">
        <f t="shared" ca="1" si="292"/>
        <v>1.6</v>
      </c>
      <c r="S323" s="109" t="s">
        <v>62</v>
      </c>
      <c r="T323" s="99">
        <f t="shared" ca="1" si="293"/>
        <v>2</v>
      </c>
      <c r="U323" s="102">
        <f t="shared" ca="1" si="294"/>
        <v>600</v>
      </c>
      <c r="W323" s="1" t="str">
        <f ca="1">IF(OR($A323=0,$A323="S",$A323&gt;CFF!$A$9),"",MAX(W$11:OFFSET(W323,-1,0))+1)</f>
        <v/>
      </c>
      <c r="X323" s="3" t="str">
        <f t="shared" si="295"/>
        <v>Serv. Terc.-005</v>
      </c>
      <c r="Y323" s="1">
        <f t="shared" ca="1" si="296"/>
        <v>51</v>
      </c>
      <c r="AA323" s="106">
        <f>IF($J323=$G$2,ROUND(IF(ISNUMBER(S323),S323,IF(LEFT(S323,2)="DI",HLOOKUP(S323,DADOS!$T$29:$X$30,2,FALSE),0)),4),"")</f>
        <v>0.25</v>
      </c>
      <c r="AB323" s="1"/>
    </row>
    <row r="324" spans="1:28" x14ac:dyDescent="0.2">
      <c r="A324" t="str">
        <f t="shared" si="282"/>
        <v>S</v>
      </c>
      <c r="B324">
        <f t="shared" si="283"/>
        <v>0</v>
      </c>
      <c r="C324">
        <f t="shared" ca="1" si="284"/>
        <v>10</v>
      </c>
      <c r="D324">
        <f t="shared" ca="1" si="285"/>
        <v>1</v>
      </c>
      <c r="E324">
        <f t="shared" ca="1" si="286"/>
        <v>0</v>
      </c>
      <c r="F324">
        <f t="shared" ca="1" si="287"/>
        <v>0</v>
      </c>
      <c r="G324">
        <f t="shared" ca="1" si="288"/>
        <v>15</v>
      </c>
      <c r="H324">
        <f t="shared" ca="1" si="216"/>
        <v>0</v>
      </c>
      <c r="I324">
        <f t="shared" ca="1" si="217"/>
        <v>0</v>
      </c>
      <c r="J324" s="105" t="s">
        <v>29</v>
      </c>
      <c r="K324" s="97" t="str">
        <f t="shared" ca="1" si="289"/>
        <v>10.1.15.</v>
      </c>
      <c r="L324" s="110">
        <f t="shared" ca="1" si="290"/>
        <v>0</v>
      </c>
      <c r="M324" s="98" t="s">
        <v>80</v>
      </c>
      <c r="N324" s="112" t="s">
        <v>225</v>
      </c>
      <c r="O324" s="110" t="str">
        <f t="shared" ca="1" si="281"/>
        <v>Coca cola 2 litros</v>
      </c>
      <c r="P324" s="111" t="str">
        <f t="shared" ca="1" si="291"/>
        <v>unidade</v>
      </c>
      <c r="Q324" s="107">
        <v>18</v>
      </c>
      <c r="R324" s="100">
        <f t="shared" ca="1" si="292"/>
        <v>7</v>
      </c>
      <c r="S324" s="109" t="s">
        <v>62</v>
      </c>
      <c r="T324" s="99">
        <f t="shared" ca="1" si="293"/>
        <v>8.75</v>
      </c>
      <c r="U324" s="102">
        <f t="shared" ca="1" si="294"/>
        <v>157.5</v>
      </c>
      <c r="W324" s="1" t="str">
        <f ca="1">IF(OR($A324=0,$A324="S",$A324&gt;CFF!$A$9),"",MAX(W$11:OFFSET(W324,-1,0))+1)</f>
        <v/>
      </c>
      <c r="X324" s="3" t="str">
        <f t="shared" si="295"/>
        <v>Serv. Terc.-020</v>
      </c>
      <c r="Y324" s="1">
        <f t="shared" ca="1" si="296"/>
        <v>66</v>
      </c>
      <c r="AA324" s="106">
        <f>IF($J324=$G$2,ROUND(IF(ISNUMBER(S324),S324,IF(LEFT(S324,2)="DI",HLOOKUP(S324,DADOS!$T$29:$X$30,2,FALSE),0)),4),"")</f>
        <v>0.25</v>
      </c>
      <c r="AB324" s="1"/>
    </row>
    <row r="325" spans="1:28" x14ac:dyDescent="0.2">
      <c r="A325" t="str">
        <f t="shared" si="282"/>
        <v>S</v>
      </c>
      <c r="B325">
        <f t="shared" si="283"/>
        <v>0</v>
      </c>
      <c r="C325">
        <f t="shared" ca="1" si="284"/>
        <v>10</v>
      </c>
      <c r="D325">
        <f t="shared" ca="1" si="285"/>
        <v>1</v>
      </c>
      <c r="E325">
        <f t="shared" ca="1" si="286"/>
        <v>0</v>
      </c>
      <c r="F325">
        <f t="shared" ca="1" si="287"/>
        <v>0</v>
      </c>
      <c r="G325">
        <f t="shared" ca="1" si="288"/>
        <v>16</v>
      </c>
      <c r="H325">
        <f t="shared" ref="H325:H358" ca="1" si="297">IF(OR($A325="S",$A325=0),0,MATCH(0,OFFSET($B325,1,$A325,ROW($A$367)-ROW($A325)),0))</f>
        <v>0</v>
      </c>
      <c r="I325">
        <f t="shared" ref="I325:I358" ca="1" si="298">IF(OR($A325="S",$A325=0),0,MATCH(OFFSET($B325,0,$A325)+1,OFFSET($B325,1,$A325,ROW($A$367)-ROW($A325)),0))</f>
        <v>0</v>
      </c>
      <c r="J325" s="105" t="s">
        <v>29</v>
      </c>
      <c r="K325" s="97" t="str">
        <f t="shared" ca="1" si="289"/>
        <v>10.1.16.</v>
      </c>
      <c r="L325" s="110">
        <f t="shared" ca="1" si="290"/>
        <v>0</v>
      </c>
      <c r="M325" s="98" t="s">
        <v>80</v>
      </c>
      <c r="N325" s="112" t="s">
        <v>232</v>
      </c>
      <c r="O325" s="110" t="str">
        <f t="shared" ca="1" si="281"/>
        <v>Fanta 2 litros</v>
      </c>
      <c r="P325" s="111" t="str">
        <f t="shared" ca="1" si="291"/>
        <v>unidade</v>
      </c>
      <c r="Q325" s="107">
        <v>18</v>
      </c>
      <c r="R325" s="100">
        <f t="shared" ca="1" si="292"/>
        <v>6.3</v>
      </c>
      <c r="S325" s="109" t="s">
        <v>62</v>
      </c>
      <c r="T325" s="99">
        <f t="shared" ca="1" si="293"/>
        <v>7.88</v>
      </c>
      <c r="U325" s="102">
        <f t="shared" ca="1" si="294"/>
        <v>141.84</v>
      </c>
      <c r="W325" s="1" t="str">
        <f ca="1">IF(OR($A325=0,$A325="S",$A325&gt;CFF!$A$9),"",MAX(W$11:OFFSET(W325,-1,0))+1)</f>
        <v/>
      </c>
      <c r="X325" s="3" t="str">
        <f t="shared" si="295"/>
        <v>Serv. Terc.-021</v>
      </c>
      <c r="Y325" s="1">
        <f t="shared" ca="1" si="296"/>
        <v>67</v>
      </c>
      <c r="AA325" s="106">
        <f>IF($J325=$G$2,ROUND(IF(ISNUMBER(S325),S325,IF(LEFT(S325,2)="DI",HLOOKUP(S325,DADOS!$T$29:$X$30,2,FALSE),0)),4),"")</f>
        <v>0.25</v>
      </c>
      <c r="AB325" s="1"/>
    </row>
    <row r="326" spans="1:28" x14ac:dyDescent="0.2">
      <c r="A326" t="str">
        <f t="shared" si="282"/>
        <v>S</v>
      </c>
      <c r="B326">
        <f t="shared" si="283"/>
        <v>0</v>
      </c>
      <c r="C326">
        <f t="shared" ca="1" si="284"/>
        <v>10</v>
      </c>
      <c r="D326">
        <f t="shared" ca="1" si="285"/>
        <v>1</v>
      </c>
      <c r="E326">
        <f t="shared" ca="1" si="286"/>
        <v>0</v>
      </c>
      <c r="F326">
        <f t="shared" ca="1" si="287"/>
        <v>0</v>
      </c>
      <c r="G326">
        <f t="shared" ca="1" si="288"/>
        <v>17</v>
      </c>
      <c r="H326">
        <f t="shared" ca="1" si="297"/>
        <v>0</v>
      </c>
      <c r="I326">
        <f t="shared" ca="1" si="298"/>
        <v>0</v>
      </c>
      <c r="J326" s="105" t="s">
        <v>29</v>
      </c>
      <c r="K326" s="97" t="str">
        <f t="shared" ca="1" si="289"/>
        <v>10.1.17.</v>
      </c>
      <c r="L326" s="110">
        <f t="shared" ca="1" si="290"/>
        <v>0</v>
      </c>
      <c r="M326" s="98" t="s">
        <v>80</v>
      </c>
      <c r="N326" s="112" t="s">
        <v>233</v>
      </c>
      <c r="O326" s="110" t="str">
        <f t="shared" ca="1" si="281"/>
        <v>Tenda 5x5 m2</v>
      </c>
      <c r="P326" s="111" t="str">
        <f t="shared" ca="1" si="291"/>
        <v>unidade</v>
      </c>
      <c r="Q326" s="107">
        <v>4</v>
      </c>
      <c r="R326" s="100">
        <f t="shared" ca="1" si="292"/>
        <v>540</v>
      </c>
      <c r="S326" s="109" t="s">
        <v>62</v>
      </c>
      <c r="T326" s="99">
        <f t="shared" ca="1" si="293"/>
        <v>675</v>
      </c>
      <c r="U326" s="102">
        <f t="shared" ca="1" si="294"/>
        <v>2700</v>
      </c>
      <c r="W326" s="1" t="str">
        <f ca="1">IF(OR($A326=0,$A326="S",$A326&gt;CFF!$A$9),"",MAX(W$11:OFFSET(W326,-1,0))+1)</f>
        <v/>
      </c>
      <c r="X326" s="3" t="str">
        <f t="shared" si="295"/>
        <v>Serv. Terc.-009</v>
      </c>
      <c r="Y326" s="1">
        <f t="shared" ca="1" si="296"/>
        <v>55</v>
      </c>
      <c r="AA326" s="106">
        <f>IF($J326=$G$2,ROUND(IF(ISNUMBER(S326),S326,IF(LEFT(S326,2)="DI",HLOOKUP(S326,DADOS!$T$29:$X$30,2,FALSE),0)),4),"")</f>
        <v>0.25</v>
      </c>
      <c r="AB326" s="1"/>
    </row>
    <row r="327" spans="1:28" x14ac:dyDescent="0.2">
      <c r="A327" t="str">
        <f t="shared" si="282"/>
        <v>S</v>
      </c>
      <c r="B327">
        <f t="shared" si="283"/>
        <v>0</v>
      </c>
      <c r="C327">
        <f t="shared" ca="1" si="284"/>
        <v>10</v>
      </c>
      <c r="D327">
        <f t="shared" ca="1" si="285"/>
        <v>1</v>
      </c>
      <c r="E327">
        <f t="shared" ca="1" si="286"/>
        <v>0</v>
      </c>
      <c r="F327">
        <f t="shared" ca="1" si="287"/>
        <v>0</v>
      </c>
      <c r="G327">
        <f t="shared" ca="1" si="288"/>
        <v>18</v>
      </c>
      <c r="H327">
        <f t="shared" ca="1" si="297"/>
        <v>0</v>
      </c>
      <c r="I327">
        <f t="shared" ca="1" si="298"/>
        <v>0</v>
      </c>
      <c r="J327" s="105" t="s">
        <v>29</v>
      </c>
      <c r="K327" s="97" t="str">
        <f t="shared" ca="1" si="289"/>
        <v>10.1.18.</v>
      </c>
      <c r="L327" s="110">
        <f t="shared" ca="1" si="290"/>
        <v>0</v>
      </c>
      <c r="M327" s="98" t="s">
        <v>80</v>
      </c>
      <c r="N327" s="112" t="s">
        <v>220</v>
      </c>
      <c r="O327" s="110" t="str">
        <f t="shared" ca="1" si="281"/>
        <v>Som (2 caixas de som, 2 microfones, mesa de som, cabos)</v>
      </c>
      <c r="P327" s="111" t="str">
        <f t="shared" ca="1" si="291"/>
        <v>unidade</v>
      </c>
      <c r="Q327" s="107">
        <v>1</v>
      </c>
      <c r="R327" s="100">
        <f t="shared" ca="1" si="292"/>
        <v>350</v>
      </c>
      <c r="S327" s="109" t="s">
        <v>62</v>
      </c>
      <c r="T327" s="99">
        <f t="shared" ca="1" si="293"/>
        <v>437.5</v>
      </c>
      <c r="U327" s="102">
        <f t="shared" ca="1" si="294"/>
        <v>437.5</v>
      </c>
      <c r="W327" s="1" t="str">
        <f ca="1">IF(OR($A327=0,$A327="S",$A327&gt;CFF!$A$9),"",MAX(W$11:OFFSET(W327,-1,0))+1)</f>
        <v/>
      </c>
      <c r="X327" s="3" t="str">
        <f t="shared" si="295"/>
        <v>Serv. Terc.-003</v>
      </c>
      <c r="Y327" s="1">
        <f t="shared" ca="1" si="296"/>
        <v>49</v>
      </c>
      <c r="AA327" s="106">
        <f>IF($J327=$G$2,ROUND(IF(ISNUMBER(S327),S327,IF(LEFT(S327,2)="DI",HLOOKUP(S327,DADOS!$T$29:$X$30,2,FALSE),0)),4),"")</f>
        <v>0.25</v>
      </c>
      <c r="AB327" s="1"/>
    </row>
    <row r="328" spans="1:28" x14ac:dyDescent="0.2">
      <c r="A328" t="str">
        <f t="shared" si="282"/>
        <v>S</v>
      </c>
      <c r="B328">
        <f t="shared" si="283"/>
        <v>0</v>
      </c>
      <c r="C328">
        <f t="shared" ca="1" si="284"/>
        <v>10</v>
      </c>
      <c r="D328">
        <f t="shared" ca="1" si="285"/>
        <v>1</v>
      </c>
      <c r="E328">
        <f t="shared" ca="1" si="286"/>
        <v>0</v>
      </c>
      <c r="F328">
        <f t="shared" ca="1" si="287"/>
        <v>0</v>
      </c>
      <c r="G328">
        <f t="shared" ca="1" si="288"/>
        <v>19</v>
      </c>
      <c r="H328">
        <f t="shared" ca="1" si="297"/>
        <v>0</v>
      </c>
      <c r="I328">
        <f t="shared" ca="1" si="298"/>
        <v>0</v>
      </c>
      <c r="J328" s="105" t="s">
        <v>29</v>
      </c>
      <c r="K328" s="97" t="str">
        <f t="shared" ca="1" si="289"/>
        <v>10.1.19.</v>
      </c>
      <c r="L328" s="110">
        <f t="shared" ca="1" si="290"/>
        <v>0</v>
      </c>
      <c r="M328" s="98" t="s">
        <v>80</v>
      </c>
      <c r="N328" s="112" t="s">
        <v>237</v>
      </c>
      <c r="O328" s="110" t="str">
        <f t="shared" ca="1" si="281"/>
        <v>Carro de som</v>
      </c>
      <c r="P328" s="111" t="str">
        <f t="shared" ca="1" si="291"/>
        <v>hora</v>
      </c>
      <c r="Q328" s="107">
        <v>3</v>
      </c>
      <c r="R328" s="100">
        <f t="shared" ca="1" si="292"/>
        <v>40</v>
      </c>
      <c r="S328" s="109" t="s">
        <v>62</v>
      </c>
      <c r="T328" s="99">
        <f t="shared" ca="1" si="293"/>
        <v>50</v>
      </c>
      <c r="U328" s="102">
        <f t="shared" ca="1" si="294"/>
        <v>150</v>
      </c>
      <c r="W328" s="1" t="str">
        <f ca="1">IF(OR($A328=0,$A328="S",$A328&gt;CFF!$A$9),"",MAX(W$11:OFFSET(W328,-1,0))+1)</f>
        <v/>
      </c>
      <c r="X328" s="3" t="str">
        <f t="shared" si="295"/>
        <v>Serv. Terc.-011</v>
      </c>
      <c r="Y328" s="1">
        <f t="shared" ca="1" si="296"/>
        <v>57</v>
      </c>
      <c r="AA328" s="106">
        <f>IF($J328=$G$2,ROUND(IF(ISNUMBER(S328),S328,IF(LEFT(S328,2)="DI",HLOOKUP(S328,DADOS!$T$29:$X$30,2,FALSE),0)),4),"")</f>
        <v>0.25</v>
      </c>
      <c r="AB328" s="1"/>
    </row>
    <row r="329" spans="1:28" x14ac:dyDescent="0.2">
      <c r="A329" t="str">
        <f t="shared" si="282"/>
        <v>S</v>
      </c>
      <c r="B329">
        <f t="shared" si="283"/>
        <v>0</v>
      </c>
      <c r="C329">
        <f t="shared" ca="1" si="284"/>
        <v>10</v>
      </c>
      <c r="D329">
        <f t="shared" ca="1" si="285"/>
        <v>1</v>
      </c>
      <c r="E329">
        <f t="shared" ca="1" si="286"/>
        <v>0</v>
      </c>
      <c r="F329">
        <f t="shared" ca="1" si="287"/>
        <v>0</v>
      </c>
      <c r="G329">
        <f t="shared" ca="1" si="288"/>
        <v>20</v>
      </c>
      <c r="H329">
        <f t="shared" ca="1" si="297"/>
        <v>0</v>
      </c>
      <c r="I329">
        <f t="shared" ca="1" si="298"/>
        <v>0</v>
      </c>
      <c r="J329" s="105" t="s">
        <v>29</v>
      </c>
      <c r="K329" s="97" t="str">
        <f t="shared" ca="1" si="289"/>
        <v>10.1.20.</v>
      </c>
      <c r="L329" s="110">
        <f t="shared" ca="1" si="290"/>
        <v>0</v>
      </c>
      <c r="M329" s="98" t="s">
        <v>80</v>
      </c>
      <c r="N329" s="112" t="s">
        <v>236</v>
      </c>
      <c r="O329" s="110" t="str">
        <f t="shared" ca="1" si="281"/>
        <v>Gravação de spot</v>
      </c>
      <c r="P329" s="111" t="str">
        <f t="shared" ca="1" si="291"/>
        <v>gravação</v>
      </c>
      <c r="Q329" s="107">
        <v>1</v>
      </c>
      <c r="R329" s="100">
        <f t="shared" ca="1" si="292"/>
        <v>50</v>
      </c>
      <c r="S329" s="109" t="s">
        <v>62</v>
      </c>
      <c r="T329" s="99">
        <f t="shared" ca="1" si="293"/>
        <v>62.5</v>
      </c>
      <c r="U329" s="102">
        <f t="shared" ca="1" si="294"/>
        <v>62.5</v>
      </c>
      <c r="W329" s="1" t="str">
        <f ca="1">IF(OR($A329=0,$A329="S",$A329&gt;CFF!$A$9),"",MAX(W$11:OFFSET(W329,-1,0))+1)</f>
        <v/>
      </c>
      <c r="X329" s="3" t="str">
        <f t="shared" si="295"/>
        <v>Serv. Terc.-010</v>
      </c>
      <c r="Y329" s="1">
        <f t="shared" ca="1" si="296"/>
        <v>56</v>
      </c>
      <c r="AA329" s="106">
        <f>IF($J329=$G$2,ROUND(IF(ISNUMBER(S329),S329,IF(LEFT(S329,2)="DI",HLOOKUP(S329,DADOS!$T$29:$X$30,2,FALSE),0)),4),"")</f>
        <v>0.25</v>
      </c>
      <c r="AB329" s="1"/>
    </row>
    <row r="330" spans="1:28" x14ac:dyDescent="0.2">
      <c r="A330" t="str">
        <f t="shared" si="282"/>
        <v>S</v>
      </c>
      <c r="B330">
        <f t="shared" si="283"/>
        <v>0</v>
      </c>
      <c r="C330">
        <f t="shared" ca="1" si="284"/>
        <v>10</v>
      </c>
      <c r="D330">
        <f t="shared" ca="1" si="285"/>
        <v>1</v>
      </c>
      <c r="E330">
        <f t="shared" ca="1" si="286"/>
        <v>0</v>
      </c>
      <c r="F330">
        <f t="shared" ca="1" si="287"/>
        <v>0</v>
      </c>
      <c r="G330">
        <f t="shared" ca="1" si="288"/>
        <v>21</v>
      </c>
      <c r="H330">
        <f t="shared" ca="1" si="297"/>
        <v>0</v>
      </c>
      <c r="I330">
        <f t="shared" ca="1" si="298"/>
        <v>0</v>
      </c>
      <c r="J330" s="105" t="s">
        <v>29</v>
      </c>
      <c r="K330" s="97" t="str">
        <f t="shared" ca="1" si="289"/>
        <v>10.1.21.</v>
      </c>
      <c r="L330" s="110">
        <f t="shared" ca="1" si="290"/>
        <v>0</v>
      </c>
      <c r="M330" s="98" t="s">
        <v>80</v>
      </c>
      <c r="N330" s="112" t="s">
        <v>234</v>
      </c>
      <c r="O330" s="110" t="str">
        <f t="shared" ca="1" si="281"/>
        <v>Recreadora infantil</v>
      </c>
      <c r="P330" s="111" t="str">
        <f t="shared" ca="1" si="291"/>
        <v>diaria</v>
      </c>
      <c r="Q330" s="107">
        <v>4</v>
      </c>
      <c r="R330" s="100">
        <f t="shared" ca="1" si="292"/>
        <v>100</v>
      </c>
      <c r="S330" s="109" t="s">
        <v>62</v>
      </c>
      <c r="T330" s="99">
        <f t="shared" ca="1" si="293"/>
        <v>125</v>
      </c>
      <c r="U330" s="102">
        <f t="shared" ca="1" si="294"/>
        <v>500</v>
      </c>
      <c r="W330" s="1" t="str">
        <f ca="1">IF(OR($A330=0,$A330="S",$A330&gt;CFF!$A$9),"",MAX(W$11:OFFSET(W330,-1,0))+1)</f>
        <v/>
      </c>
      <c r="X330" s="3" t="str">
        <f t="shared" si="295"/>
        <v>Serv. Terc.-012</v>
      </c>
      <c r="Y330" s="1">
        <f t="shared" ca="1" si="296"/>
        <v>58</v>
      </c>
      <c r="AA330" s="106">
        <f>IF($J330=$G$2,ROUND(IF(ISNUMBER(S330),S330,IF(LEFT(S330,2)="DI",HLOOKUP(S330,DADOS!$T$29:$X$30,2,FALSE),0)),4),"")</f>
        <v>0.25</v>
      </c>
      <c r="AB330" s="1"/>
    </row>
    <row r="331" spans="1:28" x14ac:dyDescent="0.2">
      <c r="A331" t="str">
        <f t="shared" si="282"/>
        <v>S</v>
      </c>
      <c r="B331">
        <f t="shared" si="283"/>
        <v>0</v>
      </c>
      <c r="C331">
        <f t="shared" ca="1" si="284"/>
        <v>10</v>
      </c>
      <c r="D331">
        <f t="shared" ca="1" si="285"/>
        <v>1</v>
      </c>
      <c r="E331">
        <f t="shared" ca="1" si="286"/>
        <v>0</v>
      </c>
      <c r="F331">
        <f t="shared" ca="1" si="287"/>
        <v>0</v>
      </c>
      <c r="G331">
        <f t="shared" ca="1" si="288"/>
        <v>22</v>
      </c>
      <c r="H331">
        <f t="shared" ca="1" si="297"/>
        <v>0</v>
      </c>
      <c r="I331">
        <f t="shared" ca="1" si="298"/>
        <v>0</v>
      </c>
      <c r="J331" s="105" t="s">
        <v>29</v>
      </c>
      <c r="K331" s="97" t="str">
        <f t="shared" ca="1" si="289"/>
        <v>10.1.22.</v>
      </c>
      <c r="L331" s="110">
        <f t="shared" ca="1" si="290"/>
        <v>0</v>
      </c>
      <c r="M331" s="98" t="s">
        <v>80</v>
      </c>
      <c r="N331" s="112" t="s">
        <v>231</v>
      </c>
      <c r="O331" s="110" t="str">
        <f t="shared" ca="1" si="281"/>
        <v xml:space="preserve">Impressão Colorida 1 folha </v>
      </c>
      <c r="P331" s="111" t="str">
        <f t="shared" ca="1" si="291"/>
        <v>unidade</v>
      </c>
      <c r="Q331" s="107">
        <v>150</v>
      </c>
      <c r="R331" s="100">
        <f t="shared" ca="1" si="292"/>
        <v>2.5</v>
      </c>
      <c r="S331" s="109" t="s">
        <v>62</v>
      </c>
      <c r="T331" s="99">
        <f t="shared" ca="1" si="293"/>
        <v>3.13</v>
      </c>
      <c r="U331" s="102">
        <f t="shared" ca="1" si="294"/>
        <v>469.5</v>
      </c>
      <c r="W331" s="1" t="str">
        <f ca="1">IF(OR($A331=0,$A331="S",$A331&gt;CFF!$A$9),"",MAX(W$11:OFFSET(W331,-1,0))+1)</f>
        <v/>
      </c>
      <c r="X331" s="3" t="str">
        <f t="shared" si="295"/>
        <v>Serv. Terc.-004</v>
      </c>
      <c r="Y331" s="1">
        <f t="shared" ca="1" si="296"/>
        <v>50</v>
      </c>
      <c r="AA331" s="106">
        <f>IF($J331=$G$2,ROUND(IF(ISNUMBER(S331),S331,IF(LEFT(S331,2)="DI",HLOOKUP(S331,DADOS!$T$29:$X$30,2,FALSE),0)),4),"")</f>
        <v>0.25</v>
      </c>
      <c r="AB331" s="1"/>
    </row>
    <row r="332" spans="1:28" x14ac:dyDescent="0.2">
      <c r="A332" t="str">
        <f t="shared" si="282"/>
        <v>S</v>
      </c>
      <c r="B332">
        <f t="shared" si="283"/>
        <v>0</v>
      </c>
      <c r="C332">
        <f t="shared" ca="1" si="284"/>
        <v>10</v>
      </c>
      <c r="D332">
        <f t="shared" ca="1" si="285"/>
        <v>1</v>
      </c>
      <c r="E332">
        <f t="shared" ca="1" si="286"/>
        <v>0</v>
      </c>
      <c r="F332">
        <f t="shared" ca="1" si="287"/>
        <v>0</v>
      </c>
      <c r="G332">
        <f t="shared" ca="1" si="288"/>
        <v>23</v>
      </c>
      <c r="H332">
        <f t="shared" ca="1" si="297"/>
        <v>0</v>
      </c>
      <c r="I332">
        <f t="shared" ca="1" si="298"/>
        <v>0</v>
      </c>
      <c r="J332" s="105" t="s">
        <v>29</v>
      </c>
      <c r="K332" s="97" t="str">
        <f t="shared" ca="1" si="289"/>
        <v>10.1.23.</v>
      </c>
      <c r="L332" s="110">
        <f t="shared" ca="1" si="290"/>
        <v>0</v>
      </c>
      <c r="M332" s="98" t="s">
        <v>80</v>
      </c>
      <c r="N332" s="112" t="s">
        <v>235</v>
      </c>
      <c r="O332" s="110" t="str">
        <f t="shared" ca="1" si="281"/>
        <v>Pula pula</v>
      </c>
      <c r="P332" s="111" t="str">
        <f t="shared" ca="1" si="291"/>
        <v>unidade</v>
      </c>
      <c r="Q332" s="107">
        <v>2</v>
      </c>
      <c r="R332" s="100">
        <f t="shared" ca="1" si="292"/>
        <v>150</v>
      </c>
      <c r="S332" s="109" t="s">
        <v>62</v>
      </c>
      <c r="T332" s="99">
        <f t="shared" ca="1" si="293"/>
        <v>187.5</v>
      </c>
      <c r="U332" s="102">
        <f t="shared" ca="1" si="294"/>
        <v>375</v>
      </c>
      <c r="W332" s="1" t="str">
        <f ca="1">IF(OR($A332=0,$A332="S",$A332&gt;CFF!$A$9),"",MAX(W$11:OFFSET(W332,-1,0))+1)</f>
        <v/>
      </c>
      <c r="X332" s="3" t="str">
        <f t="shared" si="295"/>
        <v>Serv. Terc.-008</v>
      </c>
      <c r="Y332" s="1">
        <f t="shared" ca="1" si="296"/>
        <v>54</v>
      </c>
      <c r="AA332" s="106">
        <f>IF($J332=$G$2,ROUND(IF(ISNUMBER(S332),S332,IF(LEFT(S332,2)="DI",HLOOKUP(S332,DADOS!$T$29:$X$30,2,FALSE),0)),4),"")</f>
        <v>0.25</v>
      </c>
      <c r="AB332" s="1"/>
    </row>
    <row r="333" spans="1:28" x14ac:dyDescent="0.2">
      <c r="A333" t="str">
        <f t="shared" si="282"/>
        <v>S</v>
      </c>
      <c r="B333">
        <f t="shared" si="283"/>
        <v>0</v>
      </c>
      <c r="C333">
        <f t="shared" ca="1" si="284"/>
        <v>10</v>
      </c>
      <c r="D333">
        <f t="shared" ca="1" si="285"/>
        <v>1</v>
      </c>
      <c r="E333">
        <f t="shared" ca="1" si="286"/>
        <v>0</v>
      </c>
      <c r="F333">
        <f t="shared" ca="1" si="287"/>
        <v>0</v>
      </c>
      <c r="G333">
        <f t="shared" ca="1" si="288"/>
        <v>24</v>
      </c>
      <c r="H333">
        <f t="shared" ca="1" si="297"/>
        <v>0</v>
      </c>
      <c r="I333">
        <f t="shared" ca="1" si="298"/>
        <v>0</v>
      </c>
      <c r="J333" s="105" t="s">
        <v>29</v>
      </c>
      <c r="K333" s="97" t="str">
        <f t="shared" ca="1" si="289"/>
        <v>10.1.24.</v>
      </c>
      <c r="L333" s="110">
        <f t="shared" ca="1" si="290"/>
        <v>0</v>
      </c>
      <c r="M333" s="98" t="s">
        <v>79</v>
      </c>
      <c r="N333" s="112" t="s">
        <v>242</v>
      </c>
      <c r="O333" s="110" t="str">
        <f t="shared" ca="1" si="281"/>
        <v xml:space="preserve">Saco plástico PP A4 4 furos 0,10mm A410-50 Spiral </v>
      </c>
      <c r="P333" s="111" t="str">
        <f t="shared" ca="1" si="291"/>
        <v>UNIDADE</v>
      </c>
      <c r="Q333" s="107">
        <v>20</v>
      </c>
      <c r="R333" s="100">
        <f t="shared" ca="1" si="292"/>
        <v>0.28999999999999998</v>
      </c>
      <c r="S333" s="109" t="s">
        <v>62</v>
      </c>
      <c r="T333" s="99">
        <f t="shared" ca="1" si="293"/>
        <v>0.36</v>
      </c>
      <c r="U333" s="102">
        <f t="shared" ca="1" si="294"/>
        <v>7.2</v>
      </c>
      <c r="W333" s="1" t="str">
        <f ca="1">IF(OR($A333=0,$A333="S",$A333&gt;CFF!$A$9),"",MAX(W$11:OFFSET(W333,-1,0))+1)</f>
        <v/>
      </c>
      <c r="X333" s="3" t="str">
        <f t="shared" si="295"/>
        <v>Rec. Materiais-026</v>
      </c>
      <c r="Y333" s="1">
        <f t="shared" ca="1" si="296"/>
        <v>33</v>
      </c>
      <c r="AA333" s="106">
        <f>IF($J333=$G$2,ROUND(IF(ISNUMBER(S333),S333,IF(LEFT(S333,2)="DI",HLOOKUP(S333,DADOS!$T$29:$X$30,2,FALSE),0)),4),"")</f>
        <v>0.25</v>
      </c>
      <c r="AB333" s="1"/>
    </row>
    <row r="334" spans="1:28" x14ac:dyDescent="0.2">
      <c r="A334" t="str">
        <f t="shared" si="282"/>
        <v>S</v>
      </c>
      <c r="B334">
        <f t="shared" si="283"/>
        <v>0</v>
      </c>
      <c r="C334">
        <f t="shared" ca="1" si="284"/>
        <v>10</v>
      </c>
      <c r="D334">
        <f t="shared" ca="1" si="285"/>
        <v>1</v>
      </c>
      <c r="E334">
        <f t="shared" ca="1" si="286"/>
        <v>0</v>
      </c>
      <c r="F334">
        <f t="shared" ca="1" si="287"/>
        <v>0</v>
      </c>
      <c r="G334">
        <f t="shared" ca="1" si="288"/>
        <v>25</v>
      </c>
      <c r="H334">
        <f t="shared" ca="1" si="297"/>
        <v>0</v>
      </c>
      <c r="I334">
        <f t="shared" ca="1" si="298"/>
        <v>0</v>
      </c>
      <c r="J334" s="105" t="s">
        <v>29</v>
      </c>
      <c r="K334" s="97" t="str">
        <f t="shared" ca="1" si="289"/>
        <v>10.1.25.</v>
      </c>
      <c r="L334" s="110">
        <f t="shared" ca="1" si="290"/>
        <v>0</v>
      </c>
      <c r="M334" s="98" t="s">
        <v>79</v>
      </c>
      <c r="N334" s="112" t="s">
        <v>243</v>
      </c>
      <c r="O334" s="110" t="str">
        <f t="shared" ca="1" si="281"/>
        <v xml:space="preserve">Garrafa squeeze Splash 700ml azul A0501 Fresko </v>
      </c>
      <c r="P334" s="111" t="str">
        <f t="shared" ca="1" si="291"/>
        <v>UNIDADE</v>
      </c>
      <c r="Q334" s="107">
        <v>10</v>
      </c>
      <c r="R334" s="100">
        <f t="shared" ca="1" si="292"/>
        <v>10</v>
      </c>
      <c r="S334" s="109" t="s">
        <v>62</v>
      </c>
      <c r="T334" s="99">
        <f t="shared" ca="1" si="293"/>
        <v>12.5</v>
      </c>
      <c r="U334" s="102">
        <f t="shared" ca="1" si="294"/>
        <v>125</v>
      </c>
      <c r="W334" s="1" t="str">
        <f ca="1">IF(OR($A334=0,$A334="S",$A334&gt;CFF!$A$9),"",MAX(W$11:OFFSET(W334,-1,0))+1)</f>
        <v/>
      </c>
      <c r="X334" s="3" t="str">
        <f t="shared" si="295"/>
        <v>Rec. Materiais-030</v>
      </c>
      <c r="Y334" s="1">
        <f t="shared" ca="1" si="296"/>
        <v>37</v>
      </c>
      <c r="AA334" s="106">
        <f>IF($J334=$G$2,ROUND(IF(ISNUMBER(S334),S334,IF(LEFT(S334,2)="DI",HLOOKUP(S334,DADOS!$T$29:$X$30,2,FALSE),0)),4),"")</f>
        <v>0.25</v>
      </c>
      <c r="AB334" s="1"/>
    </row>
    <row r="335" spans="1:28" x14ac:dyDescent="0.2">
      <c r="A335" t="str">
        <f t="shared" si="282"/>
        <v>S</v>
      </c>
      <c r="B335">
        <f t="shared" si="283"/>
        <v>0</v>
      </c>
      <c r="C335">
        <f t="shared" ca="1" si="284"/>
        <v>10</v>
      </c>
      <c r="D335">
        <f t="shared" ca="1" si="285"/>
        <v>1</v>
      </c>
      <c r="E335">
        <f t="shared" ca="1" si="286"/>
        <v>0</v>
      </c>
      <c r="F335">
        <f t="shared" ca="1" si="287"/>
        <v>0</v>
      </c>
      <c r="G335">
        <f t="shared" ca="1" si="288"/>
        <v>26</v>
      </c>
      <c r="H335">
        <f t="shared" ca="1" si="297"/>
        <v>0</v>
      </c>
      <c r="I335">
        <f t="shared" ca="1" si="298"/>
        <v>0</v>
      </c>
      <c r="J335" s="105" t="s">
        <v>29</v>
      </c>
      <c r="K335" s="97" t="str">
        <f t="shared" ca="1" si="289"/>
        <v>10.1.26.</v>
      </c>
      <c r="L335" s="110">
        <f t="shared" ca="1" si="290"/>
        <v>0</v>
      </c>
      <c r="M335" s="98" t="s">
        <v>80</v>
      </c>
      <c r="N335" s="112" t="s">
        <v>240</v>
      </c>
      <c r="O335" s="110" t="str">
        <f t="shared" ca="1" si="281"/>
        <v>Combustivel</v>
      </c>
      <c r="P335" s="111" t="str">
        <f t="shared" ca="1" si="291"/>
        <v>litro</v>
      </c>
      <c r="Q335" s="107">
        <v>69</v>
      </c>
      <c r="R335" s="100">
        <f t="shared" ca="1" si="292"/>
        <v>3.99</v>
      </c>
      <c r="S335" s="109" t="s">
        <v>62</v>
      </c>
      <c r="T335" s="99">
        <f t="shared" ca="1" si="293"/>
        <v>4.99</v>
      </c>
      <c r="U335" s="102">
        <f t="shared" ca="1" si="294"/>
        <v>344.31</v>
      </c>
      <c r="W335" s="1" t="str">
        <f ca="1">IF(OR($A335=0,$A335="S",$A335&gt;CFF!$A$9),"",MAX(W$11:OFFSET(W335,-1,0))+1)</f>
        <v/>
      </c>
      <c r="X335" s="3" t="str">
        <f t="shared" si="295"/>
        <v>Serv. Terc.-027</v>
      </c>
      <c r="Y335" s="1">
        <f t="shared" ca="1" si="296"/>
        <v>73</v>
      </c>
      <c r="AA335" s="106">
        <f>IF($J335=$G$2,ROUND(IF(ISNUMBER(S335),S335,IF(LEFT(S335,2)="DI",HLOOKUP(S335,DADOS!$T$29:$X$30,2,FALSE),0)),4),"")</f>
        <v>0.25</v>
      </c>
      <c r="AB335" s="1"/>
    </row>
    <row r="336" spans="1:28" x14ac:dyDescent="0.2">
      <c r="A336">
        <f>CHOOSE(1+LOG(1+2*(J336=$C$2)+4*(J336=$D$2)+8*(J336=$E$2)+16*(J336=$F$2)+32*(J336=$G$2),2),0,1,2,3,4,"S")</f>
        <v>2</v>
      </c>
      <c r="B336">
        <f ca="1">IF(OR(A336="S",A336=0),0,IF(ISERROR(I336),H336,SMALL(H336:I336,1)))</f>
        <v>6</v>
      </c>
      <c r="C336">
        <f ca="1">IF($A336=1,OFFSET(C336,-1,0)+1,OFFSET(C336,-1,0))</f>
        <v>10</v>
      </c>
      <c r="D336">
        <f ca="1">IF($A336=1,0,IF($A336=2,OFFSET(D336,-1,0)+1,OFFSET(D336,-1,0)))</f>
        <v>2</v>
      </c>
      <c r="E336">
        <f ca="1">IF(AND($A336&lt;=2,$A336&lt;&gt;0),0,IF($A336=3,OFFSET(E336,-1,0)+1,OFFSET(E336,-1,0)))</f>
        <v>0</v>
      </c>
      <c r="F336">
        <f ca="1">IF(AND($A336&lt;=3,$A336&lt;&gt;0),0,IF($A336=4,OFFSET(F336,-1,0)+1,OFFSET(F336,-1,0)))</f>
        <v>0</v>
      </c>
      <c r="G336">
        <f ca="1">IF(AND($A336&lt;=4,$A336&lt;&gt;0),0,IF($A336="S",OFFSET(G336,-1,0)+1,OFFSET(G336,-1,0)))</f>
        <v>0</v>
      </c>
      <c r="H336">
        <f t="shared" ca="1" si="297"/>
        <v>6</v>
      </c>
      <c r="I336" t="e">
        <f t="shared" ca="1" si="298"/>
        <v>#N/A</v>
      </c>
      <c r="J336" s="105" t="s">
        <v>68</v>
      </c>
      <c r="K336" s="97" t="str">
        <f ca="1">IF($A336=0,"-",CONCATENATE(C336&amp;".",IF(AND($A$5&gt;=2,$A336&gt;=2),D336&amp;".",""),IF(AND($A$5&gt;=3,$A336&gt;=3),E336&amp;".",""),IF(AND($A$5&gt;=4,$A336&gt;=4),F336&amp;".",""),IF($A336="S",G336&amp;".","")))</f>
        <v>10.2.</v>
      </c>
      <c r="L336" s="110" t="str">
        <f ca="1">IF(NOT(ISERROR($Y336)),IF($Y336&lt;&gt;FALSE,INDEX(Banco,$Y336,4),""),"")</f>
        <v/>
      </c>
      <c r="M336" s="98"/>
      <c r="N336" s="112"/>
      <c r="O336" s="110" t="s">
        <v>286</v>
      </c>
      <c r="P336" s="111" t="str">
        <f ca="1">IF(NOT(ISERROR($Y336)),IF($Y336&lt;&gt;FALSE,INDEX(Banco,$Y336,6),""),"")</f>
        <v/>
      </c>
      <c r="Q336" s="107"/>
      <c r="R336" s="100">
        <f ca="1">IF(NOT(ISERROR($Y336)),IF($Y336&lt;&gt;FALSE,INDEX(Banco,$Y336,7),0),0)</f>
        <v>0</v>
      </c>
      <c r="S336" s="109" t="s">
        <v>62</v>
      </c>
      <c r="T336" s="99">
        <f>IF($J336=$G$2,ROUND(ROUND($R336,2)*IF($R$9="Preço Unitário (R$)",1,1+$AA336),2),0)</f>
        <v>0</v>
      </c>
      <c r="U336" s="102">
        <f ca="1">IF($A336="S",VTOTAL1,IF($A336=0,0,ROUND(SomaAgrup,2)))</f>
        <v>7494.9</v>
      </c>
      <c r="W336" s="1">
        <f ca="1">IF(OR($A336=0,$A336="S",$A336&gt;CFF!$A$9),"",MAX(W$11:OFFSET(W336,-1,0))+1)</f>
        <v>28</v>
      </c>
      <c r="X336" s="3" t="b">
        <f>IF(AND($J336=$G$2,$N336&lt;&gt;"",$M336&lt;&gt;""),CONCATENATE($M336,"-",$N336))</f>
        <v>0</v>
      </c>
      <c r="Y336" s="1" t="b">
        <f ca="1">IF(X336&lt;&gt;FALSE,MATCH(X336,OFFSET(Banco,0,0,,1),0))</f>
        <v>0</v>
      </c>
      <c r="AA336" s="106" t="str">
        <f>IF($J336=$G$2,ROUND(IF(ISNUMBER(S336),S336,IF(LEFT(S336,2)="DI",HLOOKUP(S336,DADOS!$T$29:$X$30,2,FALSE),0)),4),"")</f>
        <v/>
      </c>
      <c r="AB336" s="1"/>
    </row>
    <row r="337" spans="1:28" x14ac:dyDescent="0.2">
      <c r="A337" t="str">
        <f t="shared" si="282"/>
        <v>S</v>
      </c>
      <c r="B337">
        <f t="shared" si="283"/>
        <v>0</v>
      </c>
      <c r="C337">
        <f t="shared" ca="1" si="284"/>
        <v>10</v>
      </c>
      <c r="D337">
        <f t="shared" ca="1" si="285"/>
        <v>2</v>
      </c>
      <c r="E337">
        <f t="shared" ca="1" si="286"/>
        <v>0</v>
      </c>
      <c r="F337">
        <f t="shared" ca="1" si="287"/>
        <v>0</v>
      </c>
      <c r="G337">
        <f t="shared" ca="1" si="288"/>
        <v>1</v>
      </c>
      <c r="H337">
        <f t="shared" ca="1" si="297"/>
        <v>0</v>
      </c>
      <c r="I337">
        <f t="shared" ca="1" si="298"/>
        <v>0</v>
      </c>
      <c r="J337" s="105" t="s">
        <v>29</v>
      </c>
      <c r="K337" s="97" t="str">
        <f t="shared" ca="1" si="289"/>
        <v>10.2.1.</v>
      </c>
      <c r="L337" s="110" t="str">
        <f t="shared" ca="1" si="290"/>
        <v>CRESS</v>
      </c>
      <c r="M337" s="98" t="s">
        <v>78</v>
      </c>
      <c r="N337" s="112" t="s">
        <v>218</v>
      </c>
      <c r="O337" s="110" t="str">
        <f ca="1">IF(NOT(ISERROR($Y337)),IF($Y337&lt;&gt;FALSE,INDEX(Banco,$Y337,5),""),"")</f>
        <v>RT</v>
      </c>
      <c r="P337" s="111" t="str">
        <f t="shared" ca="1" si="291"/>
        <v>hora</v>
      </c>
      <c r="Q337" s="107">
        <v>20</v>
      </c>
      <c r="R337" s="100">
        <f t="shared" ca="1" si="292"/>
        <v>150.28</v>
      </c>
      <c r="S337" s="109" t="s">
        <v>62</v>
      </c>
      <c r="T337" s="99">
        <f t="shared" ca="1" si="293"/>
        <v>187.85</v>
      </c>
      <c r="U337" s="102">
        <f t="shared" ca="1" si="294"/>
        <v>3757</v>
      </c>
      <c r="W337" s="1" t="str">
        <f ca="1">IF(OR($A337=0,$A337="S",$A337&gt;CFF!$A$9),"",MAX(W$11:OFFSET(W337,-1,0))+1)</f>
        <v/>
      </c>
      <c r="X337" s="3" t="str">
        <f t="shared" si="295"/>
        <v>Rec. Humanos-001</v>
      </c>
      <c r="Y337" s="1">
        <f t="shared" ca="1" si="296"/>
        <v>3</v>
      </c>
      <c r="AA337" s="106">
        <f>IF($J337=$G$2,ROUND(IF(ISNUMBER(S337),S337,IF(LEFT(S337,2)="DI",HLOOKUP(S337,DADOS!$T$29:$X$30,2,FALSE),0)),4),"")</f>
        <v>0.25</v>
      </c>
      <c r="AB337" s="1"/>
    </row>
    <row r="338" spans="1:28" x14ac:dyDescent="0.2">
      <c r="A338" t="str">
        <f t="shared" si="282"/>
        <v>S</v>
      </c>
      <c r="B338">
        <f t="shared" si="283"/>
        <v>0</v>
      </c>
      <c r="C338">
        <f t="shared" ca="1" si="284"/>
        <v>10</v>
      </c>
      <c r="D338">
        <f t="shared" ca="1" si="285"/>
        <v>2</v>
      </c>
      <c r="E338">
        <f t="shared" ca="1" si="286"/>
        <v>0</v>
      </c>
      <c r="F338">
        <f t="shared" ca="1" si="287"/>
        <v>0</v>
      </c>
      <c r="G338">
        <f t="shared" ca="1" si="288"/>
        <v>2</v>
      </c>
      <c r="H338">
        <f t="shared" ca="1" si="297"/>
        <v>0</v>
      </c>
      <c r="I338">
        <f t="shared" ca="1" si="298"/>
        <v>0</v>
      </c>
      <c r="J338" s="105" t="s">
        <v>29</v>
      </c>
      <c r="K338" s="97" t="str">
        <f t="shared" ca="1" si="289"/>
        <v>10.2.2.</v>
      </c>
      <c r="L338" s="110">
        <f t="shared" ca="1" si="290"/>
        <v>0</v>
      </c>
      <c r="M338" s="98" t="s">
        <v>78</v>
      </c>
      <c r="N338" s="112" t="s">
        <v>219</v>
      </c>
      <c r="O338" s="110" t="str">
        <f ca="1">IF(NOT(ISERROR($Y338)),IF($Y338&lt;&gt;FALSE,INDEX(Banco,$Y338,5),""),"")</f>
        <v>Assistente Social</v>
      </c>
      <c r="P338" s="111" t="str">
        <f t="shared" ca="1" si="291"/>
        <v>hora</v>
      </c>
      <c r="Q338" s="107">
        <v>15</v>
      </c>
      <c r="R338" s="100">
        <f t="shared" ca="1" si="292"/>
        <v>133.81</v>
      </c>
      <c r="S338" s="109" t="s">
        <v>62</v>
      </c>
      <c r="T338" s="99">
        <f t="shared" ca="1" si="293"/>
        <v>167.26</v>
      </c>
      <c r="U338" s="102">
        <f t="shared" ca="1" si="294"/>
        <v>2508.9</v>
      </c>
      <c r="W338" s="1" t="str">
        <f ca="1">IF(OR($A338=0,$A338="S",$A338&gt;CFF!$A$9),"",MAX(W$11:OFFSET(W338,-1,0))+1)</f>
        <v/>
      </c>
      <c r="X338" s="3" t="str">
        <f t="shared" si="295"/>
        <v>Rec. Humanos-002</v>
      </c>
      <c r="Y338" s="1">
        <f t="shared" ca="1" si="296"/>
        <v>4</v>
      </c>
      <c r="AA338" s="106">
        <f>IF($J338=$G$2,ROUND(IF(ISNUMBER(S338),S338,IF(LEFT(S338,2)="DI",HLOOKUP(S338,DADOS!$T$29:$X$30,2,FALSE),0)),4),"")</f>
        <v>0.25</v>
      </c>
      <c r="AB338" s="1"/>
    </row>
    <row r="339" spans="1:28" x14ac:dyDescent="0.2">
      <c r="A339" t="str">
        <f t="shared" si="282"/>
        <v>S</v>
      </c>
      <c r="B339">
        <f t="shared" si="283"/>
        <v>0</v>
      </c>
      <c r="C339">
        <f t="shared" ca="1" si="284"/>
        <v>10</v>
      </c>
      <c r="D339">
        <f t="shared" ca="1" si="285"/>
        <v>2</v>
      </c>
      <c r="E339">
        <f t="shared" ca="1" si="286"/>
        <v>0</v>
      </c>
      <c r="F339">
        <f t="shared" ca="1" si="287"/>
        <v>0</v>
      </c>
      <c r="G339">
        <f t="shared" ca="1" si="288"/>
        <v>3</v>
      </c>
      <c r="H339">
        <f t="shared" ca="1" si="297"/>
        <v>0</v>
      </c>
      <c r="I339">
        <f t="shared" ca="1" si="298"/>
        <v>0</v>
      </c>
      <c r="J339" s="105" t="s">
        <v>29</v>
      </c>
      <c r="K339" s="97" t="str">
        <f t="shared" ca="1" si="289"/>
        <v>10.2.3.</v>
      </c>
      <c r="L339" s="110">
        <f t="shared" ca="1" si="290"/>
        <v>0</v>
      </c>
      <c r="M339" s="98" t="s">
        <v>78</v>
      </c>
      <c r="N339" s="112" t="s">
        <v>231</v>
      </c>
      <c r="O339" s="110" t="str">
        <f ca="1">IF(NOT(ISERROR($Y339)),IF($Y339&lt;&gt;FALSE,INDEX(Banco,$Y339,5),""),"")</f>
        <v>Biólogo</v>
      </c>
      <c r="P339" s="111" t="str">
        <f t="shared" ca="1" si="291"/>
        <v>hora</v>
      </c>
      <c r="Q339" s="107">
        <v>15</v>
      </c>
      <c r="R339" s="100">
        <f t="shared" ca="1" si="292"/>
        <v>14.97</v>
      </c>
      <c r="S339" s="109" t="s">
        <v>62</v>
      </c>
      <c r="T339" s="99">
        <f t="shared" ca="1" si="293"/>
        <v>18.71</v>
      </c>
      <c r="U339" s="102">
        <f t="shared" ca="1" si="294"/>
        <v>280.64999999999998</v>
      </c>
      <c r="W339" s="1" t="str">
        <f ca="1">IF(OR($A339=0,$A339="S",$A339&gt;CFF!$A$9),"",MAX(W$11:OFFSET(W339,-1,0))+1)</f>
        <v/>
      </c>
      <c r="X339" s="3" t="str">
        <f t="shared" si="295"/>
        <v>Rec. Humanos-004</v>
      </c>
      <c r="Y339" s="1">
        <f t="shared" ca="1" si="296"/>
        <v>6</v>
      </c>
      <c r="AA339" s="106">
        <f>IF($J339=$G$2,ROUND(IF(ISNUMBER(S339),S339,IF(LEFT(S339,2)="DI",HLOOKUP(S339,DADOS!$T$29:$X$30,2,FALSE),0)),4),"")</f>
        <v>0.25</v>
      </c>
      <c r="AB339" s="1"/>
    </row>
    <row r="340" spans="1:28" x14ac:dyDescent="0.2">
      <c r="A340" t="str">
        <f t="shared" si="282"/>
        <v>S</v>
      </c>
      <c r="B340">
        <f t="shared" si="283"/>
        <v>0</v>
      </c>
      <c r="C340">
        <f t="shared" ca="1" si="284"/>
        <v>10</v>
      </c>
      <c r="D340">
        <f t="shared" ca="1" si="285"/>
        <v>2</v>
      </c>
      <c r="E340">
        <f t="shared" ca="1" si="286"/>
        <v>0</v>
      </c>
      <c r="F340">
        <f t="shared" ca="1" si="287"/>
        <v>0</v>
      </c>
      <c r="G340">
        <f t="shared" ca="1" si="288"/>
        <v>4</v>
      </c>
      <c r="H340">
        <f t="shared" ca="1" si="297"/>
        <v>0</v>
      </c>
      <c r="I340">
        <f t="shared" ca="1" si="298"/>
        <v>0</v>
      </c>
      <c r="J340" s="105" t="s">
        <v>29</v>
      </c>
      <c r="K340" s="97" t="str">
        <f t="shared" ca="1" si="289"/>
        <v>10.2.4.</v>
      </c>
      <c r="L340" s="110">
        <f t="shared" ca="1" si="290"/>
        <v>0</v>
      </c>
      <c r="M340" s="98" t="s">
        <v>80</v>
      </c>
      <c r="N340" s="112" t="s">
        <v>260</v>
      </c>
      <c r="O340" s="110" t="str">
        <f ca="1">IF(NOT(ISERROR($Y340)),IF($Y340&lt;&gt;FALSE,INDEX(Banco,$Y340,5),""),"")</f>
        <v>Instrutora de sabao de oleo usado</v>
      </c>
      <c r="P340" s="111" t="str">
        <f t="shared" ca="1" si="291"/>
        <v>curso</v>
      </c>
      <c r="Q340" s="107">
        <v>1</v>
      </c>
      <c r="R340" s="100">
        <f t="shared" ca="1" si="292"/>
        <v>750</v>
      </c>
      <c r="S340" s="109" t="s">
        <v>62</v>
      </c>
      <c r="T340" s="99">
        <f t="shared" ca="1" si="293"/>
        <v>937.5</v>
      </c>
      <c r="U340" s="102">
        <f t="shared" ca="1" si="294"/>
        <v>937.5</v>
      </c>
      <c r="W340" s="1" t="str">
        <f ca="1">IF(OR($A340=0,$A340="S",$A340&gt;CFF!$A$9),"",MAX(W$11:OFFSET(W340,-1,0))+1)</f>
        <v/>
      </c>
      <c r="X340" s="3" t="str">
        <f t="shared" si="295"/>
        <v>Serv. Terc.-029</v>
      </c>
      <c r="Y340" s="1">
        <f t="shared" ca="1" si="296"/>
        <v>75</v>
      </c>
      <c r="AA340" s="106">
        <f>IF($J340=$G$2,ROUND(IF(ISNUMBER(S340),S340,IF(LEFT(S340,2)="DI",HLOOKUP(S340,DADOS!$T$29:$X$30,2,FALSE),0)),4),"")</f>
        <v>0.25</v>
      </c>
      <c r="AB340" s="1"/>
    </row>
    <row r="341" spans="1:28" x14ac:dyDescent="0.2">
      <c r="A341" t="str">
        <f>CHOOSE(1+LOG(1+2*(J341=$C$2)+4*(J341=$D$2)+8*(J341=$E$2)+16*(J341=$F$2)+32*(J341=$G$2),2),0,1,2,3,4,"S")</f>
        <v>S</v>
      </c>
      <c r="B341">
        <f>IF(OR(A341="S",A341=0),0,IF(ISERROR(I341),H341,SMALL(H341:I341,1)))</f>
        <v>0</v>
      </c>
      <c r="C341">
        <f ca="1">IF($A341=1,OFFSET(C341,-1,0)+1,OFFSET(C341,-1,0))</f>
        <v>10</v>
      </c>
      <c r="D341">
        <f ca="1">IF($A341=1,0,IF($A341=2,OFFSET(D341,-1,0)+1,OFFSET(D341,-1,0)))</f>
        <v>2</v>
      </c>
      <c r="E341">
        <f ca="1">IF(AND($A341&lt;=2,$A341&lt;&gt;0),0,IF($A341=3,OFFSET(E341,-1,0)+1,OFFSET(E341,-1,0)))</f>
        <v>0</v>
      </c>
      <c r="F341">
        <f ca="1">IF(AND($A341&lt;=3,$A341&lt;&gt;0),0,IF($A341=4,OFFSET(F341,-1,0)+1,OFFSET(F341,-1,0)))</f>
        <v>0</v>
      </c>
      <c r="G341">
        <f ca="1">IF(AND($A341&lt;=4,$A341&lt;&gt;0),0,IF($A341="S",OFFSET(G341,-1,0)+1,OFFSET(G341,-1,0)))</f>
        <v>5</v>
      </c>
      <c r="H341">
        <f t="shared" ca="1" si="297"/>
        <v>0</v>
      </c>
      <c r="I341">
        <f t="shared" ca="1" si="298"/>
        <v>0</v>
      </c>
      <c r="J341" s="105" t="s">
        <v>29</v>
      </c>
      <c r="K341" s="97" t="str">
        <f ca="1">IF($A341=0,"-",CONCATENATE(C341&amp;".",IF(AND($A$5&gt;=2,$A341&gt;=2),D341&amp;".",""),IF(AND($A$5&gt;=3,$A341&gt;=3),E341&amp;".",""),IF(AND($A$5&gt;=4,$A341&gt;=4),F341&amp;".",""),IF($A341="S",G341&amp;".","")))</f>
        <v>10.2.5.</v>
      </c>
      <c r="L341" s="110">
        <f ca="1">IF(NOT(ISERROR($Y341)),IF($Y341&lt;&gt;FALSE,INDEX(Banco,$Y341,4),""),"")</f>
        <v>0</v>
      </c>
      <c r="M341" s="98" t="s">
        <v>79</v>
      </c>
      <c r="N341" s="112" t="s">
        <v>241</v>
      </c>
      <c r="O341" s="110" t="str">
        <f ca="1">IF(NOT(ISERROR($Y341)),IF($Y341&lt;&gt;FALSE,INDEX(Banco,$Y341,5),""),"")</f>
        <v>Fotocopia preto e branco</v>
      </c>
      <c r="P341" s="111" t="str">
        <f ca="1">IF(NOT(ISERROR($Y341)),IF($Y341&lt;&gt;FALSE,INDEX(Banco,$Y341,6),""),"")</f>
        <v>UNIDADE</v>
      </c>
      <c r="Q341" s="107">
        <v>35</v>
      </c>
      <c r="R341" s="100">
        <f ca="1">IF(NOT(ISERROR($Y341)),IF($Y341&lt;&gt;FALSE,INDEX(Banco,$Y341,7),0),0)</f>
        <v>0.25</v>
      </c>
      <c r="S341" s="109" t="s">
        <v>62</v>
      </c>
      <c r="T341" s="99">
        <f ca="1">IF($J341=$G$2,ROUND(ROUND($R341,2)*IF($R$9="Preço Unitário (R$)",1,1+$AA341),2),0)</f>
        <v>0.31</v>
      </c>
      <c r="U341" s="102">
        <f ca="1">IF($A341="S",VTOTAL1,IF($A341=0,0,ROUND(SomaAgrup,2)))</f>
        <v>10.85</v>
      </c>
      <c r="W341" s="1" t="str">
        <f ca="1">IF(OR($A341=0,$A341="S",$A341&gt;CFF!$A$9),"",MAX(W$11:OFFSET(W341,-1,0))+1)</f>
        <v/>
      </c>
      <c r="X341" s="3" t="str">
        <f>IF(AND($J341=$G$2,$N341&lt;&gt;"",$M341&lt;&gt;""),CONCATENATE($M341,"-",$N341))</f>
        <v>Rec. Materiais-015</v>
      </c>
      <c r="Y341" s="1">
        <f ca="1">IF(X341&lt;&gt;FALSE,MATCH(X341,OFFSET(Banco,0,0,,1),0))</f>
        <v>22</v>
      </c>
      <c r="AA341" s="106">
        <f>IF($J341=$G$2,ROUND(IF(ISNUMBER(S341),S341,IF(LEFT(S341,2)="DI",HLOOKUP(S341,DADOS!$T$29:$X$30,2,FALSE),0)),4),"")</f>
        <v>0.25</v>
      </c>
      <c r="AB341" s="1"/>
    </row>
    <row r="342" spans="1:28" x14ac:dyDescent="0.2">
      <c r="A342">
        <f t="shared" si="282"/>
        <v>1</v>
      </c>
      <c r="B342">
        <f t="shared" ca="1" si="283"/>
        <v>14</v>
      </c>
      <c r="C342">
        <f t="shared" ca="1" si="284"/>
        <v>11</v>
      </c>
      <c r="D342">
        <f t="shared" ca="1" si="285"/>
        <v>0</v>
      </c>
      <c r="E342">
        <f t="shared" ca="1" si="286"/>
        <v>0</v>
      </c>
      <c r="F342">
        <f t="shared" ca="1" si="287"/>
        <v>0</v>
      </c>
      <c r="G342">
        <f t="shared" ca="1" si="288"/>
        <v>0</v>
      </c>
      <c r="H342">
        <f t="shared" ca="1" si="297"/>
        <v>25</v>
      </c>
      <c r="I342">
        <f t="shared" ca="1" si="298"/>
        <v>14</v>
      </c>
      <c r="J342" s="105" t="s">
        <v>67</v>
      </c>
      <c r="K342" s="97" t="str">
        <f t="shared" ca="1" si="289"/>
        <v>11.</v>
      </c>
      <c r="L342" s="110" t="str">
        <f t="shared" ca="1" si="290"/>
        <v/>
      </c>
      <c r="M342" s="98"/>
      <c r="N342" s="112"/>
      <c r="O342" s="110" t="s">
        <v>263</v>
      </c>
      <c r="P342" s="111" t="str">
        <f t="shared" ca="1" si="291"/>
        <v/>
      </c>
      <c r="Q342" s="107"/>
      <c r="R342" s="100">
        <f t="shared" ca="1" si="292"/>
        <v>0</v>
      </c>
      <c r="S342" s="109" t="s">
        <v>62</v>
      </c>
      <c r="T342" s="99">
        <f t="shared" si="293"/>
        <v>0</v>
      </c>
      <c r="U342" s="102">
        <f t="shared" ca="1" si="294"/>
        <v>16045.65</v>
      </c>
      <c r="W342" s="1">
        <f ca="1">IF(OR($A342=0,$A342="S",$A342&gt;CFF!$A$9),"",MAX(W$11:OFFSET(W342,-1,0))+1)</f>
        <v>29</v>
      </c>
      <c r="X342" s="3" t="b">
        <f t="shared" si="295"/>
        <v>0</v>
      </c>
      <c r="Y342" s="1" t="b">
        <f t="shared" ca="1" si="296"/>
        <v>0</v>
      </c>
      <c r="AA342" s="106" t="str">
        <f>IF($J342=$G$2,ROUND(IF(ISNUMBER(S342),S342,IF(LEFT(S342,2)="DI",HLOOKUP(S342,DADOS!$T$29:$X$30,2,FALSE),0)),4),"")</f>
        <v/>
      </c>
      <c r="AB342" s="1"/>
    </row>
    <row r="343" spans="1:28" x14ac:dyDescent="0.2">
      <c r="A343">
        <f>CHOOSE(1+LOG(1+2*(J343=$C$2)+4*(J343=$D$2)+8*(J343=$E$2)+16*(J343=$F$2)+32*(J343=$G$2),2),0,1,2,3,4,"S")</f>
        <v>2</v>
      </c>
      <c r="B343">
        <f ca="1">IF(OR(A343="S",A343=0),0,IF(ISERROR(I343),H343,SMALL(H343:I343,1)))</f>
        <v>13</v>
      </c>
      <c r="C343">
        <f ca="1">IF($A343=1,OFFSET(C343,-1,0)+1,OFFSET(C343,-1,0))</f>
        <v>11</v>
      </c>
      <c r="D343">
        <f ca="1">IF($A343=1,0,IF($A343=2,OFFSET(D343,-1,0)+1,OFFSET(D343,-1,0)))</f>
        <v>1</v>
      </c>
      <c r="E343">
        <f ca="1">IF(AND($A343&lt;=2,$A343&lt;&gt;0),0,IF($A343=3,OFFSET(E343,-1,0)+1,OFFSET(E343,-1,0)))</f>
        <v>0</v>
      </c>
      <c r="F343">
        <f ca="1">IF(AND($A343&lt;=3,$A343&lt;&gt;0),0,IF($A343=4,OFFSET(F343,-1,0)+1,OFFSET(F343,-1,0)))</f>
        <v>0</v>
      </c>
      <c r="G343">
        <f ca="1">IF(AND($A343&lt;=4,$A343&lt;&gt;0),0,IF($A343="S",OFFSET(G343,-1,0)+1,OFFSET(G343,-1,0)))</f>
        <v>0</v>
      </c>
      <c r="H343">
        <f t="shared" ca="1" si="297"/>
        <v>13</v>
      </c>
      <c r="I343" t="e">
        <f t="shared" ca="1" si="298"/>
        <v>#N/A</v>
      </c>
      <c r="J343" s="105" t="s">
        <v>68</v>
      </c>
      <c r="K343" s="97" t="str">
        <f ca="1">IF($A343=0,"-",CONCATENATE(C343&amp;".",IF(AND($A$5&gt;=2,$A343&gt;=2),D343&amp;".",""),IF(AND($A$5&gt;=3,$A343&gt;=3),E343&amp;".",""),IF(AND($A$5&gt;=4,$A343&gt;=4),F343&amp;".",""),IF($A343="S",G343&amp;".","")))</f>
        <v>11.1.</v>
      </c>
      <c r="L343" s="110" t="str">
        <f ca="1">IF(NOT(ISERROR($Y343)),IF($Y343&lt;&gt;FALSE,INDEX(Banco,$Y343,4),""),"")</f>
        <v/>
      </c>
      <c r="M343" s="98"/>
      <c r="N343" s="112"/>
      <c r="O343" s="110" t="s">
        <v>287</v>
      </c>
      <c r="P343" s="111" t="str">
        <f ca="1">IF(NOT(ISERROR($Y343)),IF($Y343&lt;&gt;FALSE,INDEX(Banco,$Y343,6),""),"")</f>
        <v/>
      </c>
      <c r="Q343" s="107"/>
      <c r="R343" s="100">
        <f ca="1">IF(NOT(ISERROR($Y343)),IF($Y343&lt;&gt;FALSE,INDEX(Banco,$Y343,7),0),0)</f>
        <v>0</v>
      </c>
      <c r="S343" s="109" t="s">
        <v>62</v>
      </c>
      <c r="T343" s="99">
        <f>IF($J343=$G$2,ROUND(ROUND($R343,2)*IF($R$9="Preço Unitário (R$)",1,1+$AA343),2),0)</f>
        <v>0</v>
      </c>
      <c r="U343" s="102">
        <f ca="1">IF($A343="S",VTOTAL1,IF($A343=0,0,ROUND(SomaAgrup,2)))</f>
        <v>16045.65</v>
      </c>
      <c r="W343" s="1">
        <f ca="1">IF(OR($A343=0,$A343="S",$A343&gt;CFF!$A$9),"",MAX(W$11:OFFSET(W343,-1,0))+1)</f>
        <v>30</v>
      </c>
      <c r="X343" s="3" t="b">
        <f>IF(AND($J343=$G$2,$N343&lt;&gt;"",$M343&lt;&gt;""),CONCATENATE($M343,"-",$N343))</f>
        <v>0</v>
      </c>
      <c r="Y343" s="1" t="b">
        <f ca="1">IF(X343&lt;&gt;FALSE,MATCH(X343,OFFSET(Banco,0,0,,1),0))</f>
        <v>0</v>
      </c>
      <c r="AA343" s="106" t="str">
        <f>IF($J343=$G$2,ROUND(IF(ISNUMBER(S343),S343,IF(LEFT(S343,2)="DI",HLOOKUP(S343,DADOS!$T$29:$X$30,2,FALSE),0)),4),"")</f>
        <v/>
      </c>
      <c r="AB343" s="1"/>
    </row>
    <row r="344" spans="1:28" x14ac:dyDescent="0.2">
      <c r="A344" t="str">
        <f t="shared" ref="A344:A354" si="299">CHOOSE(1+LOG(1+2*(J344=$C$2)+4*(J344=$D$2)+8*(J344=$E$2)+16*(J344=$F$2)+32*(J344=$G$2),2),0,1,2,3,4,"S")</f>
        <v>S</v>
      </c>
      <c r="B344">
        <f t="shared" ref="B344:B354" si="300">IF(OR(A344="S",A344=0),0,IF(ISERROR(I344),H344,SMALL(H344:I344,1)))</f>
        <v>0</v>
      </c>
      <c r="C344">
        <f t="shared" ref="C344:C354" ca="1" si="301">IF($A344=1,OFFSET(C344,-1,0)+1,OFFSET(C344,-1,0))</f>
        <v>11</v>
      </c>
      <c r="D344">
        <f t="shared" ref="D344:D354" ca="1" si="302">IF($A344=1,0,IF($A344=2,OFFSET(D344,-1,0)+1,OFFSET(D344,-1,0)))</f>
        <v>1</v>
      </c>
      <c r="E344">
        <f t="shared" ref="E344:E354" ca="1" si="303">IF(AND($A344&lt;=2,$A344&lt;&gt;0),0,IF($A344=3,OFFSET(E344,-1,0)+1,OFFSET(E344,-1,0)))</f>
        <v>0</v>
      </c>
      <c r="F344">
        <f t="shared" ref="F344:F354" ca="1" si="304">IF(AND($A344&lt;=3,$A344&lt;&gt;0),0,IF($A344=4,OFFSET(F344,-1,0)+1,OFFSET(F344,-1,0)))</f>
        <v>0</v>
      </c>
      <c r="G344">
        <f t="shared" ref="G344:G354" ca="1" si="305">IF(AND($A344&lt;=4,$A344&lt;&gt;0),0,IF($A344="S",OFFSET(G344,-1,0)+1,OFFSET(G344,-1,0)))</f>
        <v>1</v>
      </c>
      <c r="H344">
        <f t="shared" ca="1" si="297"/>
        <v>0</v>
      </c>
      <c r="I344">
        <f t="shared" ca="1" si="298"/>
        <v>0</v>
      </c>
      <c r="J344" s="105" t="s">
        <v>29</v>
      </c>
      <c r="K344" s="97" t="str">
        <f t="shared" ref="K344:K354" ca="1" si="306">IF($A344=0,"-",CONCATENATE(C344&amp;".",IF(AND($A$5&gt;=2,$A344&gt;=2),D344&amp;".",""),IF(AND($A$5&gt;=3,$A344&gt;=3),E344&amp;".",""),IF(AND($A$5&gt;=4,$A344&gt;=4),F344&amp;".",""),IF($A344="S",G344&amp;".","")))</f>
        <v>11.1.1.</v>
      </c>
      <c r="L344" s="110" t="str">
        <f t="shared" ref="L344:L354" ca="1" si="307">IF(NOT(ISERROR($Y344)),IF($Y344&lt;&gt;FALSE,INDEX(Banco,$Y344,4),""),"")</f>
        <v>CRESS</v>
      </c>
      <c r="M344" s="98" t="s">
        <v>78</v>
      </c>
      <c r="N344" s="112" t="s">
        <v>218</v>
      </c>
      <c r="O344" s="110" t="str">
        <f t="shared" ref="O344:O354" ca="1" si="308">IF(NOT(ISERROR($Y344)),IF($Y344&lt;&gt;FALSE,INDEX(Banco,$Y344,5),""),"")</f>
        <v>RT</v>
      </c>
      <c r="P344" s="111" t="str">
        <f t="shared" ref="P344:P354" ca="1" si="309">IF(NOT(ISERROR($Y344)),IF($Y344&lt;&gt;FALSE,INDEX(Banco,$Y344,6),""),"")</f>
        <v>hora</v>
      </c>
      <c r="Q344" s="107">
        <v>40</v>
      </c>
      <c r="R344" s="100">
        <f t="shared" ref="R344:R354" ca="1" si="310">IF(NOT(ISERROR($Y344)),IF($Y344&lt;&gt;FALSE,INDEX(Banco,$Y344,7),0),0)</f>
        <v>150.28</v>
      </c>
      <c r="S344" s="109" t="s">
        <v>62</v>
      </c>
      <c r="T344" s="99">
        <f t="shared" ref="T344:T354" ca="1" si="311">IF($J344=$G$2,ROUND(ROUND($R344,2)*IF($R$9="Preço Unitário (R$)",1,1+$AA344),2),0)</f>
        <v>187.85</v>
      </c>
      <c r="U344" s="102">
        <f t="shared" ref="U344:U354" ca="1" si="312">IF($A344="S",VTOTAL1,IF($A344=0,0,ROUND(SomaAgrup,2)))</f>
        <v>7514</v>
      </c>
      <c r="W344" s="1" t="str">
        <f ca="1">IF(OR($A344=0,$A344="S",$A344&gt;CFF!$A$9),"",MAX(W$11:OFFSET(W344,-1,0))+1)</f>
        <v/>
      </c>
      <c r="X344" s="3" t="str">
        <f t="shared" ref="X344:X354" si="313">IF(AND($J344=$G$2,$N344&lt;&gt;"",$M344&lt;&gt;""),CONCATENATE($M344,"-",$N344))</f>
        <v>Rec. Humanos-001</v>
      </c>
      <c r="Y344" s="1">
        <f t="shared" ref="Y344:Y354" ca="1" si="314">IF(X344&lt;&gt;FALSE,MATCH(X344,OFFSET(Banco,0,0,,1),0))</f>
        <v>3</v>
      </c>
      <c r="AA344" s="106">
        <f>IF($J344=$G$2,ROUND(IF(ISNUMBER(S344),S344,IF(LEFT(S344,2)="DI",HLOOKUP(S344,DADOS!$T$29:$X$30,2,FALSE),0)),4),"")</f>
        <v>0.25</v>
      </c>
      <c r="AB344" s="1"/>
    </row>
    <row r="345" spans="1:28" x14ac:dyDescent="0.2">
      <c r="A345" t="str">
        <f t="shared" si="299"/>
        <v>S</v>
      </c>
      <c r="B345">
        <f t="shared" si="300"/>
        <v>0</v>
      </c>
      <c r="C345">
        <f t="shared" ca="1" si="301"/>
        <v>11</v>
      </c>
      <c r="D345">
        <f t="shared" ca="1" si="302"/>
        <v>1</v>
      </c>
      <c r="E345">
        <f t="shared" ca="1" si="303"/>
        <v>0</v>
      </c>
      <c r="F345">
        <f t="shared" ca="1" si="304"/>
        <v>0</v>
      </c>
      <c r="G345">
        <f t="shared" ca="1" si="305"/>
        <v>2</v>
      </c>
      <c r="H345">
        <f t="shared" ca="1" si="297"/>
        <v>0</v>
      </c>
      <c r="I345">
        <f t="shared" ca="1" si="298"/>
        <v>0</v>
      </c>
      <c r="J345" s="105" t="s">
        <v>29</v>
      </c>
      <c r="K345" s="97" t="str">
        <f t="shared" ca="1" si="306"/>
        <v>11.1.2.</v>
      </c>
      <c r="L345" s="110">
        <f t="shared" ca="1" si="307"/>
        <v>0</v>
      </c>
      <c r="M345" s="98" t="s">
        <v>78</v>
      </c>
      <c r="N345" s="112" t="s">
        <v>219</v>
      </c>
      <c r="O345" s="110" t="str">
        <f t="shared" ca="1" si="308"/>
        <v>Assistente Social</v>
      </c>
      <c r="P345" s="111" t="str">
        <f t="shared" ca="1" si="309"/>
        <v>hora</v>
      </c>
      <c r="Q345" s="107">
        <v>20</v>
      </c>
      <c r="R345" s="100">
        <f t="shared" ca="1" si="310"/>
        <v>133.81</v>
      </c>
      <c r="S345" s="109" t="s">
        <v>62</v>
      </c>
      <c r="T345" s="99">
        <f t="shared" ca="1" si="311"/>
        <v>167.26</v>
      </c>
      <c r="U345" s="102">
        <f t="shared" ca="1" si="312"/>
        <v>3345.2</v>
      </c>
      <c r="W345" s="1" t="str">
        <f ca="1">IF(OR($A345=0,$A345="S",$A345&gt;CFF!$A$9),"",MAX(W$11:OFFSET(W345,-1,0))+1)</f>
        <v/>
      </c>
      <c r="X345" s="3" t="str">
        <f t="shared" si="313"/>
        <v>Rec. Humanos-002</v>
      </c>
      <c r="Y345" s="1">
        <f t="shared" ca="1" si="314"/>
        <v>4</v>
      </c>
      <c r="AA345" s="106">
        <f>IF($J345=$G$2,ROUND(IF(ISNUMBER(S345),S345,IF(LEFT(S345,2)="DI",HLOOKUP(S345,DADOS!$T$29:$X$30,2,FALSE),0)),4),"")</f>
        <v>0.25</v>
      </c>
      <c r="AB345" s="1"/>
    </row>
    <row r="346" spans="1:28" x14ac:dyDescent="0.2">
      <c r="A346" t="str">
        <f t="shared" si="299"/>
        <v>S</v>
      </c>
      <c r="B346">
        <f t="shared" si="300"/>
        <v>0</v>
      </c>
      <c r="C346">
        <f t="shared" ca="1" si="301"/>
        <v>11</v>
      </c>
      <c r="D346">
        <f t="shared" ca="1" si="302"/>
        <v>1</v>
      </c>
      <c r="E346">
        <f t="shared" ca="1" si="303"/>
        <v>0</v>
      </c>
      <c r="F346">
        <f t="shared" ca="1" si="304"/>
        <v>0</v>
      </c>
      <c r="G346">
        <f t="shared" ca="1" si="305"/>
        <v>3</v>
      </c>
      <c r="H346">
        <f t="shared" ca="1" si="297"/>
        <v>0</v>
      </c>
      <c r="I346">
        <f t="shared" ca="1" si="298"/>
        <v>0</v>
      </c>
      <c r="J346" s="105" t="s">
        <v>29</v>
      </c>
      <c r="K346" s="97" t="str">
        <f t="shared" ca="1" si="306"/>
        <v>11.1.3.</v>
      </c>
      <c r="L346" s="110">
        <f t="shared" ca="1" si="307"/>
        <v>0</v>
      </c>
      <c r="M346" s="98" t="s">
        <v>78</v>
      </c>
      <c r="N346" s="112" t="s">
        <v>220</v>
      </c>
      <c r="O346" s="110" t="str">
        <f t="shared" ca="1" si="308"/>
        <v>Administrativo</v>
      </c>
      <c r="P346" s="111" t="str">
        <f t="shared" ca="1" si="309"/>
        <v>mensal</v>
      </c>
      <c r="Q346" s="107">
        <v>1</v>
      </c>
      <c r="R346" s="100">
        <f t="shared" ca="1" si="310"/>
        <v>1463.5</v>
      </c>
      <c r="S346" s="109" t="s">
        <v>62</v>
      </c>
      <c r="T346" s="99">
        <f t="shared" ca="1" si="311"/>
        <v>1829.38</v>
      </c>
      <c r="U346" s="102">
        <f t="shared" ca="1" si="312"/>
        <v>1829.38</v>
      </c>
      <c r="W346" s="1" t="str">
        <f ca="1">IF(OR($A346=0,$A346="S",$A346&gt;CFF!$A$9),"",MAX(W$11:OFFSET(W346,-1,0))+1)</f>
        <v/>
      </c>
      <c r="X346" s="3" t="str">
        <f t="shared" si="313"/>
        <v>Rec. Humanos-003</v>
      </c>
      <c r="Y346" s="1">
        <f t="shared" ca="1" si="314"/>
        <v>5</v>
      </c>
      <c r="AA346" s="106">
        <f>IF($J346=$G$2,ROUND(IF(ISNUMBER(S346),S346,IF(LEFT(S346,2)="DI",HLOOKUP(S346,DADOS!$T$29:$X$30,2,FALSE),0)),4),"")</f>
        <v>0.25</v>
      </c>
      <c r="AB346" s="1"/>
    </row>
    <row r="347" spans="1:28" x14ac:dyDescent="0.2">
      <c r="A347" t="str">
        <f t="shared" si="299"/>
        <v>S</v>
      </c>
      <c r="B347">
        <f t="shared" si="300"/>
        <v>0</v>
      </c>
      <c r="C347">
        <f t="shared" ca="1" si="301"/>
        <v>11</v>
      </c>
      <c r="D347">
        <f t="shared" ca="1" si="302"/>
        <v>1</v>
      </c>
      <c r="E347">
        <f t="shared" ca="1" si="303"/>
        <v>0</v>
      </c>
      <c r="F347">
        <f t="shared" ca="1" si="304"/>
        <v>0</v>
      </c>
      <c r="G347">
        <f t="shared" ca="1" si="305"/>
        <v>4</v>
      </c>
      <c r="H347">
        <f t="shared" ca="1" si="297"/>
        <v>0</v>
      </c>
      <c r="I347">
        <f t="shared" ca="1" si="298"/>
        <v>0</v>
      </c>
      <c r="J347" s="105" t="s">
        <v>29</v>
      </c>
      <c r="K347" s="97" t="str">
        <f t="shared" ca="1" si="306"/>
        <v>11.1.4.</v>
      </c>
      <c r="L347" s="110">
        <f t="shared" ca="1" si="307"/>
        <v>0</v>
      </c>
      <c r="M347" s="98" t="s">
        <v>78</v>
      </c>
      <c r="N347" s="112" t="s">
        <v>231</v>
      </c>
      <c r="O347" s="110" t="str">
        <f t="shared" ca="1" si="308"/>
        <v>Biólogo</v>
      </c>
      <c r="P347" s="111" t="str">
        <f t="shared" ca="1" si="309"/>
        <v>hora</v>
      </c>
      <c r="Q347" s="107">
        <v>20</v>
      </c>
      <c r="R347" s="100">
        <f t="shared" ca="1" si="310"/>
        <v>14.97</v>
      </c>
      <c r="S347" s="109" t="s">
        <v>62</v>
      </c>
      <c r="T347" s="99">
        <f t="shared" ca="1" si="311"/>
        <v>18.71</v>
      </c>
      <c r="U347" s="102">
        <f t="shared" ca="1" si="312"/>
        <v>374.2</v>
      </c>
      <c r="W347" s="1" t="str">
        <f ca="1">IF(OR($A347=0,$A347="S",$A347&gt;CFF!$A$9),"",MAX(W$11:OFFSET(W347,-1,0))+1)</f>
        <v/>
      </c>
      <c r="X347" s="3" t="str">
        <f t="shared" si="313"/>
        <v>Rec. Humanos-004</v>
      </c>
      <c r="Y347" s="1">
        <f t="shared" ca="1" si="314"/>
        <v>6</v>
      </c>
      <c r="AA347" s="106">
        <f>IF($J347=$G$2,ROUND(IF(ISNUMBER(S347),S347,IF(LEFT(S347,2)="DI",HLOOKUP(S347,DADOS!$T$29:$X$30,2,FALSE),0)),4),"")</f>
        <v>0.25</v>
      </c>
      <c r="AB347" s="1"/>
    </row>
    <row r="348" spans="1:28" x14ac:dyDescent="0.2">
      <c r="A348" t="str">
        <f t="shared" si="299"/>
        <v>S</v>
      </c>
      <c r="B348">
        <f t="shared" si="300"/>
        <v>0</v>
      </c>
      <c r="C348">
        <f t="shared" ca="1" si="301"/>
        <v>11</v>
      </c>
      <c r="D348">
        <f t="shared" ca="1" si="302"/>
        <v>1</v>
      </c>
      <c r="E348">
        <f t="shared" ca="1" si="303"/>
        <v>0</v>
      </c>
      <c r="F348">
        <f t="shared" ca="1" si="304"/>
        <v>0</v>
      </c>
      <c r="G348">
        <f t="shared" ca="1" si="305"/>
        <v>5</v>
      </c>
      <c r="H348">
        <f t="shared" ca="1" si="297"/>
        <v>0</v>
      </c>
      <c r="I348">
        <f t="shared" ca="1" si="298"/>
        <v>0</v>
      </c>
      <c r="J348" s="105" t="s">
        <v>29</v>
      </c>
      <c r="K348" s="97" t="str">
        <f t="shared" ca="1" si="306"/>
        <v>11.1.5.</v>
      </c>
      <c r="L348" s="110">
        <f t="shared" ca="1" si="307"/>
        <v>0</v>
      </c>
      <c r="M348" s="98" t="s">
        <v>78</v>
      </c>
      <c r="N348" s="112" t="s">
        <v>221</v>
      </c>
      <c r="O348" s="110" t="str">
        <f t="shared" ca="1" si="308"/>
        <v>Estagiarios</v>
      </c>
      <c r="P348" s="111" t="str">
        <f t="shared" ca="1" si="309"/>
        <v>hora</v>
      </c>
      <c r="Q348" s="107">
        <v>20</v>
      </c>
      <c r="R348" s="100">
        <f t="shared" ca="1" si="310"/>
        <v>8.26</v>
      </c>
      <c r="S348" s="109" t="s">
        <v>62</v>
      </c>
      <c r="T348" s="99">
        <f t="shared" ca="1" si="311"/>
        <v>10.33</v>
      </c>
      <c r="U348" s="102">
        <f t="shared" ca="1" si="312"/>
        <v>206.6</v>
      </c>
      <c r="W348" s="1" t="str">
        <f ca="1">IF(OR($A348=0,$A348="S",$A348&gt;CFF!$A$9),"",MAX(W$11:OFFSET(W348,-1,0))+1)</f>
        <v/>
      </c>
      <c r="X348" s="3" t="str">
        <f t="shared" si="313"/>
        <v>Rec. Humanos-005</v>
      </c>
      <c r="Y348" s="1">
        <f t="shared" ca="1" si="314"/>
        <v>7</v>
      </c>
      <c r="AA348" s="106">
        <f>IF($J348=$G$2,ROUND(IF(ISNUMBER(S348),S348,IF(LEFT(S348,2)="DI",HLOOKUP(S348,DADOS!$T$29:$X$30,2,FALSE),0)),4),"")</f>
        <v>0.25</v>
      </c>
      <c r="AB348" s="1"/>
    </row>
    <row r="349" spans="1:28" x14ac:dyDescent="0.2">
      <c r="A349" t="str">
        <f t="shared" si="299"/>
        <v>S</v>
      </c>
      <c r="B349">
        <f t="shared" si="300"/>
        <v>0</v>
      </c>
      <c r="C349">
        <f t="shared" ca="1" si="301"/>
        <v>11</v>
      </c>
      <c r="D349">
        <f t="shared" ca="1" si="302"/>
        <v>1</v>
      </c>
      <c r="E349">
        <f t="shared" ca="1" si="303"/>
        <v>0</v>
      </c>
      <c r="F349">
        <f t="shared" ca="1" si="304"/>
        <v>0</v>
      </c>
      <c r="G349">
        <f t="shared" ca="1" si="305"/>
        <v>6</v>
      </c>
      <c r="H349">
        <f t="shared" ca="1" si="297"/>
        <v>0</v>
      </c>
      <c r="I349">
        <f t="shared" ca="1" si="298"/>
        <v>0</v>
      </c>
      <c r="J349" s="105" t="s">
        <v>29</v>
      </c>
      <c r="K349" s="97" t="str">
        <f t="shared" ca="1" si="306"/>
        <v>11.1.6.</v>
      </c>
      <c r="L349" s="110">
        <f t="shared" ca="1" si="307"/>
        <v>0</v>
      </c>
      <c r="M349" s="98" t="s">
        <v>78</v>
      </c>
      <c r="N349" s="112" t="s">
        <v>221</v>
      </c>
      <c r="O349" s="110" t="str">
        <f t="shared" ca="1" si="308"/>
        <v>Estagiarios</v>
      </c>
      <c r="P349" s="111" t="str">
        <f t="shared" ca="1" si="309"/>
        <v>hora</v>
      </c>
      <c r="Q349" s="107">
        <v>20</v>
      </c>
      <c r="R349" s="100">
        <f t="shared" ca="1" si="310"/>
        <v>8.26</v>
      </c>
      <c r="S349" s="109" t="s">
        <v>62</v>
      </c>
      <c r="T349" s="99">
        <f t="shared" ca="1" si="311"/>
        <v>10.33</v>
      </c>
      <c r="U349" s="102">
        <f t="shared" ca="1" si="312"/>
        <v>206.6</v>
      </c>
      <c r="W349" s="1" t="str">
        <f ca="1">IF(OR($A349=0,$A349="S",$A349&gt;CFF!$A$9),"",MAX(W$11:OFFSET(W349,-1,0))+1)</f>
        <v/>
      </c>
      <c r="X349" s="3" t="str">
        <f t="shared" si="313"/>
        <v>Rec. Humanos-005</v>
      </c>
      <c r="Y349" s="1">
        <f t="shared" ca="1" si="314"/>
        <v>7</v>
      </c>
      <c r="AA349" s="106">
        <f>IF($J349=$G$2,ROUND(IF(ISNUMBER(S349),S349,IF(LEFT(S349,2)="DI",HLOOKUP(S349,DADOS!$T$29:$X$30,2,FALSE),0)),4),"")</f>
        <v>0.25</v>
      </c>
      <c r="AB349" s="1"/>
    </row>
    <row r="350" spans="1:28" x14ac:dyDescent="0.2">
      <c r="A350" t="str">
        <f t="shared" si="299"/>
        <v>S</v>
      </c>
      <c r="B350">
        <f t="shared" si="300"/>
        <v>0</v>
      </c>
      <c r="C350">
        <f t="shared" ca="1" si="301"/>
        <v>11</v>
      </c>
      <c r="D350">
        <f t="shared" ca="1" si="302"/>
        <v>1</v>
      </c>
      <c r="E350">
        <f t="shared" ca="1" si="303"/>
        <v>0</v>
      </c>
      <c r="F350">
        <f t="shared" ca="1" si="304"/>
        <v>0</v>
      </c>
      <c r="G350">
        <f t="shared" ca="1" si="305"/>
        <v>7</v>
      </c>
      <c r="H350">
        <f t="shared" ca="1" si="297"/>
        <v>0</v>
      </c>
      <c r="I350">
        <f t="shared" ca="1" si="298"/>
        <v>0</v>
      </c>
      <c r="J350" s="105" t="s">
        <v>29</v>
      </c>
      <c r="K350" s="97" t="str">
        <f t="shared" ca="1" si="306"/>
        <v>11.1.7.</v>
      </c>
      <c r="L350" s="110">
        <f t="shared" ca="1" si="307"/>
        <v>0</v>
      </c>
      <c r="M350" s="98" t="s">
        <v>78</v>
      </c>
      <c r="N350" s="112" t="s">
        <v>221</v>
      </c>
      <c r="O350" s="110" t="str">
        <f t="shared" ca="1" si="308"/>
        <v>Estagiarios</v>
      </c>
      <c r="P350" s="111" t="str">
        <f t="shared" ca="1" si="309"/>
        <v>hora</v>
      </c>
      <c r="Q350" s="107">
        <v>20</v>
      </c>
      <c r="R350" s="100">
        <f t="shared" ca="1" si="310"/>
        <v>8.26</v>
      </c>
      <c r="S350" s="109" t="s">
        <v>62</v>
      </c>
      <c r="T350" s="99">
        <f t="shared" ca="1" si="311"/>
        <v>10.33</v>
      </c>
      <c r="U350" s="102">
        <f t="shared" ca="1" si="312"/>
        <v>206.6</v>
      </c>
      <c r="W350" s="1" t="str">
        <f ca="1">IF(OR($A350=0,$A350="S",$A350&gt;CFF!$A$9),"",MAX(W$11:OFFSET(W350,-1,0))+1)</f>
        <v/>
      </c>
      <c r="X350" s="3" t="str">
        <f t="shared" si="313"/>
        <v>Rec. Humanos-005</v>
      </c>
      <c r="Y350" s="1">
        <f t="shared" ca="1" si="314"/>
        <v>7</v>
      </c>
      <c r="AA350" s="106">
        <f>IF($J350=$G$2,ROUND(IF(ISNUMBER(S350),S350,IF(LEFT(S350,2)="DI",HLOOKUP(S350,DADOS!$T$29:$X$30,2,FALSE),0)),4),"")</f>
        <v>0.25</v>
      </c>
      <c r="AB350" s="1"/>
    </row>
    <row r="351" spans="1:28" x14ac:dyDescent="0.2">
      <c r="A351" t="str">
        <f t="shared" si="299"/>
        <v>S</v>
      </c>
      <c r="B351">
        <f t="shared" si="300"/>
        <v>0</v>
      </c>
      <c r="C351">
        <f t="shared" ca="1" si="301"/>
        <v>11</v>
      </c>
      <c r="D351">
        <f t="shared" ca="1" si="302"/>
        <v>1</v>
      </c>
      <c r="E351">
        <f t="shared" ca="1" si="303"/>
        <v>0</v>
      </c>
      <c r="F351">
        <f t="shared" ca="1" si="304"/>
        <v>0</v>
      </c>
      <c r="G351">
        <f t="shared" ca="1" si="305"/>
        <v>8</v>
      </c>
      <c r="H351">
        <f t="shared" ca="1" si="297"/>
        <v>0</v>
      </c>
      <c r="I351">
        <f t="shared" ca="1" si="298"/>
        <v>0</v>
      </c>
      <c r="J351" s="105" t="s">
        <v>29</v>
      </c>
      <c r="K351" s="97" t="str">
        <f t="shared" ca="1" si="306"/>
        <v>11.1.8.</v>
      </c>
      <c r="L351" s="110">
        <f t="shared" ca="1" si="307"/>
        <v>0</v>
      </c>
      <c r="M351" s="98" t="s">
        <v>78</v>
      </c>
      <c r="N351" s="112" t="s">
        <v>221</v>
      </c>
      <c r="O351" s="110" t="str">
        <f t="shared" ca="1" si="308"/>
        <v>Estagiarios</v>
      </c>
      <c r="P351" s="111" t="str">
        <f t="shared" ca="1" si="309"/>
        <v>hora</v>
      </c>
      <c r="Q351" s="107">
        <v>20</v>
      </c>
      <c r="R351" s="100">
        <f t="shared" ca="1" si="310"/>
        <v>8.26</v>
      </c>
      <c r="S351" s="109" t="s">
        <v>62</v>
      </c>
      <c r="T351" s="99">
        <f t="shared" ca="1" si="311"/>
        <v>10.33</v>
      </c>
      <c r="U351" s="102">
        <f t="shared" ca="1" si="312"/>
        <v>206.6</v>
      </c>
      <c r="W351" s="1" t="str">
        <f ca="1">IF(OR($A351=0,$A351="S",$A351&gt;CFF!$A$9),"",MAX(W$11:OFFSET(W351,-1,0))+1)</f>
        <v/>
      </c>
      <c r="X351" s="3" t="str">
        <f t="shared" si="313"/>
        <v>Rec. Humanos-005</v>
      </c>
      <c r="Y351" s="1">
        <f t="shared" ca="1" si="314"/>
        <v>7</v>
      </c>
      <c r="AA351" s="106">
        <f>IF($J351=$G$2,ROUND(IF(ISNUMBER(S351),S351,IF(LEFT(S351,2)="DI",HLOOKUP(S351,DADOS!$T$29:$X$30,2,FALSE),0)),4),"")</f>
        <v>0.25</v>
      </c>
      <c r="AB351" s="1"/>
    </row>
    <row r="352" spans="1:28" x14ac:dyDescent="0.2">
      <c r="A352" t="str">
        <f t="shared" si="299"/>
        <v>S</v>
      </c>
      <c r="B352">
        <f t="shared" si="300"/>
        <v>0</v>
      </c>
      <c r="C352">
        <f t="shared" ca="1" si="301"/>
        <v>11</v>
      </c>
      <c r="D352">
        <f t="shared" ca="1" si="302"/>
        <v>1</v>
      </c>
      <c r="E352">
        <f t="shared" ca="1" si="303"/>
        <v>0</v>
      </c>
      <c r="F352">
        <f t="shared" ca="1" si="304"/>
        <v>0</v>
      </c>
      <c r="G352">
        <f t="shared" ca="1" si="305"/>
        <v>9</v>
      </c>
      <c r="H352">
        <f t="shared" ca="1" si="297"/>
        <v>0</v>
      </c>
      <c r="I352">
        <f t="shared" ca="1" si="298"/>
        <v>0</v>
      </c>
      <c r="J352" s="105" t="s">
        <v>29</v>
      </c>
      <c r="K352" s="97" t="str">
        <f t="shared" ca="1" si="306"/>
        <v>11.1.9.</v>
      </c>
      <c r="L352" s="110">
        <f t="shared" ca="1" si="307"/>
        <v>0</v>
      </c>
      <c r="M352" s="98" t="s">
        <v>79</v>
      </c>
      <c r="N352" s="112" t="s">
        <v>227</v>
      </c>
      <c r="O352" s="110" t="str">
        <f t="shared" ca="1" si="308"/>
        <v>Copo de agua 300 ml Lebrinha/Brunado</v>
      </c>
      <c r="P352" s="111" t="str">
        <f t="shared" ca="1" si="309"/>
        <v>UNIDADE</v>
      </c>
      <c r="Q352" s="107">
        <v>60</v>
      </c>
      <c r="R352" s="100">
        <f t="shared" ca="1" si="310"/>
        <v>4.2</v>
      </c>
      <c r="S352" s="109" t="s">
        <v>62</v>
      </c>
      <c r="T352" s="99">
        <f t="shared" ca="1" si="311"/>
        <v>5.25</v>
      </c>
      <c r="U352" s="102">
        <f t="shared" ca="1" si="312"/>
        <v>315</v>
      </c>
      <c r="W352" s="1" t="str">
        <f ca="1">IF(OR($A352=0,$A352="S",$A352&gt;CFF!$A$9),"",MAX(W$11:OFFSET(W352,-1,0))+1)</f>
        <v/>
      </c>
      <c r="X352" s="3" t="str">
        <f t="shared" si="313"/>
        <v>Rec. Materiais-014</v>
      </c>
      <c r="Y352" s="1">
        <f t="shared" ca="1" si="314"/>
        <v>21</v>
      </c>
      <c r="AA352" s="106">
        <f>IF($J352=$G$2,ROUND(IF(ISNUMBER(S352),S352,IF(LEFT(S352,2)="DI",HLOOKUP(S352,DADOS!$T$29:$X$30,2,FALSE),0)),4),"")</f>
        <v>0.25</v>
      </c>
      <c r="AB352" s="1"/>
    </row>
    <row r="353" spans="1:28" x14ac:dyDescent="0.2">
      <c r="A353" t="str">
        <f>CHOOSE(1+LOG(1+2*(J353=$C$2)+4*(J353=$D$2)+8*(J353=$E$2)+16*(J353=$F$2)+32*(J353=$G$2),2),0,1,2,3,4,"S")</f>
        <v>S</v>
      </c>
      <c r="B353">
        <f>IF(OR(A353="S",A353=0),0,IF(ISERROR(I353),H353,SMALL(H353:I353,1)))</f>
        <v>0</v>
      </c>
      <c r="C353">
        <f ca="1">IF($A353=1,OFFSET(C353,-1,0)+1,OFFSET(C353,-1,0))</f>
        <v>11</v>
      </c>
      <c r="D353">
        <f ca="1">IF($A353=1,0,IF($A353=2,OFFSET(D353,-1,0)+1,OFFSET(D353,-1,0)))</f>
        <v>1</v>
      </c>
      <c r="E353">
        <f ca="1">IF(AND($A353&lt;=2,$A353&lt;&gt;0),0,IF($A353=3,OFFSET(E353,-1,0)+1,OFFSET(E353,-1,0)))</f>
        <v>0</v>
      </c>
      <c r="F353">
        <f ca="1">IF(AND($A353&lt;=3,$A353&lt;&gt;0),0,IF($A353=4,OFFSET(F353,-1,0)+1,OFFSET(F353,-1,0)))</f>
        <v>0</v>
      </c>
      <c r="G353">
        <f ca="1">IF(AND($A353&lt;=4,$A353&lt;&gt;0),0,IF($A353="S",OFFSET(G353,-1,0)+1,OFFSET(G353,-1,0)))</f>
        <v>10</v>
      </c>
      <c r="H353">
        <f t="shared" ca="1" si="297"/>
        <v>0</v>
      </c>
      <c r="I353">
        <f t="shared" ca="1" si="298"/>
        <v>0</v>
      </c>
      <c r="J353" s="105" t="s">
        <v>29</v>
      </c>
      <c r="K353" s="97" t="str">
        <f ca="1">IF($A353=0,"-",CONCATENATE(C353&amp;".",IF(AND($A$5&gt;=2,$A353&gt;=2),D353&amp;".",""),IF(AND($A$5&gt;=3,$A353&gt;=3),E353&amp;".",""),IF(AND($A$5&gt;=4,$A353&gt;=4),F353&amp;".",""),IF($A353="S",G353&amp;".","")))</f>
        <v>11.1.10.</v>
      </c>
      <c r="L353" s="110">
        <f ca="1">IF(NOT(ISERROR($Y353)),IF($Y353&lt;&gt;FALSE,INDEX(Banco,$Y353,4),""),"")</f>
        <v>0</v>
      </c>
      <c r="M353" s="98" t="s">
        <v>79</v>
      </c>
      <c r="N353" s="112" t="s">
        <v>241</v>
      </c>
      <c r="O353" s="110" t="str">
        <f ca="1">IF(NOT(ISERROR($Y353)),IF($Y353&lt;&gt;FALSE,INDEX(Banco,$Y353,5),""),"")</f>
        <v>Fotocopia preto e branco</v>
      </c>
      <c r="P353" s="111" t="str">
        <f ca="1">IF(NOT(ISERROR($Y353)),IF($Y353&lt;&gt;FALSE,INDEX(Banco,$Y353,6),""),"")</f>
        <v>UNIDADE</v>
      </c>
      <c r="Q353" s="107">
        <v>100</v>
      </c>
      <c r="R353" s="100">
        <f ca="1">IF(NOT(ISERROR($Y353)),IF($Y353&lt;&gt;FALSE,INDEX(Banco,$Y353,7),0),0)</f>
        <v>0.25</v>
      </c>
      <c r="S353" s="109" t="s">
        <v>62</v>
      </c>
      <c r="T353" s="99">
        <f ca="1">IF($J353=$G$2,ROUND(ROUND($R353,2)*IF($R$9="Preço Unitário (R$)",1,1+$AA353),2),0)</f>
        <v>0.31</v>
      </c>
      <c r="U353" s="102">
        <f ca="1">IF($A353="S",VTOTAL1,IF($A353=0,0,ROUND(SomaAgrup,2)))</f>
        <v>31</v>
      </c>
      <c r="W353" s="1" t="str">
        <f ca="1">IF(OR($A353=0,$A353="S",$A353&gt;CFF!$A$9),"",MAX(W$11:OFFSET(W353,-1,0))+1)</f>
        <v/>
      </c>
      <c r="X353" s="3" t="str">
        <f>IF(AND($J353=$G$2,$N353&lt;&gt;"",$M353&lt;&gt;""),CONCATENATE($M353,"-",$N353))</f>
        <v>Rec. Materiais-015</v>
      </c>
      <c r="Y353" s="1">
        <f ca="1">IF(X353&lt;&gt;FALSE,MATCH(X353,OFFSET(Banco,0,0,,1),0))</f>
        <v>22</v>
      </c>
      <c r="AA353" s="106">
        <f>IF($J353=$G$2,ROUND(IF(ISNUMBER(S353),S353,IF(LEFT(S353,2)="DI",HLOOKUP(S353,DADOS!$T$29:$X$30,2,FALSE),0)),4),"")</f>
        <v>0.25</v>
      </c>
      <c r="AB353" s="1"/>
    </row>
    <row r="354" spans="1:28" x14ac:dyDescent="0.2">
      <c r="A354" t="str">
        <f t="shared" si="299"/>
        <v>S</v>
      </c>
      <c r="B354">
        <f t="shared" si="300"/>
        <v>0</v>
      </c>
      <c r="C354">
        <f t="shared" ca="1" si="301"/>
        <v>11</v>
      </c>
      <c r="D354">
        <f t="shared" ca="1" si="302"/>
        <v>1</v>
      </c>
      <c r="E354">
        <f t="shared" ca="1" si="303"/>
        <v>0</v>
      </c>
      <c r="F354">
        <f t="shared" ca="1" si="304"/>
        <v>0</v>
      </c>
      <c r="G354">
        <f t="shared" ca="1" si="305"/>
        <v>11</v>
      </c>
      <c r="H354">
        <f t="shared" ca="1" si="297"/>
        <v>0</v>
      </c>
      <c r="I354">
        <f t="shared" ca="1" si="298"/>
        <v>0</v>
      </c>
      <c r="J354" s="105" t="s">
        <v>29</v>
      </c>
      <c r="K354" s="97" t="str">
        <f t="shared" ca="1" si="306"/>
        <v>11.1.11.</v>
      </c>
      <c r="L354" s="110">
        <f t="shared" ca="1" si="307"/>
        <v>0</v>
      </c>
      <c r="M354" s="98" t="s">
        <v>80</v>
      </c>
      <c r="N354" s="112" t="s">
        <v>231</v>
      </c>
      <c r="O354" s="110" t="str">
        <f t="shared" ca="1" si="308"/>
        <v xml:space="preserve">Impressão Colorida 1 folha </v>
      </c>
      <c r="P354" s="111" t="str">
        <f t="shared" ca="1" si="309"/>
        <v>unidade</v>
      </c>
      <c r="Q354" s="107">
        <v>419</v>
      </c>
      <c r="R354" s="100">
        <f t="shared" ca="1" si="310"/>
        <v>2.5</v>
      </c>
      <c r="S354" s="109" t="s">
        <v>62</v>
      </c>
      <c r="T354" s="99">
        <f t="shared" ca="1" si="311"/>
        <v>3.13</v>
      </c>
      <c r="U354" s="102">
        <f t="shared" ca="1" si="312"/>
        <v>1311.47</v>
      </c>
      <c r="W354" s="1" t="str">
        <f ca="1">IF(OR($A354=0,$A354="S",$A354&gt;CFF!$A$9),"",MAX(W$11:OFFSET(W354,-1,0))+1)</f>
        <v/>
      </c>
      <c r="X354" s="3" t="str">
        <f t="shared" si="313"/>
        <v>Serv. Terc.-004</v>
      </c>
      <c r="Y354" s="1">
        <f t="shared" ca="1" si="314"/>
        <v>50</v>
      </c>
      <c r="AA354" s="106">
        <f>IF($J354=$G$2,ROUND(IF(ISNUMBER(S354),S354,IF(LEFT(S354,2)="DI",HLOOKUP(S354,DADOS!$T$29:$X$30,2,FALSE),0)),4),"")</f>
        <v>0.25</v>
      </c>
      <c r="AB354" s="1"/>
    </row>
    <row r="355" spans="1:28" x14ac:dyDescent="0.2">
      <c r="A355" t="str">
        <f t="shared" ref="A355:A362" si="315">CHOOSE(1+LOG(1+2*(J355=$C$2)+4*(J355=$D$2)+8*(J355=$E$2)+16*(J355=$F$2)+32*(J355=$G$2),2),0,1,2,3,4,"S")</f>
        <v>S</v>
      </c>
      <c r="B355">
        <f t="shared" ref="B355:B362" si="316">IF(OR(A355="S",A355=0),0,IF(ISERROR(I355),H355,SMALL(H355:I355,1)))</f>
        <v>0</v>
      </c>
      <c r="C355">
        <f t="shared" ref="C355:C362" ca="1" si="317">IF($A355=1,OFFSET(C355,-1,0)+1,OFFSET(C355,-1,0))</f>
        <v>11</v>
      </c>
      <c r="D355">
        <f t="shared" ref="D355:D362" ca="1" si="318">IF($A355=1,0,IF($A355=2,OFFSET(D355,-1,0)+1,OFFSET(D355,-1,0)))</f>
        <v>1</v>
      </c>
      <c r="E355">
        <f t="shared" ref="E355:E362" ca="1" si="319">IF(AND($A355&lt;=2,$A355&lt;&gt;0),0,IF($A355=3,OFFSET(E355,-1,0)+1,OFFSET(E355,-1,0)))</f>
        <v>0</v>
      </c>
      <c r="F355">
        <f t="shared" ref="F355:F362" ca="1" si="320">IF(AND($A355&lt;=3,$A355&lt;&gt;0),0,IF($A355=4,OFFSET(F355,-1,0)+1,OFFSET(F355,-1,0)))</f>
        <v>0</v>
      </c>
      <c r="G355">
        <f t="shared" ref="G355:G362" ca="1" si="321">IF(AND($A355&lt;=4,$A355&lt;&gt;0),0,IF($A355="S",OFFSET(G355,-1,0)+1,OFFSET(G355,-1,0)))</f>
        <v>12</v>
      </c>
      <c r="H355">
        <f t="shared" ca="1" si="297"/>
        <v>0</v>
      </c>
      <c r="I355">
        <f t="shared" ca="1" si="298"/>
        <v>0</v>
      </c>
      <c r="J355" s="105" t="s">
        <v>29</v>
      </c>
      <c r="K355" s="97" t="str">
        <f t="shared" ref="K355:K362" ca="1" si="322">IF($A355=0,"-",CONCATENATE(C355&amp;".",IF(AND($A$5&gt;=2,$A355&gt;=2),D355&amp;".",""),IF(AND($A$5&gt;=3,$A355&gt;=3),E355&amp;".",""),IF(AND($A$5&gt;=4,$A355&gt;=4),F355&amp;".",""),IF($A355="S",G355&amp;".","")))</f>
        <v>11.1.12.</v>
      </c>
      <c r="L355" s="110">
        <f t="shared" ref="L355:L362" ca="1" si="323">IF(NOT(ISERROR($Y355)),IF($Y355&lt;&gt;FALSE,INDEX(Banco,$Y355,4),""),"")</f>
        <v>0</v>
      </c>
      <c r="M355" s="98" t="s">
        <v>80</v>
      </c>
      <c r="N355" s="112" t="s">
        <v>240</v>
      </c>
      <c r="O355" s="110" t="str">
        <f ca="1">IF(NOT(ISERROR($Y355)),IF($Y355&lt;&gt;FALSE,INDEX(Banco,$Y355,5),""),"")</f>
        <v>Combustivel</v>
      </c>
      <c r="P355" s="111" t="str">
        <f t="shared" ref="P355:P362" ca="1" si="324">IF(NOT(ISERROR($Y355)),IF($Y355&lt;&gt;FALSE,INDEX(Banco,$Y355,6),""),"")</f>
        <v>litro</v>
      </c>
      <c r="Q355" s="107">
        <v>100</v>
      </c>
      <c r="R355" s="100">
        <f t="shared" ref="R355:R362" ca="1" si="325">IF(NOT(ISERROR($Y355)),IF($Y355&lt;&gt;FALSE,INDEX(Banco,$Y355,7),0),0)</f>
        <v>3.99</v>
      </c>
      <c r="S355" s="109" t="s">
        <v>62</v>
      </c>
      <c r="T355" s="99">
        <f t="shared" ref="T355:T362" ca="1" si="326">IF($J355=$G$2,ROUND(ROUND($R355,2)*IF($R$9="Preço Unitário (R$)",1,1+$AA355),2),0)</f>
        <v>4.99</v>
      </c>
      <c r="U355" s="102">
        <f t="shared" ref="U355:U362" ca="1" si="327">IF($A355="S",VTOTAL1,IF($A355=0,0,ROUND(SomaAgrup,2)))</f>
        <v>499</v>
      </c>
      <c r="W355" s="1" t="str">
        <f ca="1">IF(OR($A355=0,$A355="S",$A355&gt;CFF!$A$9),"",MAX(W$11:OFFSET(W355,-1,0))+1)</f>
        <v/>
      </c>
      <c r="X355" s="3" t="str">
        <f t="shared" ref="X355:X362" si="328">IF(AND($J355=$G$2,$N355&lt;&gt;"",$M355&lt;&gt;""),CONCATENATE($M355,"-",$N355))</f>
        <v>Serv. Terc.-027</v>
      </c>
      <c r="Y355" s="1">
        <f t="shared" ref="Y355:Y362" ca="1" si="329">IF(X355&lt;&gt;FALSE,MATCH(X355,OFFSET(Banco,0,0,,1),0))</f>
        <v>73</v>
      </c>
      <c r="AA355" s="106">
        <f>IF($J355=$G$2,ROUND(IF(ISNUMBER(S355),S355,IF(LEFT(S355,2)="DI",HLOOKUP(S355,DADOS!$T$29:$X$30,2,FALSE),0)),4),"")</f>
        <v>0.25</v>
      </c>
      <c r="AB355" s="1"/>
    </row>
    <row r="356" spans="1:28" x14ac:dyDescent="0.2">
      <c r="A356">
        <f t="shared" si="315"/>
        <v>1</v>
      </c>
      <c r="B356">
        <f t="shared" ca="1" si="316"/>
        <v>11</v>
      </c>
      <c r="C356">
        <f t="shared" ca="1" si="317"/>
        <v>12</v>
      </c>
      <c r="D356">
        <f t="shared" ca="1" si="318"/>
        <v>0</v>
      </c>
      <c r="E356">
        <f t="shared" ca="1" si="319"/>
        <v>0</v>
      </c>
      <c r="F356">
        <f t="shared" ca="1" si="320"/>
        <v>0</v>
      </c>
      <c r="G356">
        <f t="shared" ca="1" si="321"/>
        <v>0</v>
      </c>
      <c r="H356">
        <f t="shared" ca="1" si="297"/>
        <v>11</v>
      </c>
      <c r="I356" t="e">
        <f t="shared" ca="1" si="298"/>
        <v>#N/A</v>
      </c>
      <c r="J356" s="105" t="s">
        <v>67</v>
      </c>
      <c r="K356" s="97" t="str">
        <f t="shared" ca="1" si="322"/>
        <v>12.</v>
      </c>
      <c r="L356" s="110" t="str">
        <f t="shared" ca="1" si="323"/>
        <v/>
      </c>
      <c r="M356" s="98"/>
      <c r="N356" s="112"/>
      <c r="O356" s="110" t="s">
        <v>264</v>
      </c>
      <c r="P356" s="111" t="str">
        <f t="shared" ca="1" si="324"/>
        <v/>
      </c>
      <c r="Q356" s="107"/>
      <c r="R356" s="100">
        <f t="shared" ca="1" si="325"/>
        <v>0</v>
      </c>
      <c r="S356" s="109" t="s">
        <v>62</v>
      </c>
      <c r="T356" s="99">
        <f t="shared" si="326"/>
        <v>0</v>
      </c>
      <c r="U356" s="102">
        <f t="shared" ca="1" si="327"/>
        <v>7473.59</v>
      </c>
      <c r="W356" s="1">
        <f ca="1">IF(OR($A356=0,$A356="S",$A356&gt;CFF!$A$9),"",MAX(W$11:OFFSET(W356,-1,0))+1)</f>
        <v>31</v>
      </c>
      <c r="X356" s="3" t="b">
        <f t="shared" si="328"/>
        <v>0</v>
      </c>
      <c r="Y356" s="1" t="b">
        <f t="shared" ca="1" si="329"/>
        <v>0</v>
      </c>
      <c r="AA356" s="106" t="str">
        <f>IF($J356=$G$2,ROUND(IF(ISNUMBER(S356),S356,IF(LEFT(S356,2)="DI",HLOOKUP(S356,DADOS!$T$29:$X$30,2,FALSE),0)),4),"")</f>
        <v/>
      </c>
      <c r="AB356" s="1"/>
    </row>
    <row r="357" spans="1:28" x14ac:dyDescent="0.2">
      <c r="A357">
        <f>CHOOSE(1+LOG(1+2*(J357=$C$2)+4*(J357=$D$2)+8*(J357=$E$2)+16*(J357=$F$2)+32*(J357=$G$2),2),0,1,2,3,4,"S")</f>
        <v>2</v>
      </c>
      <c r="B357">
        <f ca="1">IF(OR(A357="S",A357=0),0,IF(ISERROR(I357),H357,SMALL(H357:I357,1)))</f>
        <v>10</v>
      </c>
      <c r="C357">
        <f ca="1">IF($A357=1,OFFSET(C357,-1,0)+1,OFFSET(C357,-1,0))</f>
        <v>12</v>
      </c>
      <c r="D357">
        <f ca="1">IF($A357=1,0,IF($A357=2,OFFSET(D357,-1,0)+1,OFFSET(D357,-1,0)))</f>
        <v>1</v>
      </c>
      <c r="E357">
        <f ca="1">IF(AND($A357&lt;=2,$A357&lt;&gt;0),0,IF($A357=3,OFFSET(E357,-1,0)+1,OFFSET(E357,-1,0)))</f>
        <v>0</v>
      </c>
      <c r="F357">
        <f ca="1">IF(AND($A357&lt;=3,$A357&lt;&gt;0),0,IF($A357=4,OFFSET(F357,-1,0)+1,OFFSET(F357,-1,0)))</f>
        <v>0</v>
      </c>
      <c r="G357">
        <f ca="1">IF(AND($A357&lt;=4,$A357&lt;&gt;0),0,IF($A357="S",OFFSET(G357,-1,0)+1,OFFSET(G357,-1,0)))</f>
        <v>0</v>
      </c>
      <c r="H357">
        <f t="shared" ca="1" si="297"/>
        <v>10</v>
      </c>
      <c r="I357" t="e">
        <f t="shared" ca="1" si="298"/>
        <v>#N/A</v>
      </c>
      <c r="J357" s="105" t="s">
        <v>68</v>
      </c>
      <c r="K357" s="97" t="str">
        <f ca="1">IF($A357=0,"-",CONCATENATE(C357&amp;".",IF(AND($A$5&gt;=2,$A357&gt;=2),D357&amp;".",""),IF(AND($A$5&gt;=3,$A357&gt;=3),E357&amp;".",""),IF(AND($A$5&gt;=4,$A357&gt;=4),F357&amp;".",""),IF($A357="S",G357&amp;".","")))</f>
        <v>12.1.</v>
      </c>
      <c r="L357" s="110" t="str">
        <f ca="1">IF(NOT(ISERROR($Y357)),IF($Y357&lt;&gt;FALSE,INDEX(Banco,$Y357,4),""),"")</f>
        <v/>
      </c>
      <c r="M357" s="98"/>
      <c r="N357" s="112"/>
      <c r="O357" s="110" t="s">
        <v>288</v>
      </c>
      <c r="P357" s="111" t="str">
        <f ca="1">IF(NOT(ISERROR($Y357)),IF($Y357&lt;&gt;FALSE,INDEX(Banco,$Y357,6),""),"")</f>
        <v/>
      </c>
      <c r="Q357" s="107"/>
      <c r="R357" s="100">
        <f ca="1">IF(NOT(ISERROR($Y357)),IF($Y357&lt;&gt;FALSE,INDEX(Banco,$Y357,7),0),0)</f>
        <v>0</v>
      </c>
      <c r="S357" s="109" t="s">
        <v>62</v>
      </c>
      <c r="T357" s="99">
        <f>IF($J357=$G$2,ROUND(ROUND($R357,2)*IF($R$9="Preço Unitário (R$)",1,1+$AA357),2),0)</f>
        <v>0</v>
      </c>
      <c r="U357" s="102">
        <f ca="1">IF($A357="S",VTOTAL1,IF($A357=0,0,ROUND(SomaAgrup,2)))</f>
        <v>7473.59</v>
      </c>
      <c r="W357" s="1">
        <f ca="1">IF(OR($A357=0,$A357="S",$A357&gt;CFF!$A$9),"",MAX(W$11:OFFSET(W357,-1,0))+1)</f>
        <v>32</v>
      </c>
      <c r="X357" s="3" t="b">
        <f>IF(AND($J357=$G$2,$N357&lt;&gt;"",$M357&lt;&gt;""),CONCATENATE($M357,"-",$N357))</f>
        <v>0</v>
      </c>
      <c r="Y357" s="1" t="b">
        <f ca="1">IF(X357&lt;&gt;FALSE,MATCH(X357,OFFSET(Banco,0,0,,1),0))</f>
        <v>0</v>
      </c>
      <c r="AA357" s="106" t="str">
        <f>IF($J357=$G$2,ROUND(IF(ISNUMBER(S357),S357,IF(LEFT(S357,2)="DI",HLOOKUP(S357,DADOS!$T$29:$X$30,2,FALSE),0)),4),"")</f>
        <v/>
      </c>
      <c r="AB357" s="1"/>
    </row>
    <row r="358" spans="1:28" x14ac:dyDescent="0.2">
      <c r="A358" t="str">
        <f t="shared" si="315"/>
        <v>S</v>
      </c>
      <c r="B358">
        <f t="shared" si="316"/>
        <v>0</v>
      </c>
      <c r="C358">
        <f t="shared" ca="1" si="317"/>
        <v>12</v>
      </c>
      <c r="D358">
        <f t="shared" ca="1" si="318"/>
        <v>1</v>
      </c>
      <c r="E358">
        <f t="shared" ca="1" si="319"/>
        <v>0</v>
      </c>
      <c r="F358">
        <f t="shared" ca="1" si="320"/>
        <v>0</v>
      </c>
      <c r="G358">
        <f t="shared" ca="1" si="321"/>
        <v>1</v>
      </c>
      <c r="H358">
        <f t="shared" ca="1" si="297"/>
        <v>0</v>
      </c>
      <c r="I358">
        <f t="shared" ca="1" si="298"/>
        <v>0</v>
      </c>
      <c r="J358" s="105" t="s">
        <v>29</v>
      </c>
      <c r="K358" s="97" t="str">
        <f t="shared" ca="1" si="322"/>
        <v>12.1.1.</v>
      </c>
      <c r="L358" s="110" t="str">
        <f t="shared" ca="1" si="323"/>
        <v>CRESS</v>
      </c>
      <c r="M358" s="98" t="s">
        <v>78</v>
      </c>
      <c r="N358" s="112" t="s">
        <v>218</v>
      </c>
      <c r="O358" s="110" t="str">
        <f t="shared" ref="O358:O366" ca="1" si="330">IF(NOT(ISERROR($Y358)),IF($Y358&lt;&gt;FALSE,INDEX(Banco,$Y358,5),""),"")</f>
        <v>RT</v>
      </c>
      <c r="P358" s="111" t="str">
        <f t="shared" ca="1" si="324"/>
        <v>hora</v>
      </c>
      <c r="Q358" s="107">
        <v>15</v>
      </c>
      <c r="R358" s="100">
        <f t="shared" ca="1" si="325"/>
        <v>150.28</v>
      </c>
      <c r="S358" s="109" t="s">
        <v>62</v>
      </c>
      <c r="T358" s="99">
        <f t="shared" ca="1" si="326"/>
        <v>187.85</v>
      </c>
      <c r="U358" s="102">
        <f t="shared" ca="1" si="327"/>
        <v>2817.75</v>
      </c>
      <c r="W358" s="1" t="str">
        <f ca="1">IF(OR($A358=0,$A358="S",$A358&gt;CFF!$A$9),"",MAX(W$11:OFFSET(W358,-1,0))+1)</f>
        <v/>
      </c>
      <c r="X358" s="3" t="str">
        <f t="shared" si="328"/>
        <v>Rec. Humanos-001</v>
      </c>
      <c r="Y358" s="1">
        <f t="shared" ca="1" si="329"/>
        <v>3</v>
      </c>
      <c r="AA358" s="106">
        <f>IF($J358=$G$2,ROUND(IF(ISNUMBER(S358),S358,IF(LEFT(S358,2)="DI",HLOOKUP(S358,DADOS!$T$29:$X$30,2,FALSE),0)),4),"")</f>
        <v>0.25</v>
      </c>
      <c r="AB358" s="1"/>
    </row>
    <row r="359" spans="1:28" x14ac:dyDescent="0.2">
      <c r="A359" t="str">
        <f t="shared" si="315"/>
        <v>S</v>
      </c>
      <c r="B359">
        <f t="shared" si="316"/>
        <v>0</v>
      </c>
      <c r="C359">
        <f t="shared" ca="1" si="317"/>
        <v>12</v>
      </c>
      <c r="D359">
        <f t="shared" ca="1" si="318"/>
        <v>1</v>
      </c>
      <c r="E359">
        <f t="shared" ca="1" si="319"/>
        <v>0</v>
      </c>
      <c r="F359">
        <f t="shared" ca="1" si="320"/>
        <v>0</v>
      </c>
      <c r="G359">
        <f t="shared" ca="1" si="321"/>
        <v>2</v>
      </c>
      <c r="H359">
        <f t="shared" ref="H359:H366" ca="1" si="331">IF(OR($A359="S",$A359=0),0,MATCH(0,OFFSET($B359,1,$A359,ROW($A$367)-ROW($A359)),0))</f>
        <v>0</v>
      </c>
      <c r="I359">
        <f t="shared" ref="I359:I366" ca="1" si="332">IF(OR($A359="S",$A359=0),0,MATCH(OFFSET($B359,0,$A359)+1,OFFSET($B359,1,$A359,ROW($A$367)-ROW($A359)),0))</f>
        <v>0</v>
      </c>
      <c r="J359" s="105" t="s">
        <v>29</v>
      </c>
      <c r="K359" s="97" t="str">
        <f t="shared" ca="1" si="322"/>
        <v>12.1.2.</v>
      </c>
      <c r="L359" s="110">
        <f t="shared" ca="1" si="323"/>
        <v>0</v>
      </c>
      <c r="M359" s="98" t="s">
        <v>78</v>
      </c>
      <c r="N359" s="112" t="s">
        <v>219</v>
      </c>
      <c r="O359" s="110" t="str">
        <f t="shared" ca="1" si="330"/>
        <v>Assistente Social</v>
      </c>
      <c r="P359" s="111" t="str">
        <f t="shared" ca="1" si="324"/>
        <v>hora</v>
      </c>
      <c r="Q359" s="107">
        <v>15</v>
      </c>
      <c r="R359" s="100">
        <f t="shared" ca="1" si="325"/>
        <v>133.81</v>
      </c>
      <c r="S359" s="109" t="s">
        <v>62</v>
      </c>
      <c r="T359" s="99">
        <f t="shared" ca="1" si="326"/>
        <v>167.26</v>
      </c>
      <c r="U359" s="102">
        <f t="shared" ca="1" si="327"/>
        <v>2508.9</v>
      </c>
      <c r="W359" s="1" t="str">
        <f ca="1">IF(OR($A359=0,$A359="S",$A359&gt;CFF!$A$9),"",MAX(W$11:OFFSET(W359,-1,0))+1)</f>
        <v/>
      </c>
      <c r="X359" s="3" t="str">
        <f t="shared" si="328"/>
        <v>Rec. Humanos-002</v>
      </c>
      <c r="Y359" s="1">
        <f t="shared" ca="1" si="329"/>
        <v>4</v>
      </c>
      <c r="AA359" s="106">
        <f>IF($J359=$G$2,ROUND(IF(ISNUMBER(S359),S359,IF(LEFT(S359,2)="DI",HLOOKUP(S359,DADOS!$T$29:$X$30,2,FALSE),0)),4),"")</f>
        <v>0.25</v>
      </c>
      <c r="AB359" s="1"/>
    </row>
    <row r="360" spans="1:28" x14ac:dyDescent="0.2">
      <c r="A360" t="str">
        <f t="shared" si="315"/>
        <v>S</v>
      </c>
      <c r="B360">
        <f t="shared" si="316"/>
        <v>0</v>
      </c>
      <c r="C360">
        <f t="shared" ca="1" si="317"/>
        <v>12</v>
      </c>
      <c r="D360">
        <f t="shared" ca="1" si="318"/>
        <v>1</v>
      </c>
      <c r="E360">
        <f t="shared" ca="1" si="319"/>
        <v>0</v>
      </c>
      <c r="F360">
        <f t="shared" ca="1" si="320"/>
        <v>0</v>
      </c>
      <c r="G360">
        <f t="shared" ca="1" si="321"/>
        <v>3</v>
      </c>
      <c r="H360">
        <f t="shared" ca="1" si="331"/>
        <v>0</v>
      </c>
      <c r="I360">
        <f t="shared" ca="1" si="332"/>
        <v>0</v>
      </c>
      <c r="J360" s="105" t="s">
        <v>29</v>
      </c>
      <c r="K360" s="97" t="str">
        <f t="shared" ca="1" si="322"/>
        <v>12.1.3.</v>
      </c>
      <c r="L360" s="110">
        <f t="shared" ca="1" si="323"/>
        <v>0</v>
      </c>
      <c r="M360" s="98" t="s">
        <v>78</v>
      </c>
      <c r="N360" s="112" t="s">
        <v>220</v>
      </c>
      <c r="O360" s="110" t="str">
        <f t="shared" ca="1" si="330"/>
        <v>Administrativo</v>
      </c>
      <c r="P360" s="111" t="str">
        <f t="shared" ca="1" si="324"/>
        <v>mensal</v>
      </c>
      <c r="Q360" s="107">
        <v>1</v>
      </c>
      <c r="R360" s="100">
        <f t="shared" ca="1" si="325"/>
        <v>1463.5</v>
      </c>
      <c r="S360" s="109" t="s">
        <v>62</v>
      </c>
      <c r="T360" s="99">
        <f t="shared" ca="1" si="326"/>
        <v>1829.38</v>
      </c>
      <c r="U360" s="102">
        <f t="shared" ca="1" si="327"/>
        <v>1829.38</v>
      </c>
      <c r="W360" s="1" t="str">
        <f ca="1">IF(OR($A360=0,$A360="S",$A360&gt;CFF!$A$9),"",MAX(W$11:OFFSET(W360,-1,0))+1)</f>
        <v/>
      </c>
      <c r="X360" s="3" t="str">
        <f t="shared" si="328"/>
        <v>Rec. Humanos-003</v>
      </c>
      <c r="Y360" s="1">
        <f t="shared" ca="1" si="329"/>
        <v>5</v>
      </c>
      <c r="AA360" s="106">
        <f>IF($J360=$G$2,ROUND(IF(ISNUMBER(S360),S360,IF(LEFT(S360,2)="DI",HLOOKUP(S360,DADOS!$T$29:$X$30,2,FALSE),0)),4),"")</f>
        <v>0.25</v>
      </c>
      <c r="AB360" s="1"/>
    </row>
    <row r="361" spans="1:28" x14ac:dyDescent="0.2">
      <c r="A361" t="str">
        <f>CHOOSE(1+LOG(1+2*(J361=$C$2)+4*(J361=$D$2)+8*(J361=$E$2)+16*(J361=$F$2)+32*(J361=$G$2),2),0,1,2,3,4,"S")</f>
        <v>S</v>
      </c>
      <c r="B361">
        <f>IF(OR(A361="S",A361=0),0,IF(ISERROR(I361),H361,SMALL(H361:I361,1)))</f>
        <v>0</v>
      </c>
      <c r="C361">
        <f ca="1">IF($A361=1,OFFSET(C361,-1,0)+1,OFFSET(C361,-1,0))</f>
        <v>12</v>
      </c>
      <c r="D361">
        <f ca="1">IF($A361=1,0,IF($A361=2,OFFSET(D361,-1,0)+1,OFFSET(D361,-1,0)))</f>
        <v>1</v>
      </c>
      <c r="E361">
        <f ca="1">IF(AND($A361&lt;=2,$A361&lt;&gt;0),0,IF($A361=3,OFFSET(E361,-1,0)+1,OFFSET(E361,-1,0)))</f>
        <v>0</v>
      </c>
      <c r="F361">
        <f ca="1">IF(AND($A361&lt;=3,$A361&lt;&gt;0),0,IF($A361=4,OFFSET(F361,-1,0)+1,OFFSET(F361,-1,0)))</f>
        <v>0</v>
      </c>
      <c r="G361">
        <f ca="1">IF(AND($A361&lt;=4,$A361&lt;&gt;0),0,IF($A361="S",OFFSET(G361,-1,0)+1,OFFSET(G361,-1,0)))</f>
        <v>4</v>
      </c>
      <c r="H361">
        <f t="shared" ca="1" si="331"/>
        <v>0</v>
      </c>
      <c r="I361">
        <f t="shared" ca="1" si="332"/>
        <v>0</v>
      </c>
      <c r="J361" s="105" t="s">
        <v>29</v>
      </c>
      <c r="K361" s="97" t="str">
        <f ca="1">IF($A361=0,"-",CONCATENATE(C361&amp;".",IF(AND($A$5&gt;=2,$A361&gt;=2),D361&amp;".",""),IF(AND($A$5&gt;=3,$A361&gt;=3),E361&amp;".",""),IF(AND($A$5&gt;=4,$A361&gt;=4),F361&amp;".",""),IF($A361="S",G361&amp;".","")))</f>
        <v>12.1.4.</v>
      </c>
      <c r="L361" s="110">
        <f ca="1">IF(NOT(ISERROR($Y361)),IF($Y361&lt;&gt;FALSE,INDEX(Banco,$Y361,4),""),"")</f>
        <v>0</v>
      </c>
      <c r="M361" s="98" t="s">
        <v>78</v>
      </c>
      <c r="N361" s="112" t="s">
        <v>231</v>
      </c>
      <c r="O361" s="110" t="str">
        <f t="shared" ca="1" si="330"/>
        <v>Biólogo</v>
      </c>
      <c r="P361" s="111" t="str">
        <f ca="1">IF(NOT(ISERROR($Y361)),IF($Y361&lt;&gt;FALSE,INDEX(Banco,$Y361,6),""),"")</f>
        <v>hora</v>
      </c>
      <c r="Q361" s="107">
        <v>5</v>
      </c>
      <c r="R361" s="100">
        <f ca="1">IF(NOT(ISERROR($Y361)),IF($Y361&lt;&gt;FALSE,INDEX(Banco,$Y361,7),0),0)</f>
        <v>14.97</v>
      </c>
      <c r="S361" s="109" t="s">
        <v>62</v>
      </c>
      <c r="T361" s="99">
        <f ca="1">IF($J361=$G$2,ROUND(ROUND($R361,2)*IF($R$9="Preço Unitário (R$)",1,1+$AA361),2),0)</f>
        <v>18.71</v>
      </c>
      <c r="U361" s="102">
        <f ca="1">IF($A361="S",VTOTAL1,IF($A361=0,0,ROUND(SomaAgrup,2)))</f>
        <v>93.55</v>
      </c>
      <c r="W361" s="1" t="str">
        <f ca="1">IF(OR($A361=0,$A361="S",$A361&gt;CFF!$A$9),"",MAX(W$11:OFFSET(W361,-1,0))+1)</f>
        <v/>
      </c>
      <c r="X361" s="3" t="str">
        <f>IF(AND($J361=$G$2,$N361&lt;&gt;"",$M361&lt;&gt;""),CONCATENATE($M361,"-",$N361))</f>
        <v>Rec. Humanos-004</v>
      </c>
      <c r="Y361" s="1">
        <f ca="1">IF(X361&lt;&gt;FALSE,MATCH(X361,OFFSET(Banco,0,0,,1),0))</f>
        <v>6</v>
      </c>
      <c r="AA361" s="106">
        <f>IF($J361=$G$2,ROUND(IF(ISNUMBER(S361),S361,IF(LEFT(S361,2)="DI",HLOOKUP(S361,DADOS!$T$29:$X$30,2,FALSE),0)),4),"")</f>
        <v>0.25</v>
      </c>
      <c r="AB361" s="1"/>
    </row>
    <row r="362" spans="1:28" x14ac:dyDescent="0.2">
      <c r="A362" t="str">
        <f t="shared" si="315"/>
        <v>S</v>
      </c>
      <c r="B362">
        <f t="shared" si="316"/>
        <v>0</v>
      </c>
      <c r="C362">
        <f t="shared" ca="1" si="317"/>
        <v>12</v>
      </c>
      <c r="D362">
        <f t="shared" ca="1" si="318"/>
        <v>1</v>
      </c>
      <c r="E362">
        <f t="shared" ca="1" si="319"/>
        <v>0</v>
      </c>
      <c r="F362">
        <f t="shared" ca="1" si="320"/>
        <v>0</v>
      </c>
      <c r="G362">
        <f t="shared" ca="1" si="321"/>
        <v>5</v>
      </c>
      <c r="H362">
        <f t="shared" ca="1" si="331"/>
        <v>0</v>
      </c>
      <c r="I362">
        <f t="shared" ca="1" si="332"/>
        <v>0</v>
      </c>
      <c r="J362" s="105" t="s">
        <v>29</v>
      </c>
      <c r="K362" s="97" t="str">
        <f t="shared" ca="1" si="322"/>
        <v>12.1.5.</v>
      </c>
      <c r="L362" s="110">
        <f t="shared" ca="1" si="323"/>
        <v>0</v>
      </c>
      <c r="M362" s="98" t="s">
        <v>78</v>
      </c>
      <c r="N362" s="112" t="s">
        <v>221</v>
      </c>
      <c r="O362" s="110" t="str">
        <f t="shared" ca="1" si="330"/>
        <v>Estagiarios</v>
      </c>
      <c r="P362" s="111" t="str">
        <f t="shared" ca="1" si="324"/>
        <v>hora</v>
      </c>
      <c r="Q362" s="107">
        <v>5</v>
      </c>
      <c r="R362" s="100">
        <f t="shared" ca="1" si="325"/>
        <v>8.26</v>
      </c>
      <c r="S362" s="109" t="s">
        <v>62</v>
      </c>
      <c r="T362" s="99">
        <f t="shared" ca="1" si="326"/>
        <v>10.33</v>
      </c>
      <c r="U362" s="102">
        <f t="shared" ca="1" si="327"/>
        <v>51.65</v>
      </c>
      <c r="W362" s="1" t="str">
        <f ca="1">IF(OR($A362=0,$A362="S",$A362&gt;CFF!$A$9),"",MAX(W$11:OFFSET(W362,-1,0))+1)</f>
        <v/>
      </c>
      <c r="X362" s="3" t="str">
        <f t="shared" si="328"/>
        <v>Rec. Humanos-005</v>
      </c>
      <c r="Y362" s="1">
        <f t="shared" ca="1" si="329"/>
        <v>7</v>
      </c>
      <c r="AA362" s="106">
        <f>IF($J362=$G$2,ROUND(IF(ISNUMBER(S362),S362,IF(LEFT(S362,2)="DI",HLOOKUP(S362,DADOS!$T$29:$X$30,2,FALSE),0)),4),"")</f>
        <v>0.25</v>
      </c>
      <c r="AB362" s="1"/>
    </row>
    <row r="363" spans="1:28" x14ac:dyDescent="0.2">
      <c r="A363" t="str">
        <f>CHOOSE(1+LOG(1+2*(J363=$C$2)+4*(J363=$D$2)+8*(J363=$E$2)+16*(J363=$F$2)+32*(J363=$G$2),2),0,1,2,3,4,"S")</f>
        <v>S</v>
      </c>
      <c r="B363">
        <f>IF(OR(A363="S",A363=0),0,IF(ISERROR(I363),H363,SMALL(H363:I363,1)))</f>
        <v>0</v>
      </c>
      <c r="C363">
        <f ca="1">IF($A363=1,OFFSET(C363,-1,0)+1,OFFSET(C363,-1,0))</f>
        <v>12</v>
      </c>
      <c r="D363">
        <f ca="1">IF($A363=1,0,IF($A363=2,OFFSET(D363,-1,0)+1,OFFSET(D363,-1,0)))</f>
        <v>1</v>
      </c>
      <c r="E363">
        <f ca="1">IF(AND($A363&lt;=2,$A363&lt;&gt;0),0,IF($A363=3,OFFSET(E363,-1,0)+1,OFFSET(E363,-1,0)))</f>
        <v>0</v>
      </c>
      <c r="F363">
        <f ca="1">IF(AND($A363&lt;=3,$A363&lt;&gt;0),0,IF($A363=4,OFFSET(F363,-1,0)+1,OFFSET(F363,-1,0)))</f>
        <v>0</v>
      </c>
      <c r="G363">
        <f ca="1">IF(AND($A363&lt;=4,$A363&lt;&gt;0),0,IF($A363="S",OFFSET(G363,-1,0)+1,OFFSET(G363,-1,0)))</f>
        <v>6</v>
      </c>
      <c r="H363">
        <f t="shared" ca="1" si="331"/>
        <v>0</v>
      </c>
      <c r="I363">
        <f t="shared" ca="1" si="332"/>
        <v>0</v>
      </c>
      <c r="J363" s="105" t="s">
        <v>29</v>
      </c>
      <c r="K363" s="97" t="str">
        <f ca="1">IF($A363=0,"-",CONCATENATE(C363&amp;".",IF(AND($A$5&gt;=2,$A363&gt;=2),D363&amp;".",""),IF(AND($A$5&gt;=3,$A363&gt;=3),E363&amp;".",""),IF(AND($A$5&gt;=4,$A363&gt;=4),F363&amp;".",""),IF($A363="S",G363&amp;".","")))</f>
        <v>12.1.6.</v>
      </c>
      <c r="L363" s="110">
        <f ca="1">IF(NOT(ISERROR($Y363)),IF($Y363&lt;&gt;FALSE,INDEX(Banco,$Y363,4),""),"")</f>
        <v>0</v>
      </c>
      <c r="M363" s="98" t="s">
        <v>78</v>
      </c>
      <c r="N363" s="112" t="s">
        <v>221</v>
      </c>
      <c r="O363" s="110" t="str">
        <f t="shared" ca="1" si="330"/>
        <v>Estagiarios</v>
      </c>
      <c r="P363" s="111" t="str">
        <f ca="1">IF(NOT(ISERROR($Y363)),IF($Y363&lt;&gt;FALSE,INDEX(Banco,$Y363,6),""),"")</f>
        <v>hora</v>
      </c>
      <c r="Q363" s="107">
        <v>5</v>
      </c>
      <c r="R363" s="100">
        <f ca="1">IF(NOT(ISERROR($Y363)),IF($Y363&lt;&gt;FALSE,INDEX(Banco,$Y363,7),0),0)</f>
        <v>8.26</v>
      </c>
      <c r="S363" s="109" t="s">
        <v>62</v>
      </c>
      <c r="T363" s="99">
        <f ca="1">IF($J363=$G$2,ROUND(ROUND($R363,2)*IF($R$9="Preço Unitário (R$)",1,1+$AA363),2),0)</f>
        <v>10.33</v>
      </c>
      <c r="U363" s="102">
        <f ca="1">IF($A363="S",VTOTAL1,IF($A363=0,0,ROUND(SomaAgrup,2)))</f>
        <v>51.65</v>
      </c>
      <c r="W363" s="1" t="str">
        <f ca="1">IF(OR($A363=0,$A363="S",$A363&gt;CFF!$A$9),"",MAX(W$11:OFFSET(W363,-1,0))+1)</f>
        <v/>
      </c>
      <c r="X363" s="3" t="str">
        <f>IF(AND($J363=$G$2,$N363&lt;&gt;"",$M363&lt;&gt;""),CONCATENATE($M363,"-",$N363))</f>
        <v>Rec. Humanos-005</v>
      </c>
      <c r="Y363" s="1">
        <f ca="1">IF(X363&lt;&gt;FALSE,MATCH(X363,OFFSET(Banco,0,0,,1),0))</f>
        <v>7</v>
      </c>
      <c r="AA363" s="106">
        <f>IF($J363=$G$2,ROUND(IF(ISNUMBER(S363),S363,IF(LEFT(S363,2)="DI",HLOOKUP(S363,DADOS!$T$29:$X$30,2,FALSE),0)),4),"")</f>
        <v>0.25</v>
      </c>
      <c r="AB363" s="1"/>
    </row>
    <row r="364" spans="1:28" x14ac:dyDescent="0.2">
      <c r="A364" t="str">
        <f>CHOOSE(1+LOG(1+2*(J364=$C$2)+4*(J364=$D$2)+8*(J364=$E$2)+16*(J364=$F$2)+32*(J364=$G$2),2),0,1,2,3,4,"S")</f>
        <v>S</v>
      </c>
      <c r="B364">
        <f>IF(OR(A364="S",A364=0),0,IF(ISERROR(I364),H364,SMALL(H364:I364,1)))</f>
        <v>0</v>
      </c>
      <c r="C364">
        <f ca="1">IF($A364=1,OFFSET(C364,-1,0)+1,OFFSET(C364,-1,0))</f>
        <v>12</v>
      </c>
      <c r="D364">
        <f ca="1">IF($A364=1,0,IF($A364=2,OFFSET(D364,-1,0)+1,OFFSET(D364,-1,0)))</f>
        <v>1</v>
      </c>
      <c r="E364">
        <f ca="1">IF(AND($A364&lt;=2,$A364&lt;&gt;0),0,IF($A364=3,OFFSET(E364,-1,0)+1,OFFSET(E364,-1,0)))</f>
        <v>0</v>
      </c>
      <c r="F364">
        <f ca="1">IF(AND($A364&lt;=3,$A364&lt;&gt;0),0,IF($A364=4,OFFSET(F364,-1,0)+1,OFFSET(F364,-1,0)))</f>
        <v>0</v>
      </c>
      <c r="G364">
        <f ca="1">IF(AND($A364&lt;=4,$A364&lt;&gt;0),0,IF($A364="S",OFFSET(G364,-1,0)+1,OFFSET(G364,-1,0)))</f>
        <v>7</v>
      </c>
      <c r="H364">
        <f t="shared" ca="1" si="331"/>
        <v>0</v>
      </c>
      <c r="I364">
        <f t="shared" ca="1" si="332"/>
        <v>0</v>
      </c>
      <c r="J364" s="105" t="s">
        <v>29</v>
      </c>
      <c r="K364" s="97" t="str">
        <f ca="1">IF($A364=0,"-",CONCATENATE(C364&amp;".",IF(AND($A$5&gt;=2,$A364&gt;=2),D364&amp;".",""),IF(AND($A$5&gt;=3,$A364&gt;=3),E364&amp;".",""),IF(AND($A$5&gt;=4,$A364&gt;=4),F364&amp;".",""),IF($A364="S",G364&amp;".","")))</f>
        <v>12.1.7.</v>
      </c>
      <c r="L364" s="110">
        <f ca="1">IF(NOT(ISERROR($Y364)),IF($Y364&lt;&gt;FALSE,INDEX(Banco,$Y364,4),""),"")</f>
        <v>0</v>
      </c>
      <c r="M364" s="98" t="s">
        <v>78</v>
      </c>
      <c r="N364" s="112" t="s">
        <v>221</v>
      </c>
      <c r="O364" s="110" t="str">
        <f t="shared" ca="1" si="330"/>
        <v>Estagiarios</v>
      </c>
      <c r="P364" s="111" t="str">
        <f ca="1">IF(NOT(ISERROR($Y364)),IF($Y364&lt;&gt;FALSE,INDEX(Banco,$Y364,6),""),"")</f>
        <v>hora</v>
      </c>
      <c r="Q364" s="107">
        <v>5</v>
      </c>
      <c r="R364" s="100">
        <f ca="1">IF(NOT(ISERROR($Y364)),IF($Y364&lt;&gt;FALSE,INDEX(Banco,$Y364,7),0),0)</f>
        <v>8.26</v>
      </c>
      <c r="S364" s="109" t="s">
        <v>62</v>
      </c>
      <c r="T364" s="99">
        <f ca="1">IF($J364=$G$2,ROUND(ROUND($R364,2)*IF($R$9="Preço Unitário (R$)",1,1+$AA364),2),0)</f>
        <v>10.33</v>
      </c>
      <c r="U364" s="102">
        <f ca="1">IF($A364="S",VTOTAL1,IF($A364=0,0,ROUND(SomaAgrup,2)))</f>
        <v>51.65</v>
      </c>
      <c r="W364" s="1" t="str">
        <f ca="1">IF(OR($A364=0,$A364="S",$A364&gt;CFF!$A$9),"",MAX(W$11:OFFSET(W364,-1,0))+1)</f>
        <v/>
      </c>
      <c r="X364" s="3" t="str">
        <f>IF(AND($J364=$G$2,$N364&lt;&gt;"",$M364&lt;&gt;""),CONCATENATE($M364,"-",$N364))</f>
        <v>Rec. Humanos-005</v>
      </c>
      <c r="Y364" s="1">
        <f ca="1">IF(X364&lt;&gt;FALSE,MATCH(X364,OFFSET(Banco,0,0,,1),0))</f>
        <v>7</v>
      </c>
      <c r="AA364" s="106">
        <f>IF($J364=$G$2,ROUND(IF(ISNUMBER(S364),S364,IF(LEFT(S364,2)="DI",HLOOKUP(S364,DADOS!$T$29:$X$30,2,FALSE),0)),4),"")</f>
        <v>0.25</v>
      </c>
      <c r="AB364" s="1"/>
    </row>
    <row r="365" spans="1:28" x14ac:dyDescent="0.2">
      <c r="A365" t="str">
        <f>CHOOSE(1+LOG(1+2*(J365=$C$2)+4*(J365=$D$2)+8*(J365=$E$2)+16*(J365=$F$2)+32*(J365=$G$2),2),0,1,2,3,4,"S")</f>
        <v>S</v>
      </c>
      <c r="B365">
        <f>IF(OR(A365="S",A365=0),0,IF(ISERROR(I365),H365,SMALL(H365:I365,1)))</f>
        <v>0</v>
      </c>
      <c r="C365">
        <f ca="1">IF($A365=1,OFFSET(C365,-1,0)+1,OFFSET(C365,-1,0))</f>
        <v>12</v>
      </c>
      <c r="D365">
        <f ca="1">IF($A365=1,0,IF($A365=2,OFFSET(D365,-1,0)+1,OFFSET(D365,-1,0)))</f>
        <v>1</v>
      </c>
      <c r="E365">
        <f ca="1">IF(AND($A365&lt;=2,$A365&lt;&gt;0),0,IF($A365=3,OFFSET(E365,-1,0)+1,OFFSET(E365,-1,0)))</f>
        <v>0</v>
      </c>
      <c r="F365">
        <f ca="1">IF(AND($A365&lt;=3,$A365&lt;&gt;0),0,IF($A365=4,OFFSET(F365,-1,0)+1,OFFSET(F365,-1,0)))</f>
        <v>0</v>
      </c>
      <c r="G365">
        <f ca="1">IF(AND($A365&lt;=4,$A365&lt;&gt;0),0,IF($A365="S",OFFSET(G365,-1,0)+1,OFFSET(G365,-1,0)))</f>
        <v>8</v>
      </c>
      <c r="H365">
        <f t="shared" ca="1" si="331"/>
        <v>0</v>
      </c>
      <c r="I365">
        <f t="shared" ca="1" si="332"/>
        <v>0</v>
      </c>
      <c r="J365" s="105" t="s">
        <v>29</v>
      </c>
      <c r="K365" s="97" t="str">
        <f ca="1">IF($A365=0,"-",CONCATENATE(C365&amp;".",IF(AND($A$5&gt;=2,$A365&gt;=2),D365&amp;".",""),IF(AND($A$5&gt;=3,$A365&gt;=3),E365&amp;".",""),IF(AND($A$5&gt;=4,$A365&gt;=4),F365&amp;".",""),IF($A365="S",G365&amp;".","")))</f>
        <v>12.1.8.</v>
      </c>
      <c r="L365" s="110">
        <f ca="1">IF(NOT(ISERROR($Y365)),IF($Y365&lt;&gt;FALSE,INDEX(Banco,$Y365,4),""),"")</f>
        <v>0</v>
      </c>
      <c r="M365" s="98" t="s">
        <v>78</v>
      </c>
      <c r="N365" s="112" t="s">
        <v>221</v>
      </c>
      <c r="O365" s="110" t="str">
        <f t="shared" ca="1" si="330"/>
        <v>Estagiarios</v>
      </c>
      <c r="P365" s="111" t="str">
        <f ca="1">IF(NOT(ISERROR($Y365)),IF($Y365&lt;&gt;FALSE,INDEX(Banco,$Y365,6),""),"")</f>
        <v>hora</v>
      </c>
      <c r="Q365" s="107">
        <v>5</v>
      </c>
      <c r="R365" s="100">
        <f ca="1">IF(NOT(ISERROR($Y365)),IF($Y365&lt;&gt;FALSE,INDEX(Banco,$Y365,7),0),0)</f>
        <v>8.26</v>
      </c>
      <c r="S365" s="109" t="s">
        <v>62</v>
      </c>
      <c r="T365" s="99">
        <f ca="1">IF($J365=$G$2,ROUND(ROUND($R365,2)*IF($R$9="Preço Unitário (R$)",1,1+$AA365),2),0)</f>
        <v>10.33</v>
      </c>
      <c r="U365" s="102">
        <f ca="1">IF($A365="S",VTOTAL1,IF($A365=0,0,ROUND(SomaAgrup,2)))</f>
        <v>51.65</v>
      </c>
      <c r="W365" s="1" t="str">
        <f ca="1">IF(OR($A365=0,$A365="S",$A365&gt;CFF!$A$9),"",MAX(W$11:OFFSET(W365,-1,0))+1)</f>
        <v/>
      </c>
      <c r="X365" s="3" t="str">
        <f>IF(AND($J365=$G$2,$N365&lt;&gt;"",$M365&lt;&gt;""),CONCATENATE($M365,"-",$N365))</f>
        <v>Rec. Humanos-005</v>
      </c>
      <c r="Y365" s="1">
        <f ca="1">IF(X365&lt;&gt;FALSE,MATCH(X365,OFFSET(Banco,0,0,,1),0))</f>
        <v>7</v>
      </c>
      <c r="AA365" s="106">
        <f>IF($J365=$G$2,ROUND(IF(ISNUMBER(S365),S365,IF(LEFT(S365,2)="DI",HLOOKUP(S365,DADOS!$T$29:$X$30,2,FALSE),0)),4),"")</f>
        <v>0.25</v>
      </c>
      <c r="AB365" s="1"/>
    </row>
    <row r="366" spans="1:28" x14ac:dyDescent="0.2">
      <c r="A366" t="str">
        <f>CHOOSE(1+LOG(1+2*(J366=$C$2)+4*(J366=$D$2)+8*(J366=$E$2)+16*(J366=$F$2)+32*(J366=$G$2),2),0,1,2,3,4,"S")</f>
        <v>S</v>
      </c>
      <c r="B366">
        <f>IF(OR(A366="S",A366=0),0,IF(ISERROR(I366),H366,SMALL(H366:I366,1)))</f>
        <v>0</v>
      </c>
      <c r="C366">
        <f ca="1">IF($A366=1,OFFSET(C366,-1,0)+1,OFFSET(C366,-1,0))</f>
        <v>12</v>
      </c>
      <c r="D366">
        <f ca="1">IF($A366=1,0,IF($A366=2,OFFSET(D366,-1,0)+1,OFFSET(D366,-1,0)))</f>
        <v>1</v>
      </c>
      <c r="E366">
        <f ca="1">IF(AND($A366&lt;=2,$A366&lt;&gt;0),0,IF($A366=3,OFFSET(E366,-1,0)+1,OFFSET(E366,-1,0)))</f>
        <v>0</v>
      </c>
      <c r="F366">
        <f ca="1">IF(AND($A366&lt;=3,$A366&lt;&gt;0),0,IF($A366=4,OFFSET(F366,-1,0)+1,OFFSET(F366,-1,0)))</f>
        <v>0</v>
      </c>
      <c r="G366">
        <f ca="1">IF(AND($A366&lt;=4,$A366&lt;&gt;0),0,IF($A366="S",OFFSET(G366,-1,0)+1,OFFSET(G366,-1,0)))</f>
        <v>9</v>
      </c>
      <c r="H366">
        <f t="shared" ca="1" si="331"/>
        <v>0</v>
      </c>
      <c r="I366">
        <f t="shared" ca="1" si="332"/>
        <v>0</v>
      </c>
      <c r="J366" s="105" t="s">
        <v>29</v>
      </c>
      <c r="K366" s="97" t="str">
        <f ca="1">IF($A366=0,"-",CONCATENATE(C366&amp;".",IF(AND($A$5&gt;=2,$A366&gt;=2),D366&amp;".",""),IF(AND($A$5&gt;=3,$A366&gt;=3),E366&amp;".",""),IF(AND($A$5&gt;=4,$A366&gt;=4),F366&amp;".",""),IF($A366="S",G366&amp;".","")))</f>
        <v>12.1.9.</v>
      </c>
      <c r="L366" s="110">
        <f ca="1">IF(NOT(ISERROR($Y366)),IF($Y366&lt;&gt;FALSE,INDEX(Banco,$Y366,4),""),"")</f>
        <v>0</v>
      </c>
      <c r="M366" s="98" t="s">
        <v>79</v>
      </c>
      <c r="N366" s="112" t="s">
        <v>241</v>
      </c>
      <c r="O366" s="110" t="str">
        <f t="shared" ca="1" si="330"/>
        <v>Fotocopia preto e branco</v>
      </c>
      <c r="P366" s="111" t="str">
        <f ca="1">IF(NOT(ISERROR($Y366)),IF($Y366&lt;&gt;FALSE,INDEX(Banco,$Y366,6),""),"")</f>
        <v>UNIDADE</v>
      </c>
      <c r="Q366" s="107">
        <v>56.15</v>
      </c>
      <c r="R366" s="100">
        <f ca="1">IF(NOT(ISERROR($Y366)),IF($Y366&lt;&gt;FALSE,INDEX(Banco,$Y366,7),0),0)</f>
        <v>0.25</v>
      </c>
      <c r="S366" s="109" t="s">
        <v>62</v>
      </c>
      <c r="T366" s="99">
        <f ca="1">IF($J366=$G$2,ROUND(ROUND($R366,2)*IF($R$9="Preço Unitário (R$)",1,1+$AA366),2),0)</f>
        <v>0.31</v>
      </c>
      <c r="U366" s="102">
        <f ca="1">IF($A366="S",VTOTAL1,IF($A366=0,0,ROUND(SomaAgrup,2)))</f>
        <v>17.41</v>
      </c>
      <c r="W366" s="1" t="str">
        <f ca="1">IF(OR($A366=0,$A366="S",$A366&gt;CFF!$A$9),"",MAX(W$11:OFFSET(W366,-1,0))+1)</f>
        <v/>
      </c>
      <c r="X366" s="3" t="str">
        <f>IF(AND($J366=$G$2,$N366&lt;&gt;"",$M366&lt;&gt;""),CONCATENATE($M366,"-",$N366))</f>
        <v>Rec. Materiais-015</v>
      </c>
      <c r="Y366" s="1">
        <f ca="1">IF(X366&lt;&gt;FALSE,MATCH(X366,OFFSET(Banco,0,0,,1),0))</f>
        <v>22</v>
      </c>
      <c r="AA366" s="106">
        <f>IF($J366=$G$2,ROUND(IF(ISNUMBER(S366),S366,IF(LEFT(S366,2)="DI",HLOOKUP(S366,DADOS!$T$29:$X$30,2,FALSE),0)),4),"")</f>
        <v>0.25</v>
      </c>
      <c r="AB366" s="1"/>
    </row>
    <row r="367" spans="1:28" x14ac:dyDescent="0.2">
      <c r="A367">
        <v>-1</v>
      </c>
      <c r="C367">
        <v>0</v>
      </c>
      <c r="D367">
        <v>0</v>
      </c>
      <c r="E367">
        <v>0</v>
      </c>
      <c r="F367">
        <v>0</v>
      </c>
      <c r="G367">
        <v>0</v>
      </c>
      <c r="J367" s="31"/>
      <c r="K367" s="31"/>
      <c r="L367" s="31"/>
      <c r="M367" s="31"/>
      <c r="N367" s="31"/>
      <c r="O367" s="31"/>
      <c r="P367" s="52"/>
      <c r="Q367" s="31"/>
      <c r="R367" s="31"/>
      <c r="S367" s="31"/>
      <c r="T367" s="31"/>
      <c r="U367" s="31"/>
      <c r="W367" s="1"/>
      <c r="X367" s="1"/>
      <c r="Y367" s="1"/>
      <c r="AA367" s="1"/>
      <c r="AB367" s="1"/>
    </row>
    <row r="368" spans="1:28" ht="14.25" x14ac:dyDescent="0.2">
      <c r="A368" s="1"/>
      <c r="B368" s="1"/>
      <c r="C368" s="1"/>
      <c r="D368" s="1"/>
      <c r="E368" s="1"/>
      <c r="F368" s="1"/>
      <c r="G368" s="1"/>
      <c r="H368" s="1"/>
      <c r="I368" s="1"/>
      <c r="J368" s="1"/>
      <c r="K368" s="34" t="s">
        <v>8</v>
      </c>
      <c r="L368" s="1"/>
      <c r="M368" s="1"/>
      <c r="N368" s="1"/>
      <c r="O368" s="1"/>
      <c r="P368" s="3"/>
      <c r="Q368" s="1"/>
      <c r="R368" s="1"/>
      <c r="S368" s="1"/>
      <c r="T368" s="1"/>
      <c r="U368" s="33"/>
      <c r="W368" s="1"/>
      <c r="X368" s="1"/>
      <c r="Y368" s="1"/>
      <c r="AA368" s="1"/>
      <c r="AB368" s="1"/>
    </row>
    <row r="369" spans="1:28" ht="12.75" customHeight="1" x14ac:dyDescent="0.2">
      <c r="A369" s="1"/>
      <c r="B369" s="1"/>
      <c r="C369" s="1"/>
      <c r="D369" s="1"/>
      <c r="E369" s="1"/>
      <c r="F369" s="1"/>
      <c r="G369" s="1"/>
      <c r="H369" s="1"/>
      <c r="I369" s="1"/>
      <c r="J369" s="1"/>
      <c r="K369" s="225"/>
      <c r="L369" s="226"/>
      <c r="M369" s="226"/>
      <c r="N369" s="226"/>
      <c r="O369" s="226"/>
      <c r="P369" s="226"/>
      <c r="Q369" s="226"/>
      <c r="R369" s="226"/>
      <c r="S369" s="226"/>
      <c r="T369" s="226"/>
      <c r="U369" s="227"/>
      <c r="W369" s="1"/>
      <c r="X369" s="1"/>
      <c r="Y369" s="1"/>
      <c r="AA369" s="1"/>
      <c r="AB369" s="1"/>
    </row>
    <row r="370" spans="1:28" x14ac:dyDescent="0.2">
      <c r="A370" s="1"/>
      <c r="B370" s="1"/>
      <c r="C370" s="1"/>
      <c r="D370" s="1"/>
      <c r="E370" s="1"/>
      <c r="F370" s="1"/>
      <c r="G370" s="1"/>
      <c r="H370" s="1"/>
      <c r="I370" s="1"/>
      <c r="J370" s="1"/>
      <c r="K370" s="225"/>
      <c r="L370" s="226"/>
      <c r="M370" s="226"/>
      <c r="N370" s="226"/>
      <c r="O370" s="226"/>
      <c r="P370" s="226"/>
      <c r="Q370" s="226"/>
      <c r="R370" s="226"/>
      <c r="S370" s="226"/>
      <c r="T370" s="226"/>
      <c r="U370" s="227"/>
      <c r="W370" s="1"/>
      <c r="X370" s="1"/>
      <c r="Y370" s="1"/>
      <c r="AA370" s="1"/>
      <c r="AB370" s="1"/>
    </row>
    <row r="371" spans="1:28" x14ac:dyDescent="0.2">
      <c r="A371" s="1"/>
      <c r="B371" s="1"/>
      <c r="C371" s="1"/>
      <c r="D371" s="1"/>
      <c r="E371" s="1"/>
      <c r="F371" s="1"/>
      <c r="G371" s="1"/>
      <c r="H371" s="1"/>
      <c r="I371" s="1"/>
      <c r="J371" s="1"/>
      <c r="K371" s="228"/>
      <c r="L371" s="229"/>
      <c r="M371" s="229"/>
      <c r="N371" s="229"/>
      <c r="O371" s="229"/>
      <c r="P371" s="229"/>
      <c r="Q371" s="229"/>
      <c r="R371" s="229"/>
      <c r="S371" s="229"/>
      <c r="T371" s="229"/>
      <c r="U371" s="230"/>
      <c r="W371" s="1"/>
      <c r="X371" s="1"/>
      <c r="Y371" s="1"/>
      <c r="AA371" s="1"/>
      <c r="AB371" s="1"/>
    </row>
    <row r="372" spans="1:28" x14ac:dyDescent="0.2">
      <c r="A372" s="1"/>
      <c r="B372" s="1"/>
      <c r="C372" s="1"/>
      <c r="D372" s="1"/>
      <c r="E372" s="1"/>
      <c r="F372" s="1"/>
      <c r="G372" s="1"/>
      <c r="H372" s="1"/>
      <c r="I372" s="1"/>
      <c r="J372" s="1"/>
      <c r="K372" s="1"/>
      <c r="L372" s="1"/>
      <c r="M372" s="1"/>
      <c r="N372" s="1"/>
      <c r="O372" s="1"/>
      <c r="P372" s="3"/>
      <c r="Q372" s="1"/>
      <c r="R372" s="1"/>
      <c r="S372" s="1"/>
      <c r="T372" s="1"/>
      <c r="U372" s="1"/>
      <c r="W372" s="1"/>
      <c r="X372" s="1"/>
      <c r="Y372" s="1"/>
      <c r="AA372" s="1"/>
      <c r="AB372" s="1"/>
    </row>
    <row r="373" spans="1:28" ht="21" customHeight="1" x14ac:dyDescent="0.2">
      <c r="A373" s="1"/>
      <c r="B373" s="1"/>
      <c r="C373" s="1"/>
      <c r="D373" s="1"/>
      <c r="E373" s="1"/>
      <c r="F373" s="1"/>
      <c r="G373" s="1"/>
      <c r="H373" s="1"/>
      <c r="I373" s="1"/>
      <c r="J373" s="1"/>
      <c r="K373" s="1"/>
      <c r="L373" s="1"/>
      <c r="M373" s="1"/>
      <c r="N373" s="1"/>
      <c r="O373" s="1"/>
      <c r="P373" s="3"/>
      <c r="Q373" s="1"/>
      <c r="R373" s="1"/>
      <c r="S373" s="1"/>
      <c r="T373" s="1"/>
      <c r="U373" s="1"/>
      <c r="W373" s="1"/>
      <c r="X373" s="1"/>
      <c r="Y373" s="1"/>
      <c r="AA373" s="1"/>
      <c r="AB373" s="1"/>
    </row>
    <row r="374" spans="1:28" x14ac:dyDescent="0.2">
      <c r="A374" s="1"/>
      <c r="B374" s="1"/>
      <c r="C374" s="1"/>
      <c r="D374" s="1"/>
      <c r="E374" s="1"/>
      <c r="F374" s="1"/>
      <c r="G374" s="1"/>
      <c r="H374" s="1"/>
      <c r="I374" s="1"/>
      <c r="J374" s="1"/>
      <c r="K374" s="232" t="str">
        <f>Import.Município</f>
        <v>MT</v>
      </c>
      <c r="L374" s="232"/>
      <c r="M374" s="232"/>
      <c r="N374" s="232"/>
      <c r="O374" s="1"/>
      <c r="P374" s="3"/>
      <c r="Q374" s="1"/>
      <c r="R374" s="1"/>
      <c r="S374" s="1"/>
      <c r="T374" s="1"/>
      <c r="U374" s="1"/>
      <c r="W374" s="1"/>
      <c r="X374" s="1"/>
      <c r="Y374" s="1"/>
      <c r="AA374" s="1"/>
      <c r="AB374" s="1"/>
    </row>
    <row r="375" spans="1:28" x14ac:dyDescent="0.2">
      <c r="A375" s="1"/>
      <c r="B375" s="1"/>
      <c r="C375" s="1"/>
      <c r="D375" s="1"/>
      <c r="E375" s="1"/>
      <c r="F375" s="1"/>
      <c r="G375" s="1"/>
      <c r="H375" s="1"/>
      <c r="I375" s="1"/>
      <c r="J375" s="1"/>
      <c r="K375" s="40" t="s">
        <v>18</v>
      </c>
      <c r="L375" s="1"/>
      <c r="M375" s="1"/>
      <c r="N375" s="1"/>
      <c r="O375" s="1"/>
      <c r="P375" s="3"/>
      <c r="Q375" s="1"/>
      <c r="R375" s="1"/>
      <c r="S375" s="1"/>
      <c r="T375" s="1"/>
      <c r="U375" s="1"/>
      <c r="W375" s="1"/>
      <c r="X375" s="1"/>
      <c r="Y375" s="1"/>
      <c r="AA375" s="1"/>
      <c r="AB375" s="1"/>
    </row>
    <row r="376" spans="1:28" x14ac:dyDescent="0.2">
      <c r="A376" s="1"/>
      <c r="B376" s="1"/>
      <c r="C376" s="1"/>
      <c r="D376" s="1"/>
      <c r="E376" s="1"/>
      <c r="F376" s="1"/>
      <c r="G376" s="1"/>
      <c r="H376" s="1"/>
      <c r="I376" s="1"/>
      <c r="J376" s="1"/>
      <c r="K376" s="1"/>
      <c r="L376" s="1"/>
      <c r="M376" s="1"/>
      <c r="N376" s="1"/>
      <c r="O376" s="1"/>
      <c r="P376" s="3"/>
      <c r="Q376" s="1"/>
      <c r="R376" s="1"/>
      <c r="S376" s="1"/>
      <c r="T376" s="1"/>
      <c r="U376" s="1"/>
      <c r="W376" s="1"/>
      <c r="X376" s="1"/>
      <c r="Y376" s="1"/>
      <c r="AA376" s="1"/>
      <c r="AB376" s="1"/>
    </row>
    <row r="377" spans="1:28" x14ac:dyDescent="0.2">
      <c r="A377" s="1"/>
      <c r="B377" s="1"/>
      <c r="C377" s="1"/>
      <c r="D377" s="1"/>
      <c r="E377" s="1"/>
      <c r="F377" s="1"/>
      <c r="G377" s="1"/>
      <c r="H377" s="1"/>
      <c r="I377" s="1"/>
      <c r="J377" s="1"/>
      <c r="K377" s="231">
        <f ca="1">TODAY()</f>
        <v>44851</v>
      </c>
      <c r="L377" s="231"/>
      <c r="M377" s="231"/>
      <c r="N377" s="231"/>
      <c r="O377" s="1"/>
      <c r="P377" s="3"/>
      <c r="Q377" s="1"/>
      <c r="R377" s="1"/>
      <c r="S377" s="1"/>
      <c r="T377" s="1"/>
      <c r="U377" s="1"/>
      <c r="W377" s="1"/>
      <c r="X377" s="1"/>
      <c r="Y377" s="1"/>
      <c r="AA377" s="1"/>
      <c r="AB377" s="1"/>
    </row>
    <row r="378" spans="1:28" x14ac:dyDescent="0.2">
      <c r="A378" s="1"/>
      <c r="B378" s="1"/>
      <c r="C378" s="1"/>
      <c r="D378" s="1"/>
      <c r="E378" s="1"/>
      <c r="F378" s="1"/>
      <c r="G378" s="1"/>
      <c r="H378" s="1"/>
      <c r="I378" s="1"/>
      <c r="J378" s="1"/>
      <c r="K378" s="43" t="s">
        <v>19</v>
      </c>
      <c r="L378" s="31"/>
      <c r="M378" s="31"/>
      <c r="N378" s="31"/>
      <c r="O378" s="1"/>
      <c r="P378" s="3"/>
      <c r="Q378" s="1"/>
      <c r="R378" s="1"/>
      <c r="S378" s="1"/>
      <c r="T378" s="1"/>
      <c r="U378" s="1"/>
      <c r="W378" s="1"/>
      <c r="X378" s="1"/>
      <c r="Y378" s="1"/>
      <c r="AA378" s="1"/>
      <c r="AB378" s="1"/>
    </row>
  </sheetData>
  <sheetProtection sheet="1" objects="1" scenarios="1" formatRows="0"/>
  <mergeCells count="3">
    <mergeCell ref="K369:U371"/>
    <mergeCell ref="K377:N377"/>
    <mergeCell ref="K374:N374"/>
  </mergeCells>
  <phoneticPr fontId="24" type="noConversion"/>
  <conditionalFormatting sqref="K10 O10 U10 K22:K107 O22:O107 U22:U107 U109:U198 O109:O198 K109:K198 K200:K366 O200:O366 U200:U366">
    <cfRule type="expression" dxfId="169" priority="5417" stopIfTrue="1">
      <formula>$J10=$C$2</formula>
    </cfRule>
    <cfRule type="expression" dxfId="168" priority="5418" stopIfTrue="1">
      <formula>AND($J10&lt;&gt;"",$J10&lt;&gt;$G$2)</formula>
    </cfRule>
  </conditionalFormatting>
  <conditionalFormatting sqref="L10:N10 P10 AA10 R10:T10 AA12 L22:N107 P22:P107 AA22:AA107 R22:T107 R109:T198 AA109:AA198 P109:P198 L109:N198 L200:N366 P200:P366 AA200:AA366 R200:T366">
    <cfRule type="expression" dxfId="167" priority="5423" stopIfTrue="1">
      <formula>$J10=$C$2</formula>
    </cfRule>
    <cfRule type="expression" dxfId="166" priority="5424" stopIfTrue="1">
      <formula>AND($J10&lt;&gt;$G$2)</formula>
    </cfRule>
  </conditionalFormatting>
  <conditionalFormatting sqref="Q10 Q22:Q107 Q109:Q198 Q200:Q366">
    <cfRule type="expression" dxfId="165" priority="3482" stopIfTrue="1">
      <formula>$J10=$C$2</formula>
    </cfRule>
    <cfRule type="expression" dxfId="164" priority="3483" stopIfTrue="1">
      <formula>AND($J10&lt;&gt;$G$2)</formula>
    </cfRule>
    <cfRule type="expression" dxfId="163" priority="3484" stopIfTrue="1">
      <formula>CELL("proteger",$Q10)=0</formula>
    </cfRule>
  </conditionalFormatting>
  <conditionalFormatting sqref="K12 O12 U12">
    <cfRule type="expression" dxfId="162" priority="3478" stopIfTrue="1">
      <formula>$J12=$C$2</formula>
    </cfRule>
    <cfRule type="expression" dxfId="161" priority="3479" stopIfTrue="1">
      <formula>AND($J12&lt;&gt;"",$J12&lt;&gt;$G$2)</formula>
    </cfRule>
  </conditionalFormatting>
  <conditionalFormatting sqref="L12 P12 R12:T12">
    <cfRule type="expression" dxfId="160" priority="3480" stopIfTrue="1">
      <formula>$J12=$C$2</formula>
    </cfRule>
    <cfRule type="expression" dxfId="159" priority="3481" stopIfTrue="1">
      <formula>AND($J12&lt;&gt;$G$2)</formula>
    </cfRule>
  </conditionalFormatting>
  <conditionalFormatting sqref="Q12">
    <cfRule type="expression" dxfId="158" priority="3475" stopIfTrue="1">
      <formula>$J12=$C$2</formula>
    </cfRule>
    <cfRule type="expression" dxfId="157" priority="3476" stopIfTrue="1">
      <formula>AND($J12&lt;&gt;$G$2)</formula>
    </cfRule>
    <cfRule type="expression" dxfId="156" priority="3477" stopIfTrue="1">
      <formula>CELL("proteger",$Q12)=0</formula>
    </cfRule>
  </conditionalFormatting>
  <conditionalFormatting sqref="M12:N12">
    <cfRule type="expression" dxfId="155" priority="3318" stopIfTrue="1">
      <formula>$J12=$C$2</formula>
    </cfRule>
    <cfRule type="expression" dxfId="154" priority="3319" stopIfTrue="1">
      <formula>AND($J12&lt;&gt;$G$2)</formula>
    </cfRule>
  </conditionalFormatting>
  <conditionalFormatting sqref="K369:U371">
    <cfRule type="notContainsBlanks" dxfId="153" priority="3102" stopIfTrue="1">
      <formula>LEN(TRIM(K369))&gt;0</formula>
    </cfRule>
  </conditionalFormatting>
  <conditionalFormatting sqref="K13 O13 U13">
    <cfRule type="expression" dxfId="152" priority="3098" stopIfTrue="1">
      <formula>$J13=$C$2</formula>
    </cfRule>
    <cfRule type="expression" dxfId="151" priority="3099" stopIfTrue="1">
      <formula>AND($J13&lt;&gt;"",$J13&lt;&gt;$G$2)</formula>
    </cfRule>
  </conditionalFormatting>
  <conditionalFormatting sqref="L13:N13 P13 AA13 R13:T13">
    <cfRule type="expression" dxfId="150" priority="3100" stopIfTrue="1">
      <formula>$J13=$C$2</formula>
    </cfRule>
    <cfRule type="expression" dxfId="149" priority="3101" stopIfTrue="1">
      <formula>AND($J13&lt;&gt;$G$2)</formula>
    </cfRule>
  </conditionalFormatting>
  <conditionalFormatting sqref="Q13">
    <cfRule type="expression" dxfId="148" priority="3095" stopIfTrue="1">
      <formula>$J13=$C$2</formula>
    </cfRule>
    <cfRule type="expression" dxfId="147" priority="3096" stopIfTrue="1">
      <formula>AND($J13&lt;&gt;$G$2)</formula>
    </cfRule>
    <cfRule type="expression" dxfId="146" priority="3097" stopIfTrue="1">
      <formula>CELL("proteger",$Q13)=0</formula>
    </cfRule>
  </conditionalFormatting>
  <conditionalFormatting sqref="K14 O14 U14">
    <cfRule type="expression" dxfId="145" priority="3091" stopIfTrue="1">
      <formula>$J14=$C$2</formula>
    </cfRule>
    <cfRule type="expression" dxfId="144" priority="3092" stopIfTrue="1">
      <formula>AND($J14&lt;&gt;"",$J14&lt;&gt;$G$2)</formula>
    </cfRule>
  </conditionalFormatting>
  <conditionalFormatting sqref="L14:N14 P14 AA14 R14:T14">
    <cfRule type="expression" dxfId="143" priority="3093" stopIfTrue="1">
      <formula>$J14=$C$2</formula>
    </cfRule>
    <cfRule type="expression" dxfId="142" priority="3094" stopIfTrue="1">
      <formula>AND($J14&lt;&gt;$G$2)</formula>
    </cfRule>
  </conditionalFormatting>
  <conditionalFormatting sqref="Q14">
    <cfRule type="expression" dxfId="141" priority="3088" stopIfTrue="1">
      <formula>$J14=$C$2</formula>
    </cfRule>
    <cfRule type="expression" dxfId="140" priority="3089" stopIfTrue="1">
      <formula>AND($J14&lt;&gt;$G$2)</formula>
    </cfRule>
    <cfRule type="expression" dxfId="139" priority="3090" stopIfTrue="1">
      <formula>CELL("proteger",$Q14)=0</formula>
    </cfRule>
  </conditionalFormatting>
  <conditionalFormatting sqref="K15 O15 U15">
    <cfRule type="expression" dxfId="138" priority="3084" stopIfTrue="1">
      <formula>$J15=$C$2</formula>
    </cfRule>
    <cfRule type="expression" dxfId="137" priority="3085" stopIfTrue="1">
      <formula>AND($J15&lt;&gt;"",$J15&lt;&gt;$G$2)</formula>
    </cfRule>
  </conditionalFormatting>
  <conditionalFormatting sqref="L15:N15 P15 AA15 R15:T15">
    <cfRule type="expression" dxfId="136" priority="3086" stopIfTrue="1">
      <formula>$J15=$C$2</formula>
    </cfRule>
    <cfRule type="expression" dxfId="135" priority="3087" stopIfTrue="1">
      <formula>AND($J15&lt;&gt;$G$2)</formula>
    </cfRule>
  </conditionalFormatting>
  <conditionalFormatting sqref="Q15">
    <cfRule type="expression" dxfId="134" priority="3081" stopIfTrue="1">
      <formula>$J15=$C$2</formula>
    </cfRule>
    <cfRule type="expression" dxfId="133" priority="3082" stopIfTrue="1">
      <formula>AND($J15&lt;&gt;$G$2)</formula>
    </cfRule>
    <cfRule type="expression" dxfId="132" priority="3083" stopIfTrue="1">
      <formula>CELL("proteger",$Q15)=0</formula>
    </cfRule>
  </conditionalFormatting>
  <conditionalFormatting sqref="K17 O17 U17">
    <cfRule type="expression" dxfId="131" priority="3077" stopIfTrue="1">
      <formula>$J17=$C$2</formula>
    </cfRule>
    <cfRule type="expression" dxfId="130" priority="3078" stopIfTrue="1">
      <formula>AND($J17&lt;&gt;"",$J17&lt;&gt;$G$2)</formula>
    </cfRule>
  </conditionalFormatting>
  <conditionalFormatting sqref="L17:N17 P17 AA17 R17:T17">
    <cfRule type="expression" dxfId="129" priority="3079" stopIfTrue="1">
      <formula>$J17=$C$2</formula>
    </cfRule>
    <cfRule type="expression" dxfId="128" priority="3080" stopIfTrue="1">
      <formula>AND($J17&lt;&gt;$G$2)</formula>
    </cfRule>
  </conditionalFormatting>
  <conditionalFormatting sqref="Q17">
    <cfRule type="expression" dxfId="127" priority="3074" stopIfTrue="1">
      <formula>$J17=$C$2</formula>
    </cfRule>
    <cfRule type="expression" dxfId="126" priority="3075" stopIfTrue="1">
      <formula>AND($J17&lt;&gt;$G$2)</formula>
    </cfRule>
    <cfRule type="expression" dxfId="125" priority="3076" stopIfTrue="1">
      <formula>CELL("proteger",$Q17)=0</formula>
    </cfRule>
  </conditionalFormatting>
  <conditionalFormatting sqref="K18 O18 U18">
    <cfRule type="expression" dxfId="124" priority="3070" stopIfTrue="1">
      <formula>$J18=$C$2</formula>
    </cfRule>
    <cfRule type="expression" dxfId="123" priority="3071" stopIfTrue="1">
      <formula>AND($J18&lt;&gt;"",$J18&lt;&gt;$G$2)</formula>
    </cfRule>
  </conditionalFormatting>
  <conditionalFormatting sqref="L18:N18 P18 AA18 R18:T18">
    <cfRule type="expression" dxfId="122" priority="3072" stopIfTrue="1">
      <formula>$J18=$C$2</formula>
    </cfRule>
    <cfRule type="expression" dxfId="121" priority="3073" stopIfTrue="1">
      <formula>AND($J18&lt;&gt;$G$2)</formula>
    </cfRule>
  </conditionalFormatting>
  <conditionalFormatting sqref="Q18">
    <cfRule type="expression" dxfId="120" priority="3067" stopIfTrue="1">
      <formula>$J18=$C$2</formula>
    </cfRule>
    <cfRule type="expression" dxfId="119" priority="3068" stopIfTrue="1">
      <formula>AND($J18&lt;&gt;$G$2)</formula>
    </cfRule>
    <cfRule type="expression" dxfId="118" priority="3069" stopIfTrue="1">
      <formula>CELL("proteger",$Q18)=0</formula>
    </cfRule>
  </conditionalFormatting>
  <conditionalFormatting sqref="K19 O19 U19">
    <cfRule type="expression" dxfId="117" priority="3063" stopIfTrue="1">
      <formula>$J19=$C$2</formula>
    </cfRule>
    <cfRule type="expression" dxfId="116" priority="3064" stopIfTrue="1">
      <formula>AND($J19&lt;&gt;"",$J19&lt;&gt;$G$2)</formula>
    </cfRule>
  </conditionalFormatting>
  <conditionalFormatting sqref="L19:N19 P19 AA19 R19:T19">
    <cfRule type="expression" dxfId="115" priority="3065" stopIfTrue="1">
      <formula>$J19=$C$2</formula>
    </cfRule>
    <cfRule type="expression" dxfId="114" priority="3066" stopIfTrue="1">
      <formula>AND($J19&lt;&gt;$G$2)</formula>
    </cfRule>
  </conditionalFormatting>
  <conditionalFormatting sqref="Q19">
    <cfRule type="expression" dxfId="113" priority="3060" stopIfTrue="1">
      <formula>$J19=$C$2</formula>
    </cfRule>
    <cfRule type="expression" dxfId="112" priority="3061" stopIfTrue="1">
      <formula>AND($J19&lt;&gt;$G$2)</formula>
    </cfRule>
    <cfRule type="expression" dxfId="111" priority="3062" stopIfTrue="1">
      <formula>CELL("proteger",$Q19)=0</formula>
    </cfRule>
  </conditionalFormatting>
  <conditionalFormatting sqref="K20 O20 U20">
    <cfRule type="expression" dxfId="110" priority="3056" stopIfTrue="1">
      <formula>$J20=$C$2</formula>
    </cfRule>
    <cfRule type="expression" dxfId="109" priority="3057" stopIfTrue="1">
      <formula>AND($J20&lt;&gt;"",$J20&lt;&gt;$G$2)</formula>
    </cfRule>
  </conditionalFormatting>
  <conditionalFormatting sqref="L20:N20 P20 AA20 R20:T20">
    <cfRule type="expression" dxfId="108" priority="3058" stopIfTrue="1">
      <formula>$J20=$C$2</formula>
    </cfRule>
    <cfRule type="expression" dxfId="107" priority="3059" stopIfTrue="1">
      <formula>AND($J20&lt;&gt;$G$2)</formula>
    </cfRule>
  </conditionalFormatting>
  <conditionalFormatting sqref="Q20">
    <cfRule type="expression" dxfId="106" priority="3053" stopIfTrue="1">
      <formula>$J20=$C$2</formula>
    </cfRule>
    <cfRule type="expression" dxfId="105" priority="3054" stopIfTrue="1">
      <formula>AND($J20&lt;&gt;$G$2)</formula>
    </cfRule>
    <cfRule type="expression" dxfId="104" priority="3055" stopIfTrue="1">
      <formula>CELL("proteger",$Q20)=0</formula>
    </cfRule>
  </conditionalFormatting>
  <conditionalFormatting sqref="K21 O21 U21">
    <cfRule type="expression" dxfId="103" priority="3049" stopIfTrue="1">
      <formula>$J21=$C$2</formula>
    </cfRule>
    <cfRule type="expression" dxfId="102" priority="3050" stopIfTrue="1">
      <formula>AND($J21&lt;&gt;"",$J21&lt;&gt;$G$2)</formula>
    </cfRule>
  </conditionalFormatting>
  <conditionalFormatting sqref="L21:N21 P21 AA21 R21:T21">
    <cfRule type="expression" dxfId="101" priority="3051" stopIfTrue="1">
      <formula>$J21=$C$2</formula>
    </cfRule>
    <cfRule type="expression" dxfId="100" priority="3052" stopIfTrue="1">
      <formula>AND($J21&lt;&gt;$G$2)</formula>
    </cfRule>
  </conditionalFormatting>
  <conditionalFormatting sqref="Q21">
    <cfRule type="expression" dxfId="99" priority="3046" stopIfTrue="1">
      <formula>$J21=$C$2</formula>
    </cfRule>
    <cfRule type="expression" dxfId="98" priority="3047" stopIfTrue="1">
      <formula>AND($J21&lt;&gt;$G$2)</formula>
    </cfRule>
    <cfRule type="expression" dxfId="97" priority="3048" stopIfTrue="1">
      <formula>CELL("proteger",$Q21)=0</formula>
    </cfRule>
  </conditionalFormatting>
  <conditionalFormatting sqref="K16 O16 U16">
    <cfRule type="expression" dxfId="96" priority="249" stopIfTrue="1">
      <formula>$J16=$C$2</formula>
    </cfRule>
    <cfRule type="expression" dxfId="95" priority="250" stopIfTrue="1">
      <formula>AND($J16&lt;&gt;"",$J16&lt;&gt;$G$2)</formula>
    </cfRule>
  </conditionalFormatting>
  <conditionalFormatting sqref="L16:N16 P16 AA16 R16:T16">
    <cfRule type="expression" dxfId="94" priority="251" stopIfTrue="1">
      <formula>$J16=$C$2</formula>
    </cfRule>
    <cfRule type="expression" dxfId="93" priority="252" stopIfTrue="1">
      <formula>AND($J16&lt;&gt;$G$2)</formula>
    </cfRule>
  </conditionalFormatting>
  <conditionalFormatting sqref="Q16">
    <cfRule type="expression" dxfId="92" priority="246" stopIfTrue="1">
      <formula>$J16=$C$2</formula>
    </cfRule>
    <cfRule type="expression" dxfId="91" priority="247" stopIfTrue="1">
      <formula>AND($J16&lt;&gt;$G$2)</formula>
    </cfRule>
    <cfRule type="expression" dxfId="90" priority="248" stopIfTrue="1">
      <formula>CELL("proteger",$Q16)=0</formula>
    </cfRule>
  </conditionalFormatting>
  <conditionalFormatting sqref="K108 O108 U108">
    <cfRule type="expression" dxfId="89" priority="18" stopIfTrue="1">
      <formula>$J108=$C$2</formula>
    </cfRule>
    <cfRule type="expression" dxfId="88" priority="19" stopIfTrue="1">
      <formula>AND($J108&lt;&gt;"",$J108&lt;&gt;$G$2)</formula>
    </cfRule>
  </conditionalFormatting>
  <conditionalFormatting sqref="L108:N108 P108 AA108 R108:T108">
    <cfRule type="expression" dxfId="87" priority="20" stopIfTrue="1">
      <formula>$J108=$C$2</formula>
    </cfRule>
    <cfRule type="expression" dxfId="86" priority="21" stopIfTrue="1">
      <formula>AND($J108&lt;&gt;$G$2)</formula>
    </cfRule>
  </conditionalFormatting>
  <conditionalFormatting sqref="Q108">
    <cfRule type="expression" dxfId="85" priority="15" stopIfTrue="1">
      <formula>$J108=$C$2</formula>
    </cfRule>
    <cfRule type="expression" dxfId="84" priority="16" stopIfTrue="1">
      <formula>AND($J108&lt;&gt;$G$2)</formula>
    </cfRule>
    <cfRule type="expression" dxfId="83" priority="17" stopIfTrue="1">
      <formula>CELL("proteger",$Q108)=0</formula>
    </cfRule>
  </conditionalFormatting>
  <conditionalFormatting sqref="K199 O199 U199">
    <cfRule type="expression" dxfId="82" priority="11" stopIfTrue="1">
      <formula>$J199=$C$2</formula>
    </cfRule>
    <cfRule type="expression" dxfId="81" priority="12" stopIfTrue="1">
      <formula>AND($J199&lt;&gt;"",$J199&lt;&gt;$G$2)</formula>
    </cfRule>
  </conditionalFormatting>
  <conditionalFormatting sqref="L199:N199 P199 AA199 R199:T199">
    <cfRule type="expression" dxfId="80" priority="13" stopIfTrue="1">
      <formula>$J199=$C$2</formula>
    </cfRule>
    <cfRule type="expression" dxfId="79" priority="14" stopIfTrue="1">
      <formula>AND($J199&lt;&gt;$G$2)</formula>
    </cfRule>
  </conditionalFormatting>
  <conditionalFormatting sqref="Q199">
    <cfRule type="expression" dxfId="78" priority="8" stopIfTrue="1">
      <formula>$J199=$C$2</formula>
    </cfRule>
    <cfRule type="expression" dxfId="77" priority="9" stopIfTrue="1">
      <formula>AND($J199&lt;&gt;$G$2)</formula>
    </cfRule>
    <cfRule type="expression" dxfId="76" priority="10" stopIfTrue="1">
      <formula>CELL("proteger",$Q199)=0</formula>
    </cfRule>
  </conditionalFormatting>
  <dataValidations count="5">
    <dataValidation type="list" errorStyle="warning" allowBlank="1" showInputMessage="1" showErrorMessage="1" error="Selecione um dos 5 BDI da lista._x000a__x000a_Caso tenha mais de 5 BDI nesta Planilha Orçamentária digite apenas valor percentual." sqref="S12" xr:uid="{00000000-0002-0000-0200-000000000000}">
      <formula1>Dados.Lista.BDI</formula1>
    </dataValidation>
    <dataValidation type="list" showInputMessage="1" showErrorMessage="1" errorTitle="Erro de Entrada" error="Selecione somente os itens da lista." promptTitle="Nível:" prompt="Selecione na lista o nível de itemização da Planilha." sqref="J10 J13:J366" xr:uid="{00000000-0002-0000-0200-000001000000}">
      <formula1>$C$2:$G$2</formula1>
    </dataValidation>
    <dataValidation type="decimal" operator="greaterThanOrEqual" allowBlank="1" showInputMessage="1" showErrorMessage="1" sqref="Q10 Q13:Q366" xr:uid="{00000000-0002-0000-0200-000002000000}">
      <formula1>0</formula1>
    </dataValidation>
    <dataValidation type="decimal" operator="greaterThan" allowBlank="1" showInputMessage="1" showErrorMessage="1" error="Apenas números decimais maiores que zero." sqref="Q12:R12" xr:uid="{00000000-0002-0000-0200-000003000000}">
      <formula1>0</formula1>
    </dataValidation>
    <dataValidation type="list" errorStyle="warning" showInputMessage="1" showErrorMessage="1" error="Selecione um dos 5 BDI da lista._x000a__x000a_Caso tenha mais de 5 BDI nesta Planilha Orçamentária digite apenas valor percentual." sqref="S10 S13:S366" xr:uid="{00000000-0002-0000-0200-000004000000}">
      <formula1>Dados.Lista.BDI</formula1>
    </dataValidation>
  </dataValidations>
  <pageMargins left="0.78740157480314965" right="0.78740157480314965" top="0.78740157480314965" bottom="0.78740157480314965" header="0" footer="0"/>
  <pageSetup paperSize="9" scale="59" fitToHeight="0" orientation="landscape" r:id="rId1"/>
  <headerFooter>
    <oddFooter>&amp;L27.486 v002  micro&amp;R&amp;P</oddFooter>
  </headerFooter>
  <ignoredErrors>
    <ignoredError sqref="K374 K377" unlockedFormula="1"/>
  </ignoredErrors>
  <drawing r:id="rId2"/>
  <legacyDrawing r:id="rId3"/>
  <oleObjects>
    <mc:AlternateContent xmlns:mc="http://schemas.openxmlformats.org/markup-compatibility/2006">
      <mc:Choice Requires="x14">
        <oleObject shapeId="185899" r:id="rId4">
          <objectPr defaultSize="0" autoPict="0" r:id="rId5">
            <anchor moveWithCells="1">
              <from>
                <xdr:col>10</xdr:col>
                <xdr:colOff>57150</xdr:colOff>
                <xdr:row>0</xdr:row>
                <xdr:rowOff>19050</xdr:rowOff>
              </from>
              <to>
                <xdr:col>11</xdr:col>
                <xdr:colOff>1009650</xdr:colOff>
                <xdr:row>2</xdr:row>
                <xdr:rowOff>76200</xdr:rowOff>
              </to>
            </anchor>
          </objectPr>
        </oleObject>
      </mc:Choice>
      <mc:Fallback>
        <oleObject shapeId="18589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outlinePr summaryBelow="0"/>
  </sheetPr>
  <dimension ref="A1:AN124"/>
  <sheetViews>
    <sheetView showGridLines="0" tabSelected="1" topLeftCell="L1" zoomScaleNormal="100" zoomScaleSheetLayoutView="100" workbookViewId="0">
      <selection activeCell="Q33" sqref="Q33"/>
    </sheetView>
  </sheetViews>
  <sheetFormatPr defaultRowHeight="12.75" x14ac:dyDescent="0.2"/>
  <cols>
    <col min="1" max="4" width="9.140625" style="15" hidden="1" customWidth="1"/>
    <col min="5" max="8" width="5.7109375" style="15" hidden="1" customWidth="1"/>
    <col min="9" max="10" width="6.7109375" style="15" hidden="1" customWidth="1"/>
    <col min="11" max="11" width="10.7109375" style="15" hidden="1" customWidth="1"/>
    <col min="12" max="12" width="10.7109375" style="15" customWidth="1"/>
    <col min="13" max="13" width="40.5703125" style="15" customWidth="1"/>
    <col min="14" max="14" width="16.42578125" style="19" customWidth="1"/>
    <col min="15" max="15" width="16.5703125" style="15" bestFit="1" customWidth="1"/>
    <col min="16" max="39" width="15.7109375" style="15" customWidth="1"/>
    <col min="40" max="40" width="0.85546875" style="18" customWidth="1"/>
    <col min="41" max="16384" width="9.140625" style="15"/>
  </cols>
  <sheetData>
    <row r="1" spans="1:40" s="14" customFormat="1" ht="12.95" customHeight="1" x14ac:dyDescent="0.2">
      <c r="A1"/>
      <c r="B1"/>
      <c r="C1"/>
      <c r="D1"/>
      <c r="E1" s="66"/>
      <c r="F1" s="66"/>
      <c r="G1" s="66"/>
      <c r="H1" s="66"/>
      <c r="I1" s="66"/>
      <c r="J1" s="66"/>
      <c r="K1" s="66"/>
      <c r="L1"/>
      <c r="M1"/>
      <c r="N1"/>
      <c r="O1" s="67" t="s">
        <v>9</v>
      </c>
      <c r="P1" s="36" t="s">
        <v>17</v>
      </c>
      <c r="Q1" s="68"/>
      <c r="R1"/>
      <c r="S1"/>
      <c r="T1"/>
      <c r="U1"/>
      <c r="V1"/>
      <c r="W1"/>
      <c r="X1" s="36" t="s">
        <v>17</v>
      </c>
      <c r="Y1" s="68"/>
      <c r="Z1"/>
      <c r="AA1"/>
      <c r="AB1"/>
      <c r="AC1"/>
      <c r="AD1"/>
      <c r="AE1"/>
      <c r="AF1" s="36" t="s">
        <v>17</v>
      </c>
      <c r="AG1" s="68"/>
      <c r="AH1"/>
      <c r="AI1"/>
      <c r="AJ1"/>
      <c r="AK1"/>
      <c r="AL1"/>
      <c r="AM1"/>
      <c r="AN1"/>
    </row>
    <row r="2" spans="1:40" s="14" customFormat="1" ht="12.75" customHeight="1" x14ac:dyDescent="0.2">
      <c r="A2"/>
      <c r="B2"/>
      <c r="C2"/>
      <c r="D2"/>
      <c r="E2"/>
      <c r="F2"/>
      <c r="G2"/>
      <c r="H2"/>
      <c r="I2"/>
      <c r="J2"/>
      <c r="K2"/>
      <c r="L2"/>
      <c r="M2"/>
      <c r="N2"/>
      <c r="O2" s="153" t="s">
        <v>123</v>
      </c>
      <c r="P2" s="37" t="s">
        <v>122</v>
      </c>
      <c r="Q2"/>
      <c r="R2"/>
      <c r="S2"/>
      <c r="T2"/>
      <c r="U2"/>
      <c r="V2" s="36"/>
      <c r="W2"/>
      <c r="X2" s="37" t="s">
        <v>122</v>
      </c>
      <c r="Y2"/>
      <c r="Z2"/>
      <c r="AA2"/>
      <c r="AB2"/>
      <c r="AC2"/>
      <c r="AD2" s="36"/>
      <c r="AE2"/>
      <c r="AF2" s="37" t="s">
        <v>122</v>
      </c>
      <c r="AG2"/>
      <c r="AH2"/>
      <c r="AI2"/>
      <c r="AJ2"/>
      <c r="AK2"/>
      <c r="AL2" s="36"/>
      <c r="AM2"/>
      <c r="AN2"/>
    </row>
    <row r="3" spans="1:40" s="14" customFormat="1" ht="12.75" customHeight="1" x14ac:dyDescent="0.2">
      <c r="A3"/>
      <c r="B3"/>
      <c r="C3"/>
      <c r="D3"/>
      <c r="E3"/>
      <c r="F3"/>
      <c r="G3"/>
      <c r="H3"/>
      <c r="I3"/>
      <c r="J3"/>
      <c r="K3"/>
      <c r="L3"/>
      <c r="M3"/>
      <c r="N3"/>
      <c r="O3"/>
      <c r="P3"/>
      <c r="Q3"/>
      <c r="R3"/>
      <c r="S3" s="1"/>
      <c r="T3"/>
      <c r="U3"/>
      <c r="V3"/>
      <c r="W3"/>
      <c r="X3"/>
      <c r="Y3"/>
      <c r="Z3"/>
      <c r="AA3" s="1"/>
      <c r="AB3"/>
      <c r="AC3"/>
      <c r="AD3"/>
      <c r="AE3"/>
      <c r="AF3"/>
      <c r="AG3"/>
      <c r="AH3"/>
      <c r="AI3" s="1"/>
      <c r="AJ3"/>
      <c r="AK3"/>
      <c r="AL3"/>
      <c r="AM3"/>
      <c r="AN3"/>
    </row>
    <row r="4" spans="1:40" s="14" customFormat="1" ht="24.95" customHeight="1" x14ac:dyDescent="0.2">
      <c r="A4"/>
      <c r="B4"/>
      <c r="C4"/>
      <c r="D4"/>
      <c r="E4"/>
      <c r="F4"/>
      <c r="G4"/>
      <c r="H4"/>
      <c r="I4"/>
      <c r="J4"/>
      <c r="K4"/>
      <c r="L4"/>
      <c r="M4"/>
      <c r="N4"/>
      <c r="O4"/>
      <c r="P4"/>
      <c r="Q4"/>
      <c r="R4"/>
      <c r="S4"/>
      <c r="T4"/>
      <c r="U4"/>
      <c r="V4"/>
      <c r="W4"/>
      <c r="X4"/>
      <c r="Y4"/>
      <c r="Z4"/>
      <c r="AA4"/>
      <c r="AB4"/>
      <c r="AC4"/>
      <c r="AD4"/>
      <c r="AE4"/>
      <c r="AF4"/>
      <c r="AG4"/>
      <c r="AH4"/>
      <c r="AI4"/>
      <c r="AJ4"/>
      <c r="AK4"/>
      <c r="AL4"/>
      <c r="AM4"/>
      <c r="AN4"/>
    </row>
    <row r="5" spans="1:40" s="14" customFormat="1" ht="24.95" customHeight="1" x14ac:dyDescent="0.2">
      <c r="A5"/>
      <c r="B5"/>
      <c r="C5"/>
      <c r="D5"/>
      <c r="E5"/>
      <c r="F5"/>
      <c r="G5"/>
      <c r="H5"/>
      <c r="I5"/>
      <c r="J5"/>
      <c r="K5"/>
      <c r="L5"/>
      <c r="M5"/>
      <c r="N5"/>
      <c r="O5"/>
      <c r="P5"/>
      <c r="Q5"/>
      <c r="R5"/>
      <c r="S5"/>
      <c r="T5"/>
      <c r="U5"/>
      <c r="V5"/>
      <c r="W5"/>
      <c r="X5"/>
      <c r="Y5"/>
      <c r="Z5"/>
      <c r="AA5"/>
      <c r="AB5"/>
      <c r="AC5"/>
      <c r="AD5"/>
      <c r="AE5"/>
      <c r="AF5"/>
      <c r="AG5"/>
      <c r="AH5"/>
      <c r="AI5"/>
      <c r="AJ5"/>
      <c r="AK5"/>
      <c r="AL5"/>
      <c r="AM5"/>
      <c r="AN5"/>
    </row>
    <row r="6" spans="1:40" s="14" customFormat="1" ht="24.95" customHeight="1" x14ac:dyDescent="0.2">
      <c r="A6"/>
      <c r="B6"/>
      <c r="C6"/>
      <c r="D6"/>
      <c r="E6"/>
      <c r="F6"/>
      <c r="G6"/>
      <c r="H6"/>
      <c r="I6"/>
      <c r="J6"/>
      <c r="K6"/>
      <c r="L6"/>
      <c r="M6"/>
      <c r="N6"/>
      <c r="O6"/>
      <c r="P6"/>
      <c r="Q6"/>
      <c r="R6"/>
      <c r="S6"/>
      <c r="T6"/>
      <c r="U6"/>
      <c r="V6"/>
      <c r="W6"/>
      <c r="X6"/>
      <c r="Y6"/>
      <c r="Z6"/>
      <c r="AA6"/>
      <c r="AB6"/>
      <c r="AC6"/>
      <c r="AD6"/>
      <c r="AE6"/>
      <c r="AF6"/>
      <c r="AG6"/>
      <c r="AH6"/>
      <c r="AI6"/>
      <c r="AJ6"/>
      <c r="AK6"/>
      <c r="AL6"/>
      <c r="AM6"/>
      <c r="AN6"/>
    </row>
    <row r="7" spans="1:40" s="14" customFormat="1" ht="21.75" customHeight="1" x14ac:dyDescent="0.2">
      <c r="A7"/>
      <c r="B7"/>
      <c r="C7"/>
      <c r="D7"/>
      <c r="E7"/>
      <c r="F7"/>
      <c r="G7"/>
      <c r="H7"/>
      <c r="I7"/>
      <c r="J7"/>
      <c r="K7"/>
      <c r="L7"/>
      <c r="M7"/>
      <c r="N7"/>
      <c r="O7"/>
      <c r="P7"/>
      <c r="Q7"/>
      <c r="R7"/>
      <c r="S7"/>
      <c r="T7"/>
      <c r="U7"/>
      <c r="V7"/>
      <c r="W7"/>
      <c r="X7"/>
      <c r="Y7"/>
      <c r="Z7"/>
      <c r="AA7"/>
      <c r="AB7"/>
      <c r="AC7"/>
      <c r="AD7"/>
      <c r="AE7"/>
      <c r="AF7"/>
      <c r="AG7"/>
      <c r="AH7"/>
      <c r="AI7"/>
      <c r="AJ7"/>
      <c r="AK7"/>
      <c r="AL7"/>
      <c r="AM7"/>
      <c r="AN7"/>
    </row>
    <row r="8" spans="1:40" s="14" customFormat="1" ht="30" customHeight="1" x14ac:dyDescent="0.2">
      <c r="A8" s="69" t="s">
        <v>58</v>
      </c>
      <c r="B8"/>
      <c r="C8"/>
      <c r="D8"/>
      <c r="E8"/>
      <c r="F8"/>
      <c r="G8"/>
      <c r="H8"/>
      <c r="I8"/>
      <c r="J8"/>
      <c r="K8"/>
      <c r="L8" s="242" t="str">
        <f ca="1">IF(MAX($A$14:$A$115)&lt;&gt;MAX(PO!$W$11:$W$367),"ERRO: CRONOGRAMA DESATUALIZADO",IF(OR(COUNTIF($O$16:$AN$16,"&gt;1")&gt;0,OFFSET($AN$17,0,-1)&lt;&gt;$N$14),"ERRO: CRONOGRAMA NÃO FECHA EM 100%",""))</f>
        <v/>
      </c>
      <c r="M8" s="242"/>
      <c r="N8" s="57" t="str">
        <f>IF(TipoOrçamento="REPROGRAMADOAC","Qtde de Medições realizadas","")</f>
        <v/>
      </c>
      <c r="O8" s="70"/>
      <c r="P8"/>
      <c r="Q8"/>
      <c r="R8"/>
      <c r="S8"/>
      <c r="T8"/>
      <c r="U8"/>
      <c r="V8"/>
      <c r="W8"/>
      <c r="X8"/>
      <c r="Y8"/>
      <c r="Z8"/>
      <c r="AA8"/>
      <c r="AB8"/>
      <c r="AC8"/>
      <c r="AD8"/>
      <c r="AE8"/>
      <c r="AF8"/>
      <c r="AG8"/>
      <c r="AH8"/>
      <c r="AI8"/>
      <c r="AJ8"/>
      <c r="AK8"/>
      <c r="AL8"/>
      <c r="AM8"/>
      <c r="AN8"/>
    </row>
    <row r="9" spans="1:40" s="14" customFormat="1" ht="14.1" customHeight="1" x14ac:dyDescent="0.2">
      <c r="A9" s="59">
        <v>4</v>
      </c>
      <c r="B9"/>
      <c r="C9"/>
      <c r="D9"/>
      <c r="E9"/>
      <c r="F9"/>
      <c r="G9"/>
      <c r="H9"/>
      <c r="I9"/>
      <c r="J9"/>
      <c r="K9"/>
      <c r="L9" s="1"/>
      <c r="M9" s="1"/>
      <c r="N9" s="56">
        <v>1</v>
      </c>
      <c r="O9" s="47">
        <f>IF(AND(TipoOrçamento="REPROGRAMADOAC",$N$9&gt;0),$N$9-1,0)</f>
        <v>0</v>
      </c>
      <c r="P9" s="45">
        <f ca="1">OFFSET(P9,0,-1)+1</f>
        <v>1</v>
      </c>
      <c r="Q9" s="45">
        <f t="shared" ref="Q9:AM9" ca="1" si="0">OFFSET(Q9,0,-1)+1</f>
        <v>2</v>
      </c>
      <c r="R9" s="45">
        <f t="shared" ca="1" si="0"/>
        <v>3</v>
      </c>
      <c r="S9" s="45">
        <f t="shared" ca="1" si="0"/>
        <v>4</v>
      </c>
      <c r="T9" s="45">
        <f t="shared" ca="1" si="0"/>
        <v>5</v>
      </c>
      <c r="U9" s="45">
        <f t="shared" ca="1" si="0"/>
        <v>6</v>
      </c>
      <c r="V9" s="45">
        <f t="shared" ca="1" si="0"/>
        <v>7</v>
      </c>
      <c r="W9" s="45">
        <f t="shared" ca="1" si="0"/>
        <v>8</v>
      </c>
      <c r="X9" s="45">
        <f ca="1">OFFSET(X9,0,-1)+1</f>
        <v>9</v>
      </c>
      <c r="Y9" s="45">
        <f t="shared" ca="1" si="0"/>
        <v>10</v>
      </c>
      <c r="Z9" s="45">
        <f t="shared" ca="1" si="0"/>
        <v>11</v>
      </c>
      <c r="AA9" s="45">
        <f t="shared" ca="1" si="0"/>
        <v>12</v>
      </c>
      <c r="AB9" s="45">
        <f t="shared" ca="1" si="0"/>
        <v>13</v>
      </c>
      <c r="AC9" s="45">
        <f t="shared" ca="1" si="0"/>
        <v>14</v>
      </c>
      <c r="AD9" s="45">
        <f t="shared" ca="1" si="0"/>
        <v>15</v>
      </c>
      <c r="AE9" s="45">
        <f t="shared" ca="1" si="0"/>
        <v>16</v>
      </c>
      <c r="AF9" s="45">
        <f ca="1">OFFSET(AF9,0,-1)+1</f>
        <v>17</v>
      </c>
      <c r="AG9" s="45">
        <f t="shared" ca="1" si="0"/>
        <v>18</v>
      </c>
      <c r="AH9" s="45">
        <f t="shared" ca="1" si="0"/>
        <v>19</v>
      </c>
      <c r="AI9" s="45">
        <f t="shared" ca="1" si="0"/>
        <v>20</v>
      </c>
      <c r="AJ9" s="45">
        <f t="shared" ca="1" si="0"/>
        <v>21</v>
      </c>
      <c r="AK9" s="45">
        <f t="shared" ca="1" si="0"/>
        <v>22</v>
      </c>
      <c r="AL9" s="45">
        <f t="shared" ca="1" si="0"/>
        <v>23</v>
      </c>
      <c r="AM9" s="45">
        <f t="shared" ca="1" si="0"/>
        <v>24</v>
      </c>
      <c r="AN9"/>
    </row>
    <row r="10" spans="1:40" s="16" customFormat="1" ht="30" customHeight="1" x14ac:dyDescent="0.2">
      <c r="A10" s="71" t="s">
        <v>48</v>
      </c>
      <c r="B10" s="71" t="s">
        <v>27</v>
      </c>
      <c r="C10" s="71" t="s">
        <v>1</v>
      </c>
      <c r="D10" s="71" t="s">
        <v>21</v>
      </c>
      <c r="E10" s="71" t="s">
        <v>15</v>
      </c>
      <c r="F10" s="71" t="s">
        <v>16</v>
      </c>
      <c r="G10" s="71" t="s">
        <v>25</v>
      </c>
      <c r="H10" s="71" t="s">
        <v>26</v>
      </c>
      <c r="I10" s="71" t="s">
        <v>22</v>
      </c>
      <c r="J10" s="71" t="s">
        <v>23</v>
      </c>
      <c r="K10" s="71" t="s">
        <v>60</v>
      </c>
      <c r="L10" s="72" t="s">
        <v>37</v>
      </c>
      <c r="M10" s="73" t="s">
        <v>71</v>
      </c>
      <c r="N10" s="74" t="s">
        <v>30</v>
      </c>
      <c r="O10" s="60" t="str">
        <f>"Início do TS"&amp;CHAR(10)&amp;TEXT(DADOS!C30,"dd/mm/aa")</f>
        <v>Início do TS
01/12/22</v>
      </c>
      <c r="P10" s="92" t="str">
        <f ca="1">IF(AND(TipoOrçamento="REPROGRAMADOAC",$N$9&gt;0,N10="Valores Totais (R$)"),"Parcela "&amp;$N$9&amp;" Executado","Parcela "&amp;P$9&amp;CHAR(10)&amp;TEXT(DATE(YEAR(DADOS!$C$30),MONTH(DADOS!$C$30)-1+P$9-IF(AND(TipoOrçamento="REPROGRAMADOAC",$N$9&gt;0),$N$9,0),1),"mmm/aa"))</f>
        <v>Parcela 1
dez/22</v>
      </c>
      <c r="Q10" s="48" t="str">
        <f ca="1">IF(AND(TipoOrçamento="REPROGRAMADOAC",$N$9&gt;0,O10="Valores Totais (R$)"),"Parcela "&amp;$N$9&amp;" Executado","Parcela "&amp;Q$9&amp;CHAR(10)&amp;TEXT(DATE(YEAR(DADOS!$C$30),MONTH(DADOS!$C$30)-1+Q$9-IF(AND(TipoOrçamento="REPROGRAMADOAC",$N$9&gt;0),$N$9,0),1),"mmm/aa"))</f>
        <v>Parcela 2
jan/23</v>
      </c>
      <c r="R10" s="48" t="str">
        <f ca="1">IF(AND(TipoOrçamento="REPROGRAMADOAC",$N$9&gt;0,P10="Valores Totais (R$)"),"Parcela "&amp;$N$9&amp;" Executado","Parcela "&amp;R$9&amp;CHAR(10)&amp;TEXT(DATE(YEAR(DADOS!$C$30),MONTH(DADOS!$C$30)-1+R$9-IF(AND(TipoOrçamento="REPROGRAMADOAC",$N$9&gt;0),$N$9,0),1),"mmm/aa"))</f>
        <v>Parcela 3
fev/23</v>
      </c>
      <c r="S10" s="48" t="str">
        <f ca="1">IF(AND(TipoOrçamento="REPROGRAMADOAC",$N$9&gt;0,Q10="Valores Totais (R$)"),"Parcela "&amp;$N$9&amp;" Executado","Parcela "&amp;S$9&amp;CHAR(10)&amp;TEXT(DATE(YEAR(DADOS!$C$30),MONTH(DADOS!$C$30)-1+S$9-IF(AND(TipoOrçamento="REPROGRAMADOAC",$N$9&gt;0),$N$9,0),1),"mmm/aa"))</f>
        <v>Parcela 4
mar/23</v>
      </c>
      <c r="T10" s="48" t="str">
        <f ca="1">IF(AND(TipoOrçamento="REPROGRAMADOAC",$N$9&gt;0,R10="Valores Totais (R$)"),"Parcela "&amp;$N$9&amp;" Executado","Parcela "&amp;T$9&amp;CHAR(10)&amp;TEXT(DATE(YEAR(DADOS!$C$30),MONTH(DADOS!$C$30)-1+T$9-IF(AND(TipoOrçamento="REPROGRAMADOAC",$N$9&gt;0),$N$9,0),1),"mmm/aa"))</f>
        <v>Parcela 5
abr/23</v>
      </c>
      <c r="U10" s="48" t="str">
        <f ca="1">IF(AND(TipoOrçamento="REPROGRAMADOAC",$N$9&gt;0,S10="Valores Totais (R$)"),"Parcela "&amp;$N$9&amp;" Executado","Parcela "&amp;U$9&amp;CHAR(10)&amp;TEXT(DATE(YEAR(DADOS!$C$30),MONTH(DADOS!$C$30)-1+U$9-IF(AND(TipoOrçamento="REPROGRAMADOAC",$N$9&gt;0),$N$9,0),1),"mmm/aa"))</f>
        <v>Parcela 6
mai/23</v>
      </c>
      <c r="V10" s="48" t="str">
        <f ca="1">IF(AND(TipoOrçamento="REPROGRAMADOAC",$N$9&gt;0,T10="Valores Totais (R$)"),"Parcela "&amp;$N$9&amp;" Executado","Parcela "&amp;V$9&amp;CHAR(10)&amp;TEXT(DATE(YEAR(DADOS!$C$30),MONTH(DADOS!$C$30)-1+V$9-IF(AND(TipoOrçamento="REPROGRAMADOAC",$N$9&gt;0),$N$9,0),1),"mmm/aa"))</f>
        <v>Parcela 7
jun/23</v>
      </c>
      <c r="W10" s="48" t="str">
        <f ca="1">IF(AND(TipoOrçamento="REPROGRAMADOAC",$N$9&gt;0,U10="Valores Totais (R$)"),"Parcela "&amp;$N$9&amp;" Executado","Parcela "&amp;W$9&amp;CHAR(10)&amp;TEXT(DATE(YEAR(DADOS!$C$30),MONTH(DADOS!$C$30)-1+W$9-IF(AND(TipoOrçamento="REPROGRAMADOAC",$N$9&gt;0),$N$9,0),1),"mmm/aa"))</f>
        <v>Parcela 8
jul/23</v>
      </c>
      <c r="X10" s="92" t="str">
        <f ca="1">IF(AND(TipoOrçamento="REPROGRAMADOAC",$N$9&gt;0,V10="Valores Totais (R$)"),"Parcela "&amp;$N$9&amp;" Executado","Parcela "&amp;X$9&amp;CHAR(10)&amp;TEXT(DATE(YEAR(DADOS!$C$30),MONTH(DADOS!$C$30)-1+X$9-IF(AND(TipoOrçamento="REPROGRAMADOAC",$N$9&gt;0),$N$9,0),1),"mmm/aa"))</f>
        <v>Parcela 9
ago/23</v>
      </c>
      <c r="Y10" s="48" t="str">
        <f ca="1">IF(AND(TipoOrçamento="REPROGRAMADOAC",$N$9&gt;0,W10="Valores Totais (R$)"),"Parcela "&amp;$N$9&amp;" Executado","Parcela "&amp;Y$9&amp;CHAR(10)&amp;TEXT(DATE(YEAR(DADOS!$C$30),MONTH(DADOS!$C$30)-1+Y$9-IF(AND(TipoOrçamento="REPROGRAMADOAC",$N$9&gt;0),$N$9,0),1),"mmm/aa"))</f>
        <v>Parcela 10
set/23</v>
      </c>
      <c r="Z10" s="48" t="str">
        <f ca="1">IF(AND(TipoOrçamento="REPROGRAMADOAC",$N$9&gt;0,X10="Valores Totais (R$)"),"Parcela "&amp;$N$9&amp;" Executado","Parcela "&amp;Z$9&amp;CHAR(10)&amp;TEXT(DATE(YEAR(DADOS!$C$30),MONTH(DADOS!$C$30)-1+Z$9-IF(AND(TipoOrçamento="REPROGRAMADOAC",$N$9&gt;0),$N$9,0),1),"mmm/aa"))</f>
        <v>Parcela 11
out/23</v>
      </c>
      <c r="AA10" s="48" t="str">
        <f ca="1">IF(AND(TipoOrçamento="REPROGRAMADOAC",$N$9&gt;0,Y10="Valores Totais (R$)"),"Parcela "&amp;$N$9&amp;" Executado","Parcela "&amp;AA$9&amp;CHAR(10)&amp;TEXT(DATE(YEAR(DADOS!$C$30),MONTH(DADOS!$C$30)-1+AA$9-IF(AND(TipoOrçamento="REPROGRAMADOAC",$N$9&gt;0),$N$9,0),1),"mmm/aa"))</f>
        <v>Parcela 12
nov/23</v>
      </c>
      <c r="AB10" s="48" t="str">
        <f ca="1">IF(AND(TipoOrçamento="REPROGRAMADOAC",$N$9&gt;0,Z10="Valores Totais (R$)"),"Parcela "&amp;$N$9&amp;" Executado","Parcela "&amp;AB$9&amp;CHAR(10)&amp;TEXT(DATE(YEAR(DADOS!$C$30),MONTH(DADOS!$C$30)-1+AB$9-IF(AND(TipoOrçamento="REPROGRAMADOAC",$N$9&gt;0),$N$9,0),1),"mmm/aa"))</f>
        <v>Parcela 13
dez/23</v>
      </c>
      <c r="AC10" s="48" t="str">
        <f ca="1">IF(AND(TipoOrçamento="REPROGRAMADOAC",$N$9&gt;0,AA10="Valores Totais (R$)"),"Parcela "&amp;$N$9&amp;" Executado","Parcela "&amp;AC$9&amp;CHAR(10)&amp;TEXT(DATE(YEAR(DADOS!$C$30),MONTH(DADOS!$C$30)-1+AC$9-IF(AND(TipoOrçamento="REPROGRAMADOAC",$N$9&gt;0),$N$9,0),1),"mmm/aa"))</f>
        <v>Parcela 14
jan/24</v>
      </c>
      <c r="AD10" s="48" t="str">
        <f ca="1">IF(AND(TipoOrçamento="REPROGRAMADOAC",$N$9&gt;0,AB10="Valores Totais (R$)"),"Parcela "&amp;$N$9&amp;" Executado","Parcela "&amp;AD$9&amp;CHAR(10)&amp;TEXT(DATE(YEAR(DADOS!$C$30),MONTH(DADOS!$C$30)-1+AD$9-IF(AND(TipoOrçamento="REPROGRAMADOAC",$N$9&gt;0),$N$9,0),1),"mmm/aa"))</f>
        <v>Parcela 15
fev/24</v>
      </c>
      <c r="AE10" s="48" t="str">
        <f ca="1">IF(AND(TipoOrçamento="REPROGRAMADOAC",$N$9&gt;0,AC10="Valores Totais (R$)"),"Parcela "&amp;$N$9&amp;" Executado","Parcela "&amp;AE$9&amp;CHAR(10)&amp;TEXT(DATE(YEAR(DADOS!$C$30),MONTH(DADOS!$C$30)-1+AE$9-IF(AND(TipoOrçamento="REPROGRAMADOAC",$N$9&gt;0),$N$9,0),1),"mmm/aa"))</f>
        <v>Parcela 16
mar/24</v>
      </c>
      <c r="AF10" s="92" t="str">
        <f ca="1">IF(AND(TipoOrçamento="REPROGRAMADOAC",$N$9&gt;0,AD10="Valores Totais (R$)"),"Parcela "&amp;$N$9&amp;" Executado","Parcela "&amp;AF$9&amp;CHAR(10)&amp;TEXT(DATE(YEAR(DADOS!$C$30),MONTH(DADOS!$C$30)-1+AF$9-IF(AND(TipoOrçamento="REPROGRAMADOAC",$N$9&gt;0),$N$9,0),1),"mmm/aa"))</f>
        <v>Parcela 17
abr/24</v>
      </c>
      <c r="AG10" s="48" t="str">
        <f ca="1">IF(AND(TipoOrçamento="REPROGRAMADOAC",$N$9&gt;0,AE10="Valores Totais (R$)"),"Parcela "&amp;$N$9&amp;" Executado","Parcela "&amp;AG$9&amp;CHAR(10)&amp;TEXT(DATE(YEAR(DADOS!$C$30),MONTH(DADOS!$C$30)-1+AG$9-IF(AND(TipoOrçamento="REPROGRAMADOAC",$N$9&gt;0),$N$9,0),1),"mmm/aa"))</f>
        <v>Parcela 18
mai/24</v>
      </c>
      <c r="AH10" s="48" t="str">
        <f ca="1">IF(AND(TipoOrçamento="REPROGRAMADOAC",$N$9&gt;0,AF10="Valores Totais (R$)"),"Parcela "&amp;$N$9&amp;" Executado","Parcela "&amp;AH$9&amp;CHAR(10)&amp;TEXT(DATE(YEAR(DADOS!$C$30),MONTH(DADOS!$C$30)-1+AH$9-IF(AND(TipoOrçamento="REPROGRAMADOAC",$N$9&gt;0),$N$9,0),1),"mmm/aa"))</f>
        <v>Parcela 19
jun/24</v>
      </c>
      <c r="AI10" s="48" t="str">
        <f ca="1">IF(AND(TipoOrçamento="REPROGRAMADOAC",$N$9&gt;0,AG10="Valores Totais (R$)"),"Parcela "&amp;$N$9&amp;" Executado","Parcela "&amp;AI$9&amp;CHAR(10)&amp;TEXT(DATE(YEAR(DADOS!$C$30),MONTH(DADOS!$C$30)-1+AI$9-IF(AND(TipoOrçamento="REPROGRAMADOAC",$N$9&gt;0),$N$9,0),1),"mmm/aa"))</f>
        <v>Parcela 20
jul/24</v>
      </c>
      <c r="AJ10" s="48" t="str">
        <f ca="1">IF(AND(TipoOrçamento="REPROGRAMADOAC",$N$9&gt;0,AH10="Valores Totais (R$)"),"Parcela "&amp;$N$9&amp;" Executado","Parcela "&amp;AJ$9&amp;CHAR(10)&amp;TEXT(DATE(YEAR(DADOS!$C$30),MONTH(DADOS!$C$30)-1+AJ$9-IF(AND(TipoOrçamento="REPROGRAMADOAC",$N$9&gt;0),$N$9,0),1),"mmm/aa"))</f>
        <v>Parcela 21
ago/24</v>
      </c>
      <c r="AK10" s="48" t="str">
        <f ca="1">IF(AND(TipoOrçamento="REPROGRAMADOAC",$N$9&gt;0,AI10="Valores Totais (R$)"),"Parcela "&amp;$N$9&amp;" Executado","Parcela "&amp;AK$9&amp;CHAR(10)&amp;TEXT(DATE(YEAR(DADOS!$C$30),MONTH(DADOS!$C$30)-1+AK$9-IF(AND(TipoOrçamento="REPROGRAMADOAC",$N$9&gt;0),$N$9,0),1),"mmm/aa"))</f>
        <v>Parcela 22
set/24</v>
      </c>
      <c r="AL10" s="48" t="str">
        <f ca="1">IF(AND(TipoOrçamento="REPROGRAMADOAC",$N$9&gt;0,AJ10="Valores Totais (R$)"),"Parcela "&amp;$N$9&amp;" Executado","Parcela "&amp;AL$9&amp;CHAR(10)&amp;TEXT(DATE(YEAR(DADOS!$C$30),MONTH(DADOS!$C$30)-1+AL$9-IF(AND(TipoOrçamento="REPROGRAMADOAC",$N$9&gt;0),$N$9,0),1),"mmm/aa"))</f>
        <v>Parcela 23
out/24</v>
      </c>
      <c r="AM10" s="48" t="str">
        <f ca="1">IF(AND(TipoOrçamento="REPROGRAMADOAC",$N$9&gt;0,AK10="Valores Totais (R$)"),"Parcela "&amp;$N$9&amp;" Executado","Parcela "&amp;AM$9&amp;CHAR(10)&amp;TEXT(DATE(YEAR(DADOS!$C$30),MONTH(DADOS!$C$30)-1+AM$9-IF(AND(TipoOrçamento="REPROGRAMADOAC",$N$9&gt;0),$N$9,0),1),"mmm/aa"))</f>
        <v>Parcela 24
nov/24</v>
      </c>
      <c r="AN10" s="82"/>
    </row>
    <row r="11" spans="1:40" customFormat="1" ht="14.25" hidden="1" customHeight="1" x14ac:dyDescent="0.2">
      <c r="A11" s="1"/>
      <c r="B11" s="1"/>
      <c r="C11" s="1"/>
      <c r="D11" s="1"/>
      <c r="E11" s="1"/>
      <c r="F11" s="1"/>
      <c r="G11" s="1"/>
      <c r="H11" s="1"/>
      <c r="I11" s="1"/>
      <c r="J11" s="1"/>
      <c r="K11" s="1"/>
      <c r="L11" s="235" t="e">
        <f ca="1">INDEX(PO!K$11:K$367,MATCH($A13,PO!$W$11:$W$367,0))</f>
        <v>#VALUE!</v>
      </c>
      <c r="M11" s="237" t="e">
        <f ca="1">INDEX(PO!O$11:O$367,MATCH($A13,PO!$W$11:$W$367,0))</f>
        <v>#VALUE!</v>
      </c>
      <c r="N11" s="239" t="e">
        <f ca="1">IF(ROUND(K13,2)=0,K13,ROUND(K13,2))</f>
        <v>#VALUE!</v>
      </c>
      <c r="O11" s="91" t="s">
        <v>33</v>
      </c>
      <c r="P11" s="90" t="e">
        <f ca="1">IF($B13,0,P12-IF(ISNUMBER(O12),O12,0))</f>
        <v>#VALUE!</v>
      </c>
      <c r="Q11" s="46" t="e">
        <f t="shared" ref="Q11:W11" ca="1" si="1">IF($B13,0,Q12-IF(ISNUMBER(P12),P12,0))</f>
        <v>#VALUE!</v>
      </c>
      <c r="R11" s="46" t="e">
        <f t="shared" ca="1" si="1"/>
        <v>#VALUE!</v>
      </c>
      <c r="S11" s="46" t="e">
        <f t="shared" ca="1" si="1"/>
        <v>#VALUE!</v>
      </c>
      <c r="T11" s="46" t="e">
        <f t="shared" ca="1" si="1"/>
        <v>#VALUE!</v>
      </c>
      <c r="U11" s="46" t="e">
        <f t="shared" ca="1" si="1"/>
        <v>#VALUE!</v>
      </c>
      <c r="V11" s="46" t="e">
        <f t="shared" ca="1" si="1"/>
        <v>#VALUE!</v>
      </c>
      <c r="W11" s="46" t="e">
        <f t="shared" ca="1" si="1"/>
        <v>#VALUE!</v>
      </c>
      <c r="X11" s="90" t="e">
        <f t="shared" ref="X11:AM11" ca="1" si="2">IF($B13,0,X12-IF(ISNUMBER(W12),W12,0))</f>
        <v>#VALUE!</v>
      </c>
      <c r="Y11" s="46" t="e">
        <f t="shared" ca="1" si="2"/>
        <v>#VALUE!</v>
      </c>
      <c r="Z11" s="46" t="e">
        <f t="shared" ca="1" si="2"/>
        <v>#VALUE!</v>
      </c>
      <c r="AA11" s="46" t="e">
        <f t="shared" ca="1" si="2"/>
        <v>#VALUE!</v>
      </c>
      <c r="AB11" s="46" t="e">
        <f t="shared" ca="1" si="2"/>
        <v>#VALUE!</v>
      </c>
      <c r="AC11" s="46" t="e">
        <f t="shared" ca="1" si="2"/>
        <v>#VALUE!</v>
      </c>
      <c r="AD11" s="46" t="e">
        <f t="shared" ca="1" si="2"/>
        <v>#VALUE!</v>
      </c>
      <c r="AE11" s="46" t="e">
        <f t="shared" ca="1" si="2"/>
        <v>#VALUE!</v>
      </c>
      <c r="AF11" s="90" t="e">
        <f t="shared" ca="1" si="2"/>
        <v>#VALUE!</v>
      </c>
      <c r="AG11" s="46" t="e">
        <f t="shared" ca="1" si="2"/>
        <v>#VALUE!</v>
      </c>
      <c r="AH11" s="46" t="e">
        <f t="shared" ca="1" si="2"/>
        <v>#VALUE!</v>
      </c>
      <c r="AI11" s="46" t="e">
        <f t="shared" ca="1" si="2"/>
        <v>#VALUE!</v>
      </c>
      <c r="AJ11" s="46" t="e">
        <f t="shared" ca="1" si="2"/>
        <v>#VALUE!</v>
      </c>
      <c r="AK11" s="46" t="e">
        <f t="shared" ca="1" si="2"/>
        <v>#VALUE!</v>
      </c>
      <c r="AL11" s="46" t="e">
        <f t="shared" ca="1" si="2"/>
        <v>#VALUE!</v>
      </c>
      <c r="AM11" s="46" t="e">
        <f t="shared" ca="1" si="2"/>
        <v>#VALUE!</v>
      </c>
      <c r="AN11" s="83"/>
    </row>
    <row r="12" spans="1:40" customFormat="1" ht="14.25" hidden="1" x14ac:dyDescent="0.2">
      <c r="A12" s="75"/>
      <c r="B12" s="75"/>
      <c r="C12" s="75"/>
      <c r="D12" s="75"/>
      <c r="E12" s="75"/>
      <c r="F12" s="75"/>
      <c r="G12" s="75"/>
      <c r="H12" s="75"/>
      <c r="I12" s="75"/>
      <c r="J12" s="75"/>
      <c r="K12" s="75"/>
      <c r="L12" s="236"/>
      <c r="M12" s="238"/>
      <c r="N12" s="240"/>
      <c r="O12" s="64" t="s">
        <v>35</v>
      </c>
      <c r="P12" s="85" t="e">
        <f ca="1">MIN(IF($B13,P11+IF(ISNUMBER(O12),O12,0),P13/$N11),1)</f>
        <v>#VALUE!</v>
      </c>
      <c r="Q12" s="62" t="e">
        <f t="shared" ref="Q12:W12" ca="1" si="3">MIN(IF($B13,Q11+IF(ISNUMBER(P12),P12,0),Q13/$N11),1)</f>
        <v>#VALUE!</v>
      </c>
      <c r="R12" s="62" t="e">
        <f t="shared" ca="1" si="3"/>
        <v>#VALUE!</v>
      </c>
      <c r="S12" s="62" t="e">
        <f t="shared" ca="1" si="3"/>
        <v>#VALUE!</v>
      </c>
      <c r="T12" s="62" t="e">
        <f t="shared" ca="1" si="3"/>
        <v>#VALUE!</v>
      </c>
      <c r="U12" s="62" t="e">
        <f t="shared" ca="1" si="3"/>
        <v>#VALUE!</v>
      </c>
      <c r="V12" s="62" t="e">
        <f t="shared" ca="1" si="3"/>
        <v>#VALUE!</v>
      </c>
      <c r="W12" s="62" t="e">
        <f t="shared" ca="1" si="3"/>
        <v>#VALUE!</v>
      </c>
      <c r="X12" s="85" t="e">
        <f t="shared" ref="X12:AM12" ca="1" si="4">MIN(IF($B13,X11+IF(ISNUMBER(W12),W12,0),X13/$N11),1)</f>
        <v>#VALUE!</v>
      </c>
      <c r="Y12" s="62" t="e">
        <f t="shared" ca="1" si="4"/>
        <v>#VALUE!</v>
      </c>
      <c r="Z12" s="62" t="e">
        <f t="shared" ca="1" si="4"/>
        <v>#VALUE!</v>
      </c>
      <c r="AA12" s="62" t="e">
        <f t="shared" ca="1" si="4"/>
        <v>#VALUE!</v>
      </c>
      <c r="AB12" s="62" t="e">
        <f t="shared" ca="1" si="4"/>
        <v>#VALUE!</v>
      </c>
      <c r="AC12" s="62" t="e">
        <f t="shared" ca="1" si="4"/>
        <v>#VALUE!</v>
      </c>
      <c r="AD12" s="62" t="e">
        <f t="shared" ca="1" si="4"/>
        <v>#VALUE!</v>
      </c>
      <c r="AE12" s="62" t="e">
        <f t="shared" ca="1" si="4"/>
        <v>#VALUE!</v>
      </c>
      <c r="AF12" s="85" t="e">
        <f t="shared" ca="1" si="4"/>
        <v>#VALUE!</v>
      </c>
      <c r="AG12" s="62" t="e">
        <f t="shared" ca="1" si="4"/>
        <v>#VALUE!</v>
      </c>
      <c r="AH12" s="62" t="e">
        <f t="shared" ca="1" si="4"/>
        <v>#VALUE!</v>
      </c>
      <c r="AI12" s="62" t="e">
        <f t="shared" ca="1" si="4"/>
        <v>#VALUE!</v>
      </c>
      <c r="AJ12" s="62" t="e">
        <f t="shared" ca="1" si="4"/>
        <v>#VALUE!</v>
      </c>
      <c r="AK12" s="62" t="e">
        <f t="shared" ca="1" si="4"/>
        <v>#VALUE!</v>
      </c>
      <c r="AL12" s="62" t="e">
        <f t="shared" ca="1" si="4"/>
        <v>#VALUE!</v>
      </c>
      <c r="AM12" s="62" t="e">
        <f t="shared" ca="1" si="4"/>
        <v>#VALUE!</v>
      </c>
      <c r="AN12" s="83"/>
    </row>
    <row r="13" spans="1:40" customFormat="1" ht="14.25" hidden="1" x14ac:dyDescent="0.2">
      <c r="A13" s="75" t="e">
        <f ca="1">OFFSET(A13,-CFF.NumLinha,0)+1</f>
        <v>#VALUE!</v>
      </c>
      <c r="B13" s="75" t="e">
        <f ca="1">$C13&gt;=OFFSET($C13,CFF.NumLinha,0)</f>
        <v>#VALUE!</v>
      </c>
      <c r="C13" s="75" t="e">
        <f ca="1">INDEX(PO!A$11:A$367,MATCH($A13,PO!$W$11:$W$367,0))</f>
        <v>#VALUE!</v>
      </c>
      <c r="D13" s="75" t="e">
        <f ca="1">IF(ISERROR(J13),I13,SMALL(I13:J13,1))-1</f>
        <v>#VALUE!</v>
      </c>
      <c r="E13" s="75" t="e">
        <f ca="1">IF($C13=1,OFFSET(E13,-CFF.NumLinha,0)+1,OFFSET(E13,-CFF.NumLinha,0))</f>
        <v>#VALUE!</v>
      </c>
      <c r="F13" s="75" t="e">
        <f ca="1">IF($C13=1,0,IF($C13=2,OFFSET(F13,-CFF.NumLinha,0)+1,OFFSET(F13,-CFF.NumLinha,0)))</f>
        <v>#VALUE!</v>
      </c>
      <c r="G13" s="75" t="e">
        <f ca="1">IF(AND($C13&lt;=2,$C13&lt;&gt;0),0,IF($C13=3,OFFSET(G13,-CFF.NumLinha,0)+1,OFFSET(G13,-CFF.NumLinha,0)))</f>
        <v>#VALUE!</v>
      </c>
      <c r="H13" s="75" t="e">
        <f ca="1">IF(AND($C13&lt;=3,$C13&lt;&gt;0),0,IF($C13=4,OFFSET(H13,-CFF.NumLinha,0)+1,OFFSET(H13,-CFF.NumLinha,0)))</f>
        <v>#VALUE!</v>
      </c>
      <c r="I13" s="75" t="e">
        <f ca="1">MATCH(0,OFFSET($D13,1,$C13,ROW($A$114)-ROW($A13)),0)</f>
        <v>#VALUE!</v>
      </c>
      <c r="J13" s="75" t="e">
        <f ca="1">MATCH(OFFSET($D13,0,$C13)+1,OFFSET($D13,1,$C13,ROW($A$114)-ROW($A13)),0)</f>
        <v>#VALUE!</v>
      </c>
      <c r="K13" s="76" t="e">
        <f ca="1">ROUND(INDEX(PO!U$11:U$367,MATCH($A13,PO!$W$11:$W$367,0)),2)+10^-12</f>
        <v>#VALUE!</v>
      </c>
      <c r="L13" s="236"/>
      <c r="M13" s="238"/>
      <c r="N13" s="240"/>
      <c r="O13" s="93" t="s">
        <v>7</v>
      </c>
      <c r="P13" s="86" t="e">
        <f ca="1">IF($B13,ROUND(P12*$N11,2),ROUND(SUMIF(OFFSET($B13,1,0,$D13),TRUE,OFFSET(P13,1,0,$D13))/SUMIF(OFFSET($B13,1,0,$D13),TRUE,OFFSET($K13,1,0,$D13))*$N11,2))</f>
        <v>#VALUE!</v>
      </c>
      <c r="Q13" s="63" t="e">
        <f t="shared" ref="Q13:W13" ca="1" si="5">IF($B13,ROUND(Q12*$N11,2),ROUND(SUMIF(OFFSET($B13,1,0,$D13),TRUE,OFFSET(Q13,1,0,$D13))/SUMIF(OFFSET($B13,1,0,$D13),TRUE,OFFSET($K13,1,0,$D13))*$N11,2))</f>
        <v>#VALUE!</v>
      </c>
      <c r="R13" s="63" t="e">
        <f t="shared" ca="1" si="5"/>
        <v>#VALUE!</v>
      </c>
      <c r="S13" s="63" t="e">
        <f t="shared" ca="1" si="5"/>
        <v>#VALUE!</v>
      </c>
      <c r="T13" s="63" t="e">
        <f t="shared" ca="1" si="5"/>
        <v>#VALUE!</v>
      </c>
      <c r="U13" s="63" t="e">
        <f t="shared" ca="1" si="5"/>
        <v>#VALUE!</v>
      </c>
      <c r="V13" s="63" t="e">
        <f t="shared" ca="1" si="5"/>
        <v>#VALUE!</v>
      </c>
      <c r="W13" s="96" t="e">
        <f t="shared" ca="1" si="5"/>
        <v>#VALUE!</v>
      </c>
      <c r="X13" s="86" t="e">
        <f ca="1">IF($B13,ROUND(X12*$N11,2),ROUND(SUMIF(OFFSET($B13,1,0,$D13),TRUE,OFFSET(X13,1,0,$D13))/SUMIF(OFFSET($B13,1,0,$D13),TRUE,OFFSET($K13,1,0,$D13))*$N11,2))</f>
        <v>#VALUE!</v>
      </c>
      <c r="Y13" s="63" t="e">
        <f t="shared" ref="Y13:AE13" ca="1" si="6">IF($B13,ROUND(Y12*$N11,2),ROUND(SUMIF(OFFSET($B13,1,0,$D13),TRUE,OFFSET(Y13,1,0,$D13))/SUMIF(OFFSET($B13,1,0,$D13),TRUE,OFFSET($K13,1,0,$D13))*$N11,2))</f>
        <v>#VALUE!</v>
      </c>
      <c r="Z13" s="63" t="e">
        <f t="shared" ca="1" si="6"/>
        <v>#VALUE!</v>
      </c>
      <c r="AA13" s="63" t="e">
        <f t="shared" ca="1" si="6"/>
        <v>#VALUE!</v>
      </c>
      <c r="AB13" s="63" t="e">
        <f t="shared" ca="1" si="6"/>
        <v>#VALUE!</v>
      </c>
      <c r="AC13" s="63" t="e">
        <f t="shared" ca="1" si="6"/>
        <v>#VALUE!</v>
      </c>
      <c r="AD13" s="63" t="e">
        <f t="shared" ca="1" si="6"/>
        <v>#VALUE!</v>
      </c>
      <c r="AE13" s="96" t="e">
        <f t="shared" ca="1" si="6"/>
        <v>#VALUE!</v>
      </c>
      <c r="AF13" s="86" t="e">
        <f ca="1">IF($B13,ROUND(AF12*$N11,2),ROUND(SUMIF(OFFSET($B13,1,0,$D13),TRUE,OFFSET(AF13,1,0,$D13))/SUMIF(OFFSET($B13,1,0,$D13),TRUE,OFFSET($K13,1,0,$D13))*$N11,2))</f>
        <v>#VALUE!</v>
      </c>
      <c r="AG13" s="63" t="e">
        <f t="shared" ref="AG13:AM13" ca="1" si="7">IF($B13,ROUND(AG12*$N11,2),ROUND(SUMIF(OFFSET($B13,1,0,$D13),TRUE,OFFSET(AG13,1,0,$D13))/SUMIF(OFFSET($B13,1,0,$D13),TRUE,OFFSET($K13,1,0,$D13))*$N11,2))</f>
        <v>#VALUE!</v>
      </c>
      <c r="AH13" s="63" t="e">
        <f t="shared" ca="1" si="7"/>
        <v>#VALUE!</v>
      </c>
      <c r="AI13" s="63" t="e">
        <f t="shared" ca="1" si="7"/>
        <v>#VALUE!</v>
      </c>
      <c r="AJ13" s="63" t="e">
        <f t="shared" ca="1" si="7"/>
        <v>#VALUE!</v>
      </c>
      <c r="AK13" s="63" t="e">
        <f t="shared" ca="1" si="7"/>
        <v>#VALUE!</v>
      </c>
      <c r="AL13" s="63" t="e">
        <f t="shared" ca="1" si="7"/>
        <v>#VALUE!</v>
      </c>
      <c r="AM13" s="96" t="e">
        <f t="shared" ca="1" si="7"/>
        <v>#VALUE!</v>
      </c>
      <c r="AN13" s="83"/>
    </row>
    <row r="14" spans="1:40" s="17" customFormat="1" ht="12.75" customHeight="1" x14ac:dyDescent="0.2">
      <c r="A14"/>
      <c r="B14"/>
      <c r="C14"/>
      <c r="D14"/>
      <c r="E14"/>
      <c r="F14"/>
      <c r="G14"/>
      <c r="H14"/>
      <c r="I14"/>
      <c r="J14"/>
      <c r="K14"/>
      <c r="L14" s="243" t="s">
        <v>113</v>
      </c>
      <c r="M14" s="244"/>
      <c r="N14" s="249">
        <f ca="1">IF(PO!$U$11=0,10^-12,PO!$U$11)</f>
        <v>266575.54999999993</v>
      </c>
      <c r="O14" s="61" t="s">
        <v>33</v>
      </c>
      <c r="P14" s="94">
        <f ca="1">ROUND(P15/$N14,4)</f>
        <v>0.1048</v>
      </c>
      <c r="Q14" s="95">
        <f t="shared" ref="Q14:AM14" ca="1" si="8">ROUND(Q15/$N14,4)</f>
        <v>9.1999999999999998E-2</v>
      </c>
      <c r="R14" s="95">
        <f t="shared" ca="1" si="8"/>
        <v>6.1499999999999999E-2</v>
      </c>
      <c r="S14" s="95">
        <f t="shared" ca="1" si="8"/>
        <v>0.11749999999999999</v>
      </c>
      <c r="T14" s="95">
        <f t="shared" ca="1" si="8"/>
        <v>9.4700000000000006E-2</v>
      </c>
      <c r="U14" s="95">
        <f t="shared" ca="1" si="8"/>
        <v>0.12540000000000001</v>
      </c>
      <c r="V14" s="95">
        <f t="shared" ca="1" si="8"/>
        <v>0.1028</v>
      </c>
      <c r="W14" s="95">
        <f t="shared" ca="1" si="8"/>
        <v>5.1400000000000001E-2</v>
      </c>
      <c r="X14" s="94">
        <f ca="1">ROUND(X15/$N14,4)</f>
        <v>6.6100000000000006E-2</v>
      </c>
      <c r="Y14" s="95">
        <f t="shared" ca="1" si="8"/>
        <v>9.5600000000000004E-2</v>
      </c>
      <c r="Z14" s="95">
        <f t="shared" ca="1" si="8"/>
        <v>6.0199999999999997E-2</v>
      </c>
      <c r="AA14" s="95">
        <f t="shared" ca="1" si="8"/>
        <v>2.8000000000000001E-2</v>
      </c>
      <c r="AB14" s="95">
        <f t="shared" ca="1" si="8"/>
        <v>0</v>
      </c>
      <c r="AC14" s="95">
        <f t="shared" ca="1" si="8"/>
        <v>0</v>
      </c>
      <c r="AD14" s="95">
        <f t="shared" ca="1" si="8"/>
        <v>0</v>
      </c>
      <c r="AE14" s="95">
        <f t="shared" ca="1" si="8"/>
        <v>0</v>
      </c>
      <c r="AF14" s="94">
        <f ca="1">ROUND(AF15/$N14,4)</f>
        <v>0</v>
      </c>
      <c r="AG14" s="95">
        <f t="shared" ca="1" si="8"/>
        <v>0</v>
      </c>
      <c r="AH14" s="95">
        <f t="shared" ca="1" si="8"/>
        <v>0</v>
      </c>
      <c r="AI14" s="95">
        <f t="shared" ca="1" si="8"/>
        <v>0</v>
      </c>
      <c r="AJ14" s="95">
        <f t="shared" ca="1" si="8"/>
        <v>0</v>
      </c>
      <c r="AK14" s="95">
        <f t="shared" ca="1" si="8"/>
        <v>0</v>
      </c>
      <c r="AL14" s="95">
        <f t="shared" ca="1" si="8"/>
        <v>0</v>
      </c>
      <c r="AM14" s="95">
        <f t="shared" ca="1" si="8"/>
        <v>0</v>
      </c>
      <c r="AN14" s="65"/>
    </row>
    <row r="15" spans="1:40" s="17" customFormat="1" ht="12.75" customHeight="1" x14ac:dyDescent="0.2">
      <c r="A15"/>
      <c r="B15"/>
      <c r="C15"/>
      <c r="D15"/>
      <c r="E15"/>
      <c r="F15"/>
      <c r="G15"/>
      <c r="H15"/>
      <c r="I15"/>
      <c r="J15"/>
      <c r="K15"/>
      <c r="L15" s="245"/>
      <c r="M15" s="246"/>
      <c r="N15" s="250"/>
      <c r="O15" s="53" t="s">
        <v>34</v>
      </c>
      <c r="P15" s="87">
        <f ca="1">P17-IF(ISNUMBER(O17),O17,0)</f>
        <v>27928.81</v>
      </c>
      <c r="Q15" s="49">
        <f t="shared" ref="Q15:W15" ca="1" si="9">Q17-IF(ISNUMBER(P17),P17,0)</f>
        <v>24537.88</v>
      </c>
      <c r="R15" s="49">
        <f t="shared" ca="1" si="9"/>
        <v>16393.320000000007</v>
      </c>
      <c r="S15" s="49">
        <f t="shared" ca="1" si="9"/>
        <v>31333.72</v>
      </c>
      <c r="T15" s="49">
        <f t="shared" ca="1" si="9"/>
        <v>25234.559999999998</v>
      </c>
      <c r="U15" s="49">
        <f t="shared" ca="1" si="9"/>
        <v>33417.040000000008</v>
      </c>
      <c r="V15" s="49">
        <f t="shared" ca="1" si="9"/>
        <v>27405.419999999984</v>
      </c>
      <c r="W15" s="49">
        <f t="shared" ca="1" si="9"/>
        <v>13706.380000000005</v>
      </c>
      <c r="X15" s="87">
        <f t="shared" ref="X15:AM15" ca="1" si="10">X17-IF(ISNUMBER(W17),W17,0)</f>
        <v>17608.5</v>
      </c>
      <c r="Y15" s="49">
        <f t="shared" ca="1" si="10"/>
        <v>25490.679999999993</v>
      </c>
      <c r="Z15" s="49">
        <f t="shared" ca="1" si="10"/>
        <v>16045.649999999994</v>
      </c>
      <c r="AA15" s="49">
        <f t="shared" ca="1" si="10"/>
        <v>7473.5899999999965</v>
      </c>
      <c r="AB15" s="49">
        <f t="shared" ca="1" si="10"/>
        <v>0</v>
      </c>
      <c r="AC15" s="49">
        <f t="shared" ca="1" si="10"/>
        <v>0</v>
      </c>
      <c r="AD15" s="49">
        <f t="shared" ca="1" si="10"/>
        <v>0</v>
      </c>
      <c r="AE15" s="49">
        <f t="shared" ca="1" si="10"/>
        <v>0</v>
      </c>
      <c r="AF15" s="87">
        <f t="shared" ca="1" si="10"/>
        <v>0</v>
      </c>
      <c r="AG15" s="49">
        <f t="shared" ca="1" si="10"/>
        <v>0</v>
      </c>
      <c r="AH15" s="49">
        <f t="shared" ca="1" si="10"/>
        <v>0</v>
      </c>
      <c r="AI15" s="49">
        <f t="shared" ca="1" si="10"/>
        <v>0</v>
      </c>
      <c r="AJ15" s="49">
        <f t="shared" ca="1" si="10"/>
        <v>0</v>
      </c>
      <c r="AK15" s="49">
        <f t="shared" ca="1" si="10"/>
        <v>0</v>
      </c>
      <c r="AL15" s="49">
        <f t="shared" ca="1" si="10"/>
        <v>0</v>
      </c>
      <c r="AM15" s="49">
        <f t="shared" ca="1" si="10"/>
        <v>0</v>
      </c>
      <c r="AN15" s="65"/>
    </row>
    <row r="16" spans="1:40" s="17" customFormat="1" ht="12.75" customHeight="1" x14ac:dyDescent="0.2">
      <c r="A16"/>
      <c r="B16"/>
      <c r="C16"/>
      <c r="D16"/>
      <c r="E16"/>
      <c r="F16"/>
      <c r="G16"/>
      <c r="H16"/>
      <c r="I16"/>
      <c r="J16"/>
      <c r="K16"/>
      <c r="L16" s="245"/>
      <c r="M16" s="246"/>
      <c r="N16" s="250"/>
      <c r="O16" s="54" t="s">
        <v>35</v>
      </c>
      <c r="P16" s="88">
        <f ca="1">ROUND(P17/$N14,4)</f>
        <v>0.1048</v>
      </c>
      <c r="Q16" s="50">
        <f t="shared" ref="Q16:W16" ca="1" si="11">ROUND(Q17/$N14,4)</f>
        <v>0.1968</v>
      </c>
      <c r="R16" s="50">
        <f t="shared" ca="1" si="11"/>
        <v>0.25829999999999997</v>
      </c>
      <c r="S16" s="50">
        <f t="shared" ca="1" si="11"/>
        <v>0.37590000000000001</v>
      </c>
      <c r="T16" s="50">
        <f t="shared" ca="1" si="11"/>
        <v>0.47049999999999997</v>
      </c>
      <c r="U16" s="50">
        <f t="shared" ca="1" si="11"/>
        <v>0.59589999999999999</v>
      </c>
      <c r="V16" s="50">
        <f t="shared" ca="1" si="11"/>
        <v>0.69869999999999999</v>
      </c>
      <c r="W16" s="50">
        <f t="shared" ca="1" si="11"/>
        <v>0.75009999999999999</v>
      </c>
      <c r="X16" s="88">
        <f ca="1">ROUND(X17/$N14,4)</f>
        <v>0.81610000000000005</v>
      </c>
      <c r="Y16" s="50">
        <f t="shared" ref="Y16:AE16" ca="1" si="12">ROUND(Y17/$N14,4)</f>
        <v>0.91180000000000005</v>
      </c>
      <c r="Z16" s="50">
        <f t="shared" ca="1" si="12"/>
        <v>0.97199999999999998</v>
      </c>
      <c r="AA16" s="50">
        <f t="shared" ca="1" si="12"/>
        <v>1</v>
      </c>
      <c r="AB16" s="50">
        <f t="shared" ca="1" si="12"/>
        <v>1</v>
      </c>
      <c r="AC16" s="50">
        <f t="shared" ca="1" si="12"/>
        <v>1</v>
      </c>
      <c r="AD16" s="50">
        <f t="shared" ca="1" si="12"/>
        <v>1</v>
      </c>
      <c r="AE16" s="50">
        <f t="shared" ca="1" si="12"/>
        <v>1</v>
      </c>
      <c r="AF16" s="88">
        <f ca="1">ROUND(AF17/$N14,4)</f>
        <v>1</v>
      </c>
      <c r="AG16" s="50">
        <f t="shared" ref="AG16:AM16" ca="1" si="13">ROUND(AG17/$N14,4)</f>
        <v>1</v>
      </c>
      <c r="AH16" s="50">
        <f t="shared" ca="1" si="13"/>
        <v>1</v>
      </c>
      <c r="AI16" s="50">
        <f t="shared" ca="1" si="13"/>
        <v>1</v>
      </c>
      <c r="AJ16" s="50">
        <f t="shared" ca="1" si="13"/>
        <v>1</v>
      </c>
      <c r="AK16" s="50">
        <f t="shared" ca="1" si="13"/>
        <v>1</v>
      </c>
      <c r="AL16" s="50">
        <f t="shared" ca="1" si="13"/>
        <v>1</v>
      </c>
      <c r="AM16" s="50">
        <f t="shared" ca="1" si="13"/>
        <v>1</v>
      </c>
      <c r="AN16" s="65"/>
    </row>
    <row r="17" spans="1:40" s="17" customFormat="1" ht="12.75" customHeight="1" x14ac:dyDescent="0.2">
      <c r="A17" s="11">
        <v>0</v>
      </c>
      <c r="B17"/>
      <c r="C17"/>
      <c r="D17" s="11">
        <f>ROW(D$114)-ROW(D18)</f>
        <v>96</v>
      </c>
      <c r="E17"/>
      <c r="F17"/>
      <c r="G17"/>
      <c r="H17"/>
      <c r="I17"/>
      <c r="J17"/>
      <c r="K17"/>
      <c r="L17" s="247"/>
      <c r="M17" s="248"/>
      <c r="N17" s="251"/>
      <c r="O17" s="55" t="s">
        <v>7</v>
      </c>
      <c r="P17" s="89">
        <f ca="1">SUMIF(OFFSET($C17,1,0):$C$114,1,OFFSET(P17,1,0):P$114)</f>
        <v>27928.81</v>
      </c>
      <c r="Q17" s="51">
        <f ca="1">SUMIF(OFFSET($C17,1,0):$C$114,1,OFFSET(Q17,1,0):Q$114)</f>
        <v>52466.69</v>
      </c>
      <c r="R17" s="51">
        <f ca="1">SUMIF(OFFSET($C17,1,0):$C$114,1,OFFSET(R17,1,0):R$114)</f>
        <v>68860.010000000009</v>
      </c>
      <c r="S17" s="51">
        <f ca="1">SUMIF(OFFSET($C17,1,0):$C$114,1,OFFSET(S17,1,0):S$114)</f>
        <v>100193.73000000001</v>
      </c>
      <c r="T17" s="51">
        <f ca="1">SUMIF(OFFSET($C17,1,0):$C$114,1,OFFSET(T17,1,0):T$114)</f>
        <v>125428.29000000001</v>
      </c>
      <c r="U17" s="51">
        <f ca="1">SUMIF(OFFSET($C17,1,0):$C$114,1,OFFSET(U17,1,0):U$114)</f>
        <v>158845.33000000002</v>
      </c>
      <c r="V17" s="51">
        <f ca="1">SUMIF(OFFSET($C17,1,0):$C$114,1,OFFSET(V17,1,0):V$114)</f>
        <v>186250.75</v>
      </c>
      <c r="W17" s="51">
        <f ca="1">SUMIF(OFFSET($C17,1,0):$C$114,1,OFFSET(W17,1,0):W$114)</f>
        <v>199957.13</v>
      </c>
      <c r="X17" s="89">
        <f ca="1">SUMIF(OFFSET($C17,1,0):$C$114,1,OFFSET(X17,1,0):X$114)</f>
        <v>217565.63</v>
      </c>
      <c r="Y17" s="51">
        <f ca="1">SUMIF(OFFSET($C17,1,0):$C$114,1,OFFSET(Y17,1,0):Y$114)</f>
        <v>243056.31</v>
      </c>
      <c r="Z17" s="51">
        <f ca="1">SUMIF(OFFSET($C17,1,0):$C$114,1,OFFSET(Z17,1,0):Z$114)</f>
        <v>259101.96</v>
      </c>
      <c r="AA17" s="51">
        <f ca="1">SUMIF(OFFSET($C17,1,0):$C$114,1,OFFSET(AA17,1,0):AA$114)</f>
        <v>266575.55</v>
      </c>
      <c r="AB17" s="51">
        <f ca="1">SUMIF(OFFSET($C17,1,0):$C$114,1,OFFSET(AB17,1,0):AB$114)</f>
        <v>266575.55</v>
      </c>
      <c r="AC17" s="51">
        <f ca="1">SUMIF(OFFSET($C17,1,0):$C$114,1,OFFSET(AC17,1,0):AC$114)</f>
        <v>266575.55</v>
      </c>
      <c r="AD17" s="51">
        <f ca="1">SUMIF(OFFSET($C17,1,0):$C$114,1,OFFSET(AD17,1,0):AD$114)</f>
        <v>266575.55</v>
      </c>
      <c r="AE17" s="51">
        <f ca="1">SUMIF(OFFSET($C17,1,0):$C$114,1,OFFSET(AE17,1,0):AE$114)</f>
        <v>266575.55</v>
      </c>
      <c r="AF17" s="89">
        <f ca="1">SUMIF(OFFSET($C17,1,0):$C$114,1,OFFSET(AF17,1,0):AF$114)</f>
        <v>266575.55</v>
      </c>
      <c r="AG17" s="51">
        <f ca="1">SUMIF(OFFSET($C17,1,0):$C$114,1,OFFSET(AG17,1,0):AG$114)</f>
        <v>266575.55</v>
      </c>
      <c r="AH17" s="51">
        <f ca="1">SUMIF(OFFSET($C17,1,0):$C$114,1,OFFSET(AH17,1,0):AH$114)</f>
        <v>266575.55</v>
      </c>
      <c r="AI17" s="51">
        <f ca="1">SUMIF(OFFSET($C17,1,0):$C$114,1,OFFSET(AI17,1,0):AI$114)</f>
        <v>266575.55</v>
      </c>
      <c r="AJ17" s="51">
        <f ca="1">SUMIF(OFFSET($C17,1,0):$C$114,1,OFFSET(AJ17,1,0):AJ$114)</f>
        <v>266575.55</v>
      </c>
      <c r="AK17" s="51">
        <f ca="1">SUMIF(OFFSET($C17,1,0):$C$114,1,OFFSET(AK17,1,0):AK$114)</f>
        <v>266575.55</v>
      </c>
      <c r="AL17" s="51">
        <f ca="1">SUMIF(OFFSET($C17,1,0):$C$114,1,OFFSET(AL17,1,0):AL$114)</f>
        <v>266575.55</v>
      </c>
      <c r="AM17" s="51">
        <f ca="1">SUMIF(OFFSET($C17,1,0):$C$114,1,OFFSET(AM17,1,0):AM$114)</f>
        <v>266575.55</v>
      </c>
      <c r="AN17" s="65"/>
    </row>
    <row r="18" spans="1:40" customFormat="1" ht="14.25" customHeight="1" x14ac:dyDescent="0.2">
      <c r="L18" s="235" t="str">
        <f ca="1">INDEX(PO!K$11:K$367,MATCH($A20,PO!$W$11:$W$367,0))</f>
        <v>1.</v>
      </c>
      <c r="M18" s="237" t="str">
        <f ca="1">INDEX(PO!O$11:O$367,MATCH($A20,PO!$W$11:$W$367,0))</f>
        <v>1 MÊS - MOBILIZAÇÃO, ORGANIZAÇÃO E FORTALECIMENTO SOCIAL</v>
      </c>
      <c r="N18" s="239">
        <f ca="1">IF(ROUND(K20,2)=0,K20,ROUND(K20,2))</f>
        <v>27928.81</v>
      </c>
      <c r="O18" s="91" t="s">
        <v>33</v>
      </c>
      <c r="P18" s="90">
        <v>1</v>
      </c>
      <c r="Q18" s="46">
        <f t="shared" ref="Q18:W18" ca="1" si="14">IF($B20,0,Q19-IF(ISNUMBER(P19),P19,0))</f>
        <v>0</v>
      </c>
      <c r="R18" s="46">
        <f t="shared" ca="1" si="14"/>
        <v>0</v>
      </c>
      <c r="S18" s="46">
        <f t="shared" ca="1" si="14"/>
        <v>0</v>
      </c>
      <c r="T18" s="46">
        <f t="shared" ca="1" si="14"/>
        <v>0</v>
      </c>
      <c r="U18" s="46">
        <f t="shared" ca="1" si="14"/>
        <v>0</v>
      </c>
      <c r="V18" s="46">
        <f t="shared" ca="1" si="14"/>
        <v>0</v>
      </c>
      <c r="W18" s="46">
        <f t="shared" ca="1" si="14"/>
        <v>0</v>
      </c>
      <c r="X18" s="90">
        <v>1</v>
      </c>
      <c r="Y18" s="46">
        <f t="shared" ref="Y18:AE18" ca="1" si="15">IF($B20,0,Y19-IF(ISNUMBER(X19),X19,0))</f>
        <v>0</v>
      </c>
      <c r="Z18" s="46">
        <f t="shared" ca="1" si="15"/>
        <v>0</v>
      </c>
      <c r="AA18" s="46">
        <f t="shared" ca="1" si="15"/>
        <v>0</v>
      </c>
      <c r="AB18" s="46">
        <f t="shared" ca="1" si="15"/>
        <v>0</v>
      </c>
      <c r="AC18" s="46">
        <f t="shared" ca="1" si="15"/>
        <v>0</v>
      </c>
      <c r="AD18" s="46">
        <f t="shared" ca="1" si="15"/>
        <v>0</v>
      </c>
      <c r="AE18" s="46">
        <f t="shared" ca="1" si="15"/>
        <v>0</v>
      </c>
      <c r="AF18" s="90">
        <v>1</v>
      </c>
      <c r="AG18" s="46">
        <f t="shared" ref="AG18:AM18" ca="1" si="16">IF($B20,0,AG19-IF(ISNUMBER(AF19),AF19,0))</f>
        <v>0</v>
      </c>
      <c r="AH18" s="46">
        <f t="shared" ca="1" si="16"/>
        <v>0</v>
      </c>
      <c r="AI18" s="46">
        <f t="shared" ca="1" si="16"/>
        <v>0</v>
      </c>
      <c r="AJ18" s="46">
        <f t="shared" ca="1" si="16"/>
        <v>0</v>
      </c>
      <c r="AK18" s="46">
        <f t="shared" ca="1" si="16"/>
        <v>0</v>
      </c>
      <c r="AL18" s="46">
        <f t="shared" ca="1" si="16"/>
        <v>0</v>
      </c>
      <c r="AM18" s="46">
        <f t="shared" ca="1" si="16"/>
        <v>0</v>
      </c>
      <c r="AN18" s="84" t="s">
        <v>14</v>
      </c>
    </row>
    <row r="19" spans="1:40" customFormat="1" ht="14.25" x14ac:dyDescent="0.2">
      <c r="L19" s="236"/>
      <c r="M19" s="238"/>
      <c r="N19" s="240"/>
      <c r="O19" s="64" t="s">
        <v>35</v>
      </c>
      <c r="P19" s="85">
        <f t="shared" ref="P19:W19" ca="1" si="17">MIN(IF($B20,P18+IF(ISNUMBER(O19),O19,0),P20/$N18),1)</f>
        <v>1</v>
      </c>
      <c r="Q19" s="62">
        <f t="shared" ca="1" si="17"/>
        <v>1</v>
      </c>
      <c r="R19" s="62">
        <f t="shared" ca="1" si="17"/>
        <v>1</v>
      </c>
      <c r="S19" s="62">
        <f t="shared" ca="1" si="17"/>
        <v>1</v>
      </c>
      <c r="T19" s="62">
        <f t="shared" ca="1" si="17"/>
        <v>1</v>
      </c>
      <c r="U19" s="62">
        <f t="shared" ca="1" si="17"/>
        <v>1</v>
      </c>
      <c r="V19" s="62">
        <f t="shared" ca="1" si="17"/>
        <v>1</v>
      </c>
      <c r="W19" s="62">
        <f t="shared" ca="1" si="17"/>
        <v>1</v>
      </c>
      <c r="X19" s="85">
        <f t="shared" ref="X19:AM19" ca="1" si="18">MIN(IF($B20,X18+IF(ISNUMBER(W19),W19,0),X20/$N18),1)</f>
        <v>1</v>
      </c>
      <c r="Y19" s="62">
        <f t="shared" ca="1" si="18"/>
        <v>1</v>
      </c>
      <c r="Z19" s="62">
        <f t="shared" ca="1" si="18"/>
        <v>1</v>
      </c>
      <c r="AA19" s="62">
        <f t="shared" ca="1" si="18"/>
        <v>1</v>
      </c>
      <c r="AB19" s="62">
        <f t="shared" ca="1" si="18"/>
        <v>1</v>
      </c>
      <c r="AC19" s="62">
        <f t="shared" ca="1" si="18"/>
        <v>1</v>
      </c>
      <c r="AD19" s="62">
        <f t="shared" ca="1" si="18"/>
        <v>1</v>
      </c>
      <c r="AE19" s="62">
        <f t="shared" ca="1" si="18"/>
        <v>1</v>
      </c>
      <c r="AF19" s="85">
        <f t="shared" ca="1" si="18"/>
        <v>1</v>
      </c>
      <c r="AG19" s="62">
        <f t="shared" ca="1" si="18"/>
        <v>1</v>
      </c>
      <c r="AH19" s="62">
        <f t="shared" ca="1" si="18"/>
        <v>1</v>
      </c>
      <c r="AI19" s="62">
        <f t="shared" ca="1" si="18"/>
        <v>1</v>
      </c>
      <c r="AJ19" s="62">
        <f t="shared" ca="1" si="18"/>
        <v>1</v>
      </c>
      <c r="AK19" s="62">
        <f t="shared" ca="1" si="18"/>
        <v>1</v>
      </c>
      <c r="AL19" s="62">
        <f t="shared" ca="1" si="18"/>
        <v>1</v>
      </c>
      <c r="AM19" s="62">
        <f t="shared" ca="1" si="18"/>
        <v>1</v>
      </c>
      <c r="AN19" s="83"/>
    </row>
    <row r="20" spans="1:40" customFormat="1" ht="14.25" x14ac:dyDescent="0.2">
      <c r="A20" s="11">
        <f ca="1">OFFSET(A20,-CFF.NumLinha,0)+1</f>
        <v>1</v>
      </c>
      <c r="B20" t="b">
        <f ca="1">$C20&gt;=OFFSET($C20,CFF.NumLinha,0)</f>
        <v>0</v>
      </c>
      <c r="C20" s="75">
        <f ca="1">INDEX(PO!A$11:A$367,MATCH($A20,PO!$W$11:$W$367,0))</f>
        <v>1</v>
      </c>
      <c r="D20" s="75">
        <f ca="1">IF(ISERROR(J20),I20,SMALL(I20:J20,1))-1</f>
        <v>8</v>
      </c>
      <c r="E20" s="75">
        <f ca="1">IF($C20=1,OFFSET(E20,-CFF.NumLinha,0)+1,OFFSET(E20,-CFF.NumLinha,0))</f>
        <v>1</v>
      </c>
      <c r="F20" s="75">
        <f ca="1">IF($C20=1,0,IF($C20=2,OFFSET(F20,-CFF.NumLinha,0)+1,OFFSET(F20,-CFF.NumLinha,0)))</f>
        <v>0</v>
      </c>
      <c r="G20" s="75">
        <f ca="1">IF(AND($C20&lt;=2,$C20&lt;&gt;0),0,IF($C20=3,OFFSET(G20,-CFF.NumLinha,0)+1,OFFSET(G20,-CFF.NumLinha,0)))</f>
        <v>0</v>
      </c>
      <c r="H20" s="75">
        <f ca="1">IF(AND($C20&lt;=3,$C20&lt;&gt;0),0,IF($C20=4,OFFSET(H20,-CFF.NumLinha,0)+1,OFFSET(H20,-CFF.NumLinha,0)))</f>
        <v>0</v>
      </c>
      <c r="I20" s="75">
        <f ca="1">MATCH(0,OFFSET($D20,1,$C20,ROW($A$114)-ROW($A20)),0)</f>
        <v>94</v>
      </c>
      <c r="J20" s="75">
        <f ca="1">MATCH(OFFSET($D20,0,$C20)+1,OFFSET($D20,1,$C20,ROW($A$114)-ROW($A20)),0)</f>
        <v>9</v>
      </c>
      <c r="K20" s="76">
        <f ca="1">ROUND(INDEX(PO!U$11:U$367,MATCH($A20,PO!$W$11:$W$367,0)),2)+10^-12</f>
        <v>27928.81</v>
      </c>
      <c r="L20" s="236"/>
      <c r="M20" s="238"/>
      <c r="N20" s="240"/>
      <c r="O20" s="93" t="s">
        <v>7</v>
      </c>
      <c r="P20" s="86">
        <f t="shared" ref="P20:W20" ca="1" si="19">IF($B20,ROUND(P19*$N18,2),ROUND(SUMIF(OFFSET($B20,1,0,$D20),TRUE,OFFSET(P20,1,0,$D20))/SUMIF(OFFSET($B20,1,0,$D20),TRUE,OFFSET($K20,1,0,$D20))*$N18,2))</f>
        <v>27928.81</v>
      </c>
      <c r="Q20" s="63">
        <f t="shared" ca="1" si="19"/>
        <v>27928.81</v>
      </c>
      <c r="R20" s="63">
        <f t="shared" ca="1" si="19"/>
        <v>27928.81</v>
      </c>
      <c r="S20" s="63">
        <f t="shared" ca="1" si="19"/>
        <v>27928.81</v>
      </c>
      <c r="T20" s="63">
        <f t="shared" ca="1" si="19"/>
        <v>27928.81</v>
      </c>
      <c r="U20" s="63">
        <f t="shared" ca="1" si="19"/>
        <v>27928.81</v>
      </c>
      <c r="V20" s="63">
        <f t="shared" ca="1" si="19"/>
        <v>27928.81</v>
      </c>
      <c r="W20" s="96">
        <f t="shared" ca="1" si="19"/>
        <v>27928.81</v>
      </c>
      <c r="X20" s="86">
        <f t="shared" ref="X20:AE20" ca="1" si="20">IF($B20,ROUND(X19*$N18,2),ROUND(SUMIF(OFFSET($B20,1,0,$D20),TRUE,OFFSET(X20,1,0,$D20))/SUMIF(OFFSET($B20,1,0,$D20),TRUE,OFFSET($K20,1,0,$D20))*$N18,2))</f>
        <v>27928.81</v>
      </c>
      <c r="Y20" s="63">
        <f t="shared" ca="1" si="20"/>
        <v>27928.81</v>
      </c>
      <c r="Z20" s="63">
        <f t="shared" ca="1" si="20"/>
        <v>27928.81</v>
      </c>
      <c r="AA20" s="63">
        <f t="shared" ca="1" si="20"/>
        <v>27928.81</v>
      </c>
      <c r="AB20" s="63">
        <f t="shared" ca="1" si="20"/>
        <v>27928.81</v>
      </c>
      <c r="AC20" s="63">
        <f t="shared" ca="1" si="20"/>
        <v>27928.81</v>
      </c>
      <c r="AD20" s="63">
        <f t="shared" ca="1" si="20"/>
        <v>27928.81</v>
      </c>
      <c r="AE20" s="96">
        <f t="shared" ca="1" si="20"/>
        <v>27928.81</v>
      </c>
      <c r="AF20" s="86">
        <f t="shared" ref="AF20:AM20" ca="1" si="21">IF($B20,ROUND(AF19*$N18,2),ROUND(SUMIF(OFFSET($B20,1,0,$D20),TRUE,OFFSET(AF20,1,0,$D20))/SUMIF(OFFSET($B20,1,0,$D20),TRUE,OFFSET($K20,1,0,$D20))*$N18,2))</f>
        <v>27928.81</v>
      </c>
      <c r="AG20" s="63">
        <f t="shared" ca="1" si="21"/>
        <v>27928.81</v>
      </c>
      <c r="AH20" s="63">
        <f t="shared" ca="1" si="21"/>
        <v>27928.81</v>
      </c>
      <c r="AI20" s="63">
        <f t="shared" ca="1" si="21"/>
        <v>27928.81</v>
      </c>
      <c r="AJ20" s="63">
        <f t="shared" ca="1" si="21"/>
        <v>27928.81</v>
      </c>
      <c r="AK20" s="63">
        <f t="shared" ca="1" si="21"/>
        <v>27928.81</v>
      </c>
      <c r="AL20" s="63">
        <f t="shared" ca="1" si="21"/>
        <v>27928.81</v>
      </c>
      <c r="AM20" s="96">
        <f t="shared" ca="1" si="21"/>
        <v>27928.81</v>
      </c>
      <c r="AN20" s="83"/>
    </row>
    <row r="21" spans="1:40" customFormat="1" ht="14.25" customHeight="1" x14ac:dyDescent="0.2">
      <c r="A21" s="1"/>
      <c r="B21" s="1"/>
      <c r="C21" s="1"/>
      <c r="D21" s="1"/>
      <c r="E21" s="1"/>
      <c r="F21" s="1"/>
      <c r="G21" s="1"/>
      <c r="H21" s="1"/>
      <c r="I21" s="1"/>
      <c r="J21" s="1"/>
      <c r="K21" s="1"/>
      <c r="L21" s="235" t="str">
        <f ca="1">INDEX(PO!K$11:K$367,MATCH($A23,PO!$W$11:$W$367,0))</f>
        <v>1.1.</v>
      </c>
      <c r="M21" s="237" t="str">
        <f ca="1">INDEX(PO!O$11:O$367,MATCH($A23,PO!$W$11:$W$367,0))</f>
        <v>ATIVIDADE 01 - REUNIÃO COM AS LIDERANÇAS DOS BAIRROS</v>
      </c>
      <c r="N21" s="239">
        <f ca="1">IF(ROUND(K23,2)=0,K23,ROUND(K23,2))</f>
        <v>11484.46</v>
      </c>
      <c r="O21" s="91" t="s">
        <v>33</v>
      </c>
      <c r="P21" s="90">
        <v>1</v>
      </c>
      <c r="Q21" s="46">
        <f t="shared" ref="Q21:W21" ca="1" si="22">IF($B23,0,Q22-IF(ISNUMBER(P22),P22,0))</f>
        <v>0</v>
      </c>
      <c r="R21" s="46">
        <f t="shared" ca="1" si="22"/>
        <v>0</v>
      </c>
      <c r="S21" s="46">
        <f t="shared" ca="1" si="22"/>
        <v>0</v>
      </c>
      <c r="T21" s="46">
        <f t="shared" ca="1" si="22"/>
        <v>0</v>
      </c>
      <c r="U21" s="46">
        <f t="shared" ca="1" si="22"/>
        <v>0</v>
      </c>
      <c r="V21" s="46">
        <f t="shared" ca="1" si="22"/>
        <v>0</v>
      </c>
      <c r="W21" s="46">
        <f t="shared" ca="1" si="22"/>
        <v>0</v>
      </c>
      <c r="X21" s="90">
        <v>1</v>
      </c>
      <c r="Y21" s="46">
        <f t="shared" ref="Y21:AE21" ca="1" si="23">IF($B23,0,Y22-IF(ISNUMBER(X22),X22,0))</f>
        <v>0</v>
      </c>
      <c r="Z21" s="46">
        <f t="shared" ca="1" si="23"/>
        <v>0</v>
      </c>
      <c r="AA21" s="46">
        <f t="shared" ca="1" si="23"/>
        <v>0</v>
      </c>
      <c r="AB21" s="46">
        <f t="shared" ca="1" si="23"/>
        <v>0</v>
      </c>
      <c r="AC21" s="46">
        <f t="shared" ca="1" si="23"/>
        <v>0</v>
      </c>
      <c r="AD21" s="46">
        <f t="shared" ca="1" si="23"/>
        <v>0</v>
      </c>
      <c r="AE21" s="46">
        <f t="shared" ca="1" si="23"/>
        <v>0</v>
      </c>
      <c r="AF21" s="90">
        <v>1</v>
      </c>
      <c r="AG21" s="46">
        <f t="shared" ref="AG21:AM21" ca="1" si="24">IF($B23,0,AG22-IF(ISNUMBER(AF22),AF22,0))</f>
        <v>0</v>
      </c>
      <c r="AH21" s="46">
        <f t="shared" ca="1" si="24"/>
        <v>0</v>
      </c>
      <c r="AI21" s="46">
        <f t="shared" ca="1" si="24"/>
        <v>0</v>
      </c>
      <c r="AJ21" s="46">
        <f t="shared" ca="1" si="24"/>
        <v>0</v>
      </c>
      <c r="AK21" s="46">
        <f t="shared" ca="1" si="24"/>
        <v>0</v>
      </c>
      <c r="AL21" s="46">
        <f t="shared" ca="1" si="24"/>
        <v>0</v>
      </c>
      <c r="AM21" s="46">
        <f t="shared" ca="1" si="24"/>
        <v>0</v>
      </c>
      <c r="AN21" s="83"/>
    </row>
    <row r="22" spans="1:40" customFormat="1" ht="14.25" x14ac:dyDescent="0.2">
      <c r="A22" s="75"/>
      <c r="B22" s="75"/>
      <c r="C22" s="75"/>
      <c r="D22" s="75"/>
      <c r="E22" s="75"/>
      <c r="F22" s="75"/>
      <c r="G22" s="75"/>
      <c r="H22" s="75"/>
      <c r="I22" s="75"/>
      <c r="J22" s="75"/>
      <c r="K22" s="75"/>
      <c r="L22" s="236"/>
      <c r="M22" s="238"/>
      <c r="N22" s="240"/>
      <c r="O22" s="64" t="s">
        <v>35</v>
      </c>
      <c r="P22" s="85">
        <f t="shared" ref="P22:AM22" ca="1" si="25">MIN(IF($B23,P21+IF(ISNUMBER(O22),O22,0),P23/$N21),1)</f>
        <v>1</v>
      </c>
      <c r="Q22" s="62">
        <f t="shared" ca="1" si="25"/>
        <v>1</v>
      </c>
      <c r="R22" s="62">
        <f t="shared" ca="1" si="25"/>
        <v>1</v>
      </c>
      <c r="S22" s="62">
        <f t="shared" ca="1" si="25"/>
        <v>1</v>
      </c>
      <c r="T22" s="62">
        <f t="shared" ca="1" si="25"/>
        <v>1</v>
      </c>
      <c r="U22" s="62">
        <f t="shared" ca="1" si="25"/>
        <v>1</v>
      </c>
      <c r="V22" s="62">
        <f t="shared" ca="1" si="25"/>
        <v>1</v>
      </c>
      <c r="W22" s="62">
        <f t="shared" ca="1" si="25"/>
        <v>1</v>
      </c>
      <c r="X22" s="85">
        <f t="shared" ca="1" si="25"/>
        <v>1</v>
      </c>
      <c r="Y22" s="62">
        <f t="shared" ca="1" si="25"/>
        <v>1</v>
      </c>
      <c r="Z22" s="62">
        <f t="shared" ca="1" si="25"/>
        <v>1</v>
      </c>
      <c r="AA22" s="62">
        <f t="shared" ca="1" si="25"/>
        <v>1</v>
      </c>
      <c r="AB22" s="62">
        <f t="shared" ca="1" si="25"/>
        <v>1</v>
      </c>
      <c r="AC22" s="62">
        <f t="shared" ca="1" si="25"/>
        <v>1</v>
      </c>
      <c r="AD22" s="62">
        <f t="shared" ca="1" si="25"/>
        <v>1</v>
      </c>
      <c r="AE22" s="62">
        <f t="shared" ca="1" si="25"/>
        <v>1</v>
      </c>
      <c r="AF22" s="85">
        <f t="shared" ca="1" si="25"/>
        <v>1</v>
      </c>
      <c r="AG22" s="62">
        <f t="shared" ca="1" si="25"/>
        <v>1</v>
      </c>
      <c r="AH22" s="62">
        <f t="shared" ca="1" si="25"/>
        <v>1</v>
      </c>
      <c r="AI22" s="62">
        <f t="shared" ca="1" si="25"/>
        <v>1</v>
      </c>
      <c r="AJ22" s="62">
        <f t="shared" ca="1" si="25"/>
        <v>1</v>
      </c>
      <c r="AK22" s="62">
        <f t="shared" ca="1" si="25"/>
        <v>1</v>
      </c>
      <c r="AL22" s="62">
        <f t="shared" ca="1" si="25"/>
        <v>1</v>
      </c>
      <c r="AM22" s="62">
        <f t="shared" ca="1" si="25"/>
        <v>1</v>
      </c>
      <c r="AN22" s="83"/>
    </row>
    <row r="23" spans="1:40" customFormat="1" ht="14.25" x14ac:dyDescent="0.2">
      <c r="A23" s="75">
        <f ca="1">OFFSET(A23,-CFF.NumLinha,0)+1</f>
        <v>2</v>
      </c>
      <c r="B23" s="75" t="b">
        <f ca="1">$C23&gt;=OFFSET($C23,CFF.NumLinha,0)</f>
        <v>1</v>
      </c>
      <c r="C23" s="75">
        <f ca="1">INDEX(PO!A$11:A$367,MATCH($A23,PO!$W$11:$W$367,0))</f>
        <v>2</v>
      </c>
      <c r="D23" s="75">
        <f ca="1">IF(ISERROR(J23),I23,SMALL(I23:J23,1))-1</f>
        <v>2</v>
      </c>
      <c r="E23" s="75">
        <f ca="1">IF($C23=1,OFFSET(E23,-CFF.NumLinha,0)+1,OFFSET(E23,-CFF.NumLinha,0))</f>
        <v>1</v>
      </c>
      <c r="F23" s="75">
        <f ca="1">IF($C23=1,0,IF($C23=2,OFFSET(F23,-CFF.NumLinha,0)+1,OFFSET(F23,-CFF.NumLinha,0)))</f>
        <v>1</v>
      </c>
      <c r="G23" s="75">
        <f ca="1">IF(AND($C23&lt;=2,$C23&lt;&gt;0),0,IF($C23=3,OFFSET(G23,-CFF.NumLinha,0)+1,OFFSET(G23,-CFF.NumLinha,0)))</f>
        <v>0</v>
      </c>
      <c r="H23" s="75">
        <f ca="1">IF(AND($C23&lt;=3,$C23&lt;&gt;0),0,IF($C23=4,OFFSET(H23,-CFF.NumLinha,0)+1,OFFSET(H23,-CFF.NumLinha,0)))</f>
        <v>0</v>
      </c>
      <c r="I23" s="75">
        <f ca="1">MATCH(0,OFFSET($D23,1,$C23,ROW($A$114)-ROW($A23)),0)</f>
        <v>6</v>
      </c>
      <c r="J23" s="75">
        <f ca="1">MATCH(OFFSET($D23,0,$C23)+1,OFFSET($D23,1,$C23,ROW($A$114)-ROW($A23)),0)</f>
        <v>3</v>
      </c>
      <c r="K23" s="76">
        <f ca="1">ROUND(INDEX(PO!U$11:U$367,MATCH($A23,PO!$W$11:$W$367,0)),2)+10^-12</f>
        <v>11484.460000000001</v>
      </c>
      <c r="L23" s="236"/>
      <c r="M23" s="238"/>
      <c r="N23" s="240"/>
      <c r="O23" s="93" t="s">
        <v>7</v>
      </c>
      <c r="P23" s="86">
        <f t="shared" ref="P23:W23" ca="1" si="26">IF($B23,ROUND(P22*$N21,2),ROUND(SUMIF(OFFSET($B23,1,0,$D23),TRUE,OFFSET(P23,1,0,$D23))/SUMIF(OFFSET($B23,1,0,$D23),TRUE,OFFSET($K23,1,0,$D23))*$N21,2))</f>
        <v>11484.46</v>
      </c>
      <c r="Q23" s="63">
        <f t="shared" ca="1" si="26"/>
        <v>11484.46</v>
      </c>
      <c r="R23" s="63">
        <f t="shared" ca="1" si="26"/>
        <v>11484.46</v>
      </c>
      <c r="S23" s="63">
        <f t="shared" ca="1" si="26"/>
        <v>11484.46</v>
      </c>
      <c r="T23" s="63">
        <f t="shared" ca="1" si="26"/>
        <v>11484.46</v>
      </c>
      <c r="U23" s="63">
        <f t="shared" ca="1" si="26"/>
        <v>11484.46</v>
      </c>
      <c r="V23" s="63">
        <f t="shared" ca="1" si="26"/>
        <v>11484.46</v>
      </c>
      <c r="W23" s="96">
        <f t="shared" ca="1" si="26"/>
        <v>11484.46</v>
      </c>
      <c r="X23" s="86">
        <f t="shared" ref="X23:AE23" ca="1" si="27">IF($B23,ROUND(X22*$N21,2),ROUND(SUMIF(OFFSET($B23,1,0,$D23),TRUE,OFFSET(X23,1,0,$D23))/SUMIF(OFFSET($B23,1,0,$D23),TRUE,OFFSET($K23,1,0,$D23))*$N21,2))</f>
        <v>11484.46</v>
      </c>
      <c r="Y23" s="63">
        <f t="shared" ca="1" si="27"/>
        <v>11484.46</v>
      </c>
      <c r="Z23" s="63">
        <f t="shared" ca="1" si="27"/>
        <v>11484.46</v>
      </c>
      <c r="AA23" s="63">
        <f t="shared" ca="1" si="27"/>
        <v>11484.46</v>
      </c>
      <c r="AB23" s="63">
        <f t="shared" ca="1" si="27"/>
        <v>11484.46</v>
      </c>
      <c r="AC23" s="63">
        <f t="shared" ca="1" si="27"/>
        <v>11484.46</v>
      </c>
      <c r="AD23" s="63">
        <f t="shared" ca="1" si="27"/>
        <v>11484.46</v>
      </c>
      <c r="AE23" s="96">
        <f t="shared" ca="1" si="27"/>
        <v>11484.46</v>
      </c>
      <c r="AF23" s="86">
        <f t="shared" ref="AF23:AM23" ca="1" si="28">IF($B23,ROUND(AF22*$N21,2),ROUND(SUMIF(OFFSET($B23,1,0,$D23),TRUE,OFFSET(AF23,1,0,$D23))/SUMIF(OFFSET($B23,1,0,$D23),TRUE,OFFSET($K23,1,0,$D23))*$N21,2))</f>
        <v>11484.46</v>
      </c>
      <c r="AG23" s="63">
        <f t="shared" ca="1" si="28"/>
        <v>11484.46</v>
      </c>
      <c r="AH23" s="63">
        <f t="shared" ca="1" si="28"/>
        <v>11484.46</v>
      </c>
      <c r="AI23" s="63">
        <f t="shared" ca="1" si="28"/>
        <v>11484.46</v>
      </c>
      <c r="AJ23" s="63">
        <f t="shared" ca="1" si="28"/>
        <v>11484.46</v>
      </c>
      <c r="AK23" s="63">
        <f t="shared" ca="1" si="28"/>
        <v>11484.46</v>
      </c>
      <c r="AL23" s="63">
        <f t="shared" ca="1" si="28"/>
        <v>11484.46</v>
      </c>
      <c r="AM23" s="96">
        <f t="shared" ca="1" si="28"/>
        <v>11484.46</v>
      </c>
      <c r="AN23" s="83"/>
    </row>
    <row r="24" spans="1:40" customFormat="1" ht="14.25" customHeight="1" x14ac:dyDescent="0.2">
      <c r="A24" s="1"/>
      <c r="B24" s="1"/>
      <c r="C24" s="1"/>
      <c r="D24" s="1"/>
      <c r="E24" s="1"/>
      <c r="F24" s="1"/>
      <c r="G24" s="1"/>
      <c r="H24" s="1"/>
      <c r="I24" s="1"/>
      <c r="J24" s="1"/>
      <c r="K24" s="1"/>
      <c r="L24" s="235" t="str">
        <f ca="1">INDEX(PO!K$11:K$367,MATCH($A26,PO!$W$11:$W$367,0))</f>
        <v>1.2.</v>
      </c>
      <c r="M24" s="237" t="str">
        <f ca="1">INDEX(PO!O$11:O$367,MATCH($A26,PO!$W$11:$W$367,0))</f>
        <v>ATIVIDADE 02 - REUNIÃO COMUNITÁRIA - COSTA VERDE</v>
      </c>
      <c r="N24" s="239">
        <f ca="1">IF(ROUND(K26,2)=0,K26,ROUND(K26,2))</f>
        <v>16444.349999999999</v>
      </c>
      <c r="O24" s="91" t="s">
        <v>33</v>
      </c>
      <c r="P24" s="90">
        <v>1</v>
      </c>
      <c r="Q24" s="46">
        <f t="shared" ref="Q24:W24" ca="1" si="29">IF($B26,0,Q25-IF(ISNUMBER(P25),P25,0))</f>
        <v>0</v>
      </c>
      <c r="R24" s="46">
        <f t="shared" ca="1" si="29"/>
        <v>0</v>
      </c>
      <c r="S24" s="46">
        <f t="shared" ca="1" si="29"/>
        <v>0</v>
      </c>
      <c r="T24" s="46">
        <f t="shared" ca="1" si="29"/>
        <v>0</v>
      </c>
      <c r="U24" s="46">
        <f t="shared" ca="1" si="29"/>
        <v>0</v>
      </c>
      <c r="V24" s="46">
        <f t="shared" ca="1" si="29"/>
        <v>0</v>
      </c>
      <c r="W24" s="46">
        <f t="shared" ca="1" si="29"/>
        <v>0</v>
      </c>
      <c r="X24" s="90">
        <v>1</v>
      </c>
      <c r="Y24" s="46">
        <f t="shared" ref="Y24:AE24" ca="1" si="30">IF($B26,0,Y25-IF(ISNUMBER(X25),X25,0))</f>
        <v>0</v>
      </c>
      <c r="Z24" s="46">
        <f t="shared" ca="1" si="30"/>
        <v>0</v>
      </c>
      <c r="AA24" s="46">
        <f t="shared" ca="1" si="30"/>
        <v>0</v>
      </c>
      <c r="AB24" s="46">
        <f t="shared" ca="1" si="30"/>
        <v>0</v>
      </c>
      <c r="AC24" s="46">
        <f t="shared" ca="1" si="30"/>
        <v>0</v>
      </c>
      <c r="AD24" s="46">
        <f t="shared" ca="1" si="30"/>
        <v>0</v>
      </c>
      <c r="AE24" s="46">
        <f t="shared" ca="1" si="30"/>
        <v>0</v>
      </c>
      <c r="AF24" s="90">
        <v>1</v>
      </c>
      <c r="AG24" s="46">
        <f t="shared" ref="AG24:AM24" ca="1" si="31">IF($B26,0,AG25-IF(ISNUMBER(AF25),AF25,0))</f>
        <v>0</v>
      </c>
      <c r="AH24" s="46">
        <f t="shared" ca="1" si="31"/>
        <v>0</v>
      </c>
      <c r="AI24" s="46">
        <f t="shared" ca="1" si="31"/>
        <v>0</v>
      </c>
      <c r="AJ24" s="46">
        <f t="shared" ca="1" si="31"/>
        <v>0</v>
      </c>
      <c r="AK24" s="46">
        <f t="shared" ca="1" si="31"/>
        <v>0</v>
      </c>
      <c r="AL24" s="46">
        <f t="shared" ca="1" si="31"/>
        <v>0</v>
      </c>
      <c r="AM24" s="46">
        <f t="shared" ca="1" si="31"/>
        <v>0</v>
      </c>
      <c r="AN24" s="83"/>
    </row>
    <row r="25" spans="1:40" customFormat="1" ht="14.25" x14ac:dyDescent="0.2">
      <c r="A25" s="75"/>
      <c r="B25" s="75"/>
      <c r="C25" s="75"/>
      <c r="D25" s="75"/>
      <c r="E25" s="75"/>
      <c r="F25" s="75"/>
      <c r="G25" s="75"/>
      <c r="H25" s="75"/>
      <c r="I25" s="75"/>
      <c r="J25" s="75"/>
      <c r="K25" s="75"/>
      <c r="L25" s="236"/>
      <c r="M25" s="238"/>
      <c r="N25" s="240"/>
      <c r="O25" s="64" t="s">
        <v>35</v>
      </c>
      <c r="P25" s="85">
        <f t="shared" ref="P25:AM25" ca="1" si="32">MIN(IF($B26,P24+IF(ISNUMBER(O25),O25,0),P26/$N24),1)</f>
        <v>1</v>
      </c>
      <c r="Q25" s="62">
        <f t="shared" ca="1" si="32"/>
        <v>1</v>
      </c>
      <c r="R25" s="62">
        <f t="shared" ca="1" si="32"/>
        <v>1</v>
      </c>
      <c r="S25" s="62">
        <f t="shared" ca="1" si="32"/>
        <v>1</v>
      </c>
      <c r="T25" s="62">
        <f t="shared" ca="1" si="32"/>
        <v>1</v>
      </c>
      <c r="U25" s="62">
        <f t="shared" ca="1" si="32"/>
        <v>1</v>
      </c>
      <c r="V25" s="62">
        <f t="shared" ca="1" si="32"/>
        <v>1</v>
      </c>
      <c r="W25" s="62">
        <f t="shared" ca="1" si="32"/>
        <v>1</v>
      </c>
      <c r="X25" s="85">
        <f t="shared" ca="1" si="32"/>
        <v>1</v>
      </c>
      <c r="Y25" s="62">
        <f t="shared" ca="1" si="32"/>
        <v>1</v>
      </c>
      <c r="Z25" s="62">
        <f t="shared" ca="1" si="32"/>
        <v>1</v>
      </c>
      <c r="AA25" s="62">
        <f t="shared" ca="1" si="32"/>
        <v>1</v>
      </c>
      <c r="AB25" s="62">
        <f t="shared" ca="1" si="32"/>
        <v>1</v>
      </c>
      <c r="AC25" s="62">
        <f t="shared" ca="1" si="32"/>
        <v>1</v>
      </c>
      <c r="AD25" s="62">
        <f t="shared" ca="1" si="32"/>
        <v>1</v>
      </c>
      <c r="AE25" s="62">
        <f t="shared" ca="1" si="32"/>
        <v>1</v>
      </c>
      <c r="AF25" s="85">
        <f t="shared" ca="1" si="32"/>
        <v>1</v>
      </c>
      <c r="AG25" s="62">
        <f t="shared" ca="1" si="32"/>
        <v>1</v>
      </c>
      <c r="AH25" s="62">
        <f t="shared" ca="1" si="32"/>
        <v>1</v>
      </c>
      <c r="AI25" s="62">
        <f t="shared" ca="1" si="32"/>
        <v>1</v>
      </c>
      <c r="AJ25" s="62">
        <f t="shared" ca="1" si="32"/>
        <v>1</v>
      </c>
      <c r="AK25" s="62">
        <f t="shared" ca="1" si="32"/>
        <v>1</v>
      </c>
      <c r="AL25" s="62">
        <f t="shared" ca="1" si="32"/>
        <v>1</v>
      </c>
      <c r="AM25" s="62">
        <f t="shared" ca="1" si="32"/>
        <v>1</v>
      </c>
      <c r="AN25" s="83"/>
    </row>
    <row r="26" spans="1:40" customFormat="1" ht="14.25" x14ac:dyDescent="0.2">
      <c r="A26" s="75">
        <f ca="1">OFFSET(A26,-CFF.NumLinha,0)+1</f>
        <v>3</v>
      </c>
      <c r="B26" s="75" t="b">
        <f ca="1">$C26&gt;=OFFSET($C26,CFF.NumLinha,0)</f>
        <v>1</v>
      </c>
      <c r="C26" s="75">
        <f ca="1">INDEX(PO!A$11:A$367,MATCH($A26,PO!$W$11:$W$367,0))</f>
        <v>2</v>
      </c>
      <c r="D26" s="75">
        <f ca="1">IF(ISERROR(J26),I26,SMALL(I26:J26,1))-1</f>
        <v>2</v>
      </c>
      <c r="E26" s="75">
        <f ca="1">IF($C26=1,OFFSET(E26,-CFF.NumLinha,0)+1,OFFSET(E26,-CFF.NumLinha,0))</f>
        <v>1</v>
      </c>
      <c r="F26" s="75">
        <f ca="1">IF($C26=1,0,IF($C26=2,OFFSET(F26,-CFF.NumLinha,0)+1,OFFSET(F26,-CFF.NumLinha,0)))</f>
        <v>2</v>
      </c>
      <c r="G26" s="75">
        <f ca="1">IF(AND($C26&lt;=2,$C26&lt;&gt;0),0,IF($C26=3,OFFSET(G26,-CFF.NumLinha,0)+1,OFFSET(G26,-CFF.NumLinha,0)))</f>
        <v>0</v>
      </c>
      <c r="H26" s="75">
        <f ca="1">IF(AND($C26&lt;=3,$C26&lt;&gt;0),0,IF($C26=4,OFFSET(H26,-CFF.NumLinha,0)+1,OFFSET(H26,-CFF.NumLinha,0)))</f>
        <v>0</v>
      </c>
      <c r="I26" s="75">
        <f ca="1">MATCH(0,OFFSET($D26,1,$C26,ROW($A$114)-ROW($A26)),0)</f>
        <v>3</v>
      </c>
      <c r="J26" s="75" t="e">
        <f ca="1">MATCH(OFFSET($D26,0,$C26)+1,OFFSET($D26,1,$C26,ROW($A$114)-ROW($A26)),0)</f>
        <v>#N/A</v>
      </c>
      <c r="K26" s="76">
        <f ca="1">ROUND(INDEX(PO!U$11:U$367,MATCH($A26,PO!$W$11:$W$367,0)),2)+10^-12</f>
        <v>16444.349999999999</v>
      </c>
      <c r="L26" s="236"/>
      <c r="M26" s="238"/>
      <c r="N26" s="240"/>
      <c r="O26" s="93" t="s">
        <v>7</v>
      </c>
      <c r="P26" s="86">
        <f t="shared" ref="P26:W26" ca="1" si="33">IF($B26,ROUND(P25*$N24,2),ROUND(SUMIF(OFFSET($B26,1,0,$D26),TRUE,OFFSET(P26,1,0,$D26))/SUMIF(OFFSET($B26,1,0,$D26),TRUE,OFFSET($K26,1,0,$D26))*$N24,2))</f>
        <v>16444.349999999999</v>
      </c>
      <c r="Q26" s="63">
        <f t="shared" ca="1" si="33"/>
        <v>16444.349999999999</v>
      </c>
      <c r="R26" s="63">
        <f t="shared" ca="1" si="33"/>
        <v>16444.349999999999</v>
      </c>
      <c r="S26" s="63">
        <f t="shared" ca="1" si="33"/>
        <v>16444.349999999999</v>
      </c>
      <c r="T26" s="63">
        <f t="shared" ca="1" si="33"/>
        <v>16444.349999999999</v>
      </c>
      <c r="U26" s="63">
        <f t="shared" ca="1" si="33"/>
        <v>16444.349999999999</v>
      </c>
      <c r="V26" s="63">
        <f t="shared" ca="1" si="33"/>
        <v>16444.349999999999</v>
      </c>
      <c r="W26" s="96">
        <f t="shared" ca="1" si="33"/>
        <v>16444.349999999999</v>
      </c>
      <c r="X26" s="86">
        <f t="shared" ref="X26:AE26" ca="1" si="34">IF($B26,ROUND(X25*$N24,2),ROUND(SUMIF(OFFSET($B26,1,0,$D26),TRUE,OFFSET(X26,1,0,$D26))/SUMIF(OFFSET($B26,1,0,$D26),TRUE,OFFSET($K26,1,0,$D26))*$N24,2))</f>
        <v>16444.349999999999</v>
      </c>
      <c r="Y26" s="63">
        <f t="shared" ca="1" si="34"/>
        <v>16444.349999999999</v>
      </c>
      <c r="Z26" s="63">
        <f t="shared" ca="1" si="34"/>
        <v>16444.349999999999</v>
      </c>
      <c r="AA26" s="63">
        <f t="shared" ca="1" si="34"/>
        <v>16444.349999999999</v>
      </c>
      <c r="AB26" s="63">
        <f t="shared" ca="1" si="34"/>
        <v>16444.349999999999</v>
      </c>
      <c r="AC26" s="63">
        <f t="shared" ca="1" si="34"/>
        <v>16444.349999999999</v>
      </c>
      <c r="AD26" s="63">
        <f t="shared" ca="1" si="34"/>
        <v>16444.349999999999</v>
      </c>
      <c r="AE26" s="96">
        <f t="shared" ca="1" si="34"/>
        <v>16444.349999999999</v>
      </c>
      <c r="AF26" s="86">
        <f t="shared" ref="AF26:AM26" ca="1" si="35">IF($B26,ROUND(AF25*$N24,2),ROUND(SUMIF(OFFSET($B26,1,0,$D26),TRUE,OFFSET(AF26,1,0,$D26))/SUMIF(OFFSET($B26,1,0,$D26),TRUE,OFFSET($K26,1,0,$D26))*$N24,2))</f>
        <v>16444.349999999999</v>
      </c>
      <c r="AG26" s="63">
        <f t="shared" ca="1" si="35"/>
        <v>16444.349999999999</v>
      </c>
      <c r="AH26" s="63">
        <f t="shared" ca="1" si="35"/>
        <v>16444.349999999999</v>
      </c>
      <c r="AI26" s="63">
        <f t="shared" ca="1" si="35"/>
        <v>16444.349999999999</v>
      </c>
      <c r="AJ26" s="63">
        <f t="shared" ca="1" si="35"/>
        <v>16444.349999999999</v>
      </c>
      <c r="AK26" s="63">
        <f t="shared" ca="1" si="35"/>
        <v>16444.349999999999</v>
      </c>
      <c r="AL26" s="63">
        <f t="shared" ca="1" si="35"/>
        <v>16444.349999999999</v>
      </c>
      <c r="AM26" s="96">
        <f t="shared" ca="1" si="35"/>
        <v>16444.349999999999</v>
      </c>
      <c r="AN26" s="83"/>
    </row>
    <row r="27" spans="1:40" customFormat="1" ht="14.25" customHeight="1" x14ac:dyDescent="0.2">
      <c r="A27" s="1"/>
      <c r="B27" s="1"/>
      <c r="C27" s="1"/>
      <c r="D27" s="1"/>
      <c r="E27" s="1"/>
      <c r="F27" s="1"/>
      <c r="G27" s="1"/>
      <c r="H27" s="1"/>
      <c r="I27" s="1"/>
      <c r="J27" s="1"/>
      <c r="K27" s="1"/>
      <c r="L27" s="235" t="str">
        <f ca="1">INDEX(PO!K$11:K$367,MATCH($A29,PO!$W$11:$W$367,0))</f>
        <v>2.</v>
      </c>
      <c r="M27" s="237" t="str">
        <f ca="1">INDEX(PO!O$11:O$367,MATCH($A29,PO!$W$11:$W$367,0))</f>
        <v>2 MÊS - INFORMATIVO E GESTÃO SOCIAL DA INTERVENÇÃO</v>
      </c>
      <c r="N27" s="239">
        <f ca="1">IF(ROUND(K29,2)=0,K29,ROUND(K29,2))</f>
        <v>24537.88</v>
      </c>
      <c r="O27" s="91" t="s">
        <v>33</v>
      </c>
      <c r="P27" s="90">
        <f t="shared" ref="P27:AM27" ca="1" si="36">IF($B29,0,P28-IF(ISNUMBER(O28),O28,0))</f>
        <v>0</v>
      </c>
      <c r="Q27" s="46">
        <f t="shared" ca="1" si="36"/>
        <v>1</v>
      </c>
      <c r="R27" s="46">
        <f t="shared" ca="1" si="36"/>
        <v>0</v>
      </c>
      <c r="S27" s="46">
        <f t="shared" ca="1" si="36"/>
        <v>0</v>
      </c>
      <c r="T27" s="46">
        <f t="shared" ca="1" si="36"/>
        <v>0</v>
      </c>
      <c r="U27" s="46">
        <f t="shared" ca="1" si="36"/>
        <v>0</v>
      </c>
      <c r="V27" s="46">
        <f t="shared" ca="1" si="36"/>
        <v>0</v>
      </c>
      <c r="W27" s="46">
        <f t="shared" ca="1" si="36"/>
        <v>0</v>
      </c>
      <c r="X27" s="90">
        <f t="shared" ca="1" si="36"/>
        <v>0</v>
      </c>
      <c r="Y27" s="46">
        <f t="shared" ca="1" si="36"/>
        <v>0</v>
      </c>
      <c r="Z27" s="46">
        <f t="shared" ca="1" si="36"/>
        <v>0</v>
      </c>
      <c r="AA27" s="46">
        <f t="shared" ca="1" si="36"/>
        <v>0</v>
      </c>
      <c r="AB27" s="46">
        <f t="shared" ca="1" si="36"/>
        <v>0</v>
      </c>
      <c r="AC27" s="46">
        <f t="shared" ca="1" si="36"/>
        <v>0</v>
      </c>
      <c r="AD27" s="46">
        <f t="shared" ca="1" si="36"/>
        <v>0</v>
      </c>
      <c r="AE27" s="46">
        <f t="shared" ca="1" si="36"/>
        <v>0</v>
      </c>
      <c r="AF27" s="90">
        <f t="shared" ca="1" si="36"/>
        <v>0</v>
      </c>
      <c r="AG27" s="46">
        <f t="shared" ca="1" si="36"/>
        <v>0</v>
      </c>
      <c r="AH27" s="46">
        <f t="shared" ca="1" si="36"/>
        <v>0</v>
      </c>
      <c r="AI27" s="46">
        <f t="shared" ca="1" si="36"/>
        <v>0</v>
      </c>
      <c r="AJ27" s="46">
        <f t="shared" ca="1" si="36"/>
        <v>0</v>
      </c>
      <c r="AK27" s="46">
        <f t="shared" ca="1" si="36"/>
        <v>0</v>
      </c>
      <c r="AL27" s="46">
        <f t="shared" ca="1" si="36"/>
        <v>0</v>
      </c>
      <c r="AM27" s="46">
        <f t="shared" ca="1" si="36"/>
        <v>0</v>
      </c>
      <c r="AN27" s="83"/>
    </row>
    <row r="28" spans="1:40" customFormat="1" ht="14.25" x14ac:dyDescent="0.2">
      <c r="A28" s="75"/>
      <c r="B28" s="75"/>
      <c r="C28" s="75"/>
      <c r="D28" s="75"/>
      <c r="E28" s="75"/>
      <c r="F28" s="75"/>
      <c r="G28" s="75"/>
      <c r="H28" s="75"/>
      <c r="I28" s="75"/>
      <c r="J28" s="75"/>
      <c r="K28" s="75"/>
      <c r="L28" s="236"/>
      <c r="M28" s="238"/>
      <c r="N28" s="240"/>
      <c r="O28" s="64" t="s">
        <v>35</v>
      </c>
      <c r="P28" s="85">
        <f t="shared" ref="P28:AM28" ca="1" si="37">MIN(IF($B29,P27+IF(ISNUMBER(O28),O28,0),P29/$N27),1)</f>
        <v>0</v>
      </c>
      <c r="Q28" s="62">
        <f t="shared" ca="1" si="37"/>
        <v>1</v>
      </c>
      <c r="R28" s="62">
        <f t="shared" ca="1" si="37"/>
        <v>1</v>
      </c>
      <c r="S28" s="62">
        <f t="shared" ca="1" si="37"/>
        <v>1</v>
      </c>
      <c r="T28" s="62">
        <f t="shared" ca="1" si="37"/>
        <v>1</v>
      </c>
      <c r="U28" s="62">
        <f t="shared" ca="1" si="37"/>
        <v>1</v>
      </c>
      <c r="V28" s="62">
        <f t="shared" ca="1" si="37"/>
        <v>1</v>
      </c>
      <c r="W28" s="62">
        <f t="shared" ca="1" si="37"/>
        <v>1</v>
      </c>
      <c r="X28" s="85">
        <f t="shared" ca="1" si="37"/>
        <v>1</v>
      </c>
      <c r="Y28" s="62">
        <f t="shared" ca="1" si="37"/>
        <v>1</v>
      </c>
      <c r="Z28" s="62">
        <f t="shared" ca="1" si="37"/>
        <v>1</v>
      </c>
      <c r="AA28" s="62">
        <f t="shared" ca="1" si="37"/>
        <v>1</v>
      </c>
      <c r="AB28" s="62">
        <f t="shared" ca="1" si="37"/>
        <v>1</v>
      </c>
      <c r="AC28" s="62">
        <f t="shared" ca="1" si="37"/>
        <v>1</v>
      </c>
      <c r="AD28" s="62">
        <f t="shared" ca="1" si="37"/>
        <v>1</v>
      </c>
      <c r="AE28" s="62">
        <f t="shared" ca="1" si="37"/>
        <v>1</v>
      </c>
      <c r="AF28" s="85">
        <f t="shared" ca="1" si="37"/>
        <v>1</v>
      </c>
      <c r="AG28" s="62">
        <f t="shared" ca="1" si="37"/>
        <v>1</v>
      </c>
      <c r="AH28" s="62">
        <f t="shared" ca="1" si="37"/>
        <v>1</v>
      </c>
      <c r="AI28" s="62">
        <f t="shared" ca="1" si="37"/>
        <v>1</v>
      </c>
      <c r="AJ28" s="62">
        <f t="shared" ca="1" si="37"/>
        <v>1</v>
      </c>
      <c r="AK28" s="62">
        <f t="shared" ca="1" si="37"/>
        <v>1</v>
      </c>
      <c r="AL28" s="62">
        <f t="shared" ca="1" si="37"/>
        <v>1</v>
      </c>
      <c r="AM28" s="62">
        <f t="shared" ca="1" si="37"/>
        <v>1</v>
      </c>
      <c r="AN28" s="83"/>
    </row>
    <row r="29" spans="1:40" customFormat="1" ht="14.25" x14ac:dyDescent="0.2">
      <c r="A29" s="75">
        <f ca="1">OFFSET(A29,-CFF.NumLinha,0)+1</f>
        <v>4</v>
      </c>
      <c r="B29" s="75" t="b">
        <f ca="1">$C29&gt;=OFFSET($C29,CFF.NumLinha,0)</f>
        <v>0</v>
      </c>
      <c r="C29" s="75">
        <f ca="1">INDEX(PO!A$11:A$367,MATCH($A29,PO!$W$11:$W$367,0))</f>
        <v>1</v>
      </c>
      <c r="D29" s="75">
        <f ca="1">IF(ISERROR(J29),I29,SMALL(I29:J29,1))-1</f>
        <v>8</v>
      </c>
      <c r="E29" s="75">
        <f ca="1">IF($C29=1,OFFSET(E29,-CFF.NumLinha,0)+1,OFFSET(E29,-CFF.NumLinha,0))</f>
        <v>2</v>
      </c>
      <c r="F29" s="75">
        <f ca="1">IF($C29=1,0,IF($C29=2,OFFSET(F29,-CFF.NumLinha,0)+1,OFFSET(F29,-CFF.NumLinha,0)))</f>
        <v>0</v>
      </c>
      <c r="G29" s="75">
        <f ca="1">IF(AND($C29&lt;=2,$C29&lt;&gt;0),0,IF($C29=3,OFFSET(G29,-CFF.NumLinha,0)+1,OFFSET(G29,-CFF.NumLinha,0)))</f>
        <v>0</v>
      </c>
      <c r="H29" s="75">
        <f ca="1">IF(AND($C29&lt;=3,$C29&lt;&gt;0),0,IF($C29=4,OFFSET(H29,-CFF.NumLinha,0)+1,OFFSET(H29,-CFF.NumLinha,0)))</f>
        <v>0</v>
      </c>
      <c r="I29" s="75">
        <f ca="1">MATCH(0,OFFSET($D29,1,$C29,ROW($A$114)-ROW($A29)),0)</f>
        <v>85</v>
      </c>
      <c r="J29" s="75">
        <f ca="1">MATCH(OFFSET($D29,0,$C29)+1,OFFSET($D29,1,$C29,ROW($A$114)-ROW($A29)),0)</f>
        <v>9</v>
      </c>
      <c r="K29" s="76">
        <f ca="1">ROUND(INDEX(PO!U$11:U$367,MATCH($A29,PO!$W$11:$W$367,0)),2)+10^-12</f>
        <v>24537.88</v>
      </c>
      <c r="L29" s="236"/>
      <c r="M29" s="238"/>
      <c r="N29" s="240"/>
      <c r="O29" s="93" t="s">
        <v>7</v>
      </c>
      <c r="P29" s="86">
        <f t="shared" ref="P29:W29" ca="1" si="38">IF($B29,ROUND(P28*$N27,2),ROUND(SUMIF(OFFSET($B29,1,0,$D29),TRUE,OFFSET(P29,1,0,$D29))/SUMIF(OFFSET($B29,1,0,$D29),TRUE,OFFSET($K29,1,0,$D29))*$N27,2))</f>
        <v>0</v>
      </c>
      <c r="Q29" s="63">
        <f t="shared" ca="1" si="38"/>
        <v>24537.88</v>
      </c>
      <c r="R29" s="63">
        <f t="shared" ca="1" si="38"/>
        <v>24537.88</v>
      </c>
      <c r="S29" s="63">
        <f t="shared" ca="1" si="38"/>
        <v>24537.88</v>
      </c>
      <c r="T29" s="63">
        <f t="shared" ca="1" si="38"/>
        <v>24537.88</v>
      </c>
      <c r="U29" s="63">
        <f t="shared" ca="1" si="38"/>
        <v>24537.88</v>
      </c>
      <c r="V29" s="63">
        <f t="shared" ca="1" si="38"/>
        <v>24537.88</v>
      </c>
      <c r="W29" s="96">
        <f t="shared" ca="1" si="38"/>
        <v>24537.88</v>
      </c>
      <c r="X29" s="86">
        <f t="shared" ref="X29:AE29" ca="1" si="39">IF($B29,ROUND(X28*$N27,2),ROUND(SUMIF(OFFSET($B29,1,0,$D29),TRUE,OFFSET(X29,1,0,$D29))/SUMIF(OFFSET($B29,1,0,$D29),TRUE,OFFSET($K29,1,0,$D29))*$N27,2))</f>
        <v>24537.88</v>
      </c>
      <c r="Y29" s="63">
        <f t="shared" ca="1" si="39"/>
        <v>24537.88</v>
      </c>
      <c r="Z29" s="63">
        <f t="shared" ca="1" si="39"/>
        <v>24537.88</v>
      </c>
      <c r="AA29" s="63">
        <f t="shared" ca="1" si="39"/>
        <v>24537.88</v>
      </c>
      <c r="AB29" s="63">
        <f t="shared" ca="1" si="39"/>
        <v>24537.88</v>
      </c>
      <c r="AC29" s="63">
        <f t="shared" ca="1" si="39"/>
        <v>24537.88</v>
      </c>
      <c r="AD29" s="63">
        <f t="shared" ca="1" si="39"/>
        <v>24537.88</v>
      </c>
      <c r="AE29" s="96">
        <f t="shared" ca="1" si="39"/>
        <v>24537.88</v>
      </c>
      <c r="AF29" s="86">
        <f t="shared" ref="AF29:AM29" ca="1" si="40">IF($B29,ROUND(AF28*$N27,2),ROUND(SUMIF(OFFSET($B29,1,0,$D29),TRUE,OFFSET(AF29,1,0,$D29))/SUMIF(OFFSET($B29,1,0,$D29),TRUE,OFFSET($K29,1,0,$D29))*$N27,2))</f>
        <v>24537.88</v>
      </c>
      <c r="AG29" s="63">
        <f t="shared" ca="1" si="40"/>
        <v>24537.88</v>
      </c>
      <c r="AH29" s="63">
        <f t="shared" ca="1" si="40"/>
        <v>24537.88</v>
      </c>
      <c r="AI29" s="63">
        <f t="shared" ca="1" si="40"/>
        <v>24537.88</v>
      </c>
      <c r="AJ29" s="63">
        <f t="shared" ca="1" si="40"/>
        <v>24537.88</v>
      </c>
      <c r="AK29" s="63">
        <f t="shared" ca="1" si="40"/>
        <v>24537.88</v>
      </c>
      <c r="AL29" s="63">
        <f t="shared" ca="1" si="40"/>
        <v>24537.88</v>
      </c>
      <c r="AM29" s="96">
        <f t="shared" ca="1" si="40"/>
        <v>24537.88</v>
      </c>
      <c r="AN29" s="83"/>
    </row>
    <row r="30" spans="1:40" customFormat="1" ht="14.25" customHeight="1" x14ac:dyDescent="0.2">
      <c r="A30" s="1"/>
      <c r="B30" s="1"/>
      <c r="C30" s="1"/>
      <c r="D30" s="1"/>
      <c r="E30" s="1"/>
      <c r="F30" s="1"/>
      <c r="G30" s="1"/>
      <c r="H30" s="1"/>
      <c r="I30" s="1"/>
      <c r="J30" s="1"/>
      <c r="K30" s="1"/>
      <c r="L30" s="235" t="str">
        <f ca="1">INDEX(PO!K$11:K$367,MATCH($A32,PO!$W$11:$W$367,0))</f>
        <v>2.1.</v>
      </c>
      <c r="M30" s="237" t="str">
        <f ca="1">INDEX(PO!O$11:O$367,MATCH($A32,PO!$W$11:$W$367,0))</f>
        <v>ATIVIDADE 03 - PLANTÃO SOCIAL - COSTA VERDE</v>
      </c>
      <c r="N30" s="239">
        <f ca="1">IF(ROUND(K32,2)=0,K32,ROUND(K32,2))</f>
        <v>10609.28</v>
      </c>
      <c r="O30" s="91" t="s">
        <v>33</v>
      </c>
      <c r="P30" s="90">
        <f ca="1">IF($B32,0,P31-IF(ISNUMBER(O31),O31,0))</f>
        <v>0</v>
      </c>
      <c r="Q30" s="46">
        <v>1</v>
      </c>
      <c r="R30" s="46">
        <f t="shared" ref="R30:X30" ca="1" si="41">IF($B32,0,R31-IF(ISNUMBER(Q31),Q31,0))</f>
        <v>0</v>
      </c>
      <c r="S30" s="46">
        <f t="shared" ca="1" si="41"/>
        <v>0</v>
      </c>
      <c r="T30" s="46">
        <f t="shared" ca="1" si="41"/>
        <v>0</v>
      </c>
      <c r="U30" s="46">
        <f t="shared" ca="1" si="41"/>
        <v>0</v>
      </c>
      <c r="V30" s="46">
        <f t="shared" ca="1" si="41"/>
        <v>0</v>
      </c>
      <c r="W30" s="46">
        <f t="shared" ca="1" si="41"/>
        <v>0</v>
      </c>
      <c r="X30" s="90">
        <f t="shared" ca="1" si="41"/>
        <v>0</v>
      </c>
      <c r="Y30" s="46">
        <v>1</v>
      </c>
      <c r="Z30" s="46">
        <f t="shared" ref="Z30:AF30" ca="1" si="42">IF($B32,0,Z31-IF(ISNUMBER(Y31),Y31,0))</f>
        <v>0</v>
      </c>
      <c r="AA30" s="46">
        <f t="shared" ca="1" si="42"/>
        <v>0</v>
      </c>
      <c r="AB30" s="46">
        <f t="shared" ca="1" si="42"/>
        <v>0</v>
      </c>
      <c r="AC30" s="46">
        <f t="shared" ca="1" si="42"/>
        <v>0</v>
      </c>
      <c r="AD30" s="46">
        <f t="shared" ca="1" si="42"/>
        <v>0</v>
      </c>
      <c r="AE30" s="46">
        <f t="shared" ca="1" si="42"/>
        <v>0</v>
      </c>
      <c r="AF30" s="90">
        <f t="shared" ca="1" si="42"/>
        <v>0</v>
      </c>
      <c r="AG30" s="46">
        <v>1</v>
      </c>
      <c r="AH30" s="46">
        <f t="shared" ref="AH30:AM30" ca="1" si="43">IF($B32,0,AH31-IF(ISNUMBER(AG31),AG31,0))</f>
        <v>0</v>
      </c>
      <c r="AI30" s="46">
        <f t="shared" ca="1" si="43"/>
        <v>0</v>
      </c>
      <c r="AJ30" s="46">
        <f t="shared" ca="1" si="43"/>
        <v>0</v>
      </c>
      <c r="AK30" s="46">
        <f t="shared" ca="1" si="43"/>
        <v>0</v>
      </c>
      <c r="AL30" s="46">
        <f t="shared" ca="1" si="43"/>
        <v>0</v>
      </c>
      <c r="AM30" s="46">
        <f t="shared" ca="1" si="43"/>
        <v>0</v>
      </c>
      <c r="AN30" s="83"/>
    </row>
    <row r="31" spans="1:40" customFormat="1" ht="14.25" x14ac:dyDescent="0.2">
      <c r="A31" s="75"/>
      <c r="B31" s="75"/>
      <c r="C31" s="75"/>
      <c r="D31" s="75"/>
      <c r="E31" s="75"/>
      <c r="F31" s="75"/>
      <c r="G31" s="75"/>
      <c r="H31" s="75"/>
      <c r="I31" s="75"/>
      <c r="J31" s="75"/>
      <c r="K31" s="75"/>
      <c r="L31" s="236"/>
      <c r="M31" s="238"/>
      <c r="N31" s="240"/>
      <c r="O31" s="64" t="s">
        <v>35</v>
      </c>
      <c r="P31" s="85">
        <f t="shared" ref="P31:AM31" ca="1" si="44">MIN(IF($B32,P30+IF(ISNUMBER(O31),O31,0),P32/$N30),1)</f>
        <v>0</v>
      </c>
      <c r="Q31" s="62">
        <f t="shared" ca="1" si="44"/>
        <v>1</v>
      </c>
      <c r="R31" s="62">
        <f t="shared" ca="1" si="44"/>
        <v>1</v>
      </c>
      <c r="S31" s="62">
        <f t="shared" ca="1" si="44"/>
        <v>1</v>
      </c>
      <c r="T31" s="62">
        <f t="shared" ca="1" si="44"/>
        <v>1</v>
      </c>
      <c r="U31" s="62">
        <f t="shared" ca="1" si="44"/>
        <v>1</v>
      </c>
      <c r="V31" s="62">
        <f t="shared" ca="1" si="44"/>
        <v>1</v>
      </c>
      <c r="W31" s="62">
        <f t="shared" ca="1" si="44"/>
        <v>1</v>
      </c>
      <c r="X31" s="85">
        <f t="shared" ca="1" si="44"/>
        <v>1</v>
      </c>
      <c r="Y31" s="62">
        <f t="shared" ca="1" si="44"/>
        <v>1</v>
      </c>
      <c r="Z31" s="62">
        <f t="shared" ca="1" si="44"/>
        <v>1</v>
      </c>
      <c r="AA31" s="62">
        <f t="shared" ca="1" si="44"/>
        <v>1</v>
      </c>
      <c r="AB31" s="62">
        <f t="shared" ca="1" si="44"/>
        <v>1</v>
      </c>
      <c r="AC31" s="62">
        <f t="shared" ca="1" si="44"/>
        <v>1</v>
      </c>
      <c r="AD31" s="62">
        <f t="shared" ca="1" si="44"/>
        <v>1</v>
      </c>
      <c r="AE31" s="62">
        <f t="shared" ca="1" si="44"/>
        <v>1</v>
      </c>
      <c r="AF31" s="85">
        <f t="shared" ca="1" si="44"/>
        <v>1</v>
      </c>
      <c r="AG31" s="62">
        <f t="shared" ca="1" si="44"/>
        <v>1</v>
      </c>
      <c r="AH31" s="62">
        <f t="shared" ca="1" si="44"/>
        <v>1</v>
      </c>
      <c r="AI31" s="62">
        <f t="shared" ca="1" si="44"/>
        <v>1</v>
      </c>
      <c r="AJ31" s="62">
        <f t="shared" ca="1" si="44"/>
        <v>1</v>
      </c>
      <c r="AK31" s="62">
        <f t="shared" ca="1" si="44"/>
        <v>1</v>
      </c>
      <c r="AL31" s="62">
        <f t="shared" ca="1" si="44"/>
        <v>1</v>
      </c>
      <c r="AM31" s="62">
        <f t="shared" ca="1" si="44"/>
        <v>1</v>
      </c>
      <c r="AN31" s="83"/>
    </row>
    <row r="32" spans="1:40" customFormat="1" ht="14.25" x14ac:dyDescent="0.2">
      <c r="A32" s="75">
        <f ca="1">OFFSET(A32,-CFF.NumLinha,0)+1</f>
        <v>5</v>
      </c>
      <c r="B32" s="75" t="b">
        <f ca="1">$C32&gt;=OFFSET($C32,CFF.NumLinha,0)</f>
        <v>1</v>
      </c>
      <c r="C32" s="75">
        <f ca="1">INDEX(PO!A$11:A$367,MATCH($A32,PO!$W$11:$W$367,0))</f>
        <v>2</v>
      </c>
      <c r="D32" s="75">
        <f ca="1">IF(ISERROR(J32),I32,SMALL(I32:J32,1))-1</f>
        <v>2</v>
      </c>
      <c r="E32" s="75">
        <f ca="1">IF($C32=1,OFFSET(E32,-CFF.NumLinha,0)+1,OFFSET(E32,-CFF.NumLinha,0))</f>
        <v>2</v>
      </c>
      <c r="F32" s="75">
        <f ca="1">IF($C32=1,0,IF($C32=2,OFFSET(F32,-CFF.NumLinha,0)+1,OFFSET(F32,-CFF.NumLinha,0)))</f>
        <v>1</v>
      </c>
      <c r="G32" s="75">
        <f ca="1">IF(AND($C32&lt;=2,$C32&lt;&gt;0),0,IF($C32=3,OFFSET(G32,-CFF.NumLinha,0)+1,OFFSET(G32,-CFF.NumLinha,0)))</f>
        <v>0</v>
      </c>
      <c r="H32" s="75">
        <f ca="1">IF(AND($C32&lt;=3,$C32&lt;&gt;0),0,IF($C32=4,OFFSET(H32,-CFF.NumLinha,0)+1,OFFSET(H32,-CFF.NumLinha,0)))</f>
        <v>0</v>
      </c>
      <c r="I32" s="75">
        <f ca="1">MATCH(0,OFFSET($D32,1,$C32,ROW($A$114)-ROW($A32)),0)</f>
        <v>6</v>
      </c>
      <c r="J32" s="75">
        <f ca="1">MATCH(OFFSET($D32,0,$C32)+1,OFFSET($D32,1,$C32,ROW($A$114)-ROW($A32)),0)</f>
        <v>3</v>
      </c>
      <c r="K32" s="76">
        <f ca="1">ROUND(INDEX(PO!U$11:U$367,MATCH($A32,PO!$W$11:$W$367,0)),2)+10^-12</f>
        <v>10609.280000000002</v>
      </c>
      <c r="L32" s="236"/>
      <c r="M32" s="238"/>
      <c r="N32" s="240"/>
      <c r="O32" s="93" t="s">
        <v>7</v>
      </c>
      <c r="P32" s="86">
        <f t="shared" ref="P32:W32" ca="1" si="45">IF($B32,ROUND(P31*$N30,2),ROUND(SUMIF(OFFSET($B32,1,0,$D32),TRUE,OFFSET(P32,1,0,$D32))/SUMIF(OFFSET($B32,1,0,$D32),TRUE,OFFSET($K32,1,0,$D32))*$N30,2))</f>
        <v>0</v>
      </c>
      <c r="Q32" s="63">
        <f t="shared" ca="1" si="45"/>
        <v>10609.28</v>
      </c>
      <c r="R32" s="63">
        <f t="shared" ca="1" si="45"/>
        <v>10609.28</v>
      </c>
      <c r="S32" s="63">
        <f t="shared" ca="1" si="45"/>
        <v>10609.28</v>
      </c>
      <c r="T32" s="63">
        <f t="shared" ca="1" si="45"/>
        <v>10609.28</v>
      </c>
      <c r="U32" s="63">
        <f t="shared" ca="1" si="45"/>
        <v>10609.28</v>
      </c>
      <c r="V32" s="63">
        <f t="shared" ca="1" si="45"/>
        <v>10609.28</v>
      </c>
      <c r="W32" s="96">
        <f t="shared" ca="1" si="45"/>
        <v>10609.28</v>
      </c>
      <c r="X32" s="86">
        <f t="shared" ref="X32:AE32" ca="1" si="46">IF($B32,ROUND(X31*$N30,2),ROUND(SUMIF(OFFSET($B32,1,0,$D32),TRUE,OFFSET(X32,1,0,$D32))/SUMIF(OFFSET($B32,1,0,$D32),TRUE,OFFSET($K32,1,0,$D32))*$N30,2))</f>
        <v>10609.28</v>
      </c>
      <c r="Y32" s="63">
        <f t="shared" ca="1" si="46"/>
        <v>10609.28</v>
      </c>
      <c r="Z32" s="63">
        <f t="shared" ca="1" si="46"/>
        <v>10609.28</v>
      </c>
      <c r="AA32" s="63">
        <f t="shared" ca="1" si="46"/>
        <v>10609.28</v>
      </c>
      <c r="AB32" s="63">
        <f t="shared" ca="1" si="46"/>
        <v>10609.28</v>
      </c>
      <c r="AC32" s="63">
        <f t="shared" ca="1" si="46"/>
        <v>10609.28</v>
      </c>
      <c r="AD32" s="63">
        <f t="shared" ca="1" si="46"/>
        <v>10609.28</v>
      </c>
      <c r="AE32" s="96">
        <f t="shared" ca="1" si="46"/>
        <v>10609.28</v>
      </c>
      <c r="AF32" s="86">
        <f t="shared" ref="AF32:AM32" ca="1" si="47">IF($B32,ROUND(AF31*$N30,2),ROUND(SUMIF(OFFSET($B32,1,0,$D32),TRUE,OFFSET(AF32,1,0,$D32))/SUMIF(OFFSET($B32,1,0,$D32),TRUE,OFFSET($K32,1,0,$D32))*$N30,2))</f>
        <v>10609.28</v>
      </c>
      <c r="AG32" s="63">
        <f t="shared" ca="1" si="47"/>
        <v>10609.28</v>
      </c>
      <c r="AH32" s="63">
        <f t="shared" ca="1" si="47"/>
        <v>10609.28</v>
      </c>
      <c r="AI32" s="63">
        <f t="shared" ca="1" si="47"/>
        <v>10609.28</v>
      </c>
      <c r="AJ32" s="63">
        <f t="shared" ca="1" si="47"/>
        <v>10609.28</v>
      </c>
      <c r="AK32" s="63">
        <f t="shared" ca="1" si="47"/>
        <v>10609.28</v>
      </c>
      <c r="AL32" s="63">
        <f t="shared" ca="1" si="47"/>
        <v>10609.28</v>
      </c>
      <c r="AM32" s="96">
        <f t="shared" ca="1" si="47"/>
        <v>10609.28</v>
      </c>
      <c r="AN32" s="83"/>
    </row>
    <row r="33" spans="1:40" customFormat="1" ht="14.25" customHeight="1" x14ac:dyDescent="0.2">
      <c r="A33" s="1"/>
      <c r="B33" s="1"/>
      <c r="C33" s="1"/>
      <c r="D33" s="1"/>
      <c r="E33" s="1"/>
      <c r="F33" s="1"/>
      <c r="G33" s="1"/>
      <c r="H33" s="1"/>
      <c r="I33" s="1"/>
      <c r="J33" s="1"/>
      <c r="K33" s="1"/>
      <c r="L33" s="235" t="str">
        <f ca="1">INDEX(PO!K$11:K$367,MATCH($A35,PO!$W$11:$W$367,0))</f>
        <v>2.2.</v>
      </c>
      <c r="M33" s="237" t="str">
        <f ca="1">INDEX(PO!O$11:O$367,MATCH($A35,PO!$W$11:$W$367,0))</f>
        <v>ATIVIDADE 04 - VISITAS DOMICILIARES - COSTA VERDE</v>
      </c>
      <c r="N33" s="239">
        <f ca="1">IF(ROUND(K35,2)=0,K35,ROUND(K35,2))</f>
        <v>13928.6</v>
      </c>
      <c r="O33" s="91" t="s">
        <v>33</v>
      </c>
      <c r="P33" s="90">
        <f ca="1">IF($B35,0,P34-IF(ISNUMBER(O34),O34,0))</f>
        <v>0</v>
      </c>
      <c r="Q33" s="46">
        <v>1</v>
      </c>
      <c r="R33" s="46">
        <f t="shared" ref="R33:X33" ca="1" si="48">IF($B35,0,R34-IF(ISNUMBER(Q34),Q34,0))</f>
        <v>0</v>
      </c>
      <c r="S33" s="46">
        <f t="shared" ca="1" si="48"/>
        <v>0</v>
      </c>
      <c r="T33" s="46">
        <f t="shared" ca="1" si="48"/>
        <v>0</v>
      </c>
      <c r="U33" s="46">
        <f t="shared" ca="1" si="48"/>
        <v>0</v>
      </c>
      <c r="V33" s="46">
        <f t="shared" ca="1" si="48"/>
        <v>0</v>
      </c>
      <c r="W33" s="46">
        <f t="shared" ca="1" si="48"/>
        <v>0</v>
      </c>
      <c r="X33" s="90">
        <f t="shared" ca="1" si="48"/>
        <v>0</v>
      </c>
      <c r="Y33" s="46">
        <v>1</v>
      </c>
      <c r="Z33" s="46">
        <f t="shared" ref="Z33:AF33" ca="1" si="49">IF($B35,0,Z34-IF(ISNUMBER(Y34),Y34,0))</f>
        <v>0</v>
      </c>
      <c r="AA33" s="46">
        <f t="shared" ca="1" si="49"/>
        <v>0</v>
      </c>
      <c r="AB33" s="46">
        <f t="shared" ca="1" si="49"/>
        <v>0</v>
      </c>
      <c r="AC33" s="46">
        <f t="shared" ca="1" si="49"/>
        <v>0</v>
      </c>
      <c r="AD33" s="46">
        <f t="shared" ca="1" si="49"/>
        <v>0</v>
      </c>
      <c r="AE33" s="46">
        <f t="shared" ca="1" si="49"/>
        <v>0</v>
      </c>
      <c r="AF33" s="90">
        <f t="shared" ca="1" si="49"/>
        <v>0</v>
      </c>
      <c r="AG33" s="46">
        <v>1</v>
      </c>
      <c r="AH33" s="46">
        <f t="shared" ref="AH33:AM33" ca="1" si="50">IF($B35,0,AH34-IF(ISNUMBER(AG34),AG34,0))</f>
        <v>0</v>
      </c>
      <c r="AI33" s="46">
        <f t="shared" ca="1" si="50"/>
        <v>0</v>
      </c>
      <c r="AJ33" s="46">
        <f t="shared" ca="1" si="50"/>
        <v>0</v>
      </c>
      <c r="AK33" s="46">
        <f t="shared" ca="1" si="50"/>
        <v>0</v>
      </c>
      <c r="AL33" s="46">
        <f t="shared" ca="1" si="50"/>
        <v>0</v>
      </c>
      <c r="AM33" s="46">
        <f t="shared" ca="1" si="50"/>
        <v>0</v>
      </c>
      <c r="AN33" s="83"/>
    </row>
    <row r="34" spans="1:40" customFormat="1" ht="14.25" x14ac:dyDescent="0.2">
      <c r="A34" s="75"/>
      <c r="B34" s="75"/>
      <c r="C34" s="75"/>
      <c r="D34" s="75"/>
      <c r="E34" s="75"/>
      <c r="F34" s="75"/>
      <c r="G34" s="75"/>
      <c r="H34" s="75"/>
      <c r="I34" s="75"/>
      <c r="J34" s="75"/>
      <c r="K34" s="75"/>
      <c r="L34" s="236"/>
      <c r="M34" s="238"/>
      <c r="N34" s="240"/>
      <c r="O34" s="64" t="s">
        <v>35</v>
      </c>
      <c r="P34" s="85">
        <f t="shared" ref="P34:AM34" ca="1" si="51">MIN(IF($B35,P33+IF(ISNUMBER(O34),O34,0),P35/$N33),1)</f>
        <v>0</v>
      </c>
      <c r="Q34" s="62">
        <f t="shared" ca="1" si="51"/>
        <v>1</v>
      </c>
      <c r="R34" s="62">
        <f t="shared" ca="1" si="51"/>
        <v>1</v>
      </c>
      <c r="S34" s="62">
        <f t="shared" ca="1" si="51"/>
        <v>1</v>
      </c>
      <c r="T34" s="62">
        <f t="shared" ca="1" si="51"/>
        <v>1</v>
      </c>
      <c r="U34" s="62">
        <f t="shared" ca="1" si="51"/>
        <v>1</v>
      </c>
      <c r="V34" s="62">
        <f t="shared" ca="1" si="51"/>
        <v>1</v>
      </c>
      <c r="W34" s="62">
        <f t="shared" ca="1" si="51"/>
        <v>1</v>
      </c>
      <c r="X34" s="85">
        <f t="shared" ca="1" si="51"/>
        <v>1</v>
      </c>
      <c r="Y34" s="62">
        <f t="shared" ca="1" si="51"/>
        <v>1</v>
      </c>
      <c r="Z34" s="62">
        <f t="shared" ca="1" si="51"/>
        <v>1</v>
      </c>
      <c r="AA34" s="62">
        <f t="shared" ca="1" si="51"/>
        <v>1</v>
      </c>
      <c r="AB34" s="62">
        <f t="shared" ca="1" si="51"/>
        <v>1</v>
      </c>
      <c r="AC34" s="62">
        <f t="shared" ca="1" si="51"/>
        <v>1</v>
      </c>
      <c r="AD34" s="62">
        <f t="shared" ca="1" si="51"/>
        <v>1</v>
      </c>
      <c r="AE34" s="62">
        <f t="shared" ca="1" si="51"/>
        <v>1</v>
      </c>
      <c r="AF34" s="85">
        <f t="shared" ca="1" si="51"/>
        <v>1</v>
      </c>
      <c r="AG34" s="62">
        <f t="shared" ca="1" si="51"/>
        <v>1</v>
      </c>
      <c r="AH34" s="62">
        <f t="shared" ca="1" si="51"/>
        <v>1</v>
      </c>
      <c r="AI34" s="62">
        <f t="shared" ca="1" si="51"/>
        <v>1</v>
      </c>
      <c r="AJ34" s="62">
        <f t="shared" ca="1" si="51"/>
        <v>1</v>
      </c>
      <c r="AK34" s="62">
        <f t="shared" ca="1" si="51"/>
        <v>1</v>
      </c>
      <c r="AL34" s="62">
        <f t="shared" ca="1" si="51"/>
        <v>1</v>
      </c>
      <c r="AM34" s="62">
        <f t="shared" ca="1" si="51"/>
        <v>1</v>
      </c>
      <c r="AN34" s="83"/>
    </row>
    <row r="35" spans="1:40" customFormat="1" ht="14.25" x14ac:dyDescent="0.2">
      <c r="A35" s="75">
        <f ca="1">OFFSET(A35,-CFF.NumLinha,0)+1</f>
        <v>6</v>
      </c>
      <c r="B35" s="75" t="b">
        <f ca="1">$C35&gt;=OFFSET($C35,CFF.NumLinha,0)</f>
        <v>1</v>
      </c>
      <c r="C35" s="75">
        <f ca="1">INDEX(PO!A$11:A$367,MATCH($A35,PO!$W$11:$W$367,0))</f>
        <v>2</v>
      </c>
      <c r="D35" s="75">
        <f ca="1">IF(ISERROR(J35),I35,SMALL(I35:J35,1))-1</f>
        <v>2</v>
      </c>
      <c r="E35" s="75">
        <f ca="1">IF($C35=1,OFFSET(E35,-CFF.NumLinha,0)+1,OFFSET(E35,-CFF.NumLinha,0))</f>
        <v>2</v>
      </c>
      <c r="F35" s="75">
        <f ca="1">IF($C35=1,0,IF($C35=2,OFFSET(F35,-CFF.NumLinha,0)+1,OFFSET(F35,-CFF.NumLinha,0)))</f>
        <v>2</v>
      </c>
      <c r="G35" s="75">
        <f ca="1">IF(AND($C35&lt;=2,$C35&lt;&gt;0),0,IF($C35=3,OFFSET(G35,-CFF.NumLinha,0)+1,OFFSET(G35,-CFF.NumLinha,0)))</f>
        <v>0</v>
      </c>
      <c r="H35" s="75">
        <f ca="1">IF(AND($C35&lt;=3,$C35&lt;&gt;0),0,IF($C35=4,OFFSET(H35,-CFF.NumLinha,0)+1,OFFSET(H35,-CFF.NumLinha,0)))</f>
        <v>0</v>
      </c>
      <c r="I35" s="75">
        <f ca="1">MATCH(0,OFFSET($D35,1,$C35,ROW($A$114)-ROW($A35)),0)</f>
        <v>3</v>
      </c>
      <c r="J35" s="75" t="e">
        <f ca="1">MATCH(OFFSET($D35,0,$C35)+1,OFFSET($D35,1,$C35,ROW($A$114)-ROW($A35)),0)</f>
        <v>#N/A</v>
      </c>
      <c r="K35" s="76">
        <f ca="1">ROUND(INDEX(PO!U$11:U$367,MATCH($A35,PO!$W$11:$W$367,0)),2)+10^-12</f>
        <v>13928.600000000002</v>
      </c>
      <c r="L35" s="236"/>
      <c r="M35" s="238"/>
      <c r="N35" s="240"/>
      <c r="O35" s="93" t="s">
        <v>7</v>
      </c>
      <c r="P35" s="86">
        <f t="shared" ref="P35:W35" ca="1" si="52">IF($B35,ROUND(P34*$N33,2),ROUND(SUMIF(OFFSET($B35,1,0,$D35),TRUE,OFFSET(P35,1,0,$D35))/SUMIF(OFFSET($B35,1,0,$D35),TRUE,OFFSET($K35,1,0,$D35))*$N33,2))</f>
        <v>0</v>
      </c>
      <c r="Q35" s="63">
        <f t="shared" ca="1" si="52"/>
        <v>13928.6</v>
      </c>
      <c r="R35" s="63">
        <f t="shared" ca="1" si="52"/>
        <v>13928.6</v>
      </c>
      <c r="S35" s="63">
        <f t="shared" ca="1" si="52"/>
        <v>13928.6</v>
      </c>
      <c r="T35" s="63">
        <f t="shared" ca="1" si="52"/>
        <v>13928.6</v>
      </c>
      <c r="U35" s="63">
        <f t="shared" ca="1" si="52"/>
        <v>13928.6</v>
      </c>
      <c r="V35" s="63">
        <f t="shared" ca="1" si="52"/>
        <v>13928.6</v>
      </c>
      <c r="W35" s="96">
        <f t="shared" ca="1" si="52"/>
        <v>13928.6</v>
      </c>
      <c r="X35" s="86">
        <f t="shared" ref="X35:AE35" ca="1" si="53">IF($B35,ROUND(X34*$N33,2),ROUND(SUMIF(OFFSET($B35,1,0,$D35),TRUE,OFFSET(X35,1,0,$D35))/SUMIF(OFFSET($B35,1,0,$D35),TRUE,OFFSET($K35,1,0,$D35))*$N33,2))</f>
        <v>13928.6</v>
      </c>
      <c r="Y35" s="63">
        <f t="shared" ca="1" si="53"/>
        <v>13928.6</v>
      </c>
      <c r="Z35" s="63">
        <f t="shared" ca="1" si="53"/>
        <v>13928.6</v>
      </c>
      <c r="AA35" s="63">
        <f t="shared" ca="1" si="53"/>
        <v>13928.6</v>
      </c>
      <c r="AB35" s="63">
        <f t="shared" ca="1" si="53"/>
        <v>13928.6</v>
      </c>
      <c r="AC35" s="63">
        <f t="shared" ca="1" si="53"/>
        <v>13928.6</v>
      </c>
      <c r="AD35" s="63">
        <f t="shared" ca="1" si="53"/>
        <v>13928.6</v>
      </c>
      <c r="AE35" s="96">
        <f t="shared" ca="1" si="53"/>
        <v>13928.6</v>
      </c>
      <c r="AF35" s="86">
        <f t="shared" ref="AF35:AM35" ca="1" si="54">IF($B35,ROUND(AF34*$N33,2),ROUND(SUMIF(OFFSET($B35,1,0,$D35),TRUE,OFFSET(AF35,1,0,$D35))/SUMIF(OFFSET($B35,1,0,$D35),TRUE,OFFSET($K35,1,0,$D35))*$N33,2))</f>
        <v>13928.6</v>
      </c>
      <c r="AG35" s="63">
        <f t="shared" ca="1" si="54"/>
        <v>13928.6</v>
      </c>
      <c r="AH35" s="63">
        <f t="shared" ca="1" si="54"/>
        <v>13928.6</v>
      </c>
      <c r="AI35" s="63">
        <f t="shared" ca="1" si="54"/>
        <v>13928.6</v>
      </c>
      <c r="AJ35" s="63">
        <f t="shared" ca="1" si="54"/>
        <v>13928.6</v>
      </c>
      <c r="AK35" s="63">
        <f t="shared" ca="1" si="54"/>
        <v>13928.6</v>
      </c>
      <c r="AL35" s="63">
        <f t="shared" ca="1" si="54"/>
        <v>13928.6</v>
      </c>
      <c r="AM35" s="96">
        <f t="shared" ca="1" si="54"/>
        <v>13928.6</v>
      </c>
      <c r="AN35" s="83"/>
    </row>
    <row r="36" spans="1:40" customFormat="1" ht="14.25" customHeight="1" x14ac:dyDescent="0.2">
      <c r="A36" s="1"/>
      <c r="B36" s="1"/>
      <c r="C36" s="1"/>
      <c r="D36" s="1"/>
      <c r="E36" s="1"/>
      <c r="F36" s="1"/>
      <c r="G36" s="1"/>
      <c r="H36" s="1"/>
      <c r="I36" s="1"/>
      <c r="J36" s="1"/>
      <c r="K36" s="1"/>
      <c r="L36" s="235" t="str">
        <f ca="1">INDEX(PO!K$11:K$367,MATCH($A38,PO!$W$11:$W$367,0))</f>
        <v>3.</v>
      </c>
      <c r="M36" s="237" t="str">
        <f ca="1">INDEX(PO!O$11:O$367,MATCH($A38,PO!$W$11:$W$367,0))</f>
        <v>3 MES - EDUCAÇÃO AMBIENTAL</v>
      </c>
      <c r="N36" s="239">
        <f ca="1">IF(ROUND(K38,2)=0,K38,ROUND(K38,2))</f>
        <v>16393.32</v>
      </c>
      <c r="O36" s="91" t="s">
        <v>33</v>
      </c>
      <c r="P36" s="90">
        <f t="shared" ref="P36:AM36" ca="1" si="55">IF($B38,0,P37-IF(ISNUMBER(O37),O37,0))</f>
        <v>0</v>
      </c>
      <c r="Q36" s="46">
        <f t="shared" ca="1" si="55"/>
        <v>0</v>
      </c>
      <c r="R36" s="46">
        <f t="shared" ca="1" si="55"/>
        <v>1</v>
      </c>
      <c r="S36" s="46">
        <f t="shared" ca="1" si="55"/>
        <v>0</v>
      </c>
      <c r="T36" s="46">
        <f t="shared" ca="1" si="55"/>
        <v>0</v>
      </c>
      <c r="U36" s="46">
        <f t="shared" ca="1" si="55"/>
        <v>0</v>
      </c>
      <c r="V36" s="46">
        <f t="shared" ca="1" si="55"/>
        <v>0</v>
      </c>
      <c r="W36" s="46">
        <f t="shared" ca="1" si="55"/>
        <v>0</v>
      </c>
      <c r="X36" s="90">
        <f t="shared" ca="1" si="55"/>
        <v>0</v>
      </c>
      <c r="Y36" s="46">
        <f t="shared" ca="1" si="55"/>
        <v>0</v>
      </c>
      <c r="Z36" s="46">
        <f t="shared" ca="1" si="55"/>
        <v>0</v>
      </c>
      <c r="AA36" s="46">
        <f t="shared" ca="1" si="55"/>
        <v>0</v>
      </c>
      <c r="AB36" s="46">
        <f t="shared" ca="1" si="55"/>
        <v>0</v>
      </c>
      <c r="AC36" s="46">
        <f t="shared" ca="1" si="55"/>
        <v>0</v>
      </c>
      <c r="AD36" s="46">
        <f t="shared" ca="1" si="55"/>
        <v>0</v>
      </c>
      <c r="AE36" s="46">
        <f t="shared" ca="1" si="55"/>
        <v>0</v>
      </c>
      <c r="AF36" s="90">
        <f t="shared" ca="1" si="55"/>
        <v>0</v>
      </c>
      <c r="AG36" s="46">
        <f t="shared" ca="1" si="55"/>
        <v>0</v>
      </c>
      <c r="AH36" s="46">
        <f t="shared" ca="1" si="55"/>
        <v>0</v>
      </c>
      <c r="AI36" s="46">
        <f t="shared" ca="1" si="55"/>
        <v>0</v>
      </c>
      <c r="AJ36" s="46">
        <f t="shared" ca="1" si="55"/>
        <v>0</v>
      </c>
      <c r="AK36" s="46">
        <f t="shared" ca="1" si="55"/>
        <v>0</v>
      </c>
      <c r="AL36" s="46">
        <f t="shared" ca="1" si="55"/>
        <v>0</v>
      </c>
      <c r="AM36" s="46">
        <f t="shared" ca="1" si="55"/>
        <v>0</v>
      </c>
      <c r="AN36" s="83"/>
    </row>
    <row r="37" spans="1:40" customFormat="1" ht="14.25" x14ac:dyDescent="0.2">
      <c r="A37" s="75"/>
      <c r="B37" s="75"/>
      <c r="C37" s="75"/>
      <c r="D37" s="75"/>
      <c r="E37" s="75"/>
      <c r="F37" s="75"/>
      <c r="G37" s="75"/>
      <c r="H37" s="75"/>
      <c r="I37" s="75"/>
      <c r="J37" s="75"/>
      <c r="K37" s="75"/>
      <c r="L37" s="236"/>
      <c r="M37" s="238"/>
      <c r="N37" s="240"/>
      <c r="O37" s="64" t="s">
        <v>35</v>
      </c>
      <c r="P37" s="85">
        <f t="shared" ref="P37:AM37" ca="1" si="56">MIN(IF($B38,P36+IF(ISNUMBER(O37),O37,0),P38/$N36),1)</f>
        <v>0</v>
      </c>
      <c r="Q37" s="62">
        <f t="shared" ca="1" si="56"/>
        <v>0</v>
      </c>
      <c r="R37" s="62">
        <f t="shared" ca="1" si="56"/>
        <v>1</v>
      </c>
      <c r="S37" s="62">
        <f t="shared" ca="1" si="56"/>
        <v>1</v>
      </c>
      <c r="T37" s="62">
        <f t="shared" ca="1" si="56"/>
        <v>1</v>
      </c>
      <c r="U37" s="62">
        <f t="shared" ca="1" si="56"/>
        <v>1</v>
      </c>
      <c r="V37" s="62">
        <f t="shared" ca="1" si="56"/>
        <v>1</v>
      </c>
      <c r="W37" s="62">
        <f t="shared" ca="1" si="56"/>
        <v>1</v>
      </c>
      <c r="X37" s="85">
        <f t="shared" ca="1" si="56"/>
        <v>1</v>
      </c>
      <c r="Y37" s="62">
        <f t="shared" ca="1" si="56"/>
        <v>1</v>
      </c>
      <c r="Z37" s="62">
        <f t="shared" ca="1" si="56"/>
        <v>1</v>
      </c>
      <c r="AA37" s="62">
        <f t="shared" ca="1" si="56"/>
        <v>1</v>
      </c>
      <c r="AB37" s="62">
        <f t="shared" ca="1" si="56"/>
        <v>1</v>
      </c>
      <c r="AC37" s="62">
        <f t="shared" ca="1" si="56"/>
        <v>1</v>
      </c>
      <c r="AD37" s="62">
        <f t="shared" ca="1" si="56"/>
        <v>1</v>
      </c>
      <c r="AE37" s="62">
        <f t="shared" ca="1" si="56"/>
        <v>1</v>
      </c>
      <c r="AF37" s="85">
        <f t="shared" ca="1" si="56"/>
        <v>1</v>
      </c>
      <c r="AG37" s="62">
        <f t="shared" ca="1" si="56"/>
        <v>1</v>
      </c>
      <c r="AH37" s="62">
        <f t="shared" ca="1" si="56"/>
        <v>1</v>
      </c>
      <c r="AI37" s="62">
        <f t="shared" ca="1" si="56"/>
        <v>1</v>
      </c>
      <c r="AJ37" s="62">
        <f t="shared" ca="1" si="56"/>
        <v>1</v>
      </c>
      <c r="AK37" s="62">
        <f t="shared" ca="1" si="56"/>
        <v>1</v>
      </c>
      <c r="AL37" s="62">
        <f t="shared" ca="1" si="56"/>
        <v>1</v>
      </c>
      <c r="AM37" s="62">
        <f t="shared" ca="1" si="56"/>
        <v>1</v>
      </c>
      <c r="AN37" s="83"/>
    </row>
    <row r="38" spans="1:40" customFormat="1" ht="14.25" x14ac:dyDescent="0.2">
      <c r="A38" s="75">
        <f ca="1">OFFSET(A38,-CFF.NumLinha,0)+1</f>
        <v>7</v>
      </c>
      <c r="B38" s="75" t="b">
        <f ca="1">$C38&gt;=OFFSET($C38,CFF.NumLinha,0)</f>
        <v>0</v>
      </c>
      <c r="C38" s="75">
        <f ca="1">INDEX(PO!A$11:A$367,MATCH($A38,PO!$W$11:$W$367,0))</f>
        <v>1</v>
      </c>
      <c r="D38" s="75">
        <f ca="1">IF(ISERROR(J38),I38,SMALL(I38:J38,1))-1</f>
        <v>5</v>
      </c>
      <c r="E38" s="75">
        <f ca="1">IF($C38=1,OFFSET(E38,-CFF.NumLinha,0)+1,OFFSET(E38,-CFF.NumLinha,0))</f>
        <v>3</v>
      </c>
      <c r="F38" s="75">
        <f ca="1">IF($C38=1,0,IF($C38=2,OFFSET(F38,-CFF.NumLinha,0)+1,OFFSET(F38,-CFF.NumLinha,0)))</f>
        <v>0</v>
      </c>
      <c r="G38" s="75">
        <f ca="1">IF(AND($C38&lt;=2,$C38&lt;&gt;0),0,IF($C38=3,OFFSET(G38,-CFF.NumLinha,0)+1,OFFSET(G38,-CFF.NumLinha,0)))</f>
        <v>0</v>
      </c>
      <c r="H38" s="75">
        <f ca="1">IF(AND($C38&lt;=3,$C38&lt;&gt;0),0,IF($C38=4,OFFSET(H38,-CFF.NumLinha,0)+1,OFFSET(H38,-CFF.NumLinha,0)))</f>
        <v>0</v>
      </c>
      <c r="I38" s="75">
        <f ca="1">MATCH(0,OFFSET($D38,1,$C38,ROW($A$114)-ROW($A38)),0)</f>
        <v>76</v>
      </c>
      <c r="J38" s="75">
        <f ca="1">MATCH(OFFSET($D38,0,$C38)+1,OFFSET($D38,1,$C38,ROW($A$114)-ROW($A38)),0)</f>
        <v>6</v>
      </c>
      <c r="K38" s="76">
        <f ca="1">ROUND(INDEX(PO!U$11:U$367,MATCH($A38,PO!$W$11:$W$367,0)),2)+10^-12</f>
        <v>16393.32</v>
      </c>
      <c r="L38" s="236"/>
      <c r="M38" s="238"/>
      <c r="N38" s="240"/>
      <c r="O38" s="93" t="s">
        <v>7</v>
      </c>
      <c r="P38" s="86">
        <f t="shared" ref="P38:W38" ca="1" si="57">IF($B38,ROUND(P37*$N36,2),ROUND(SUMIF(OFFSET($B38,1,0,$D38),TRUE,OFFSET(P38,1,0,$D38))/SUMIF(OFFSET($B38,1,0,$D38),TRUE,OFFSET($K38,1,0,$D38))*$N36,2))</f>
        <v>0</v>
      </c>
      <c r="Q38" s="63">
        <f t="shared" ca="1" si="57"/>
        <v>0</v>
      </c>
      <c r="R38" s="63">
        <f t="shared" ca="1" si="57"/>
        <v>16393.32</v>
      </c>
      <c r="S38" s="63">
        <f t="shared" ca="1" si="57"/>
        <v>16393.32</v>
      </c>
      <c r="T38" s="63">
        <f t="shared" ca="1" si="57"/>
        <v>16393.32</v>
      </c>
      <c r="U38" s="63">
        <f t="shared" ca="1" si="57"/>
        <v>16393.32</v>
      </c>
      <c r="V38" s="63">
        <f t="shared" ca="1" si="57"/>
        <v>16393.32</v>
      </c>
      <c r="W38" s="96">
        <f t="shared" ca="1" si="57"/>
        <v>16393.32</v>
      </c>
      <c r="X38" s="86">
        <f t="shared" ref="X38:AE38" ca="1" si="58">IF($B38,ROUND(X37*$N36,2),ROUND(SUMIF(OFFSET($B38,1,0,$D38),TRUE,OFFSET(X38,1,0,$D38))/SUMIF(OFFSET($B38,1,0,$D38),TRUE,OFFSET($K38,1,0,$D38))*$N36,2))</f>
        <v>16393.32</v>
      </c>
      <c r="Y38" s="63">
        <f t="shared" ca="1" si="58"/>
        <v>16393.32</v>
      </c>
      <c r="Z38" s="63">
        <f t="shared" ca="1" si="58"/>
        <v>16393.32</v>
      </c>
      <c r="AA38" s="63">
        <f t="shared" ca="1" si="58"/>
        <v>16393.32</v>
      </c>
      <c r="AB38" s="63">
        <f t="shared" ca="1" si="58"/>
        <v>16393.32</v>
      </c>
      <c r="AC38" s="63">
        <f t="shared" ca="1" si="58"/>
        <v>16393.32</v>
      </c>
      <c r="AD38" s="63">
        <f t="shared" ca="1" si="58"/>
        <v>16393.32</v>
      </c>
      <c r="AE38" s="96">
        <f t="shared" ca="1" si="58"/>
        <v>16393.32</v>
      </c>
      <c r="AF38" s="86">
        <f t="shared" ref="AF38:AM38" ca="1" si="59">IF($B38,ROUND(AF37*$N36,2),ROUND(SUMIF(OFFSET($B38,1,0,$D38),TRUE,OFFSET(AF38,1,0,$D38))/SUMIF(OFFSET($B38,1,0,$D38),TRUE,OFFSET($K38,1,0,$D38))*$N36,2))</f>
        <v>16393.32</v>
      </c>
      <c r="AG38" s="63">
        <f t="shared" ca="1" si="59"/>
        <v>16393.32</v>
      </c>
      <c r="AH38" s="63">
        <f t="shared" ca="1" si="59"/>
        <v>16393.32</v>
      </c>
      <c r="AI38" s="63">
        <f t="shared" ca="1" si="59"/>
        <v>16393.32</v>
      </c>
      <c r="AJ38" s="63">
        <f t="shared" ca="1" si="59"/>
        <v>16393.32</v>
      </c>
      <c r="AK38" s="63">
        <f t="shared" ca="1" si="59"/>
        <v>16393.32</v>
      </c>
      <c r="AL38" s="63">
        <f t="shared" ca="1" si="59"/>
        <v>16393.32</v>
      </c>
      <c r="AM38" s="96">
        <f t="shared" ca="1" si="59"/>
        <v>16393.32</v>
      </c>
      <c r="AN38" s="83"/>
    </row>
    <row r="39" spans="1:40" customFormat="1" ht="14.25" customHeight="1" x14ac:dyDescent="0.2">
      <c r="A39" s="1"/>
      <c r="B39" s="1"/>
      <c r="C39" s="1"/>
      <c r="D39" s="1"/>
      <c r="E39" s="1"/>
      <c r="F39" s="1"/>
      <c r="G39" s="1"/>
      <c r="H39" s="1"/>
      <c r="I39" s="1"/>
      <c r="J39" s="1"/>
      <c r="K39" s="1"/>
      <c r="L39" s="235" t="str">
        <f ca="1">INDEX(PO!K$11:K$367,MATCH($A41,PO!$W$11:$W$367,0))</f>
        <v>3.1.</v>
      </c>
      <c r="M39" s="237" t="str">
        <f ca="1">INDEX(PO!O$11:O$367,MATCH($A41,PO!$W$11:$W$367,0))</f>
        <v>ATIVIDADE 05 - GINCANA SOBRE O MEIO AMBIENTE</v>
      </c>
      <c r="N39" s="239">
        <f ca="1">IF(ROUND(K41,2)=0,K41,ROUND(K41,2))</f>
        <v>16393.32</v>
      </c>
      <c r="O39" s="91" t="s">
        <v>33</v>
      </c>
      <c r="P39" s="90">
        <f ca="1">IF($B41,0,P40-IF(ISNUMBER(O40),O40,0))</f>
        <v>0</v>
      </c>
      <c r="Q39" s="46">
        <f ca="1">IF($B41,0,Q40-IF(ISNUMBER(P40),P40,0))</f>
        <v>0</v>
      </c>
      <c r="R39" s="46">
        <v>1</v>
      </c>
      <c r="S39" s="46">
        <f t="shared" ref="S39:Y39" ca="1" si="60">IF($B41,0,S40-IF(ISNUMBER(R40),R40,0))</f>
        <v>0</v>
      </c>
      <c r="T39" s="46">
        <f t="shared" ca="1" si="60"/>
        <v>0</v>
      </c>
      <c r="U39" s="46">
        <f t="shared" ca="1" si="60"/>
        <v>0</v>
      </c>
      <c r="V39" s="46">
        <f t="shared" ca="1" si="60"/>
        <v>0</v>
      </c>
      <c r="W39" s="46">
        <f t="shared" ca="1" si="60"/>
        <v>0</v>
      </c>
      <c r="X39" s="90">
        <f t="shared" ca="1" si="60"/>
        <v>0</v>
      </c>
      <c r="Y39" s="46">
        <f t="shared" ca="1" si="60"/>
        <v>0</v>
      </c>
      <c r="Z39" s="46">
        <v>1</v>
      </c>
      <c r="AA39" s="46">
        <f t="shared" ref="AA39:AG39" ca="1" si="61">IF($B41,0,AA40-IF(ISNUMBER(Z40),Z40,0))</f>
        <v>0</v>
      </c>
      <c r="AB39" s="46">
        <f t="shared" ca="1" si="61"/>
        <v>0</v>
      </c>
      <c r="AC39" s="46">
        <f t="shared" ca="1" si="61"/>
        <v>0</v>
      </c>
      <c r="AD39" s="46">
        <f t="shared" ca="1" si="61"/>
        <v>0</v>
      </c>
      <c r="AE39" s="46">
        <f t="shared" ca="1" si="61"/>
        <v>0</v>
      </c>
      <c r="AF39" s="90">
        <f t="shared" ca="1" si="61"/>
        <v>0</v>
      </c>
      <c r="AG39" s="46">
        <f t="shared" ca="1" si="61"/>
        <v>0</v>
      </c>
      <c r="AH39" s="46">
        <v>1</v>
      </c>
      <c r="AI39" s="46">
        <f ca="1">IF($B41,0,AI40-IF(ISNUMBER(AH40),AH40,0))</f>
        <v>0</v>
      </c>
      <c r="AJ39" s="46">
        <f ca="1">IF($B41,0,AJ40-IF(ISNUMBER(AI40),AI40,0))</f>
        <v>0</v>
      </c>
      <c r="AK39" s="46">
        <f ca="1">IF($B41,0,AK40-IF(ISNUMBER(AJ40),AJ40,0))</f>
        <v>0</v>
      </c>
      <c r="AL39" s="46">
        <f ca="1">IF($B41,0,AL40-IF(ISNUMBER(AK40),AK40,0))</f>
        <v>0</v>
      </c>
      <c r="AM39" s="46">
        <f ca="1">IF($B41,0,AM40-IF(ISNUMBER(AL40),AL40,0))</f>
        <v>0</v>
      </c>
      <c r="AN39" s="83"/>
    </row>
    <row r="40" spans="1:40" customFormat="1" ht="14.25" x14ac:dyDescent="0.2">
      <c r="A40" s="75"/>
      <c r="B40" s="75"/>
      <c r="C40" s="75"/>
      <c r="D40" s="75"/>
      <c r="E40" s="75"/>
      <c r="F40" s="75"/>
      <c r="G40" s="75"/>
      <c r="H40" s="75"/>
      <c r="I40" s="75"/>
      <c r="J40" s="75"/>
      <c r="K40" s="75"/>
      <c r="L40" s="236"/>
      <c r="M40" s="238"/>
      <c r="N40" s="240"/>
      <c r="O40" s="64" t="s">
        <v>35</v>
      </c>
      <c r="P40" s="85">
        <f t="shared" ref="P40:AM40" ca="1" si="62">MIN(IF($B41,P39+IF(ISNUMBER(O40),O40,0),P41/$N39),1)</f>
        <v>0</v>
      </c>
      <c r="Q40" s="62">
        <f t="shared" ca="1" si="62"/>
        <v>0</v>
      </c>
      <c r="R40" s="62">
        <f t="shared" ca="1" si="62"/>
        <v>1</v>
      </c>
      <c r="S40" s="62">
        <f t="shared" ca="1" si="62"/>
        <v>1</v>
      </c>
      <c r="T40" s="62">
        <f t="shared" ca="1" si="62"/>
        <v>1</v>
      </c>
      <c r="U40" s="62">
        <f t="shared" ca="1" si="62"/>
        <v>1</v>
      </c>
      <c r="V40" s="62">
        <f t="shared" ca="1" si="62"/>
        <v>1</v>
      </c>
      <c r="W40" s="62">
        <f t="shared" ca="1" si="62"/>
        <v>1</v>
      </c>
      <c r="X40" s="85">
        <f t="shared" ca="1" si="62"/>
        <v>1</v>
      </c>
      <c r="Y40" s="62">
        <f t="shared" ca="1" si="62"/>
        <v>1</v>
      </c>
      <c r="Z40" s="62">
        <f t="shared" ca="1" si="62"/>
        <v>1</v>
      </c>
      <c r="AA40" s="62">
        <f t="shared" ca="1" si="62"/>
        <v>1</v>
      </c>
      <c r="AB40" s="62">
        <f t="shared" ca="1" si="62"/>
        <v>1</v>
      </c>
      <c r="AC40" s="62">
        <f t="shared" ca="1" si="62"/>
        <v>1</v>
      </c>
      <c r="AD40" s="62">
        <f t="shared" ca="1" si="62"/>
        <v>1</v>
      </c>
      <c r="AE40" s="62">
        <f t="shared" ca="1" si="62"/>
        <v>1</v>
      </c>
      <c r="AF40" s="85">
        <f t="shared" ca="1" si="62"/>
        <v>1</v>
      </c>
      <c r="AG40" s="62">
        <f t="shared" ca="1" si="62"/>
        <v>1</v>
      </c>
      <c r="AH40" s="62">
        <f t="shared" ca="1" si="62"/>
        <v>1</v>
      </c>
      <c r="AI40" s="62">
        <f t="shared" ca="1" si="62"/>
        <v>1</v>
      </c>
      <c r="AJ40" s="62">
        <f t="shared" ca="1" si="62"/>
        <v>1</v>
      </c>
      <c r="AK40" s="62">
        <f t="shared" ca="1" si="62"/>
        <v>1</v>
      </c>
      <c r="AL40" s="62">
        <f t="shared" ca="1" si="62"/>
        <v>1</v>
      </c>
      <c r="AM40" s="62">
        <f t="shared" ca="1" si="62"/>
        <v>1</v>
      </c>
      <c r="AN40" s="83"/>
    </row>
    <row r="41" spans="1:40" customFormat="1" ht="14.25" x14ac:dyDescent="0.2">
      <c r="A41" s="75">
        <f ca="1">OFFSET(A41,-CFF.NumLinha,0)+1</f>
        <v>8</v>
      </c>
      <c r="B41" s="75" t="b">
        <f ca="1">$C41&gt;=OFFSET($C41,CFF.NumLinha,0)</f>
        <v>1</v>
      </c>
      <c r="C41" s="75">
        <f ca="1">INDEX(PO!A$11:A$367,MATCH($A41,PO!$W$11:$W$367,0))</f>
        <v>2</v>
      </c>
      <c r="D41" s="75">
        <f ca="1">IF(ISERROR(J41),I41,SMALL(I41:J41,1))-1</f>
        <v>2</v>
      </c>
      <c r="E41" s="75">
        <f ca="1">IF($C41=1,OFFSET(E41,-CFF.NumLinha,0)+1,OFFSET(E41,-CFF.NumLinha,0))</f>
        <v>3</v>
      </c>
      <c r="F41" s="75">
        <f ca="1">IF($C41=1,0,IF($C41=2,OFFSET(F41,-CFF.NumLinha,0)+1,OFFSET(F41,-CFF.NumLinha,0)))</f>
        <v>1</v>
      </c>
      <c r="G41" s="75">
        <f ca="1">IF(AND($C41&lt;=2,$C41&lt;&gt;0),0,IF($C41=3,OFFSET(G41,-CFF.NumLinha,0)+1,OFFSET(G41,-CFF.NumLinha,0)))</f>
        <v>0</v>
      </c>
      <c r="H41" s="75">
        <f ca="1">IF(AND($C41&lt;=3,$C41&lt;&gt;0),0,IF($C41=4,OFFSET(H41,-CFF.NumLinha,0)+1,OFFSET(H41,-CFF.NumLinha,0)))</f>
        <v>0</v>
      </c>
      <c r="I41" s="75">
        <f ca="1">MATCH(0,OFFSET($D41,1,$C41,ROW($A$114)-ROW($A41)),0)</f>
        <v>3</v>
      </c>
      <c r="J41" s="75">
        <f ca="1">MATCH(OFFSET($D41,0,$C41)+1,OFFSET($D41,1,$C41,ROW($A$114)-ROW($A41)),0)</f>
        <v>9</v>
      </c>
      <c r="K41" s="76">
        <f ca="1">ROUND(INDEX(PO!U$11:U$367,MATCH($A41,PO!$W$11:$W$367,0)),2)+10^-12</f>
        <v>16393.32</v>
      </c>
      <c r="L41" s="236"/>
      <c r="M41" s="238"/>
      <c r="N41" s="240"/>
      <c r="O41" s="93" t="s">
        <v>7</v>
      </c>
      <c r="P41" s="86">
        <f t="shared" ref="P41:W41" ca="1" si="63">IF($B41,ROUND(P40*$N39,2),ROUND(SUMIF(OFFSET($B41,1,0,$D41),TRUE,OFFSET(P41,1,0,$D41))/SUMIF(OFFSET($B41,1,0,$D41),TRUE,OFFSET($K41,1,0,$D41))*$N39,2))</f>
        <v>0</v>
      </c>
      <c r="Q41" s="63">
        <f t="shared" ca="1" si="63"/>
        <v>0</v>
      </c>
      <c r="R41" s="63">
        <f t="shared" ca="1" si="63"/>
        <v>16393.32</v>
      </c>
      <c r="S41" s="63">
        <f t="shared" ca="1" si="63"/>
        <v>16393.32</v>
      </c>
      <c r="T41" s="63">
        <f t="shared" ca="1" si="63"/>
        <v>16393.32</v>
      </c>
      <c r="U41" s="63">
        <f t="shared" ca="1" si="63"/>
        <v>16393.32</v>
      </c>
      <c r="V41" s="63">
        <f t="shared" ca="1" si="63"/>
        <v>16393.32</v>
      </c>
      <c r="W41" s="96">
        <f t="shared" ca="1" si="63"/>
        <v>16393.32</v>
      </c>
      <c r="X41" s="86">
        <f t="shared" ref="X41:AE41" ca="1" si="64">IF($B41,ROUND(X40*$N39,2),ROUND(SUMIF(OFFSET($B41,1,0,$D41),TRUE,OFFSET(X41,1,0,$D41))/SUMIF(OFFSET($B41,1,0,$D41),TRUE,OFFSET($K41,1,0,$D41))*$N39,2))</f>
        <v>16393.32</v>
      </c>
      <c r="Y41" s="63">
        <f t="shared" ca="1" si="64"/>
        <v>16393.32</v>
      </c>
      <c r="Z41" s="63">
        <f t="shared" ca="1" si="64"/>
        <v>16393.32</v>
      </c>
      <c r="AA41" s="63">
        <f t="shared" ca="1" si="64"/>
        <v>16393.32</v>
      </c>
      <c r="AB41" s="63">
        <f t="shared" ca="1" si="64"/>
        <v>16393.32</v>
      </c>
      <c r="AC41" s="63">
        <f t="shared" ca="1" si="64"/>
        <v>16393.32</v>
      </c>
      <c r="AD41" s="63">
        <f t="shared" ca="1" si="64"/>
        <v>16393.32</v>
      </c>
      <c r="AE41" s="96">
        <f t="shared" ca="1" si="64"/>
        <v>16393.32</v>
      </c>
      <c r="AF41" s="86">
        <f t="shared" ref="AF41:AM41" ca="1" si="65">IF($B41,ROUND(AF40*$N39,2),ROUND(SUMIF(OFFSET($B41,1,0,$D41),TRUE,OFFSET(AF41,1,0,$D41))/SUMIF(OFFSET($B41,1,0,$D41),TRUE,OFFSET($K41,1,0,$D41))*$N39,2))</f>
        <v>16393.32</v>
      </c>
      <c r="AG41" s="63">
        <f t="shared" ca="1" si="65"/>
        <v>16393.32</v>
      </c>
      <c r="AH41" s="63">
        <f t="shared" ca="1" si="65"/>
        <v>16393.32</v>
      </c>
      <c r="AI41" s="63">
        <f t="shared" ca="1" si="65"/>
        <v>16393.32</v>
      </c>
      <c r="AJ41" s="63">
        <f t="shared" ca="1" si="65"/>
        <v>16393.32</v>
      </c>
      <c r="AK41" s="63">
        <f t="shared" ca="1" si="65"/>
        <v>16393.32</v>
      </c>
      <c r="AL41" s="63">
        <f t="shared" ca="1" si="65"/>
        <v>16393.32</v>
      </c>
      <c r="AM41" s="96">
        <f t="shared" ca="1" si="65"/>
        <v>16393.32</v>
      </c>
      <c r="AN41" s="83"/>
    </row>
    <row r="42" spans="1:40" customFormat="1" ht="14.25" customHeight="1" x14ac:dyDescent="0.2">
      <c r="A42" s="1"/>
      <c r="B42" s="1"/>
      <c r="C42" s="1"/>
      <c r="D42" s="1"/>
      <c r="E42" s="1"/>
      <c r="F42" s="1"/>
      <c r="G42" s="1"/>
      <c r="H42" s="1"/>
      <c r="I42" s="1"/>
      <c r="J42" s="1"/>
      <c r="K42" s="1"/>
      <c r="L42" s="235" t="str">
        <f ca="1">INDEX(PO!K$11:K$367,MATCH($A44,PO!$W$11:$W$367,0))</f>
        <v>4.</v>
      </c>
      <c r="M42" s="237" t="str">
        <f ca="1">INDEX(PO!O$11:O$367,MATCH($A44,PO!$W$11:$W$367,0))</f>
        <v>4 MÊS - GESTÃO SOCIAL  DA INTERVENÇÃO E MOBILIZAÇÃO, ORGANIZAÇÃO E FORTALECIMENTO SOCIAL</v>
      </c>
      <c r="N42" s="239">
        <f ca="1">IF(ROUND(K44,2)=0,K44,ROUND(K44,2))</f>
        <v>31333.72</v>
      </c>
      <c r="O42" s="91" t="s">
        <v>33</v>
      </c>
      <c r="P42" s="90">
        <f ca="1">IF($B44,0,P43-IF(ISNUMBER(O43),O43,0))</f>
        <v>0</v>
      </c>
      <c r="Q42" s="46">
        <f ca="1">IF($B44,0,Q43-IF(ISNUMBER(P43),P43,0))</f>
        <v>0</v>
      </c>
      <c r="R42" s="46">
        <v>1</v>
      </c>
      <c r="S42" s="46">
        <f t="shared" ref="S42:Y42" ca="1" si="66">IF($B44,0,S43-IF(ISNUMBER(R43),R43,0))</f>
        <v>1</v>
      </c>
      <c r="T42" s="46">
        <f t="shared" ca="1" si="66"/>
        <v>0</v>
      </c>
      <c r="U42" s="46">
        <f t="shared" ca="1" si="66"/>
        <v>0</v>
      </c>
      <c r="V42" s="46">
        <f t="shared" ca="1" si="66"/>
        <v>0</v>
      </c>
      <c r="W42" s="46">
        <f t="shared" ca="1" si="66"/>
        <v>0</v>
      </c>
      <c r="X42" s="90">
        <f t="shared" ca="1" si="66"/>
        <v>0</v>
      </c>
      <c r="Y42" s="46">
        <f t="shared" ca="1" si="66"/>
        <v>0</v>
      </c>
      <c r="Z42" s="46">
        <v>1</v>
      </c>
      <c r="AA42" s="46">
        <f t="shared" ref="AA42:AG42" ca="1" si="67">IF($B44,0,AA43-IF(ISNUMBER(Z43),Z43,0))</f>
        <v>0</v>
      </c>
      <c r="AB42" s="46">
        <f t="shared" ca="1" si="67"/>
        <v>0</v>
      </c>
      <c r="AC42" s="46">
        <f t="shared" ca="1" si="67"/>
        <v>0</v>
      </c>
      <c r="AD42" s="46">
        <f t="shared" ca="1" si="67"/>
        <v>0</v>
      </c>
      <c r="AE42" s="46">
        <f t="shared" ca="1" si="67"/>
        <v>0</v>
      </c>
      <c r="AF42" s="90">
        <f t="shared" ca="1" si="67"/>
        <v>0</v>
      </c>
      <c r="AG42" s="46">
        <f t="shared" ca="1" si="67"/>
        <v>0</v>
      </c>
      <c r="AH42" s="46">
        <v>1</v>
      </c>
      <c r="AI42" s="46">
        <f ca="1">IF($B44,0,AI43-IF(ISNUMBER(AH43),AH43,0))</f>
        <v>0</v>
      </c>
      <c r="AJ42" s="46">
        <f ca="1">IF($B44,0,AJ43-IF(ISNUMBER(AI43),AI43,0))</f>
        <v>0</v>
      </c>
      <c r="AK42" s="46">
        <f ca="1">IF($B44,0,AK43-IF(ISNUMBER(AJ43),AJ43,0))</f>
        <v>0</v>
      </c>
      <c r="AL42" s="46">
        <f ca="1">IF($B44,0,AL43-IF(ISNUMBER(AK43),AK43,0))</f>
        <v>0</v>
      </c>
      <c r="AM42" s="46">
        <f ca="1">IF($B44,0,AM43-IF(ISNUMBER(AL43),AL43,0))</f>
        <v>0</v>
      </c>
      <c r="AN42" s="83"/>
    </row>
    <row r="43" spans="1:40" customFormat="1" ht="14.25" x14ac:dyDescent="0.2">
      <c r="A43" s="75"/>
      <c r="B43" s="75"/>
      <c r="C43" s="75"/>
      <c r="D43" s="75"/>
      <c r="E43" s="75"/>
      <c r="F43" s="75"/>
      <c r="G43" s="75"/>
      <c r="H43" s="75"/>
      <c r="I43" s="75"/>
      <c r="J43" s="75"/>
      <c r="K43" s="75"/>
      <c r="L43" s="236"/>
      <c r="M43" s="238"/>
      <c r="N43" s="240"/>
      <c r="O43" s="64" t="s">
        <v>35</v>
      </c>
      <c r="P43" s="85">
        <f t="shared" ref="P43:AM43" ca="1" si="68">MIN(IF($B44,P42+IF(ISNUMBER(O43),O43,0),P44/$N42),1)</f>
        <v>0</v>
      </c>
      <c r="Q43" s="62">
        <f t="shared" ca="1" si="68"/>
        <v>0</v>
      </c>
      <c r="R43" s="62">
        <f t="shared" ca="1" si="68"/>
        <v>0</v>
      </c>
      <c r="S43" s="62">
        <f t="shared" ca="1" si="68"/>
        <v>1</v>
      </c>
      <c r="T43" s="62">
        <f t="shared" ca="1" si="68"/>
        <v>1</v>
      </c>
      <c r="U43" s="62">
        <f t="shared" ca="1" si="68"/>
        <v>1</v>
      </c>
      <c r="V43" s="62">
        <f t="shared" ca="1" si="68"/>
        <v>1</v>
      </c>
      <c r="W43" s="62">
        <f t="shared" ca="1" si="68"/>
        <v>1</v>
      </c>
      <c r="X43" s="85">
        <f t="shared" ca="1" si="68"/>
        <v>1</v>
      </c>
      <c r="Y43" s="62">
        <f t="shared" ca="1" si="68"/>
        <v>1</v>
      </c>
      <c r="Z43" s="62">
        <f t="shared" ca="1" si="68"/>
        <v>1</v>
      </c>
      <c r="AA43" s="62">
        <f t="shared" ca="1" si="68"/>
        <v>1</v>
      </c>
      <c r="AB43" s="62">
        <f t="shared" ca="1" si="68"/>
        <v>1</v>
      </c>
      <c r="AC43" s="62">
        <f t="shared" ca="1" si="68"/>
        <v>1</v>
      </c>
      <c r="AD43" s="62">
        <f t="shared" ca="1" si="68"/>
        <v>1</v>
      </c>
      <c r="AE43" s="62">
        <f t="shared" ca="1" si="68"/>
        <v>1</v>
      </c>
      <c r="AF43" s="85">
        <f t="shared" ca="1" si="68"/>
        <v>1</v>
      </c>
      <c r="AG43" s="62">
        <f t="shared" ca="1" si="68"/>
        <v>1</v>
      </c>
      <c r="AH43" s="62">
        <f t="shared" ca="1" si="68"/>
        <v>1</v>
      </c>
      <c r="AI43" s="62">
        <f t="shared" ca="1" si="68"/>
        <v>1</v>
      </c>
      <c r="AJ43" s="62">
        <f t="shared" ca="1" si="68"/>
        <v>1</v>
      </c>
      <c r="AK43" s="62">
        <f t="shared" ca="1" si="68"/>
        <v>1</v>
      </c>
      <c r="AL43" s="62">
        <f t="shared" ca="1" si="68"/>
        <v>1</v>
      </c>
      <c r="AM43" s="62">
        <f t="shared" ca="1" si="68"/>
        <v>1</v>
      </c>
      <c r="AN43" s="83"/>
    </row>
    <row r="44" spans="1:40" customFormat="1" ht="14.25" x14ac:dyDescent="0.2">
      <c r="A44" s="75">
        <f ca="1">OFFSET(A44,-CFF.NumLinha,0)+1</f>
        <v>9</v>
      </c>
      <c r="B44" s="75" t="b">
        <f ca="1">$C44&gt;=OFFSET($C44,CFF.NumLinha,0)</f>
        <v>0</v>
      </c>
      <c r="C44" s="75">
        <f ca="1">INDEX(PO!A$11:A$367,MATCH($A44,PO!$W$11:$W$367,0))</f>
        <v>1</v>
      </c>
      <c r="D44" s="75">
        <f ca="1">IF(ISERROR(J44),I44,SMALL(I44:J44,1))-1</f>
        <v>8</v>
      </c>
      <c r="E44" s="75">
        <f ca="1">IF($C44=1,OFFSET(E44,-CFF.NumLinha,0)+1,OFFSET(E44,-CFF.NumLinha,0))</f>
        <v>4</v>
      </c>
      <c r="F44" s="75">
        <f ca="1">IF($C44=1,0,IF($C44=2,OFFSET(F44,-CFF.NumLinha,0)+1,OFFSET(F44,-CFF.NumLinha,0)))</f>
        <v>0</v>
      </c>
      <c r="G44" s="75">
        <f ca="1">IF(AND($C44&lt;=2,$C44&lt;&gt;0),0,IF($C44=3,OFFSET(G44,-CFF.NumLinha,0)+1,OFFSET(G44,-CFF.NumLinha,0)))</f>
        <v>0</v>
      </c>
      <c r="H44" s="75">
        <f ca="1">IF(AND($C44&lt;=3,$C44&lt;&gt;0),0,IF($C44=4,OFFSET(H44,-CFF.NumLinha,0)+1,OFFSET(H44,-CFF.NumLinha,0)))</f>
        <v>0</v>
      </c>
      <c r="I44" s="75">
        <f ca="1">MATCH(0,OFFSET($D44,1,$C44,ROW($A$114)-ROW($A44)),0)</f>
        <v>70</v>
      </c>
      <c r="J44" s="75">
        <f ca="1">MATCH(OFFSET($D44,0,$C44)+1,OFFSET($D44,1,$C44,ROW($A$114)-ROW($A44)),0)</f>
        <v>9</v>
      </c>
      <c r="K44" s="76">
        <f ca="1">ROUND(INDEX(PO!U$11:U$367,MATCH($A44,PO!$W$11:$W$367,0)),2)+10^-12</f>
        <v>31333.72</v>
      </c>
      <c r="L44" s="236"/>
      <c r="M44" s="238"/>
      <c r="N44" s="240"/>
      <c r="O44" s="93" t="s">
        <v>7</v>
      </c>
      <c r="P44" s="86">
        <f t="shared" ref="P44:W44" ca="1" si="69">IF($B44,ROUND(P43*$N42,2),ROUND(SUMIF(OFFSET($B44,1,0,$D44),TRUE,OFFSET(P44,1,0,$D44))/SUMIF(OFFSET($B44,1,0,$D44),TRUE,OFFSET($K44,1,0,$D44))*$N42,2))</f>
        <v>0</v>
      </c>
      <c r="Q44" s="63">
        <f t="shared" ca="1" si="69"/>
        <v>0</v>
      </c>
      <c r="R44" s="63">
        <f t="shared" ca="1" si="69"/>
        <v>0</v>
      </c>
      <c r="S44" s="63">
        <f t="shared" ca="1" si="69"/>
        <v>31333.72</v>
      </c>
      <c r="T44" s="63">
        <f t="shared" ca="1" si="69"/>
        <v>31333.72</v>
      </c>
      <c r="U44" s="63">
        <f t="shared" ca="1" si="69"/>
        <v>31333.72</v>
      </c>
      <c r="V44" s="63">
        <f t="shared" ca="1" si="69"/>
        <v>31333.72</v>
      </c>
      <c r="W44" s="96">
        <f t="shared" ca="1" si="69"/>
        <v>31333.72</v>
      </c>
      <c r="X44" s="86">
        <f t="shared" ref="X44:AE44" ca="1" si="70">IF($B44,ROUND(X43*$N42,2),ROUND(SUMIF(OFFSET($B44,1,0,$D44),TRUE,OFFSET(X44,1,0,$D44))/SUMIF(OFFSET($B44,1,0,$D44),TRUE,OFFSET($K44,1,0,$D44))*$N42,2))</f>
        <v>31333.72</v>
      </c>
      <c r="Y44" s="63">
        <f t="shared" ca="1" si="70"/>
        <v>31333.72</v>
      </c>
      <c r="Z44" s="63">
        <f t="shared" ca="1" si="70"/>
        <v>31333.72</v>
      </c>
      <c r="AA44" s="63">
        <f t="shared" ca="1" si="70"/>
        <v>31333.72</v>
      </c>
      <c r="AB44" s="63">
        <f t="shared" ca="1" si="70"/>
        <v>31333.72</v>
      </c>
      <c r="AC44" s="63">
        <f t="shared" ca="1" si="70"/>
        <v>31333.72</v>
      </c>
      <c r="AD44" s="63">
        <f t="shared" ca="1" si="70"/>
        <v>31333.72</v>
      </c>
      <c r="AE44" s="96">
        <f t="shared" ca="1" si="70"/>
        <v>31333.72</v>
      </c>
      <c r="AF44" s="86">
        <f t="shared" ref="AF44:AM44" ca="1" si="71">IF($B44,ROUND(AF43*$N42,2),ROUND(SUMIF(OFFSET($B44,1,0,$D44),TRUE,OFFSET(AF44,1,0,$D44))/SUMIF(OFFSET($B44,1,0,$D44),TRUE,OFFSET($K44,1,0,$D44))*$N42,2))</f>
        <v>31333.72</v>
      </c>
      <c r="AG44" s="63">
        <f t="shared" ca="1" si="71"/>
        <v>31333.72</v>
      </c>
      <c r="AH44" s="63">
        <f t="shared" ca="1" si="71"/>
        <v>31333.72</v>
      </c>
      <c r="AI44" s="63">
        <f t="shared" ca="1" si="71"/>
        <v>31333.72</v>
      </c>
      <c r="AJ44" s="63">
        <f t="shared" ca="1" si="71"/>
        <v>31333.72</v>
      </c>
      <c r="AK44" s="63">
        <f t="shared" ca="1" si="71"/>
        <v>31333.72</v>
      </c>
      <c r="AL44" s="63">
        <f t="shared" ca="1" si="71"/>
        <v>31333.72</v>
      </c>
      <c r="AM44" s="96">
        <f t="shared" ca="1" si="71"/>
        <v>31333.72</v>
      </c>
      <c r="AN44" s="83"/>
    </row>
    <row r="45" spans="1:40" customFormat="1" ht="14.25" customHeight="1" x14ac:dyDescent="0.2">
      <c r="A45" s="1"/>
      <c r="B45" s="1"/>
      <c r="C45" s="1"/>
      <c r="D45" s="1"/>
      <c r="E45" s="1"/>
      <c r="F45" s="1"/>
      <c r="G45" s="1"/>
      <c r="H45" s="1"/>
      <c r="I45" s="1"/>
      <c r="J45" s="1"/>
      <c r="K45" s="1"/>
      <c r="L45" s="235" t="str">
        <f ca="1">INDEX(PO!K$11:K$367,MATCH($A47,PO!$W$11:$W$367,0))</f>
        <v>4.1.</v>
      </c>
      <c r="M45" s="237" t="str">
        <f ca="1">INDEX(PO!O$11:O$367,MATCH($A47,PO!$W$11:$W$367,0))</f>
        <v>ATIVIDADE 06 - VISITAS DOMICILIARES - COSTA VERDE</v>
      </c>
      <c r="N45" s="239">
        <f ca="1">IF(ROUND(K47,2)=0,K47,ROUND(K47,2))</f>
        <v>15262.11</v>
      </c>
      <c r="O45" s="91" t="s">
        <v>33</v>
      </c>
      <c r="P45" s="90">
        <f ca="1">IF($B47,0,P46-IF(ISNUMBER(O46),O46,0))</f>
        <v>0</v>
      </c>
      <c r="Q45" s="46">
        <f ca="1">IF($B47,0,Q46-IF(ISNUMBER(P46),P46,0))</f>
        <v>0</v>
      </c>
      <c r="R45" s="46">
        <f ca="1">IF($B47,0,R46-IF(ISNUMBER(Q46),Q46,0))</f>
        <v>0</v>
      </c>
      <c r="S45" s="46">
        <v>1</v>
      </c>
      <c r="T45" s="46">
        <f t="shared" ref="T45:AM45" ca="1" si="72">IF($B47,0,T46-IF(ISNUMBER(S46),S46,0))</f>
        <v>0</v>
      </c>
      <c r="U45" s="46">
        <f t="shared" ca="1" si="72"/>
        <v>0</v>
      </c>
      <c r="V45" s="46">
        <f t="shared" ca="1" si="72"/>
        <v>0</v>
      </c>
      <c r="W45" s="46">
        <f t="shared" ca="1" si="72"/>
        <v>0</v>
      </c>
      <c r="X45" s="90">
        <f t="shared" ca="1" si="72"/>
        <v>0</v>
      </c>
      <c r="Y45" s="46">
        <f t="shared" ca="1" si="72"/>
        <v>0</v>
      </c>
      <c r="Z45" s="46">
        <f t="shared" ca="1" si="72"/>
        <v>0</v>
      </c>
      <c r="AA45" s="46">
        <f t="shared" ca="1" si="72"/>
        <v>0</v>
      </c>
      <c r="AB45" s="46">
        <f t="shared" ca="1" si="72"/>
        <v>0</v>
      </c>
      <c r="AC45" s="46">
        <f t="shared" ca="1" si="72"/>
        <v>0</v>
      </c>
      <c r="AD45" s="46">
        <f t="shared" ca="1" si="72"/>
        <v>0</v>
      </c>
      <c r="AE45" s="46">
        <f t="shared" ca="1" si="72"/>
        <v>0</v>
      </c>
      <c r="AF45" s="90">
        <f t="shared" ca="1" si="72"/>
        <v>0</v>
      </c>
      <c r="AG45" s="46">
        <f t="shared" ca="1" si="72"/>
        <v>0</v>
      </c>
      <c r="AH45" s="46">
        <f t="shared" ca="1" si="72"/>
        <v>0</v>
      </c>
      <c r="AI45" s="46">
        <f t="shared" ca="1" si="72"/>
        <v>0</v>
      </c>
      <c r="AJ45" s="46">
        <f t="shared" ca="1" si="72"/>
        <v>0</v>
      </c>
      <c r="AK45" s="46">
        <f t="shared" ca="1" si="72"/>
        <v>0</v>
      </c>
      <c r="AL45" s="46">
        <f t="shared" ca="1" si="72"/>
        <v>0</v>
      </c>
      <c r="AM45" s="46">
        <f t="shared" ca="1" si="72"/>
        <v>0</v>
      </c>
      <c r="AN45" s="83"/>
    </row>
    <row r="46" spans="1:40" customFormat="1" ht="14.25" x14ac:dyDescent="0.2">
      <c r="A46" s="75"/>
      <c r="B46" s="75"/>
      <c r="C46" s="75"/>
      <c r="D46" s="75"/>
      <c r="E46" s="75"/>
      <c r="F46" s="75"/>
      <c r="G46" s="75"/>
      <c r="H46" s="75"/>
      <c r="I46" s="75"/>
      <c r="J46" s="75"/>
      <c r="K46" s="75"/>
      <c r="L46" s="236"/>
      <c r="M46" s="238"/>
      <c r="N46" s="240"/>
      <c r="O46" s="64" t="s">
        <v>35</v>
      </c>
      <c r="P46" s="85">
        <f t="shared" ref="P46:AM46" ca="1" si="73">MIN(IF($B47,P45+IF(ISNUMBER(O46),O46,0),P47/$N45),1)</f>
        <v>0</v>
      </c>
      <c r="Q46" s="62">
        <f t="shared" ca="1" si="73"/>
        <v>0</v>
      </c>
      <c r="R46" s="62">
        <f t="shared" ca="1" si="73"/>
        <v>0</v>
      </c>
      <c r="S46" s="62">
        <f t="shared" ca="1" si="73"/>
        <v>1</v>
      </c>
      <c r="T46" s="62">
        <f t="shared" ca="1" si="73"/>
        <v>1</v>
      </c>
      <c r="U46" s="62">
        <f t="shared" ca="1" si="73"/>
        <v>1</v>
      </c>
      <c r="V46" s="62">
        <f t="shared" ca="1" si="73"/>
        <v>1</v>
      </c>
      <c r="W46" s="62">
        <f t="shared" ca="1" si="73"/>
        <v>1</v>
      </c>
      <c r="X46" s="85">
        <f t="shared" ca="1" si="73"/>
        <v>1</v>
      </c>
      <c r="Y46" s="62">
        <f t="shared" ca="1" si="73"/>
        <v>1</v>
      </c>
      <c r="Z46" s="62">
        <f t="shared" ca="1" si="73"/>
        <v>1</v>
      </c>
      <c r="AA46" s="62">
        <f t="shared" ca="1" si="73"/>
        <v>1</v>
      </c>
      <c r="AB46" s="62">
        <f t="shared" ca="1" si="73"/>
        <v>1</v>
      </c>
      <c r="AC46" s="62">
        <f t="shared" ca="1" si="73"/>
        <v>1</v>
      </c>
      <c r="AD46" s="62">
        <f t="shared" ca="1" si="73"/>
        <v>1</v>
      </c>
      <c r="AE46" s="62">
        <f t="shared" ca="1" si="73"/>
        <v>1</v>
      </c>
      <c r="AF46" s="85">
        <f t="shared" ca="1" si="73"/>
        <v>1</v>
      </c>
      <c r="AG46" s="62">
        <f t="shared" ca="1" si="73"/>
        <v>1</v>
      </c>
      <c r="AH46" s="62">
        <f t="shared" ca="1" si="73"/>
        <v>1</v>
      </c>
      <c r="AI46" s="62">
        <f t="shared" ca="1" si="73"/>
        <v>1</v>
      </c>
      <c r="AJ46" s="62">
        <f t="shared" ca="1" si="73"/>
        <v>1</v>
      </c>
      <c r="AK46" s="62">
        <f t="shared" ca="1" si="73"/>
        <v>1</v>
      </c>
      <c r="AL46" s="62">
        <f t="shared" ca="1" si="73"/>
        <v>1</v>
      </c>
      <c r="AM46" s="62">
        <f t="shared" ca="1" si="73"/>
        <v>1</v>
      </c>
      <c r="AN46" s="83"/>
    </row>
    <row r="47" spans="1:40" customFormat="1" ht="14.25" x14ac:dyDescent="0.2">
      <c r="A47" s="75">
        <f ca="1">OFFSET(A47,-CFF.NumLinha,0)+1</f>
        <v>10</v>
      </c>
      <c r="B47" s="75" t="b">
        <f ca="1">$C47&gt;=OFFSET($C47,CFF.NumLinha,0)</f>
        <v>1</v>
      </c>
      <c r="C47" s="75">
        <f ca="1">INDEX(PO!A$11:A$367,MATCH($A47,PO!$W$11:$W$367,0))</f>
        <v>2</v>
      </c>
      <c r="D47" s="75">
        <f ca="1">IF(ISERROR(J47),I47,SMALL(I47:J47,1))-1</f>
        <v>2</v>
      </c>
      <c r="E47" s="75">
        <f ca="1">IF($C47=1,OFFSET(E47,-CFF.NumLinha,0)+1,OFFSET(E47,-CFF.NumLinha,0))</f>
        <v>4</v>
      </c>
      <c r="F47" s="75">
        <f ca="1">IF($C47=1,0,IF($C47=2,OFFSET(F47,-CFF.NumLinha,0)+1,OFFSET(F47,-CFF.NumLinha,0)))</f>
        <v>1</v>
      </c>
      <c r="G47" s="75">
        <f ca="1">IF(AND($C47&lt;=2,$C47&lt;&gt;0),0,IF($C47=3,OFFSET(G47,-CFF.NumLinha,0)+1,OFFSET(G47,-CFF.NumLinha,0)))</f>
        <v>0</v>
      </c>
      <c r="H47" s="75">
        <f ca="1">IF(AND($C47&lt;=3,$C47&lt;&gt;0),0,IF($C47=4,OFFSET(H47,-CFF.NumLinha,0)+1,OFFSET(H47,-CFF.NumLinha,0)))</f>
        <v>0</v>
      </c>
      <c r="I47" s="75">
        <f ca="1">MATCH(0,OFFSET($D47,1,$C47,ROW($A$114)-ROW($A47)),0)</f>
        <v>6</v>
      </c>
      <c r="J47" s="75">
        <f ca="1">MATCH(OFFSET($D47,0,$C47)+1,OFFSET($D47,1,$C47,ROW($A$114)-ROW($A47)),0)</f>
        <v>3</v>
      </c>
      <c r="K47" s="76">
        <f ca="1">ROUND(INDEX(PO!U$11:U$367,MATCH($A47,PO!$W$11:$W$367,0)),2)+10^-12</f>
        <v>15262.110000000002</v>
      </c>
      <c r="L47" s="236"/>
      <c r="M47" s="238"/>
      <c r="N47" s="240"/>
      <c r="O47" s="93" t="s">
        <v>7</v>
      </c>
      <c r="P47" s="86">
        <f t="shared" ref="P47:W47" ca="1" si="74">IF($B47,ROUND(P46*$N45,2),ROUND(SUMIF(OFFSET($B47,1,0,$D47),TRUE,OFFSET(P47,1,0,$D47))/SUMIF(OFFSET($B47,1,0,$D47),TRUE,OFFSET($K47,1,0,$D47))*$N45,2))</f>
        <v>0</v>
      </c>
      <c r="Q47" s="63">
        <f t="shared" ca="1" si="74"/>
        <v>0</v>
      </c>
      <c r="R47" s="63">
        <f t="shared" ca="1" si="74"/>
        <v>0</v>
      </c>
      <c r="S47" s="63">
        <f t="shared" ca="1" si="74"/>
        <v>15262.11</v>
      </c>
      <c r="T47" s="63">
        <f t="shared" ca="1" si="74"/>
        <v>15262.11</v>
      </c>
      <c r="U47" s="63">
        <f t="shared" ca="1" si="74"/>
        <v>15262.11</v>
      </c>
      <c r="V47" s="63">
        <f t="shared" ca="1" si="74"/>
        <v>15262.11</v>
      </c>
      <c r="W47" s="96">
        <f t="shared" ca="1" si="74"/>
        <v>15262.11</v>
      </c>
      <c r="X47" s="86">
        <f t="shared" ref="X47:AE47" ca="1" si="75">IF($B47,ROUND(X46*$N45,2),ROUND(SUMIF(OFFSET($B47,1,0,$D47),TRUE,OFFSET(X47,1,0,$D47))/SUMIF(OFFSET($B47,1,0,$D47),TRUE,OFFSET($K47,1,0,$D47))*$N45,2))</f>
        <v>15262.11</v>
      </c>
      <c r="Y47" s="63">
        <f t="shared" ca="1" si="75"/>
        <v>15262.11</v>
      </c>
      <c r="Z47" s="63">
        <f t="shared" ca="1" si="75"/>
        <v>15262.11</v>
      </c>
      <c r="AA47" s="63">
        <f t="shared" ca="1" si="75"/>
        <v>15262.11</v>
      </c>
      <c r="AB47" s="63">
        <f t="shared" ca="1" si="75"/>
        <v>15262.11</v>
      </c>
      <c r="AC47" s="63">
        <f t="shared" ca="1" si="75"/>
        <v>15262.11</v>
      </c>
      <c r="AD47" s="63">
        <f t="shared" ca="1" si="75"/>
        <v>15262.11</v>
      </c>
      <c r="AE47" s="96">
        <f t="shared" ca="1" si="75"/>
        <v>15262.11</v>
      </c>
      <c r="AF47" s="86">
        <f t="shared" ref="AF47:AM47" ca="1" si="76">IF($B47,ROUND(AF46*$N45,2),ROUND(SUMIF(OFFSET($B47,1,0,$D47),TRUE,OFFSET(AF47,1,0,$D47))/SUMIF(OFFSET($B47,1,0,$D47),TRUE,OFFSET($K47,1,0,$D47))*$N45,2))</f>
        <v>15262.11</v>
      </c>
      <c r="AG47" s="63">
        <f t="shared" ca="1" si="76"/>
        <v>15262.11</v>
      </c>
      <c r="AH47" s="63">
        <f t="shared" ca="1" si="76"/>
        <v>15262.11</v>
      </c>
      <c r="AI47" s="63">
        <f t="shared" ca="1" si="76"/>
        <v>15262.11</v>
      </c>
      <c r="AJ47" s="63">
        <f t="shared" ca="1" si="76"/>
        <v>15262.11</v>
      </c>
      <c r="AK47" s="63">
        <f t="shared" ca="1" si="76"/>
        <v>15262.11</v>
      </c>
      <c r="AL47" s="63">
        <f t="shared" ca="1" si="76"/>
        <v>15262.11</v>
      </c>
      <c r="AM47" s="96">
        <f t="shared" ca="1" si="76"/>
        <v>15262.11</v>
      </c>
      <c r="AN47" s="83"/>
    </row>
    <row r="48" spans="1:40" customFormat="1" ht="14.25" customHeight="1" x14ac:dyDescent="0.2">
      <c r="A48" s="1"/>
      <c r="B48" s="1"/>
      <c r="C48" s="1"/>
      <c r="D48" s="1"/>
      <c r="E48" s="1"/>
      <c r="F48" s="1"/>
      <c r="G48" s="1"/>
      <c r="H48" s="1"/>
      <c r="I48" s="1"/>
      <c r="J48" s="1"/>
      <c r="K48" s="1"/>
      <c r="L48" s="235" t="str">
        <f ca="1">INDEX(PO!K$11:K$367,MATCH($A50,PO!$W$11:$W$367,0))</f>
        <v>4.2.</v>
      </c>
      <c r="M48" s="237" t="str">
        <f ca="1">INDEX(PO!O$11:O$367,MATCH($A50,PO!$W$11:$W$367,0))</f>
        <v>ATIVIDADE 07 - REUNIÃO COMUNITÁRIA - SANTA MARIA</v>
      </c>
      <c r="N48" s="239">
        <f ca="1">IF(ROUND(K50,2)=0,K50,ROUND(K50,2))</f>
        <v>16071.61</v>
      </c>
      <c r="O48" s="91" t="s">
        <v>33</v>
      </c>
      <c r="P48" s="90">
        <f ca="1">IF($B50,0,P49-IF(ISNUMBER(O49),O49,0))</f>
        <v>0</v>
      </c>
      <c r="Q48" s="46">
        <f ca="1">IF($B50,0,Q49-IF(ISNUMBER(P49),P49,0))</f>
        <v>0</v>
      </c>
      <c r="R48" s="46">
        <f ca="1">IF($B50,0,R49-IF(ISNUMBER(Q49),Q49,0))</f>
        <v>0</v>
      </c>
      <c r="S48" s="46">
        <v>1</v>
      </c>
      <c r="T48" s="46">
        <f t="shared" ref="T48:Z48" ca="1" si="77">IF($B50,0,T49-IF(ISNUMBER(S49),S49,0))</f>
        <v>0</v>
      </c>
      <c r="U48" s="46">
        <f t="shared" ca="1" si="77"/>
        <v>0</v>
      </c>
      <c r="V48" s="46">
        <f t="shared" ca="1" si="77"/>
        <v>0</v>
      </c>
      <c r="W48" s="46">
        <f t="shared" ca="1" si="77"/>
        <v>0</v>
      </c>
      <c r="X48" s="90">
        <f t="shared" ca="1" si="77"/>
        <v>0</v>
      </c>
      <c r="Y48" s="46">
        <f t="shared" ca="1" si="77"/>
        <v>0</v>
      </c>
      <c r="Z48" s="46">
        <f t="shared" ca="1" si="77"/>
        <v>0</v>
      </c>
      <c r="AA48" s="46">
        <v>1</v>
      </c>
      <c r="AB48" s="46">
        <f t="shared" ref="AB48:AH48" ca="1" si="78">IF($B50,0,AB49-IF(ISNUMBER(AA49),AA49,0))</f>
        <v>0</v>
      </c>
      <c r="AC48" s="46">
        <f t="shared" ca="1" si="78"/>
        <v>0</v>
      </c>
      <c r="AD48" s="46">
        <f t="shared" ca="1" si="78"/>
        <v>0</v>
      </c>
      <c r="AE48" s="46">
        <f t="shared" ca="1" si="78"/>
        <v>0</v>
      </c>
      <c r="AF48" s="90">
        <f t="shared" ca="1" si="78"/>
        <v>0</v>
      </c>
      <c r="AG48" s="46">
        <f t="shared" ca="1" si="78"/>
        <v>0</v>
      </c>
      <c r="AH48" s="46">
        <f t="shared" ca="1" si="78"/>
        <v>0</v>
      </c>
      <c r="AI48" s="46">
        <v>1</v>
      </c>
      <c r="AJ48" s="46">
        <f ca="1">IF($B50,0,AJ49-IF(ISNUMBER(AI49),AI49,0))</f>
        <v>0</v>
      </c>
      <c r="AK48" s="46">
        <f ca="1">IF($B50,0,AK49-IF(ISNUMBER(AJ49),AJ49,0))</f>
        <v>0</v>
      </c>
      <c r="AL48" s="46">
        <f ca="1">IF($B50,0,AL49-IF(ISNUMBER(AK49),AK49,0))</f>
        <v>0</v>
      </c>
      <c r="AM48" s="46">
        <f ca="1">IF($B50,0,AM49-IF(ISNUMBER(AL49),AL49,0))</f>
        <v>0</v>
      </c>
      <c r="AN48" s="83"/>
    </row>
    <row r="49" spans="1:40" customFormat="1" ht="14.25" x14ac:dyDescent="0.2">
      <c r="A49" s="75"/>
      <c r="B49" s="75"/>
      <c r="C49" s="75"/>
      <c r="D49" s="75"/>
      <c r="E49" s="75"/>
      <c r="F49" s="75"/>
      <c r="G49" s="75"/>
      <c r="H49" s="75"/>
      <c r="I49" s="75"/>
      <c r="J49" s="75"/>
      <c r="K49" s="75"/>
      <c r="L49" s="236"/>
      <c r="M49" s="238"/>
      <c r="N49" s="240"/>
      <c r="O49" s="64" t="s">
        <v>35</v>
      </c>
      <c r="P49" s="85">
        <f t="shared" ref="P49:AM49" ca="1" si="79">MIN(IF($B50,P48+IF(ISNUMBER(O49),O49,0),P50/$N48),1)</f>
        <v>0</v>
      </c>
      <c r="Q49" s="62">
        <f t="shared" ca="1" si="79"/>
        <v>0</v>
      </c>
      <c r="R49" s="62">
        <f t="shared" ca="1" si="79"/>
        <v>0</v>
      </c>
      <c r="S49" s="62">
        <f t="shared" ca="1" si="79"/>
        <v>1</v>
      </c>
      <c r="T49" s="62">
        <f t="shared" ca="1" si="79"/>
        <v>1</v>
      </c>
      <c r="U49" s="62">
        <f t="shared" ca="1" si="79"/>
        <v>1</v>
      </c>
      <c r="V49" s="62">
        <f t="shared" ca="1" si="79"/>
        <v>1</v>
      </c>
      <c r="W49" s="62">
        <f t="shared" ca="1" si="79"/>
        <v>1</v>
      </c>
      <c r="X49" s="85">
        <f t="shared" ca="1" si="79"/>
        <v>1</v>
      </c>
      <c r="Y49" s="62">
        <f t="shared" ca="1" si="79"/>
        <v>1</v>
      </c>
      <c r="Z49" s="62">
        <f t="shared" ca="1" si="79"/>
        <v>1</v>
      </c>
      <c r="AA49" s="62">
        <f t="shared" ca="1" si="79"/>
        <v>1</v>
      </c>
      <c r="AB49" s="62">
        <f t="shared" ca="1" si="79"/>
        <v>1</v>
      </c>
      <c r="AC49" s="62">
        <f t="shared" ca="1" si="79"/>
        <v>1</v>
      </c>
      <c r="AD49" s="62">
        <f t="shared" ca="1" si="79"/>
        <v>1</v>
      </c>
      <c r="AE49" s="62">
        <f t="shared" ca="1" si="79"/>
        <v>1</v>
      </c>
      <c r="AF49" s="85">
        <f t="shared" ca="1" si="79"/>
        <v>1</v>
      </c>
      <c r="AG49" s="62">
        <f t="shared" ca="1" si="79"/>
        <v>1</v>
      </c>
      <c r="AH49" s="62">
        <f t="shared" ca="1" si="79"/>
        <v>1</v>
      </c>
      <c r="AI49" s="62">
        <f t="shared" ca="1" si="79"/>
        <v>1</v>
      </c>
      <c r="AJ49" s="62">
        <f t="shared" ca="1" si="79"/>
        <v>1</v>
      </c>
      <c r="AK49" s="62">
        <f t="shared" ca="1" si="79"/>
        <v>1</v>
      </c>
      <c r="AL49" s="62">
        <f t="shared" ca="1" si="79"/>
        <v>1</v>
      </c>
      <c r="AM49" s="62">
        <f t="shared" ca="1" si="79"/>
        <v>1</v>
      </c>
      <c r="AN49" s="83"/>
    </row>
    <row r="50" spans="1:40" customFormat="1" ht="14.25" x14ac:dyDescent="0.2">
      <c r="A50" s="75">
        <f ca="1">OFFSET(A50,-CFF.NumLinha,0)+1</f>
        <v>11</v>
      </c>
      <c r="B50" s="75" t="b">
        <f ca="1">$C50&gt;=OFFSET($C50,CFF.NumLinha,0)</f>
        <v>1</v>
      </c>
      <c r="C50" s="75">
        <f ca="1">INDEX(PO!A$11:A$367,MATCH($A50,PO!$W$11:$W$367,0))</f>
        <v>2</v>
      </c>
      <c r="D50" s="75">
        <f ca="1">IF(ISERROR(J50),I50,SMALL(I50:J50,1))-1</f>
        <v>2</v>
      </c>
      <c r="E50" s="75">
        <f ca="1">IF($C50=1,OFFSET(E50,-CFF.NumLinha,0)+1,OFFSET(E50,-CFF.NumLinha,0))</f>
        <v>4</v>
      </c>
      <c r="F50" s="75">
        <f ca="1">IF($C50=1,0,IF($C50=2,OFFSET(F50,-CFF.NumLinha,0)+1,OFFSET(F50,-CFF.NumLinha,0)))</f>
        <v>2</v>
      </c>
      <c r="G50" s="75">
        <f ca="1">IF(AND($C50&lt;=2,$C50&lt;&gt;0),0,IF($C50=3,OFFSET(G50,-CFF.NumLinha,0)+1,OFFSET(G50,-CFF.NumLinha,0)))</f>
        <v>0</v>
      </c>
      <c r="H50" s="75">
        <f ca="1">IF(AND($C50&lt;=3,$C50&lt;&gt;0),0,IF($C50=4,OFFSET(H50,-CFF.NumLinha,0)+1,OFFSET(H50,-CFF.NumLinha,0)))</f>
        <v>0</v>
      </c>
      <c r="I50" s="75">
        <f ca="1">MATCH(0,OFFSET($D50,1,$C50,ROW($A$114)-ROW($A50)),0)</f>
        <v>3</v>
      </c>
      <c r="J50" s="75" t="e">
        <f ca="1">MATCH(OFFSET($D50,0,$C50)+1,OFFSET($D50,1,$C50,ROW($A$114)-ROW($A50)),0)</f>
        <v>#N/A</v>
      </c>
      <c r="K50" s="76">
        <f ca="1">ROUND(INDEX(PO!U$11:U$367,MATCH($A50,PO!$W$11:$W$367,0)),2)+10^-12</f>
        <v>16071.610000000002</v>
      </c>
      <c r="L50" s="236"/>
      <c r="M50" s="238"/>
      <c r="N50" s="240"/>
      <c r="O50" s="93" t="s">
        <v>7</v>
      </c>
      <c r="P50" s="86">
        <f t="shared" ref="P50:W50" ca="1" si="80">IF($B50,ROUND(P49*$N48,2),ROUND(SUMIF(OFFSET($B50,1,0,$D50),TRUE,OFFSET(P50,1,0,$D50))/SUMIF(OFFSET($B50,1,0,$D50),TRUE,OFFSET($K50,1,0,$D50))*$N48,2))</f>
        <v>0</v>
      </c>
      <c r="Q50" s="63">
        <f t="shared" ca="1" si="80"/>
        <v>0</v>
      </c>
      <c r="R50" s="63">
        <f t="shared" ca="1" si="80"/>
        <v>0</v>
      </c>
      <c r="S50" s="63">
        <f t="shared" ca="1" si="80"/>
        <v>16071.61</v>
      </c>
      <c r="T50" s="63">
        <f t="shared" ca="1" si="80"/>
        <v>16071.61</v>
      </c>
      <c r="U50" s="63">
        <f t="shared" ca="1" si="80"/>
        <v>16071.61</v>
      </c>
      <c r="V50" s="63">
        <f t="shared" ca="1" si="80"/>
        <v>16071.61</v>
      </c>
      <c r="W50" s="96">
        <f t="shared" ca="1" si="80"/>
        <v>16071.61</v>
      </c>
      <c r="X50" s="86">
        <f t="shared" ref="X50:AE50" ca="1" si="81">IF($B50,ROUND(X49*$N48,2),ROUND(SUMIF(OFFSET($B50,1,0,$D50),TRUE,OFFSET(X50,1,0,$D50))/SUMIF(OFFSET($B50,1,0,$D50),TRUE,OFFSET($K50,1,0,$D50))*$N48,2))</f>
        <v>16071.61</v>
      </c>
      <c r="Y50" s="63">
        <f t="shared" ca="1" si="81"/>
        <v>16071.61</v>
      </c>
      <c r="Z50" s="63">
        <f t="shared" ca="1" si="81"/>
        <v>16071.61</v>
      </c>
      <c r="AA50" s="63">
        <f t="shared" ca="1" si="81"/>
        <v>16071.61</v>
      </c>
      <c r="AB50" s="63">
        <f t="shared" ca="1" si="81"/>
        <v>16071.61</v>
      </c>
      <c r="AC50" s="63">
        <f t="shared" ca="1" si="81"/>
        <v>16071.61</v>
      </c>
      <c r="AD50" s="63">
        <f t="shared" ca="1" si="81"/>
        <v>16071.61</v>
      </c>
      <c r="AE50" s="96">
        <f t="shared" ca="1" si="81"/>
        <v>16071.61</v>
      </c>
      <c r="AF50" s="86">
        <f t="shared" ref="AF50:AM50" ca="1" si="82">IF($B50,ROUND(AF49*$N48,2),ROUND(SUMIF(OFFSET($B50,1,0,$D50),TRUE,OFFSET(AF50,1,0,$D50))/SUMIF(OFFSET($B50,1,0,$D50),TRUE,OFFSET($K50,1,0,$D50))*$N48,2))</f>
        <v>16071.61</v>
      </c>
      <c r="AG50" s="63">
        <f t="shared" ca="1" si="82"/>
        <v>16071.61</v>
      </c>
      <c r="AH50" s="63">
        <f t="shared" ca="1" si="82"/>
        <v>16071.61</v>
      </c>
      <c r="AI50" s="63">
        <f t="shared" ca="1" si="82"/>
        <v>16071.61</v>
      </c>
      <c r="AJ50" s="63">
        <f t="shared" ca="1" si="82"/>
        <v>16071.61</v>
      </c>
      <c r="AK50" s="63">
        <f t="shared" ca="1" si="82"/>
        <v>16071.61</v>
      </c>
      <c r="AL50" s="63">
        <f t="shared" ca="1" si="82"/>
        <v>16071.61</v>
      </c>
      <c r="AM50" s="96">
        <f t="shared" ca="1" si="82"/>
        <v>16071.61</v>
      </c>
      <c r="AN50" s="83"/>
    </row>
    <row r="51" spans="1:40" customFormat="1" ht="14.25" customHeight="1" x14ac:dyDescent="0.2">
      <c r="A51" s="1"/>
      <c r="B51" s="1"/>
      <c r="C51" s="1"/>
      <c r="D51" s="1"/>
      <c r="E51" s="1"/>
      <c r="F51" s="1"/>
      <c r="G51" s="1"/>
      <c r="H51" s="1"/>
      <c r="I51" s="1"/>
      <c r="J51" s="1"/>
      <c r="K51" s="1"/>
      <c r="L51" s="235" t="str">
        <f ca="1">INDEX(PO!K$11:K$367,MATCH($A53,PO!$W$11:$W$367,0))</f>
        <v>5.</v>
      </c>
      <c r="M51" s="237" t="str">
        <f ca="1">INDEX(PO!O$11:O$367,MATCH($A53,PO!$W$11:$W$367,0))</f>
        <v>5 MÊS - INFORMATIVO E GESTÃO SOCIAL DA INTERVENÇÃO</v>
      </c>
      <c r="N51" s="239">
        <f ca="1">IF(ROUND(K53,2)=0,K53,ROUND(K53,2))</f>
        <v>25234.560000000001</v>
      </c>
      <c r="O51" s="91" t="s">
        <v>33</v>
      </c>
      <c r="P51" s="90">
        <f ca="1">IF($B53,0,P52-IF(ISNUMBER(O52),O52,0))</f>
        <v>0</v>
      </c>
      <c r="Q51" s="46">
        <f ca="1">IF($B53,0,Q52-IF(ISNUMBER(P52),P52,0))</f>
        <v>0</v>
      </c>
      <c r="R51" s="46">
        <f ca="1">IF($B53,0,R52-IF(ISNUMBER(Q52),Q52,0))</f>
        <v>0</v>
      </c>
      <c r="S51" s="46">
        <v>1</v>
      </c>
      <c r="T51" s="46">
        <f t="shared" ref="T51:Z51" ca="1" si="83">IF($B53,0,T52-IF(ISNUMBER(S52),S52,0))</f>
        <v>1</v>
      </c>
      <c r="U51" s="46">
        <f t="shared" ca="1" si="83"/>
        <v>0</v>
      </c>
      <c r="V51" s="46">
        <f t="shared" ca="1" si="83"/>
        <v>0</v>
      </c>
      <c r="W51" s="46">
        <f t="shared" ca="1" si="83"/>
        <v>0</v>
      </c>
      <c r="X51" s="90">
        <f t="shared" ca="1" si="83"/>
        <v>0</v>
      </c>
      <c r="Y51" s="46">
        <f t="shared" ca="1" si="83"/>
        <v>0</v>
      </c>
      <c r="Z51" s="46">
        <f t="shared" ca="1" si="83"/>
        <v>0</v>
      </c>
      <c r="AA51" s="46">
        <v>1</v>
      </c>
      <c r="AB51" s="46">
        <f t="shared" ref="AB51:AH51" ca="1" si="84">IF($B53,0,AB52-IF(ISNUMBER(AA52),AA52,0))</f>
        <v>0</v>
      </c>
      <c r="AC51" s="46">
        <f t="shared" ca="1" si="84"/>
        <v>0</v>
      </c>
      <c r="AD51" s="46">
        <f t="shared" ca="1" si="84"/>
        <v>0</v>
      </c>
      <c r="AE51" s="46">
        <f t="shared" ca="1" si="84"/>
        <v>0</v>
      </c>
      <c r="AF51" s="90">
        <f t="shared" ca="1" si="84"/>
        <v>0</v>
      </c>
      <c r="AG51" s="46">
        <f t="shared" ca="1" si="84"/>
        <v>0</v>
      </c>
      <c r="AH51" s="46">
        <f t="shared" ca="1" si="84"/>
        <v>0</v>
      </c>
      <c r="AI51" s="46">
        <v>1</v>
      </c>
      <c r="AJ51" s="46">
        <f ca="1">IF($B53,0,AJ52-IF(ISNUMBER(AI52),AI52,0))</f>
        <v>0</v>
      </c>
      <c r="AK51" s="46">
        <f ca="1">IF($B53,0,AK52-IF(ISNUMBER(AJ52),AJ52,0))</f>
        <v>0</v>
      </c>
      <c r="AL51" s="46">
        <f ca="1">IF($B53,0,AL52-IF(ISNUMBER(AK52),AK52,0))</f>
        <v>0</v>
      </c>
      <c r="AM51" s="46">
        <f ca="1">IF($B53,0,AM52-IF(ISNUMBER(AL52),AL52,0))</f>
        <v>0</v>
      </c>
      <c r="AN51" s="83"/>
    </row>
    <row r="52" spans="1:40" customFormat="1" ht="14.25" x14ac:dyDescent="0.2">
      <c r="A52" s="75"/>
      <c r="B52" s="75"/>
      <c r="C52" s="75"/>
      <c r="D52" s="75"/>
      <c r="E52" s="75"/>
      <c r="F52" s="75"/>
      <c r="G52" s="75"/>
      <c r="H52" s="75"/>
      <c r="I52" s="75"/>
      <c r="J52" s="75"/>
      <c r="K52" s="75"/>
      <c r="L52" s="236"/>
      <c r="M52" s="238"/>
      <c r="N52" s="240"/>
      <c r="O52" s="64" t="s">
        <v>35</v>
      </c>
      <c r="P52" s="85">
        <f t="shared" ref="P52:AM52" ca="1" si="85">MIN(IF($B53,P51+IF(ISNUMBER(O52),O52,0),P53/$N51),1)</f>
        <v>0</v>
      </c>
      <c r="Q52" s="62">
        <f t="shared" ca="1" si="85"/>
        <v>0</v>
      </c>
      <c r="R52" s="62">
        <f t="shared" ca="1" si="85"/>
        <v>0</v>
      </c>
      <c r="S52" s="62">
        <f t="shared" ca="1" si="85"/>
        <v>0</v>
      </c>
      <c r="T52" s="62">
        <f t="shared" ca="1" si="85"/>
        <v>1</v>
      </c>
      <c r="U52" s="62">
        <f t="shared" ca="1" si="85"/>
        <v>1</v>
      </c>
      <c r="V52" s="62">
        <f t="shared" ca="1" si="85"/>
        <v>1</v>
      </c>
      <c r="W52" s="62">
        <f t="shared" ca="1" si="85"/>
        <v>1</v>
      </c>
      <c r="X52" s="85">
        <f t="shared" ca="1" si="85"/>
        <v>1</v>
      </c>
      <c r="Y52" s="62">
        <f t="shared" ca="1" si="85"/>
        <v>1</v>
      </c>
      <c r="Z52" s="62">
        <f t="shared" ca="1" si="85"/>
        <v>1</v>
      </c>
      <c r="AA52" s="62">
        <f t="shared" ca="1" si="85"/>
        <v>1</v>
      </c>
      <c r="AB52" s="62">
        <f t="shared" ca="1" si="85"/>
        <v>1</v>
      </c>
      <c r="AC52" s="62">
        <f t="shared" ca="1" si="85"/>
        <v>1</v>
      </c>
      <c r="AD52" s="62">
        <f t="shared" ca="1" si="85"/>
        <v>1</v>
      </c>
      <c r="AE52" s="62">
        <f t="shared" ca="1" si="85"/>
        <v>1</v>
      </c>
      <c r="AF52" s="85">
        <f t="shared" ca="1" si="85"/>
        <v>1</v>
      </c>
      <c r="AG52" s="62">
        <f t="shared" ca="1" si="85"/>
        <v>1</v>
      </c>
      <c r="AH52" s="62">
        <f t="shared" ca="1" si="85"/>
        <v>1</v>
      </c>
      <c r="AI52" s="62">
        <f t="shared" ca="1" si="85"/>
        <v>1</v>
      </c>
      <c r="AJ52" s="62">
        <f t="shared" ca="1" si="85"/>
        <v>1</v>
      </c>
      <c r="AK52" s="62">
        <f t="shared" ca="1" si="85"/>
        <v>1</v>
      </c>
      <c r="AL52" s="62">
        <f t="shared" ca="1" si="85"/>
        <v>1</v>
      </c>
      <c r="AM52" s="62">
        <f t="shared" ca="1" si="85"/>
        <v>1</v>
      </c>
      <c r="AN52" s="83"/>
    </row>
    <row r="53" spans="1:40" customFormat="1" ht="14.25" x14ac:dyDescent="0.2">
      <c r="A53" s="75">
        <f ca="1">OFFSET(A53,-CFF.NumLinha,0)+1</f>
        <v>12</v>
      </c>
      <c r="B53" s="75" t="b">
        <f ca="1">$C53&gt;=OFFSET($C53,CFF.NumLinha,0)</f>
        <v>0</v>
      </c>
      <c r="C53" s="75">
        <f ca="1">INDEX(PO!A$11:A$367,MATCH($A53,PO!$W$11:$W$367,0))</f>
        <v>1</v>
      </c>
      <c r="D53" s="75">
        <f ca="1">IF(ISERROR(J53),I53,SMALL(I53:J53,1))-1</f>
        <v>8</v>
      </c>
      <c r="E53" s="75">
        <f ca="1">IF($C53=1,OFFSET(E53,-CFF.NumLinha,0)+1,OFFSET(E53,-CFF.NumLinha,0))</f>
        <v>5</v>
      </c>
      <c r="F53" s="75">
        <f ca="1">IF($C53=1,0,IF($C53=2,OFFSET(F53,-CFF.NumLinha,0)+1,OFFSET(F53,-CFF.NumLinha,0)))</f>
        <v>0</v>
      </c>
      <c r="G53" s="75">
        <f ca="1">IF(AND($C53&lt;=2,$C53&lt;&gt;0),0,IF($C53=3,OFFSET(G53,-CFF.NumLinha,0)+1,OFFSET(G53,-CFF.NumLinha,0)))</f>
        <v>0</v>
      </c>
      <c r="H53" s="75">
        <f ca="1">IF(AND($C53&lt;=3,$C53&lt;&gt;0),0,IF($C53=4,OFFSET(H53,-CFF.NumLinha,0)+1,OFFSET(H53,-CFF.NumLinha,0)))</f>
        <v>0</v>
      </c>
      <c r="I53" s="75">
        <f ca="1">MATCH(0,OFFSET($D53,1,$C53,ROW($A$114)-ROW($A53)),0)</f>
        <v>61</v>
      </c>
      <c r="J53" s="75">
        <f ca="1">MATCH(OFFSET($D53,0,$C53)+1,OFFSET($D53,1,$C53,ROW($A$114)-ROW($A53)),0)</f>
        <v>9</v>
      </c>
      <c r="K53" s="76">
        <f ca="1">ROUND(INDEX(PO!U$11:U$367,MATCH($A53,PO!$W$11:$W$367,0)),2)+10^-12</f>
        <v>25234.560000000001</v>
      </c>
      <c r="L53" s="236"/>
      <c r="M53" s="238"/>
      <c r="N53" s="240"/>
      <c r="O53" s="93" t="s">
        <v>7</v>
      </c>
      <c r="P53" s="86">
        <f t="shared" ref="P53:W53" ca="1" si="86">IF($B53,ROUND(P52*$N51,2),ROUND(SUMIF(OFFSET($B53,1,0,$D53),TRUE,OFFSET(P53,1,0,$D53))/SUMIF(OFFSET($B53,1,0,$D53),TRUE,OFFSET($K53,1,0,$D53))*$N51,2))</f>
        <v>0</v>
      </c>
      <c r="Q53" s="63">
        <f t="shared" ca="1" si="86"/>
        <v>0</v>
      </c>
      <c r="R53" s="63">
        <f t="shared" ca="1" si="86"/>
        <v>0</v>
      </c>
      <c r="S53" s="63">
        <f t="shared" ca="1" si="86"/>
        <v>0</v>
      </c>
      <c r="T53" s="63">
        <f t="shared" ca="1" si="86"/>
        <v>25234.560000000001</v>
      </c>
      <c r="U53" s="63">
        <f t="shared" ca="1" si="86"/>
        <v>25234.560000000001</v>
      </c>
      <c r="V53" s="63">
        <f t="shared" ca="1" si="86"/>
        <v>25234.560000000001</v>
      </c>
      <c r="W53" s="96">
        <f t="shared" ca="1" si="86"/>
        <v>25234.560000000001</v>
      </c>
      <c r="X53" s="86">
        <f t="shared" ref="X53:AE53" ca="1" si="87">IF($B53,ROUND(X52*$N51,2),ROUND(SUMIF(OFFSET($B53,1,0,$D53),TRUE,OFFSET(X53,1,0,$D53))/SUMIF(OFFSET($B53,1,0,$D53),TRUE,OFFSET($K53,1,0,$D53))*$N51,2))</f>
        <v>25234.560000000001</v>
      </c>
      <c r="Y53" s="63">
        <f t="shared" ca="1" si="87"/>
        <v>25234.560000000001</v>
      </c>
      <c r="Z53" s="63">
        <f t="shared" ca="1" si="87"/>
        <v>25234.560000000001</v>
      </c>
      <c r="AA53" s="63">
        <f t="shared" ca="1" si="87"/>
        <v>25234.560000000001</v>
      </c>
      <c r="AB53" s="63">
        <f t="shared" ca="1" si="87"/>
        <v>25234.560000000001</v>
      </c>
      <c r="AC53" s="63">
        <f t="shared" ca="1" si="87"/>
        <v>25234.560000000001</v>
      </c>
      <c r="AD53" s="63">
        <f t="shared" ca="1" si="87"/>
        <v>25234.560000000001</v>
      </c>
      <c r="AE53" s="96">
        <f t="shared" ca="1" si="87"/>
        <v>25234.560000000001</v>
      </c>
      <c r="AF53" s="86">
        <f t="shared" ref="AF53:AM53" ca="1" si="88">IF($B53,ROUND(AF52*$N51,2),ROUND(SUMIF(OFFSET($B53,1,0,$D53),TRUE,OFFSET(AF53,1,0,$D53))/SUMIF(OFFSET($B53,1,0,$D53),TRUE,OFFSET($K53,1,0,$D53))*$N51,2))</f>
        <v>25234.560000000001</v>
      </c>
      <c r="AG53" s="63">
        <f t="shared" ca="1" si="88"/>
        <v>25234.560000000001</v>
      </c>
      <c r="AH53" s="63">
        <f t="shared" ca="1" si="88"/>
        <v>25234.560000000001</v>
      </c>
      <c r="AI53" s="63">
        <f t="shared" ca="1" si="88"/>
        <v>25234.560000000001</v>
      </c>
      <c r="AJ53" s="63">
        <f t="shared" ca="1" si="88"/>
        <v>25234.560000000001</v>
      </c>
      <c r="AK53" s="63">
        <f t="shared" ca="1" si="88"/>
        <v>25234.560000000001</v>
      </c>
      <c r="AL53" s="63">
        <f t="shared" ca="1" si="88"/>
        <v>25234.560000000001</v>
      </c>
      <c r="AM53" s="96">
        <f t="shared" ca="1" si="88"/>
        <v>25234.560000000001</v>
      </c>
      <c r="AN53" s="83"/>
    </row>
    <row r="54" spans="1:40" customFormat="1" ht="14.25" customHeight="1" x14ac:dyDescent="0.2">
      <c r="A54" s="1"/>
      <c r="B54" s="1"/>
      <c r="C54" s="1"/>
      <c r="D54" s="1"/>
      <c r="E54" s="1"/>
      <c r="F54" s="1"/>
      <c r="G54" s="1"/>
      <c r="H54" s="1"/>
      <c r="I54" s="1"/>
      <c r="J54" s="1"/>
      <c r="K54" s="1"/>
      <c r="L54" s="235" t="str">
        <f ca="1">INDEX(PO!K$11:K$367,MATCH($A56,PO!$W$11:$W$367,0))</f>
        <v>5.1.</v>
      </c>
      <c r="M54" s="237" t="str">
        <f ca="1">INDEX(PO!O$11:O$367,MATCH($A56,PO!$W$11:$W$367,0))</f>
        <v>ATIVIDADE 08 - PLANTÃO SOCIAL - SANTA MARIA</v>
      </c>
      <c r="N54" s="239">
        <f ca="1">IF(ROUND(K56,2)=0,K56,ROUND(K56,2))</f>
        <v>10609.28</v>
      </c>
      <c r="O54" s="91" t="s">
        <v>33</v>
      </c>
      <c r="P54" s="90">
        <f ca="1">IF($B56,0,P55-IF(ISNUMBER(O55),O55,0))</f>
        <v>0</v>
      </c>
      <c r="Q54" s="46">
        <f ca="1">IF($B56,0,Q55-IF(ISNUMBER(P55),P55,0))</f>
        <v>0</v>
      </c>
      <c r="R54" s="46">
        <f ca="1">IF($B56,0,R55-IF(ISNUMBER(Q55),Q55,0))</f>
        <v>0</v>
      </c>
      <c r="S54" s="46">
        <f ca="1">IF($B56,0,S55-IF(ISNUMBER(R55),R55,0))</f>
        <v>0</v>
      </c>
      <c r="T54" s="46">
        <v>1</v>
      </c>
      <c r="U54" s="46">
        <f t="shared" ref="U54:AM54" ca="1" si="89">IF($B56,0,U55-IF(ISNUMBER(T55),T55,0))</f>
        <v>0</v>
      </c>
      <c r="V54" s="46">
        <f t="shared" ca="1" si="89"/>
        <v>0</v>
      </c>
      <c r="W54" s="46">
        <f t="shared" ca="1" si="89"/>
        <v>0</v>
      </c>
      <c r="X54" s="90">
        <f t="shared" ca="1" si="89"/>
        <v>0</v>
      </c>
      <c r="Y54" s="46">
        <f t="shared" ca="1" si="89"/>
        <v>0</v>
      </c>
      <c r="Z54" s="46">
        <f t="shared" ca="1" si="89"/>
        <v>0</v>
      </c>
      <c r="AA54" s="46">
        <f t="shared" ca="1" si="89"/>
        <v>0</v>
      </c>
      <c r="AB54" s="46">
        <f t="shared" ca="1" si="89"/>
        <v>0</v>
      </c>
      <c r="AC54" s="46">
        <f t="shared" ca="1" si="89"/>
        <v>0</v>
      </c>
      <c r="AD54" s="46">
        <f t="shared" ca="1" si="89"/>
        <v>0</v>
      </c>
      <c r="AE54" s="46">
        <f t="shared" ca="1" si="89"/>
        <v>0</v>
      </c>
      <c r="AF54" s="90">
        <f t="shared" ca="1" si="89"/>
        <v>0</v>
      </c>
      <c r="AG54" s="46">
        <f t="shared" ca="1" si="89"/>
        <v>0</v>
      </c>
      <c r="AH54" s="46">
        <f t="shared" ca="1" si="89"/>
        <v>0</v>
      </c>
      <c r="AI54" s="46">
        <f t="shared" ca="1" si="89"/>
        <v>0</v>
      </c>
      <c r="AJ54" s="46">
        <f t="shared" ca="1" si="89"/>
        <v>0</v>
      </c>
      <c r="AK54" s="46">
        <f t="shared" ca="1" si="89"/>
        <v>0</v>
      </c>
      <c r="AL54" s="46">
        <f t="shared" ca="1" si="89"/>
        <v>0</v>
      </c>
      <c r="AM54" s="46">
        <f t="shared" ca="1" si="89"/>
        <v>0</v>
      </c>
      <c r="AN54" s="83"/>
    </row>
    <row r="55" spans="1:40" customFormat="1" ht="14.25" x14ac:dyDescent="0.2">
      <c r="A55" s="75"/>
      <c r="B55" s="75"/>
      <c r="C55" s="75"/>
      <c r="D55" s="75"/>
      <c r="E55" s="75"/>
      <c r="F55" s="75"/>
      <c r="G55" s="75"/>
      <c r="H55" s="75"/>
      <c r="I55" s="75"/>
      <c r="J55" s="75"/>
      <c r="K55" s="75"/>
      <c r="L55" s="236"/>
      <c r="M55" s="238"/>
      <c r="N55" s="240"/>
      <c r="O55" s="64" t="s">
        <v>35</v>
      </c>
      <c r="P55" s="85">
        <f t="shared" ref="P55:AM55" ca="1" si="90">MIN(IF($B56,P54+IF(ISNUMBER(O55),O55,0),P56/$N54),1)</f>
        <v>0</v>
      </c>
      <c r="Q55" s="62">
        <f t="shared" ca="1" si="90"/>
        <v>0</v>
      </c>
      <c r="R55" s="62">
        <f t="shared" ca="1" si="90"/>
        <v>0</v>
      </c>
      <c r="S55" s="62">
        <f t="shared" ca="1" si="90"/>
        <v>0</v>
      </c>
      <c r="T55" s="62">
        <f t="shared" ca="1" si="90"/>
        <v>1</v>
      </c>
      <c r="U55" s="62">
        <f t="shared" ca="1" si="90"/>
        <v>1</v>
      </c>
      <c r="V55" s="62">
        <f t="shared" ca="1" si="90"/>
        <v>1</v>
      </c>
      <c r="W55" s="62">
        <f t="shared" ca="1" si="90"/>
        <v>1</v>
      </c>
      <c r="X55" s="85">
        <f t="shared" ca="1" si="90"/>
        <v>1</v>
      </c>
      <c r="Y55" s="62">
        <f t="shared" ca="1" si="90"/>
        <v>1</v>
      </c>
      <c r="Z55" s="62">
        <f t="shared" ca="1" si="90"/>
        <v>1</v>
      </c>
      <c r="AA55" s="62">
        <f t="shared" ca="1" si="90"/>
        <v>1</v>
      </c>
      <c r="AB55" s="62">
        <f t="shared" ca="1" si="90"/>
        <v>1</v>
      </c>
      <c r="AC55" s="62">
        <f t="shared" ca="1" si="90"/>
        <v>1</v>
      </c>
      <c r="AD55" s="62">
        <f t="shared" ca="1" si="90"/>
        <v>1</v>
      </c>
      <c r="AE55" s="62">
        <f t="shared" ca="1" si="90"/>
        <v>1</v>
      </c>
      <c r="AF55" s="85">
        <f t="shared" ca="1" si="90"/>
        <v>1</v>
      </c>
      <c r="AG55" s="62">
        <f t="shared" ca="1" si="90"/>
        <v>1</v>
      </c>
      <c r="AH55" s="62">
        <f t="shared" ca="1" si="90"/>
        <v>1</v>
      </c>
      <c r="AI55" s="62">
        <f t="shared" ca="1" si="90"/>
        <v>1</v>
      </c>
      <c r="AJ55" s="62">
        <f t="shared" ca="1" si="90"/>
        <v>1</v>
      </c>
      <c r="AK55" s="62">
        <f t="shared" ca="1" si="90"/>
        <v>1</v>
      </c>
      <c r="AL55" s="62">
        <f t="shared" ca="1" si="90"/>
        <v>1</v>
      </c>
      <c r="AM55" s="62">
        <f t="shared" ca="1" si="90"/>
        <v>1</v>
      </c>
      <c r="AN55" s="83"/>
    </row>
    <row r="56" spans="1:40" customFormat="1" ht="14.25" x14ac:dyDescent="0.2">
      <c r="A56" s="75">
        <f ca="1">OFFSET(A56,-CFF.NumLinha,0)+1</f>
        <v>13</v>
      </c>
      <c r="B56" s="75" t="b">
        <f ca="1">$C56&gt;=OFFSET($C56,CFF.NumLinha,0)</f>
        <v>1</v>
      </c>
      <c r="C56" s="75">
        <f ca="1">INDEX(PO!A$11:A$367,MATCH($A56,PO!$W$11:$W$367,0))</f>
        <v>2</v>
      </c>
      <c r="D56" s="75">
        <f ca="1">IF(ISERROR(J56),I56,SMALL(I56:J56,1))-1</f>
        <v>2</v>
      </c>
      <c r="E56" s="75">
        <f ca="1">IF($C56=1,OFFSET(E56,-CFF.NumLinha,0)+1,OFFSET(E56,-CFF.NumLinha,0))</f>
        <v>5</v>
      </c>
      <c r="F56" s="75">
        <f ca="1">IF($C56=1,0,IF($C56=2,OFFSET(F56,-CFF.NumLinha,0)+1,OFFSET(F56,-CFF.NumLinha,0)))</f>
        <v>1</v>
      </c>
      <c r="G56" s="75">
        <f ca="1">IF(AND($C56&lt;=2,$C56&lt;&gt;0),0,IF($C56=3,OFFSET(G56,-CFF.NumLinha,0)+1,OFFSET(G56,-CFF.NumLinha,0)))</f>
        <v>0</v>
      </c>
      <c r="H56" s="75">
        <f ca="1">IF(AND($C56&lt;=3,$C56&lt;&gt;0),0,IF($C56=4,OFFSET(H56,-CFF.NumLinha,0)+1,OFFSET(H56,-CFF.NumLinha,0)))</f>
        <v>0</v>
      </c>
      <c r="I56" s="75">
        <f ca="1">MATCH(0,OFFSET($D56,1,$C56,ROW($A$114)-ROW($A56)),0)</f>
        <v>6</v>
      </c>
      <c r="J56" s="75">
        <f ca="1">MATCH(OFFSET($D56,0,$C56)+1,OFFSET($D56,1,$C56,ROW($A$114)-ROW($A56)),0)</f>
        <v>3</v>
      </c>
      <c r="K56" s="76">
        <f ca="1">ROUND(INDEX(PO!U$11:U$367,MATCH($A56,PO!$W$11:$W$367,0)),2)+10^-12</f>
        <v>10609.280000000002</v>
      </c>
      <c r="L56" s="236"/>
      <c r="M56" s="238"/>
      <c r="N56" s="240"/>
      <c r="O56" s="93" t="s">
        <v>7</v>
      </c>
      <c r="P56" s="86">
        <f t="shared" ref="P56:W56" ca="1" si="91">IF($B56,ROUND(P55*$N54,2),ROUND(SUMIF(OFFSET($B56,1,0,$D56),TRUE,OFFSET(P56,1,0,$D56))/SUMIF(OFFSET($B56,1,0,$D56),TRUE,OFFSET($K56,1,0,$D56))*$N54,2))</f>
        <v>0</v>
      </c>
      <c r="Q56" s="63">
        <f t="shared" ca="1" si="91"/>
        <v>0</v>
      </c>
      <c r="R56" s="63">
        <f t="shared" ca="1" si="91"/>
        <v>0</v>
      </c>
      <c r="S56" s="63">
        <f t="shared" ca="1" si="91"/>
        <v>0</v>
      </c>
      <c r="T56" s="63">
        <f t="shared" ca="1" si="91"/>
        <v>10609.28</v>
      </c>
      <c r="U56" s="63">
        <f t="shared" ca="1" si="91"/>
        <v>10609.28</v>
      </c>
      <c r="V56" s="63">
        <f t="shared" ca="1" si="91"/>
        <v>10609.28</v>
      </c>
      <c r="W56" s="96">
        <f t="shared" ca="1" si="91"/>
        <v>10609.28</v>
      </c>
      <c r="X56" s="86">
        <f t="shared" ref="X56:AE56" ca="1" si="92">IF($B56,ROUND(X55*$N54,2),ROUND(SUMIF(OFFSET($B56,1,0,$D56),TRUE,OFFSET(X56,1,0,$D56))/SUMIF(OFFSET($B56,1,0,$D56),TRUE,OFFSET($K56,1,0,$D56))*$N54,2))</f>
        <v>10609.28</v>
      </c>
      <c r="Y56" s="63">
        <f t="shared" ca="1" si="92"/>
        <v>10609.28</v>
      </c>
      <c r="Z56" s="63">
        <f t="shared" ca="1" si="92"/>
        <v>10609.28</v>
      </c>
      <c r="AA56" s="63">
        <f t="shared" ca="1" si="92"/>
        <v>10609.28</v>
      </c>
      <c r="AB56" s="63">
        <f t="shared" ca="1" si="92"/>
        <v>10609.28</v>
      </c>
      <c r="AC56" s="63">
        <f t="shared" ca="1" si="92"/>
        <v>10609.28</v>
      </c>
      <c r="AD56" s="63">
        <f t="shared" ca="1" si="92"/>
        <v>10609.28</v>
      </c>
      <c r="AE56" s="96">
        <f t="shared" ca="1" si="92"/>
        <v>10609.28</v>
      </c>
      <c r="AF56" s="86">
        <f t="shared" ref="AF56:AM56" ca="1" si="93">IF($B56,ROUND(AF55*$N54,2),ROUND(SUMIF(OFFSET($B56,1,0,$D56),TRUE,OFFSET(AF56,1,0,$D56))/SUMIF(OFFSET($B56,1,0,$D56),TRUE,OFFSET($K56,1,0,$D56))*$N54,2))</f>
        <v>10609.28</v>
      </c>
      <c r="AG56" s="63">
        <f t="shared" ca="1" si="93"/>
        <v>10609.28</v>
      </c>
      <c r="AH56" s="63">
        <f t="shared" ca="1" si="93"/>
        <v>10609.28</v>
      </c>
      <c r="AI56" s="63">
        <f t="shared" ca="1" si="93"/>
        <v>10609.28</v>
      </c>
      <c r="AJ56" s="63">
        <f t="shared" ca="1" si="93"/>
        <v>10609.28</v>
      </c>
      <c r="AK56" s="63">
        <f t="shared" ca="1" si="93"/>
        <v>10609.28</v>
      </c>
      <c r="AL56" s="63">
        <f t="shared" ca="1" si="93"/>
        <v>10609.28</v>
      </c>
      <c r="AM56" s="96">
        <f t="shared" ca="1" si="93"/>
        <v>10609.28</v>
      </c>
      <c r="AN56" s="83"/>
    </row>
    <row r="57" spans="1:40" customFormat="1" ht="14.25" customHeight="1" x14ac:dyDescent="0.2">
      <c r="A57" s="1"/>
      <c r="B57" s="1"/>
      <c r="C57" s="1"/>
      <c r="D57" s="1"/>
      <c r="E57" s="1"/>
      <c r="F57" s="1"/>
      <c r="G57" s="1"/>
      <c r="H57" s="1"/>
      <c r="I57" s="1"/>
      <c r="J57" s="1"/>
      <c r="K57" s="1"/>
      <c r="L57" s="235" t="str">
        <f ca="1">INDEX(PO!K$11:K$367,MATCH($A59,PO!$W$11:$W$367,0))</f>
        <v>5.2.</v>
      </c>
      <c r="M57" s="237" t="str">
        <f ca="1">INDEX(PO!O$11:O$367,MATCH($A59,PO!$W$11:$W$367,0))</f>
        <v>ATIVIDADE 9 - VISITAS INFORMATIVAS - SANTA MARIA</v>
      </c>
      <c r="N57" s="239">
        <f ca="1">IF(ROUND(K59,2)=0,K59,ROUND(K59,2))</f>
        <v>14625.28</v>
      </c>
      <c r="O57" s="91" t="s">
        <v>33</v>
      </c>
      <c r="P57" s="90">
        <f ca="1">IF($B59,0,P58-IF(ISNUMBER(O58),O58,0))</f>
        <v>0</v>
      </c>
      <c r="Q57" s="46">
        <f ca="1">IF($B59,0,Q58-IF(ISNUMBER(P58),P58,0))</f>
        <v>0</v>
      </c>
      <c r="R57" s="46">
        <f ca="1">IF($B59,0,R58-IF(ISNUMBER(Q58),Q58,0))</f>
        <v>0</v>
      </c>
      <c r="S57" s="46">
        <f ca="1">IF($B59,0,S58-IF(ISNUMBER(R58),R58,0))</f>
        <v>0</v>
      </c>
      <c r="T57" s="46">
        <v>1</v>
      </c>
      <c r="U57" s="46">
        <f t="shared" ref="U57:AA57" ca="1" si="94">IF($B59,0,U58-IF(ISNUMBER(T58),T58,0))</f>
        <v>0</v>
      </c>
      <c r="V57" s="46">
        <f t="shared" ca="1" si="94"/>
        <v>0</v>
      </c>
      <c r="W57" s="46">
        <f t="shared" ca="1" si="94"/>
        <v>0</v>
      </c>
      <c r="X57" s="90">
        <f t="shared" ca="1" si="94"/>
        <v>0</v>
      </c>
      <c r="Y57" s="46">
        <f t="shared" ca="1" si="94"/>
        <v>0</v>
      </c>
      <c r="Z57" s="46">
        <f t="shared" ca="1" si="94"/>
        <v>0</v>
      </c>
      <c r="AA57" s="46">
        <f t="shared" ca="1" si="94"/>
        <v>0</v>
      </c>
      <c r="AB57" s="46">
        <v>1</v>
      </c>
      <c r="AC57" s="46">
        <f t="shared" ref="AC57:AI57" ca="1" si="95">IF($B59,0,AC58-IF(ISNUMBER(AB58),AB58,0))</f>
        <v>0</v>
      </c>
      <c r="AD57" s="46">
        <f t="shared" ca="1" si="95"/>
        <v>0</v>
      </c>
      <c r="AE57" s="46">
        <f t="shared" ca="1" si="95"/>
        <v>0</v>
      </c>
      <c r="AF57" s="90">
        <f t="shared" ca="1" si="95"/>
        <v>0</v>
      </c>
      <c r="AG57" s="46">
        <f t="shared" ca="1" si="95"/>
        <v>0</v>
      </c>
      <c r="AH57" s="46">
        <f t="shared" ca="1" si="95"/>
        <v>0</v>
      </c>
      <c r="AI57" s="46">
        <f t="shared" ca="1" si="95"/>
        <v>0</v>
      </c>
      <c r="AJ57" s="46">
        <v>1</v>
      </c>
      <c r="AK57" s="46">
        <f ca="1">IF($B59,0,AK58-IF(ISNUMBER(AJ58),AJ58,0))</f>
        <v>0</v>
      </c>
      <c r="AL57" s="46">
        <f ca="1">IF($B59,0,AL58-IF(ISNUMBER(AK58),AK58,0))</f>
        <v>0</v>
      </c>
      <c r="AM57" s="46">
        <f ca="1">IF($B59,0,AM58-IF(ISNUMBER(AL58),AL58,0))</f>
        <v>0</v>
      </c>
      <c r="AN57" s="83"/>
    </row>
    <row r="58" spans="1:40" customFormat="1" ht="14.25" x14ac:dyDescent="0.2">
      <c r="A58" s="75"/>
      <c r="B58" s="75"/>
      <c r="C58" s="75"/>
      <c r="D58" s="75"/>
      <c r="E58" s="75"/>
      <c r="F58" s="75"/>
      <c r="G58" s="75"/>
      <c r="H58" s="75"/>
      <c r="I58" s="75"/>
      <c r="J58" s="75"/>
      <c r="K58" s="75"/>
      <c r="L58" s="236"/>
      <c r="M58" s="238"/>
      <c r="N58" s="240"/>
      <c r="O58" s="64" t="s">
        <v>35</v>
      </c>
      <c r="P58" s="85">
        <f t="shared" ref="P58:AM58" ca="1" si="96">MIN(IF($B59,P57+IF(ISNUMBER(O58),O58,0),P59/$N57),1)</f>
        <v>0</v>
      </c>
      <c r="Q58" s="62">
        <f t="shared" ca="1" si="96"/>
        <v>0</v>
      </c>
      <c r="R58" s="62">
        <f t="shared" ca="1" si="96"/>
        <v>0</v>
      </c>
      <c r="S58" s="62">
        <f t="shared" ca="1" si="96"/>
        <v>0</v>
      </c>
      <c r="T58" s="62">
        <f t="shared" ca="1" si="96"/>
        <v>1</v>
      </c>
      <c r="U58" s="62">
        <f t="shared" ca="1" si="96"/>
        <v>1</v>
      </c>
      <c r="V58" s="62">
        <f t="shared" ca="1" si="96"/>
        <v>1</v>
      </c>
      <c r="W58" s="62">
        <f t="shared" ca="1" si="96"/>
        <v>1</v>
      </c>
      <c r="X58" s="85">
        <f t="shared" ca="1" si="96"/>
        <v>1</v>
      </c>
      <c r="Y58" s="62">
        <f t="shared" ca="1" si="96"/>
        <v>1</v>
      </c>
      <c r="Z58" s="62">
        <f t="shared" ca="1" si="96"/>
        <v>1</v>
      </c>
      <c r="AA58" s="62">
        <f t="shared" ca="1" si="96"/>
        <v>1</v>
      </c>
      <c r="AB58" s="62">
        <f t="shared" ca="1" si="96"/>
        <v>1</v>
      </c>
      <c r="AC58" s="62">
        <f t="shared" ca="1" si="96"/>
        <v>1</v>
      </c>
      <c r="AD58" s="62">
        <f t="shared" ca="1" si="96"/>
        <v>1</v>
      </c>
      <c r="AE58" s="62">
        <f t="shared" ca="1" si="96"/>
        <v>1</v>
      </c>
      <c r="AF58" s="85">
        <f t="shared" ca="1" si="96"/>
        <v>1</v>
      </c>
      <c r="AG58" s="62">
        <f t="shared" ca="1" si="96"/>
        <v>1</v>
      </c>
      <c r="AH58" s="62">
        <f t="shared" ca="1" si="96"/>
        <v>1</v>
      </c>
      <c r="AI58" s="62">
        <f t="shared" ca="1" si="96"/>
        <v>1</v>
      </c>
      <c r="AJ58" s="62">
        <f t="shared" ca="1" si="96"/>
        <v>1</v>
      </c>
      <c r="AK58" s="62">
        <f t="shared" ca="1" si="96"/>
        <v>1</v>
      </c>
      <c r="AL58" s="62">
        <f t="shared" ca="1" si="96"/>
        <v>1</v>
      </c>
      <c r="AM58" s="62">
        <f t="shared" ca="1" si="96"/>
        <v>1</v>
      </c>
      <c r="AN58" s="83"/>
    </row>
    <row r="59" spans="1:40" customFormat="1" ht="14.25" x14ac:dyDescent="0.2">
      <c r="A59" s="75">
        <f ca="1">OFFSET(A59,-CFF.NumLinha,0)+1</f>
        <v>14</v>
      </c>
      <c r="B59" s="75" t="b">
        <f ca="1">$C59&gt;=OFFSET($C59,CFF.NumLinha,0)</f>
        <v>1</v>
      </c>
      <c r="C59" s="75">
        <f ca="1">INDEX(PO!A$11:A$367,MATCH($A59,PO!$W$11:$W$367,0))</f>
        <v>2</v>
      </c>
      <c r="D59" s="75">
        <f ca="1">IF(ISERROR(J59),I59,SMALL(I59:J59,1))-1</f>
        <v>2</v>
      </c>
      <c r="E59" s="75">
        <f ca="1">IF($C59=1,OFFSET(E59,-CFF.NumLinha,0)+1,OFFSET(E59,-CFF.NumLinha,0))</f>
        <v>5</v>
      </c>
      <c r="F59" s="75">
        <f ca="1">IF($C59=1,0,IF($C59=2,OFFSET(F59,-CFF.NumLinha,0)+1,OFFSET(F59,-CFF.NumLinha,0)))</f>
        <v>2</v>
      </c>
      <c r="G59" s="75">
        <f ca="1">IF(AND($C59&lt;=2,$C59&lt;&gt;0),0,IF($C59=3,OFFSET(G59,-CFF.NumLinha,0)+1,OFFSET(G59,-CFF.NumLinha,0)))</f>
        <v>0</v>
      </c>
      <c r="H59" s="75">
        <f ca="1">IF(AND($C59&lt;=3,$C59&lt;&gt;0),0,IF($C59=4,OFFSET(H59,-CFF.NumLinha,0)+1,OFFSET(H59,-CFF.NumLinha,0)))</f>
        <v>0</v>
      </c>
      <c r="I59" s="75">
        <f ca="1">MATCH(0,OFFSET($D59,1,$C59,ROW($A$114)-ROW($A59)),0)</f>
        <v>3</v>
      </c>
      <c r="J59" s="75" t="e">
        <f ca="1">MATCH(OFFSET($D59,0,$C59)+1,OFFSET($D59,1,$C59,ROW($A$114)-ROW($A59)),0)</f>
        <v>#N/A</v>
      </c>
      <c r="K59" s="76">
        <f ca="1">ROUND(INDEX(PO!U$11:U$367,MATCH($A59,PO!$W$11:$W$367,0)),2)+10^-12</f>
        <v>14625.280000000002</v>
      </c>
      <c r="L59" s="236"/>
      <c r="M59" s="238"/>
      <c r="N59" s="240"/>
      <c r="O59" s="93" t="s">
        <v>7</v>
      </c>
      <c r="P59" s="86">
        <f t="shared" ref="P59:W59" ca="1" si="97">IF($B59,ROUND(P58*$N57,2),ROUND(SUMIF(OFFSET($B59,1,0,$D59),TRUE,OFFSET(P59,1,0,$D59))/SUMIF(OFFSET($B59,1,0,$D59),TRUE,OFFSET($K59,1,0,$D59))*$N57,2))</f>
        <v>0</v>
      </c>
      <c r="Q59" s="63">
        <f t="shared" ca="1" si="97"/>
        <v>0</v>
      </c>
      <c r="R59" s="63">
        <f t="shared" ca="1" si="97"/>
        <v>0</v>
      </c>
      <c r="S59" s="63">
        <f t="shared" ca="1" si="97"/>
        <v>0</v>
      </c>
      <c r="T59" s="63">
        <f t="shared" ca="1" si="97"/>
        <v>14625.28</v>
      </c>
      <c r="U59" s="63">
        <f t="shared" ca="1" si="97"/>
        <v>14625.28</v>
      </c>
      <c r="V59" s="63">
        <f t="shared" ca="1" si="97"/>
        <v>14625.28</v>
      </c>
      <c r="W59" s="96">
        <f t="shared" ca="1" si="97"/>
        <v>14625.28</v>
      </c>
      <c r="X59" s="86">
        <f t="shared" ref="X59:AE59" ca="1" si="98">IF($B59,ROUND(X58*$N57,2),ROUND(SUMIF(OFFSET($B59,1,0,$D59),TRUE,OFFSET(X59,1,0,$D59))/SUMIF(OFFSET($B59,1,0,$D59),TRUE,OFFSET($K59,1,0,$D59))*$N57,2))</f>
        <v>14625.28</v>
      </c>
      <c r="Y59" s="63">
        <f t="shared" ca="1" si="98"/>
        <v>14625.28</v>
      </c>
      <c r="Z59" s="63">
        <f t="shared" ca="1" si="98"/>
        <v>14625.28</v>
      </c>
      <c r="AA59" s="63">
        <f t="shared" ca="1" si="98"/>
        <v>14625.28</v>
      </c>
      <c r="AB59" s="63">
        <f t="shared" ca="1" si="98"/>
        <v>14625.28</v>
      </c>
      <c r="AC59" s="63">
        <f t="shared" ca="1" si="98"/>
        <v>14625.28</v>
      </c>
      <c r="AD59" s="63">
        <f t="shared" ca="1" si="98"/>
        <v>14625.28</v>
      </c>
      <c r="AE59" s="96">
        <f t="shared" ca="1" si="98"/>
        <v>14625.28</v>
      </c>
      <c r="AF59" s="86">
        <f t="shared" ref="AF59:AM59" ca="1" si="99">IF($B59,ROUND(AF58*$N57,2),ROUND(SUMIF(OFFSET($B59,1,0,$D59),TRUE,OFFSET(AF59,1,0,$D59))/SUMIF(OFFSET($B59,1,0,$D59),TRUE,OFFSET($K59,1,0,$D59))*$N57,2))</f>
        <v>14625.28</v>
      </c>
      <c r="AG59" s="63">
        <f t="shared" ca="1" si="99"/>
        <v>14625.28</v>
      </c>
      <c r="AH59" s="63">
        <f t="shared" ca="1" si="99"/>
        <v>14625.28</v>
      </c>
      <c r="AI59" s="63">
        <f t="shared" ca="1" si="99"/>
        <v>14625.28</v>
      </c>
      <c r="AJ59" s="63">
        <f t="shared" ca="1" si="99"/>
        <v>14625.28</v>
      </c>
      <c r="AK59" s="63">
        <f t="shared" ca="1" si="99"/>
        <v>14625.28</v>
      </c>
      <c r="AL59" s="63">
        <f t="shared" ca="1" si="99"/>
        <v>14625.28</v>
      </c>
      <c r="AM59" s="96">
        <f t="shared" ca="1" si="99"/>
        <v>14625.28</v>
      </c>
      <c r="AN59" s="83"/>
    </row>
    <row r="60" spans="1:40" customFormat="1" ht="14.25" customHeight="1" x14ac:dyDescent="0.2">
      <c r="A60" s="1"/>
      <c r="B60" s="1"/>
      <c r="C60" s="1"/>
      <c r="D60" s="1"/>
      <c r="E60" s="1"/>
      <c r="F60" s="1"/>
      <c r="G60" s="1"/>
      <c r="H60" s="1"/>
      <c r="I60" s="1"/>
      <c r="J60" s="1"/>
      <c r="K60" s="1"/>
      <c r="L60" s="235" t="str">
        <f ca="1">INDEX(PO!K$11:K$367,MATCH($A62,PO!$W$11:$W$367,0))</f>
        <v>6.</v>
      </c>
      <c r="M60" s="237" t="str">
        <f ca="1">INDEX(PO!O$11:O$367,MATCH($A62,PO!$W$11:$W$367,0))</f>
        <v>6 MêS - EDUCAÇÃO AMBIENTAL E GESTÃO SOCIAL DA INTERVENÇÃO</v>
      </c>
      <c r="N60" s="239">
        <f ca="1">IF(ROUND(K62,2)=0,K62,ROUND(K62,2))</f>
        <v>33417.040000000001</v>
      </c>
      <c r="O60" s="91" t="s">
        <v>33</v>
      </c>
      <c r="P60" s="90">
        <f ca="1">IF($B62,0,P61-IF(ISNUMBER(O61),O61,0))</f>
        <v>0</v>
      </c>
      <c r="Q60" s="46">
        <f ca="1">IF($B62,0,Q61-IF(ISNUMBER(P61),P61,0))</f>
        <v>0</v>
      </c>
      <c r="R60" s="46">
        <f ca="1">IF($B62,0,R61-IF(ISNUMBER(Q61),Q61,0))</f>
        <v>0</v>
      </c>
      <c r="S60" s="46">
        <f ca="1">IF($B62,0,S61-IF(ISNUMBER(R61),R61,0))</f>
        <v>0</v>
      </c>
      <c r="T60" s="46">
        <v>1</v>
      </c>
      <c r="U60" s="46">
        <f t="shared" ref="U60:AA60" ca="1" si="100">IF($B62,0,U61-IF(ISNUMBER(T61),T61,0))</f>
        <v>1</v>
      </c>
      <c r="V60" s="46">
        <f t="shared" ca="1" si="100"/>
        <v>0</v>
      </c>
      <c r="W60" s="46">
        <f t="shared" ca="1" si="100"/>
        <v>0</v>
      </c>
      <c r="X60" s="90">
        <f t="shared" ca="1" si="100"/>
        <v>0</v>
      </c>
      <c r="Y60" s="46">
        <f t="shared" ca="1" si="100"/>
        <v>0</v>
      </c>
      <c r="Z60" s="46">
        <f t="shared" ca="1" si="100"/>
        <v>0</v>
      </c>
      <c r="AA60" s="46">
        <f t="shared" ca="1" si="100"/>
        <v>0</v>
      </c>
      <c r="AB60" s="46">
        <v>1</v>
      </c>
      <c r="AC60" s="46">
        <f t="shared" ref="AC60:AI60" ca="1" si="101">IF($B62,0,AC61-IF(ISNUMBER(AB61),AB61,0))</f>
        <v>0</v>
      </c>
      <c r="AD60" s="46">
        <f t="shared" ca="1" si="101"/>
        <v>0</v>
      </c>
      <c r="AE60" s="46">
        <f t="shared" ca="1" si="101"/>
        <v>0</v>
      </c>
      <c r="AF60" s="90">
        <f t="shared" ca="1" si="101"/>
        <v>0</v>
      </c>
      <c r="AG60" s="46">
        <f t="shared" ca="1" si="101"/>
        <v>0</v>
      </c>
      <c r="AH60" s="46">
        <f t="shared" ca="1" si="101"/>
        <v>0</v>
      </c>
      <c r="AI60" s="46">
        <f t="shared" ca="1" si="101"/>
        <v>0</v>
      </c>
      <c r="AJ60" s="46">
        <v>1</v>
      </c>
      <c r="AK60" s="46">
        <f ca="1">IF($B62,0,AK61-IF(ISNUMBER(AJ61),AJ61,0))</f>
        <v>0</v>
      </c>
      <c r="AL60" s="46">
        <f ca="1">IF($B62,0,AL61-IF(ISNUMBER(AK61),AK61,0))</f>
        <v>0</v>
      </c>
      <c r="AM60" s="46">
        <f ca="1">IF($B62,0,AM61-IF(ISNUMBER(AL61),AL61,0))</f>
        <v>0</v>
      </c>
      <c r="AN60" s="83"/>
    </row>
    <row r="61" spans="1:40" customFormat="1" ht="14.25" x14ac:dyDescent="0.2">
      <c r="A61" s="75"/>
      <c r="B61" s="75"/>
      <c r="C61" s="75"/>
      <c r="D61" s="75"/>
      <c r="E61" s="75"/>
      <c r="F61" s="75"/>
      <c r="G61" s="75"/>
      <c r="H61" s="75"/>
      <c r="I61" s="75"/>
      <c r="J61" s="75"/>
      <c r="K61" s="75"/>
      <c r="L61" s="236"/>
      <c r="M61" s="238"/>
      <c r="N61" s="240"/>
      <c r="O61" s="64" t="s">
        <v>35</v>
      </c>
      <c r="P61" s="85">
        <f t="shared" ref="P61:AM61" ca="1" si="102">MIN(IF($B62,P60+IF(ISNUMBER(O61),O61,0),P62/$N60),1)</f>
        <v>0</v>
      </c>
      <c r="Q61" s="62">
        <f t="shared" ca="1" si="102"/>
        <v>0</v>
      </c>
      <c r="R61" s="62">
        <f t="shared" ca="1" si="102"/>
        <v>0</v>
      </c>
      <c r="S61" s="62">
        <f t="shared" ca="1" si="102"/>
        <v>0</v>
      </c>
      <c r="T61" s="62">
        <f t="shared" ca="1" si="102"/>
        <v>0</v>
      </c>
      <c r="U61" s="62">
        <f t="shared" ca="1" si="102"/>
        <v>1</v>
      </c>
      <c r="V61" s="62">
        <f t="shared" ca="1" si="102"/>
        <v>1</v>
      </c>
      <c r="W61" s="62">
        <f t="shared" ca="1" si="102"/>
        <v>1</v>
      </c>
      <c r="X61" s="85">
        <f t="shared" ca="1" si="102"/>
        <v>1</v>
      </c>
      <c r="Y61" s="62">
        <f t="shared" ca="1" si="102"/>
        <v>1</v>
      </c>
      <c r="Z61" s="62">
        <f t="shared" ca="1" si="102"/>
        <v>1</v>
      </c>
      <c r="AA61" s="62">
        <f t="shared" ca="1" si="102"/>
        <v>1</v>
      </c>
      <c r="AB61" s="62">
        <f t="shared" ca="1" si="102"/>
        <v>1</v>
      </c>
      <c r="AC61" s="62">
        <f t="shared" ca="1" si="102"/>
        <v>1</v>
      </c>
      <c r="AD61" s="62">
        <f t="shared" ca="1" si="102"/>
        <v>1</v>
      </c>
      <c r="AE61" s="62">
        <f t="shared" ca="1" si="102"/>
        <v>1</v>
      </c>
      <c r="AF61" s="85">
        <f t="shared" ca="1" si="102"/>
        <v>1</v>
      </c>
      <c r="AG61" s="62">
        <f t="shared" ca="1" si="102"/>
        <v>1</v>
      </c>
      <c r="AH61" s="62">
        <f t="shared" ca="1" si="102"/>
        <v>1</v>
      </c>
      <c r="AI61" s="62">
        <f t="shared" ca="1" si="102"/>
        <v>1</v>
      </c>
      <c r="AJ61" s="62">
        <f t="shared" ca="1" si="102"/>
        <v>1</v>
      </c>
      <c r="AK61" s="62">
        <f t="shared" ca="1" si="102"/>
        <v>1</v>
      </c>
      <c r="AL61" s="62">
        <f t="shared" ca="1" si="102"/>
        <v>1</v>
      </c>
      <c r="AM61" s="62">
        <f t="shared" ca="1" si="102"/>
        <v>1</v>
      </c>
      <c r="AN61" s="83"/>
    </row>
    <row r="62" spans="1:40" customFormat="1" ht="14.25" x14ac:dyDescent="0.2">
      <c r="A62" s="75">
        <f ca="1">OFFSET(A62,-CFF.NumLinha,0)+1</f>
        <v>15</v>
      </c>
      <c r="B62" s="75" t="b">
        <f ca="1">$C62&gt;=OFFSET($C62,CFF.NumLinha,0)</f>
        <v>0</v>
      </c>
      <c r="C62" s="75">
        <f ca="1">INDEX(PO!A$11:A$367,MATCH($A62,PO!$W$11:$W$367,0))</f>
        <v>1</v>
      </c>
      <c r="D62" s="75">
        <f ca="1">IF(ISERROR(J62),I62,SMALL(I62:J62,1))-1</f>
        <v>8</v>
      </c>
      <c r="E62" s="75">
        <f ca="1">IF($C62=1,OFFSET(E62,-CFF.NumLinha,0)+1,OFFSET(E62,-CFF.NumLinha,0))</f>
        <v>6</v>
      </c>
      <c r="F62" s="75">
        <f ca="1">IF($C62=1,0,IF($C62=2,OFFSET(F62,-CFF.NumLinha,0)+1,OFFSET(F62,-CFF.NumLinha,0)))</f>
        <v>0</v>
      </c>
      <c r="G62" s="75">
        <f ca="1">IF(AND($C62&lt;=2,$C62&lt;&gt;0),0,IF($C62=3,OFFSET(G62,-CFF.NumLinha,0)+1,OFFSET(G62,-CFF.NumLinha,0)))</f>
        <v>0</v>
      </c>
      <c r="H62" s="75">
        <f ca="1">IF(AND($C62&lt;=3,$C62&lt;&gt;0),0,IF($C62=4,OFFSET(H62,-CFF.NumLinha,0)+1,OFFSET(H62,-CFF.NumLinha,0)))</f>
        <v>0</v>
      </c>
      <c r="I62" s="75">
        <f ca="1">MATCH(0,OFFSET($D62,1,$C62,ROW($A$114)-ROW($A62)),0)</f>
        <v>52</v>
      </c>
      <c r="J62" s="75">
        <f ca="1">MATCH(OFFSET($D62,0,$C62)+1,OFFSET($D62,1,$C62,ROW($A$114)-ROW($A62)),0)</f>
        <v>9</v>
      </c>
      <c r="K62" s="76">
        <f ca="1">ROUND(INDEX(PO!U$11:U$367,MATCH($A62,PO!$W$11:$W$367,0)),2)+10^-12</f>
        <v>33417.040000000001</v>
      </c>
      <c r="L62" s="236"/>
      <c r="M62" s="238"/>
      <c r="N62" s="240"/>
      <c r="O62" s="93" t="s">
        <v>7</v>
      </c>
      <c r="P62" s="86">
        <f t="shared" ref="P62:W62" ca="1" si="103">IF($B62,ROUND(P61*$N60,2),ROUND(SUMIF(OFFSET($B62,1,0,$D62),TRUE,OFFSET(P62,1,0,$D62))/SUMIF(OFFSET($B62,1,0,$D62),TRUE,OFFSET($K62,1,0,$D62))*$N60,2))</f>
        <v>0</v>
      </c>
      <c r="Q62" s="63">
        <f t="shared" ca="1" si="103"/>
        <v>0</v>
      </c>
      <c r="R62" s="63">
        <f t="shared" ca="1" si="103"/>
        <v>0</v>
      </c>
      <c r="S62" s="63">
        <f t="shared" ca="1" si="103"/>
        <v>0</v>
      </c>
      <c r="T62" s="63">
        <f t="shared" ca="1" si="103"/>
        <v>0</v>
      </c>
      <c r="U62" s="63">
        <f t="shared" ca="1" si="103"/>
        <v>33417.040000000001</v>
      </c>
      <c r="V62" s="63">
        <f t="shared" ca="1" si="103"/>
        <v>33417.040000000001</v>
      </c>
      <c r="W62" s="96">
        <f t="shared" ca="1" si="103"/>
        <v>33417.040000000001</v>
      </c>
      <c r="X62" s="86">
        <f t="shared" ref="X62:AE62" ca="1" si="104">IF($B62,ROUND(X61*$N60,2),ROUND(SUMIF(OFFSET($B62,1,0,$D62),TRUE,OFFSET(X62,1,0,$D62))/SUMIF(OFFSET($B62,1,0,$D62),TRUE,OFFSET($K62,1,0,$D62))*$N60,2))</f>
        <v>33417.040000000001</v>
      </c>
      <c r="Y62" s="63">
        <f t="shared" ca="1" si="104"/>
        <v>33417.040000000001</v>
      </c>
      <c r="Z62" s="63">
        <f t="shared" ca="1" si="104"/>
        <v>33417.040000000001</v>
      </c>
      <c r="AA62" s="63">
        <f t="shared" ca="1" si="104"/>
        <v>33417.040000000001</v>
      </c>
      <c r="AB62" s="63">
        <f t="shared" ca="1" si="104"/>
        <v>33417.040000000001</v>
      </c>
      <c r="AC62" s="63">
        <f t="shared" ca="1" si="104"/>
        <v>33417.040000000001</v>
      </c>
      <c r="AD62" s="63">
        <f t="shared" ca="1" si="104"/>
        <v>33417.040000000001</v>
      </c>
      <c r="AE62" s="96">
        <f t="shared" ca="1" si="104"/>
        <v>33417.040000000001</v>
      </c>
      <c r="AF62" s="86">
        <f t="shared" ref="AF62:AM62" ca="1" si="105">IF($B62,ROUND(AF61*$N60,2),ROUND(SUMIF(OFFSET($B62,1,0,$D62),TRUE,OFFSET(AF62,1,0,$D62))/SUMIF(OFFSET($B62,1,0,$D62),TRUE,OFFSET($K62,1,0,$D62))*$N60,2))</f>
        <v>33417.040000000001</v>
      </c>
      <c r="AG62" s="63">
        <f t="shared" ca="1" si="105"/>
        <v>33417.040000000001</v>
      </c>
      <c r="AH62" s="63">
        <f t="shared" ca="1" si="105"/>
        <v>33417.040000000001</v>
      </c>
      <c r="AI62" s="63">
        <f t="shared" ca="1" si="105"/>
        <v>33417.040000000001</v>
      </c>
      <c r="AJ62" s="63">
        <f t="shared" ca="1" si="105"/>
        <v>33417.040000000001</v>
      </c>
      <c r="AK62" s="63">
        <f t="shared" ca="1" si="105"/>
        <v>33417.040000000001</v>
      </c>
      <c r="AL62" s="63">
        <f t="shared" ca="1" si="105"/>
        <v>33417.040000000001</v>
      </c>
      <c r="AM62" s="96">
        <f t="shared" ca="1" si="105"/>
        <v>33417.040000000001</v>
      </c>
      <c r="AN62" s="83"/>
    </row>
    <row r="63" spans="1:40" customFormat="1" ht="14.25" customHeight="1" x14ac:dyDescent="0.2">
      <c r="A63" s="1"/>
      <c r="B63" s="1"/>
      <c r="C63" s="1"/>
      <c r="D63" s="1"/>
      <c r="E63" s="1"/>
      <c r="F63" s="1"/>
      <c r="G63" s="1"/>
      <c r="H63" s="1"/>
      <c r="I63" s="1"/>
      <c r="J63" s="1"/>
      <c r="K63" s="1"/>
      <c r="L63" s="235" t="str">
        <f ca="1">INDEX(PO!K$11:K$367,MATCH($A65,PO!$W$11:$W$367,0))</f>
        <v>6.1.</v>
      </c>
      <c r="M63" s="237" t="str">
        <f ca="1">INDEX(PO!O$11:O$367,MATCH($A65,PO!$W$11:$W$367,0))</f>
        <v>ATIVIDADE 10 - GINCANA EDUCATIVA SOBRE MEIO AMBIENTE - SANTA MARIA</v>
      </c>
      <c r="N63" s="239">
        <f ca="1">IF(ROUND(K65,2)=0,K65,ROUND(K65,2))</f>
        <v>16518.86</v>
      </c>
      <c r="O63" s="91" t="s">
        <v>33</v>
      </c>
      <c r="P63" s="90">
        <f ca="1">IF($B65,0,P64-IF(ISNUMBER(O64),O64,0))</f>
        <v>0</v>
      </c>
      <c r="Q63" s="46">
        <f ca="1">IF($B65,0,Q64-IF(ISNUMBER(P64),P64,0))</f>
        <v>0</v>
      </c>
      <c r="R63" s="46">
        <f ca="1">IF($B65,0,R64-IF(ISNUMBER(Q64),Q64,0))</f>
        <v>0</v>
      </c>
      <c r="S63" s="46">
        <f ca="1">IF($B65,0,S64-IF(ISNUMBER(R64),R64,0))</f>
        <v>0</v>
      </c>
      <c r="T63" s="46">
        <f ca="1">IF($B65,0,T64-IF(ISNUMBER(S64),S64,0))</f>
        <v>0</v>
      </c>
      <c r="U63" s="46">
        <v>1</v>
      </c>
      <c r="V63" s="46">
        <f t="shared" ref="V63:AM63" ca="1" si="106">IF($B65,0,V64-IF(ISNUMBER(U64),U64,0))</f>
        <v>0</v>
      </c>
      <c r="W63" s="46">
        <f t="shared" ca="1" si="106"/>
        <v>0</v>
      </c>
      <c r="X63" s="90">
        <f t="shared" ca="1" si="106"/>
        <v>0</v>
      </c>
      <c r="Y63" s="46">
        <f t="shared" ca="1" si="106"/>
        <v>0</v>
      </c>
      <c r="Z63" s="46">
        <f t="shared" ca="1" si="106"/>
        <v>0</v>
      </c>
      <c r="AA63" s="46">
        <f t="shared" ca="1" si="106"/>
        <v>0</v>
      </c>
      <c r="AB63" s="46">
        <f t="shared" ca="1" si="106"/>
        <v>0</v>
      </c>
      <c r="AC63" s="46">
        <f t="shared" ca="1" si="106"/>
        <v>0</v>
      </c>
      <c r="AD63" s="46">
        <f t="shared" ca="1" si="106"/>
        <v>0</v>
      </c>
      <c r="AE63" s="46">
        <f t="shared" ca="1" si="106"/>
        <v>0</v>
      </c>
      <c r="AF63" s="90">
        <f t="shared" ca="1" si="106"/>
        <v>0</v>
      </c>
      <c r="AG63" s="46">
        <f t="shared" ca="1" si="106"/>
        <v>0</v>
      </c>
      <c r="AH63" s="46">
        <f t="shared" ca="1" si="106"/>
        <v>0</v>
      </c>
      <c r="AI63" s="46">
        <f t="shared" ca="1" si="106"/>
        <v>0</v>
      </c>
      <c r="AJ63" s="46">
        <f t="shared" ca="1" si="106"/>
        <v>0</v>
      </c>
      <c r="AK63" s="46">
        <f t="shared" ca="1" si="106"/>
        <v>0</v>
      </c>
      <c r="AL63" s="46">
        <f t="shared" ca="1" si="106"/>
        <v>0</v>
      </c>
      <c r="AM63" s="46">
        <f t="shared" ca="1" si="106"/>
        <v>0</v>
      </c>
      <c r="AN63" s="83"/>
    </row>
    <row r="64" spans="1:40" customFormat="1" ht="14.25" x14ac:dyDescent="0.2">
      <c r="A64" s="75"/>
      <c r="B64" s="75"/>
      <c r="C64" s="75"/>
      <c r="D64" s="75"/>
      <c r="E64" s="75"/>
      <c r="F64" s="75"/>
      <c r="G64" s="75"/>
      <c r="H64" s="75"/>
      <c r="I64" s="75"/>
      <c r="J64" s="75"/>
      <c r="K64" s="75"/>
      <c r="L64" s="236"/>
      <c r="M64" s="238"/>
      <c r="N64" s="240"/>
      <c r="O64" s="64" t="s">
        <v>35</v>
      </c>
      <c r="P64" s="85">
        <f t="shared" ref="P64:AM64" ca="1" si="107">MIN(IF($B65,P63+IF(ISNUMBER(O64),O64,0),P65/$N63),1)</f>
        <v>0</v>
      </c>
      <c r="Q64" s="62">
        <f t="shared" ca="1" si="107"/>
        <v>0</v>
      </c>
      <c r="R64" s="62">
        <f t="shared" ca="1" si="107"/>
        <v>0</v>
      </c>
      <c r="S64" s="62">
        <f t="shared" ca="1" si="107"/>
        <v>0</v>
      </c>
      <c r="T64" s="62">
        <f t="shared" ca="1" si="107"/>
        <v>0</v>
      </c>
      <c r="U64" s="62">
        <f t="shared" ca="1" si="107"/>
        <v>1</v>
      </c>
      <c r="V64" s="62">
        <f t="shared" ca="1" si="107"/>
        <v>1</v>
      </c>
      <c r="W64" s="62">
        <f t="shared" ca="1" si="107"/>
        <v>1</v>
      </c>
      <c r="X64" s="85">
        <f t="shared" ca="1" si="107"/>
        <v>1</v>
      </c>
      <c r="Y64" s="62">
        <f t="shared" ca="1" si="107"/>
        <v>1</v>
      </c>
      <c r="Z64" s="62">
        <f t="shared" ca="1" si="107"/>
        <v>1</v>
      </c>
      <c r="AA64" s="62">
        <f t="shared" ca="1" si="107"/>
        <v>1</v>
      </c>
      <c r="AB64" s="62">
        <f t="shared" ca="1" si="107"/>
        <v>1</v>
      </c>
      <c r="AC64" s="62">
        <f t="shared" ca="1" si="107"/>
        <v>1</v>
      </c>
      <c r="AD64" s="62">
        <f t="shared" ca="1" si="107"/>
        <v>1</v>
      </c>
      <c r="AE64" s="62">
        <f t="shared" ca="1" si="107"/>
        <v>1</v>
      </c>
      <c r="AF64" s="85">
        <f t="shared" ca="1" si="107"/>
        <v>1</v>
      </c>
      <c r="AG64" s="62">
        <f t="shared" ca="1" si="107"/>
        <v>1</v>
      </c>
      <c r="AH64" s="62">
        <f t="shared" ca="1" si="107"/>
        <v>1</v>
      </c>
      <c r="AI64" s="62">
        <f t="shared" ca="1" si="107"/>
        <v>1</v>
      </c>
      <c r="AJ64" s="62">
        <f t="shared" ca="1" si="107"/>
        <v>1</v>
      </c>
      <c r="AK64" s="62">
        <f t="shared" ca="1" si="107"/>
        <v>1</v>
      </c>
      <c r="AL64" s="62">
        <f t="shared" ca="1" si="107"/>
        <v>1</v>
      </c>
      <c r="AM64" s="62">
        <f t="shared" ca="1" si="107"/>
        <v>1</v>
      </c>
      <c r="AN64" s="83"/>
    </row>
    <row r="65" spans="1:40" customFormat="1" ht="14.25" x14ac:dyDescent="0.2">
      <c r="A65" s="75">
        <f ca="1">OFFSET(A65,-CFF.NumLinha,0)+1</f>
        <v>16</v>
      </c>
      <c r="B65" s="75" t="b">
        <f ca="1">$C65&gt;=OFFSET($C65,CFF.NumLinha,0)</f>
        <v>1</v>
      </c>
      <c r="C65" s="75">
        <f ca="1">INDEX(PO!A$11:A$367,MATCH($A65,PO!$W$11:$W$367,0))</f>
        <v>2</v>
      </c>
      <c r="D65" s="75">
        <f ca="1">IF(ISERROR(J65),I65,SMALL(I65:J65,1))-1</f>
        <v>2</v>
      </c>
      <c r="E65" s="75">
        <f ca="1">IF($C65=1,OFFSET(E65,-CFF.NumLinha,0)+1,OFFSET(E65,-CFF.NumLinha,0))</f>
        <v>6</v>
      </c>
      <c r="F65" s="75">
        <f ca="1">IF($C65=1,0,IF($C65=2,OFFSET(F65,-CFF.NumLinha,0)+1,OFFSET(F65,-CFF.NumLinha,0)))</f>
        <v>1</v>
      </c>
      <c r="G65" s="75">
        <f ca="1">IF(AND($C65&lt;=2,$C65&lt;&gt;0),0,IF($C65=3,OFFSET(G65,-CFF.NumLinha,0)+1,OFFSET(G65,-CFF.NumLinha,0)))</f>
        <v>0</v>
      </c>
      <c r="H65" s="75">
        <f ca="1">IF(AND($C65&lt;=3,$C65&lt;&gt;0),0,IF($C65=4,OFFSET(H65,-CFF.NumLinha,0)+1,OFFSET(H65,-CFF.NumLinha,0)))</f>
        <v>0</v>
      </c>
      <c r="I65" s="75">
        <f ca="1">MATCH(0,OFFSET($D65,1,$C65,ROW($A$114)-ROW($A65)),0)</f>
        <v>6</v>
      </c>
      <c r="J65" s="75">
        <f ca="1">MATCH(OFFSET($D65,0,$C65)+1,OFFSET($D65,1,$C65,ROW($A$114)-ROW($A65)),0)</f>
        <v>3</v>
      </c>
      <c r="K65" s="76">
        <f ca="1">ROUND(INDEX(PO!U$11:U$367,MATCH($A65,PO!$W$11:$W$367,0)),2)+10^-12</f>
        <v>16518.86</v>
      </c>
      <c r="L65" s="236"/>
      <c r="M65" s="238"/>
      <c r="N65" s="240"/>
      <c r="O65" s="93" t="s">
        <v>7</v>
      </c>
      <c r="P65" s="86">
        <f t="shared" ref="P65:W65" ca="1" si="108">IF($B65,ROUND(P64*$N63,2),ROUND(SUMIF(OFFSET($B65,1,0,$D65),TRUE,OFFSET(P65,1,0,$D65))/SUMIF(OFFSET($B65,1,0,$D65),TRUE,OFFSET($K65,1,0,$D65))*$N63,2))</f>
        <v>0</v>
      </c>
      <c r="Q65" s="63">
        <f t="shared" ca="1" si="108"/>
        <v>0</v>
      </c>
      <c r="R65" s="63">
        <f t="shared" ca="1" si="108"/>
        <v>0</v>
      </c>
      <c r="S65" s="63">
        <f t="shared" ca="1" si="108"/>
        <v>0</v>
      </c>
      <c r="T65" s="63">
        <f t="shared" ca="1" si="108"/>
        <v>0</v>
      </c>
      <c r="U65" s="63">
        <f t="shared" ca="1" si="108"/>
        <v>16518.86</v>
      </c>
      <c r="V65" s="63">
        <f t="shared" ca="1" si="108"/>
        <v>16518.86</v>
      </c>
      <c r="W65" s="96">
        <f t="shared" ca="1" si="108"/>
        <v>16518.86</v>
      </c>
      <c r="X65" s="86">
        <f t="shared" ref="X65:AE65" ca="1" si="109">IF($B65,ROUND(X64*$N63,2),ROUND(SUMIF(OFFSET($B65,1,0,$D65),TRUE,OFFSET(X65,1,0,$D65))/SUMIF(OFFSET($B65,1,0,$D65),TRUE,OFFSET($K65,1,0,$D65))*$N63,2))</f>
        <v>16518.86</v>
      </c>
      <c r="Y65" s="63">
        <f t="shared" ca="1" si="109"/>
        <v>16518.86</v>
      </c>
      <c r="Z65" s="63">
        <f t="shared" ca="1" si="109"/>
        <v>16518.86</v>
      </c>
      <c r="AA65" s="63">
        <f t="shared" ca="1" si="109"/>
        <v>16518.86</v>
      </c>
      <c r="AB65" s="63">
        <f t="shared" ca="1" si="109"/>
        <v>16518.86</v>
      </c>
      <c r="AC65" s="63">
        <f t="shared" ca="1" si="109"/>
        <v>16518.86</v>
      </c>
      <c r="AD65" s="63">
        <f t="shared" ca="1" si="109"/>
        <v>16518.86</v>
      </c>
      <c r="AE65" s="96">
        <f t="shared" ca="1" si="109"/>
        <v>16518.86</v>
      </c>
      <c r="AF65" s="86">
        <f t="shared" ref="AF65:AM65" ca="1" si="110">IF($B65,ROUND(AF64*$N63,2),ROUND(SUMIF(OFFSET($B65,1,0,$D65),TRUE,OFFSET(AF65,1,0,$D65))/SUMIF(OFFSET($B65,1,0,$D65),TRUE,OFFSET($K65,1,0,$D65))*$N63,2))</f>
        <v>16518.86</v>
      </c>
      <c r="AG65" s="63">
        <f t="shared" ca="1" si="110"/>
        <v>16518.86</v>
      </c>
      <c r="AH65" s="63">
        <f t="shared" ca="1" si="110"/>
        <v>16518.86</v>
      </c>
      <c r="AI65" s="63">
        <f t="shared" ca="1" si="110"/>
        <v>16518.86</v>
      </c>
      <c r="AJ65" s="63">
        <f t="shared" ca="1" si="110"/>
        <v>16518.86</v>
      </c>
      <c r="AK65" s="63">
        <f t="shared" ca="1" si="110"/>
        <v>16518.86</v>
      </c>
      <c r="AL65" s="63">
        <f t="shared" ca="1" si="110"/>
        <v>16518.86</v>
      </c>
      <c r="AM65" s="96">
        <f t="shared" ca="1" si="110"/>
        <v>16518.86</v>
      </c>
      <c r="AN65" s="83"/>
    </row>
    <row r="66" spans="1:40" customFormat="1" ht="14.25" customHeight="1" x14ac:dyDescent="0.2">
      <c r="A66" s="1"/>
      <c r="B66" s="1"/>
      <c r="C66" s="1"/>
      <c r="D66" s="1"/>
      <c r="E66" s="1"/>
      <c r="F66" s="1"/>
      <c r="G66" s="1"/>
      <c r="H66" s="1"/>
      <c r="I66" s="1"/>
      <c r="J66" s="1"/>
      <c r="K66" s="1"/>
      <c r="L66" s="235" t="str">
        <f ca="1">INDEX(PO!K$11:K$367,MATCH($A68,PO!$W$11:$W$367,0))</f>
        <v>6.2.</v>
      </c>
      <c r="M66" s="237" t="str">
        <f ca="1">INDEX(PO!O$11:O$367,MATCH($A68,PO!$W$11:$W$367,0))</f>
        <v>ATIVIDADE 11 - VISITAS INFORMATIVAS - SANTA MARIA</v>
      </c>
      <c r="N66" s="239">
        <f ca="1">IF(ROUND(K68,2)=0,K68,ROUND(K68,2))</f>
        <v>16898.18</v>
      </c>
      <c r="O66" s="91" t="s">
        <v>33</v>
      </c>
      <c r="P66" s="90">
        <f ca="1">IF($B68,0,P67-IF(ISNUMBER(O67),O67,0))</f>
        <v>0</v>
      </c>
      <c r="Q66" s="46">
        <f ca="1">IF($B68,0,Q67-IF(ISNUMBER(P67),P67,0))</f>
        <v>0</v>
      </c>
      <c r="R66" s="46">
        <f ca="1">IF($B68,0,R67-IF(ISNUMBER(Q67),Q67,0))</f>
        <v>0</v>
      </c>
      <c r="S66" s="46">
        <f ca="1">IF($B68,0,S67-IF(ISNUMBER(R67),R67,0))</f>
        <v>0</v>
      </c>
      <c r="T66" s="46">
        <f ca="1">IF($B68,0,T67-IF(ISNUMBER(S67),S67,0))</f>
        <v>0</v>
      </c>
      <c r="U66" s="46">
        <v>1</v>
      </c>
      <c r="V66" s="46">
        <f t="shared" ref="V66:AB66" ca="1" si="111">IF($B68,0,V67-IF(ISNUMBER(U67),U67,0))</f>
        <v>0</v>
      </c>
      <c r="W66" s="46">
        <f t="shared" ca="1" si="111"/>
        <v>0</v>
      </c>
      <c r="X66" s="90">
        <f t="shared" ca="1" si="111"/>
        <v>0</v>
      </c>
      <c r="Y66" s="46">
        <f t="shared" ca="1" si="111"/>
        <v>0</v>
      </c>
      <c r="Z66" s="46">
        <f t="shared" ca="1" si="111"/>
        <v>0</v>
      </c>
      <c r="AA66" s="46">
        <f t="shared" ca="1" si="111"/>
        <v>0</v>
      </c>
      <c r="AB66" s="46">
        <f t="shared" ca="1" si="111"/>
        <v>0</v>
      </c>
      <c r="AC66" s="46">
        <v>1</v>
      </c>
      <c r="AD66" s="46">
        <f t="shared" ref="AD66:AJ66" ca="1" si="112">IF($B68,0,AD67-IF(ISNUMBER(AC67),AC67,0))</f>
        <v>0</v>
      </c>
      <c r="AE66" s="46">
        <f t="shared" ca="1" si="112"/>
        <v>0</v>
      </c>
      <c r="AF66" s="90">
        <f t="shared" ca="1" si="112"/>
        <v>0</v>
      </c>
      <c r="AG66" s="46">
        <f t="shared" ca="1" si="112"/>
        <v>0</v>
      </c>
      <c r="AH66" s="46">
        <f t="shared" ca="1" si="112"/>
        <v>0</v>
      </c>
      <c r="AI66" s="46">
        <f t="shared" ca="1" si="112"/>
        <v>0</v>
      </c>
      <c r="AJ66" s="46">
        <f t="shared" ca="1" si="112"/>
        <v>0</v>
      </c>
      <c r="AK66" s="46">
        <v>1</v>
      </c>
      <c r="AL66" s="46">
        <f ca="1">IF($B68,0,AL67-IF(ISNUMBER(AK67),AK67,0))</f>
        <v>0</v>
      </c>
      <c r="AM66" s="46">
        <f ca="1">IF($B68,0,AM67-IF(ISNUMBER(AL67),AL67,0))</f>
        <v>0</v>
      </c>
      <c r="AN66" s="83"/>
    </row>
    <row r="67" spans="1:40" customFormat="1" ht="14.25" x14ac:dyDescent="0.2">
      <c r="A67" s="75"/>
      <c r="B67" s="75"/>
      <c r="C67" s="75"/>
      <c r="D67" s="75"/>
      <c r="E67" s="75"/>
      <c r="F67" s="75"/>
      <c r="G67" s="75"/>
      <c r="H67" s="75"/>
      <c r="I67" s="75"/>
      <c r="J67" s="75"/>
      <c r="K67" s="75"/>
      <c r="L67" s="236"/>
      <c r="M67" s="238"/>
      <c r="N67" s="240"/>
      <c r="O67" s="64" t="s">
        <v>35</v>
      </c>
      <c r="P67" s="85">
        <f t="shared" ref="P67:AM67" ca="1" si="113">MIN(IF($B68,P66+IF(ISNUMBER(O67),O67,0),P68/$N66),1)</f>
        <v>0</v>
      </c>
      <c r="Q67" s="62">
        <f t="shared" ca="1" si="113"/>
        <v>0</v>
      </c>
      <c r="R67" s="62">
        <f t="shared" ca="1" si="113"/>
        <v>0</v>
      </c>
      <c r="S67" s="62">
        <f t="shared" ca="1" si="113"/>
        <v>0</v>
      </c>
      <c r="T67" s="62">
        <f t="shared" ca="1" si="113"/>
        <v>0</v>
      </c>
      <c r="U67" s="62">
        <f t="shared" ca="1" si="113"/>
        <v>1</v>
      </c>
      <c r="V67" s="62">
        <f t="shared" ca="1" si="113"/>
        <v>1</v>
      </c>
      <c r="W67" s="62">
        <f t="shared" ca="1" si="113"/>
        <v>1</v>
      </c>
      <c r="X67" s="85">
        <f t="shared" ca="1" si="113"/>
        <v>1</v>
      </c>
      <c r="Y67" s="62">
        <f t="shared" ca="1" si="113"/>
        <v>1</v>
      </c>
      <c r="Z67" s="62">
        <f t="shared" ca="1" si="113"/>
        <v>1</v>
      </c>
      <c r="AA67" s="62">
        <f t="shared" ca="1" si="113"/>
        <v>1</v>
      </c>
      <c r="AB67" s="62">
        <f t="shared" ca="1" si="113"/>
        <v>1</v>
      </c>
      <c r="AC67" s="62">
        <f t="shared" ca="1" si="113"/>
        <v>1</v>
      </c>
      <c r="AD67" s="62">
        <f t="shared" ca="1" si="113"/>
        <v>1</v>
      </c>
      <c r="AE67" s="62">
        <f t="shared" ca="1" si="113"/>
        <v>1</v>
      </c>
      <c r="AF67" s="85">
        <f t="shared" ca="1" si="113"/>
        <v>1</v>
      </c>
      <c r="AG67" s="62">
        <f t="shared" ca="1" si="113"/>
        <v>1</v>
      </c>
      <c r="AH67" s="62">
        <f t="shared" ca="1" si="113"/>
        <v>1</v>
      </c>
      <c r="AI67" s="62">
        <f t="shared" ca="1" si="113"/>
        <v>1</v>
      </c>
      <c r="AJ67" s="62">
        <f t="shared" ca="1" si="113"/>
        <v>1</v>
      </c>
      <c r="AK67" s="62">
        <f t="shared" ca="1" si="113"/>
        <v>1</v>
      </c>
      <c r="AL67" s="62">
        <f t="shared" ca="1" si="113"/>
        <v>1</v>
      </c>
      <c r="AM67" s="62">
        <f t="shared" ca="1" si="113"/>
        <v>1</v>
      </c>
      <c r="AN67" s="83"/>
    </row>
    <row r="68" spans="1:40" customFormat="1" ht="14.25" x14ac:dyDescent="0.2">
      <c r="A68" s="75">
        <f ca="1">OFFSET(A68,-CFF.NumLinha,0)+1</f>
        <v>17</v>
      </c>
      <c r="B68" s="75" t="b">
        <f ca="1">$C68&gt;=OFFSET($C68,CFF.NumLinha,0)</f>
        <v>1</v>
      </c>
      <c r="C68" s="75">
        <f ca="1">INDEX(PO!A$11:A$367,MATCH($A68,PO!$W$11:$W$367,0))</f>
        <v>2</v>
      </c>
      <c r="D68" s="75">
        <f ca="1">IF(ISERROR(J68),I68,SMALL(I68:J68,1))-1</f>
        <v>2</v>
      </c>
      <c r="E68" s="75">
        <f ca="1">IF($C68=1,OFFSET(E68,-CFF.NumLinha,0)+1,OFFSET(E68,-CFF.NumLinha,0))</f>
        <v>6</v>
      </c>
      <c r="F68" s="75">
        <f ca="1">IF($C68=1,0,IF($C68=2,OFFSET(F68,-CFF.NumLinha,0)+1,OFFSET(F68,-CFF.NumLinha,0)))</f>
        <v>2</v>
      </c>
      <c r="G68" s="75">
        <f ca="1">IF(AND($C68&lt;=2,$C68&lt;&gt;0),0,IF($C68=3,OFFSET(G68,-CFF.NumLinha,0)+1,OFFSET(G68,-CFF.NumLinha,0)))</f>
        <v>0</v>
      </c>
      <c r="H68" s="75">
        <f ca="1">IF(AND($C68&lt;=3,$C68&lt;&gt;0),0,IF($C68=4,OFFSET(H68,-CFF.NumLinha,0)+1,OFFSET(H68,-CFF.NumLinha,0)))</f>
        <v>0</v>
      </c>
      <c r="I68" s="75">
        <f ca="1">MATCH(0,OFFSET($D68,1,$C68,ROW($A$114)-ROW($A68)),0)</f>
        <v>3</v>
      </c>
      <c r="J68" s="75" t="e">
        <f ca="1">MATCH(OFFSET($D68,0,$C68)+1,OFFSET($D68,1,$C68,ROW($A$114)-ROW($A68)),0)</f>
        <v>#N/A</v>
      </c>
      <c r="K68" s="76">
        <f ca="1">ROUND(INDEX(PO!U$11:U$367,MATCH($A68,PO!$W$11:$W$367,0)),2)+10^-12</f>
        <v>16898.18</v>
      </c>
      <c r="L68" s="236"/>
      <c r="M68" s="238"/>
      <c r="N68" s="240"/>
      <c r="O68" s="93" t="s">
        <v>7</v>
      </c>
      <c r="P68" s="86">
        <f t="shared" ref="P68:W68" ca="1" si="114">IF($B68,ROUND(P67*$N66,2),ROUND(SUMIF(OFFSET($B68,1,0,$D68),TRUE,OFFSET(P68,1,0,$D68))/SUMIF(OFFSET($B68,1,0,$D68),TRUE,OFFSET($K68,1,0,$D68))*$N66,2))</f>
        <v>0</v>
      </c>
      <c r="Q68" s="63">
        <f t="shared" ca="1" si="114"/>
        <v>0</v>
      </c>
      <c r="R68" s="63">
        <f t="shared" ca="1" si="114"/>
        <v>0</v>
      </c>
      <c r="S68" s="63">
        <f t="shared" ca="1" si="114"/>
        <v>0</v>
      </c>
      <c r="T68" s="63">
        <f t="shared" ca="1" si="114"/>
        <v>0</v>
      </c>
      <c r="U68" s="63">
        <f t="shared" ca="1" si="114"/>
        <v>16898.18</v>
      </c>
      <c r="V68" s="63">
        <f t="shared" ca="1" si="114"/>
        <v>16898.18</v>
      </c>
      <c r="W68" s="96">
        <f t="shared" ca="1" si="114"/>
        <v>16898.18</v>
      </c>
      <c r="X68" s="86">
        <f t="shared" ref="X68:AE68" ca="1" si="115">IF($B68,ROUND(X67*$N66,2),ROUND(SUMIF(OFFSET($B68,1,0,$D68),TRUE,OFFSET(X68,1,0,$D68))/SUMIF(OFFSET($B68,1,0,$D68),TRUE,OFFSET($K68,1,0,$D68))*$N66,2))</f>
        <v>16898.18</v>
      </c>
      <c r="Y68" s="63">
        <f t="shared" ca="1" si="115"/>
        <v>16898.18</v>
      </c>
      <c r="Z68" s="63">
        <f t="shared" ca="1" si="115"/>
        <v>16898.18</v>
      </c>
      <c r="AA68" s="63">
        <f t="shared" ca="1" si="115"/>
        <v>16898.18</v>
      </c>
      <c r="AB68" s="63">
        <f t="shared" ca="1" si="115"/>
        <v>16898.18</v>
      </c>
      <c r="AC68" s="63">
        <f t="shared" ca="1" si="115"/>
        <v>16898.18</v>
      </c>
      <c r="AD68" s="63">
        <f t="shared" ca="1" si="115"/>
        <v>16898.18</v>
      </c>
      <c r="AE68" s="96">
        <f t="shared" ca="1" si="115"/>
        <v>16898.18</v>
      </c>
      <c r="AF68" s="86">
        <f t="shared" ref="AF68:AM68" ca="1" si="116">IF($B68,ROUND(AF67*$N66,2),ROUND(SUMIF(OFFSET($B68,1,0,$D68),TRUE,OFFSET(AF68,1,0,$D68))/SUMIF(OFFSET($B68,1,0,$D68),TRUE,OFFSET($K68,1,0,$D68))*$N66,2))</f>
        <v>16898.18</v>
      </c>
      <c r="AG68" s="63">
        <f t="shared" ca="1" si="116"/>
        <v>16898.18</v>
      </c>
      <c r="AH68" s="63">
        <f t="shared" ca="1" si="116"/>
        <v>16898.18</v>
      </c>
      <c r="AI68" s="63">
        <f t="shared" ca="1" si="116"/>
        <v>16898.18</v>
      </c>
      <c r="AJ68" s="63">
        <f t="shared" ca="1" si="116"/>
        <v>16898.18</v>
      </c>
      <c r="AK68" s="63">
        <f t="shared" ca="1" si="116"/>
        <v>16898.18</v>
      </c>
      <c r="AL68" s="63">
        <f t="shared" ca="1" si="116"/>
        <v>16898.18</v>
      </c>
      <c r="AM68" s="96">
        <f t="shared" ca="1" si="116"/>
        <v>16898.18</v>
      </c>
      <c r="AN68" s="83"/>
    </row>
    <row r="69" spans="1:40" customFormat="1" ht="14.25" customHeight="1" x14ac:dyDescent="0.2">
      <c r="A69" s="1"/>
      <c r="B69" s="1"/>
      <c r="C69" s="1"/>
      <c r="D69" s="1"/>
      <c r="E69" s="1"/>
      <c r="F69" s="1"/>
      <c r="G69" s="1"/>
      <c r="H69" s="1"/>
      <c r="I69" s="1"/>
      <c r="J69" s="1"/>
      <c r="K69" s="1"/>
      <c r="L69" s="235" t="str">
        <f ca="1">INDEX(PO!K$11:K$367,MATCH($A71,PO!$W$11:$W$367,0))</f>
        <v>7.</v>
      </c>
      <c r="M69" s="237" t="str">
        <f ca="1">INDEX(PO!O$11:O$367,MATCH($A71,PO!$W$11:$W$367,0))</f>
        <v>7 MES - DESENVOLVIMENTO SOCIOECONOMICO E MOBILIZAÇÃO, ORGANIZAÇÃO E FORTALECIMENTO SOCIAL</v>
      </c>
      <c r="N69" s="239">
        <f ca="1">IF(ROUND(K71,2)=0,K71,ROUND(K71,2))</f>
        <v>27405.42</v>
      </c>
      <c r="O69" s="91" t="s">
        <v>33</v>
      </c>
      <c r="P69" s="90">
        <f ca="1">IF($B71,0,P70-IF(ISNUMBER(O70),O70,0))</f>
        <v>0</v>
      </c>
      <c r="Q69" s="46">
        <f ca="1">IF($B71,0,Q70-IF(ISNUMBER(P70),P70,0))</f>
        <v>0</v>
      </c>
      <c r="R69" s="46">
        <f ca="1">IF($B71,0,R70-IF(ISNUMBER(Q70),Q70,0))</f>
        <v>0</v>
      </c>
      <c r="S69" s="46">
        <f ca="1">IF($B71,0,S70-IF(ISNUMBER(R70),R70,0))</f>
        <v>0</v>
      </c>
      <c r="T69" s="46">
        <f ca="1">IF($B71,0,T70-IF(ISNUMBER(S70),S70,0))</f>
        <v>0</v>
      </c>
      <c r="U69" s="46">
        <v>1</v>
      </c>
      <c r="V69" s="46">
        <f t="shared" ref="V69:AB69" ca="1" si="117">IF($B71,0,V70-IF(ISNUMBER(U70),U70,0))</f>
        <v>1</v>
      </c>
      <c r="W69" s="46">
        <f t="shared" ca="1" si="117"/>
        <v>0</v>
      </c>
      <c r="X69" s="90">
        <f t="shared" ca="1" si="117"/>
        <v>0</v>
      </c>
      <c r="Y69" s="46">
        <f t="shared" ca="1" si="117"/>
        <v>0</v>
      </c>
      <c r="Z69" s="46">
        <f t="shared" ca="1" si="117"/>
        <v>0</v>
      </c>
      <c r="AA69" s="46">
        <f t="shared" ca="1" si="117"/>
        <v>0</v>
      </c>
      <c r="AB69" s="46">
        <f t="shared" ca="1" si="117"/>
        <v>0</v>
      </c>
      <c r="AC69" s="46">
        <v>1</v>
      </c>
      <c r="AD69" s="46">
        <f t="shared" ref="AD69:AJ69" ca="1" si="118">IF($B71,0,AD70-IF(ISNUMBER(AC70),AC70,0))</f>
        <v>0</v>
      </c>
      <c r="AE69" s="46">
        <f t="shared" ca="1" si="118"/>
        <v>0</v>
      </c>
      <c r="AF69" s="90">
        <f t="shared" ca="1" si="118"/>
        <v>0</v>
      </c>
      <c r="AG69" s="46">
        <f t="shared" ca="1" si="118"/>
        <v>0</v>
      </c>
      <c r="AH69" s="46">
        <f t="shared" ca="1" si="118"/>
        <v>0</v>
      </c>
      <c r="AI69" s="46">
        <f t="shared" ca="1" si="118"/>
        <v>0</v>
      </c>
      <c r="AJ69" s="46">
        <f t="shared" ca="1" si="118"/>
        <v>0</v>
      </c>
      <c r="AK69" s="46">
        <v>1</v>
      </c>
      <c r="AL69" s="46">
        <f ca="1">IF($B71,0,AL70-IF(ISNUMBER(AK70),AK70,0))</f>
        <v>0</v>
      </c>
      <c r="AM69" s="46">
        <f ca="1">IF($B71,0,AM70-IF(ISNUMBER(AL70),AL70,0))</f>
        <v>0</v>
      </c>
      <c r="AN69" s="83"/>
    </row>
    <row r="70" spans="1:40" customFormat="1" ht="14.25" x14ac:dyDescent="0.2">
      <c r="A70" s="75"/>
      <c r="B70" s="75"/>
      <c r="C70" s="75"/>
      <c r="D70" s="75"/>
      <c r="E70" s="75"/>
      <c r="F70" s="75"/>
      <c r="G70" s="75"/>
      <c r="H70" s="75"/>
      <c r="I70" s="75"/>
      <c r="J70" s="75"/>
      <c r="K70" s="75"/>
      <c r="L70" s="236"/>
      <c r="M70" s="238"/>
      <c r="N70" s="240"/>
      <c r="O70" s="64" t="s">
        <v>35</v>
      </c>
      <c r="P70" s="85">
        <f t="shared" ref="P70:AM70" ca="1" si="119">MIN(IF($B71,P69+IF(ISNUMBER(O70),O70,0),P71/$N69),1)</f>
        <v>0</v>
      </c>
      <c r="Q70" s="62">
        <f t="shared" ca="1" si="119"/>
        <v>0</v>
      </c>
      <c r="R70" s="62">
        <f t="shared" ca="1" si="119"/>
        <v>0</v>
      </c>
      <c r="S70" s="62">
        <f t="shared" ca="1" si="119"/>
        <v>0</v>
      </c>
      <c r="T70" s="62">
        <f t="shared" ca="1" si="119"/>
        <v>0</v>
      </c>
      <c r="U70" s="62">
        <f t="shared" ca="1" si="119"/>
        <v>0</v>
      </c>
      <c r="V70" s="62">
        <f t="shared" ca="1" si="119"/>
        <v>1</v>
      </c>
      <c r="W70" s="62">
        <f t="shared" ca="1" si="119"/>
        <v>1</v>
      </c>
      <c r="X70" s="85">
        <f t="shared" ca="1" si="119"/>
        <v>1</v>
      </c>
      <c r="Y70" s="62">
        <f t="shared" ca="1" si="119"/>
        <v>1</v>
      </c>
      <c r="Z70" s="62">
        <f t="shared" ca="1" si="119"/>
        <v>1</v>
      </c>
      <c r="AA70" s="62">
        <f t="shared" ca="1" si="119"/>
        <v>1</v>
      </c>
      <c r="AB70" s="62">
        <f t="shared" ca="1" si="119"/>
        <v>1</v>
      </c>
      <c r="AC70" s="62">
        <f t="shared" ca="1" si="119"/>
        <v>1</v>
      </c>
      <c r="AD70" s="62">
        <f t="shared" ca="1" si="119"/>
        <v>1</v>
      </c>
      <c r="AE70" s="62">
        <f t="shared" ca="1" si="119"/>
        <v>1</v>
      </c>
      <c r="AF70" s="85">
        <f t="shared" ca="1" si="119"/>
        <v>1</v>
      </c>
      <c r="AG70" s="62">
        <f t="shared" ca="1" si="119"/>
        <v>1</v>
      </c>
      <c r="AH70" s="62">
        <f t="shared" ca="1" si="119"/>
        <v>1</v>
      </c>
      <c r="AI70" s="62">
        <f t="shared" ca="1" si="119"/>
        <v>1</v>
      </c>
      <c r="AJ70" s="62">
        <f t="shared" ca="1" si="119"/>
        <v>1</v>
      </c>
      <c r="AK70" s="62">
        <f t="shared" ca="1" si="119"/>
        <v>1</v>
      </c>
      <c r="AL70" s="62">
        <f t="shared" ca="1" si="119"/>
        <v>1</v>
      </c>
      <c r="AM70" s="62">
        <f t="shared" ca="1" si="119"/>
        <v>1</v>
      </c>
      <c r="AN70" s="83"/>
    </row>
    <row r="71" spans="1:40" customFormat="1" ht="14.25" x14ac:dyDescent="0.2">
      <c r="A71" s="75">
        <f ca="1">OFFSET(A71,-CFF.NumLinha,0)+1</f>
        <v>18</v>
      </c>
      <c r="B71" s="75" t="b">
        <f ca="1">$C71&gt;=OFFSET($C71,CFF.NumLinha,0)</f>
        <v>0</v>
      </c>
      <c r="C71" s="75">
        <f ca="1">INDEX(PO!A$11:A$367,MATCH($A71,PO!$W$11:$W$367,0))</f>
        <v>1</v>
      </c>
      <c r="D71" s="75">
        <f ca="1">IF(ISERROR(J71),I71,SMALL(I71:J71,1))-1</f>
        <v>8</v>
      </c>
      <c r="E71" s="75">
        <f ca="1">IF($C71=1,OFFSET(E71,-CFF.NumLinha,0)+1,OFFSET(E71,-CFF.NumLinha,0))</f>
        <v>7</v>
      </c>
      <c r="F71" s="75">
        <f ca="1">IF($C71=1,0,IF($C71=2,OFFSET(F71,-CFF.NumLinha,0)+1,OFFSET(F71,-CFF.NumLinha,0)))</f>
        <v>0</v>
      </c>
      <c r="G71" s="75">
        <f ca="1">IF(AND($C71&lt;=2,$C71&lt;&gt;0),0,IF($C71=3,OFFSET(G71,-CFF.NumLinha,0)+1,OFFSET(G71,-CFF.NumLinha,0)))</f>
        <v>0</v>
      </c>
      <c r="H71" s="75">
        <f ca="1">IF(AND($C71&lt;=3,$C71&lt;&gt;0),0,IF($C71=4,OFFSET(H71,-CFF.NumLinha,0)+1,OFFSET(H71,-CFF.NumLinha,0)))</f>
        <v>0</v>
      </c>
      <c r="I71" s="75">
        <f ca="1">MATCH(0,OFFSET($D71,1,$C71,ROW($A$114)-ROW($A71)),0)</f>
        <v>43</v>
      </c>
      <c r="J71" s="75">
        <f ca="1">MATCH(OFFSET($D71,0,$C71)+1,OFFSET($D71,1,$C71,ROW($A$114)-ROW($A71)),0)</f>
        <v>9</v>
      </c>
      <c r="K71" s="76">
        <f ca="1">ROUND(INDEX(PO!U$11:U$367,MATCH($A71,PO!$W$11:$W$367,0)),2)+10^-12</f>
        <v>27405.42</v>
      </c>
      <c r="L71" s="236"/>
      <c r="M71" s="238"/>
      <c r="N71" s="240"/>
      <c r="O71" s="93" t="s">
        <v>7</v>
      </c>
      <c r="P71" s="86">
        <f t="shared" ref="P71:W71" ca="1" si="120">IF($B71,ROUND(P70*$N69,2),ROUND(SUMIF(OFFSET($B71,1,0,$D71),TRUE,OFFSET(P71,1,0,$D71))/SUMIF(OFFSET($B71,1,0,$D71),TRUE,OFFSET($K71,1,0,$D71))*$N69,2))</f>
        <v>0</v>
      </c>
      <c r="Q71" s="63">
        <f t="shared" ca="1" si="120"/>
        <v>0</v>
      </c>
      <c r="R71" s="63">
        <f t="shared" ca="1" si="120"/>
        <v>0</v>
      </c>
      <c r="S71" s="63">
        <f t="shared" ca="1" si="120"/>
        <v>0</v>
      </c>
      <c r="T71" s="63">
        <f t="shared" ca="1" si="120"/>
        <v>0</v>
      </c>
      <c r="U71" s="63">
        <f t="shared" ca="1" si="120"/>
        <v>0</v>
      </c>
      <c r="V71" s="63">
        <f t="shared" ca="1" si="120"/>
        <v>27405.42</v>
      </c>
      <c r="W71" s="96">
        <f t="shared" ca="1" si="120"/>
        <v>27405.42</v>
      </c>
      <c r="X71" s="86">
        <f t="shared" ref="X71:AE71" ca="1" si="121">IF($B71,ROUND(X70*$N69,2),ROUND(SUMIF(OFFSET($B71,1,0,$D71),TRUE,OFFSET(X71,1,0,$D71))/SUMIF(OFFSET($B71,1,0,$D71),TRUE,OFFSET($K71,1,0,$D71))*$N69,2))</f>
        <v>27405.42</v>
      </c>
      <c r="Y71" s="63">
        <f t="shared" ca="1" si="121"/>
        <v>27405.42</v>
      </c>
      <c r="Z71" s="63">
        <f t="shared" ca="1" si="121"/>
        <v>27405.42</v>
      </c>
      <c r="AA71" s="63">
        <f t="shared" ca="1" si="121"/>
        <v>27405.42</v>
      </c>
      <c r="AB71" s="63">
        <f t="shared" ca="1" si="121"/>
        <v>27405.42</v>
      </c>
      <c r="AC71" s="63">
        <f t="shared" ca="1" si="121"/>
        <v>27405.42</v>
      </c>
      <c r="AD71" s="63">
        <f t="shared" ca="1" si="121"/>
        <v>27405.42</v>
      </c>
      <c r="AE71" s="96">
        <f t="shared" ca="1" si="121"/>
        <v>27405.42</v>
      </c>
      <c r="AF71" s="86">
        <f t="shared" ref="AF71:AM71" ca="1" si="122">IF($B71,ROUND(AF70*$N69,2),ROUND(SUMIF(OFFSET($B71,1,0,$D71),TRUE,OFFSET(AF71,1,0,$D71))/SUMIF(OFFSET($B71,1,0,$D71),TRUE,OFFSET($K71,1,0,$D71))*$N69,2))</f>
        <v>27405.42</v>
      </c>
      <c r="AG71" s="63">
        <f t="shared" ca="1" si="122"/>
        <v>27405.42</v>
      </c>
      <c r="AH71" s="63">
        <f t="shared" ca="1" si="122"/>
        <v>27405.42</v>
      </c>
      <c r="AI71" s="63">
        <f t="shared" ca="1" si="122"/>
        <v>27405.42</v>
      </c>
      <c r="AJ71" s="63">
        <f t="shared" ca="1" si="122"/>
        <v>27405.42</v>
      </c>
      <c r="AK71" s="63">
        <f t="shared" ca="1" si="122"/>
        <v>27405.42</v>
      </c>
      <c r="AL71" s="63">
        <f t="shared" ca="1" si="122"/>
        <v>27405.42</v>
      </c>
      <c r="AM71" s="96">
        <f t="shared" ca="1" si="122"/>
        <v>27405.42</v>
      </c>
      <c r="AN71" s="83"/>
    </row>
    <row r="72" spans="1:40" customFormat="1" ht="14.25" customHeight="1" x14ac:dyDescent="0.2">
      <c r="A72" s="1"/>
      <c r="B72" s="1"/>
      <c r="C72" s="1"/>
      <c r="D72" s="1"/>
      <c r="E72" s="1"/>
      <c r="F72" s="1"/>
      <c r="G72" s="1"/>
      <c r="H72" s="1"/>
      <c r="I72" s="1"/>
      <c r="J72" s="1"/>
      <c r="K72" s="1"/>
      <c r="L72" s="235" t="str">
        <f ca="1">INDEX(PO!K$11:K$367,MATCH($A74,PO!$W$11:$W$367,0))</f>
        <v>7.1.</v>
      </c>
      <c r="M72" s="237" t="str">
        <f ca="1">INDEX(PO!O$11:O$367,MATCH($A74,PO!$W$11:$W$367,0))</f>
        <v>ATIVIDADE 12 - CONFECÇÃO DE SABAO DE OLEO USADO - SANTA MARIA</v>
      </c>
      <c r="N72" s="239">
        <f ca="1">IF(ROUND(K74,2)=0,K74,ROUND(K74,2))</f>
        <v>9313.43</v>
      </c>
      <c r="O72" s="91" t="s">
        <v>33</v>
      </c>
      <c r="P72" s="90">
        <f t="shared" ref="P72:U72" ca="1" si="123">IF($B74,0,P73-IF(ISNUMBER(O73),O73,0))</f>
        <v>0</v>
      </c>
      <c r="Q72" s="46">
        <f t="shared" ca="1" si="123"/>
        <v>0</v>
      </c>
      <c r="R72" s="46">
        <f t="shared" ca="1" si="123"/>
        <v>0</v>
      </c>
      <c r="S72" s="46">
        <f t="shared" ca="1" si="123"/>
        <v>0</v>
      </c>
      <c r="T72" s="46">
        <f t="shared" ca="1" si="123"/>
        <v>0</v>
      </c>
      <c r="U72" s="46">
        <f t="shared" ca="1" si="123"/>
        <v>0</v>
      </c>
      <c r="V72" s="46">
        <v>1</v>
      </c>
      <c r="W72" s="46">
        <f t="shared" ref="W72:AM72" ca="1" si="124">IF($B74,0,W73-IF(ISNUMBER(V73),V73,0))</f>
        <v>0</v>
      </c>
      <c r="X72" s="90">
        <f t="shared" ca="1" si="124"/>
        <v>0</v>
      </c>
      <c r="Y72" s="46">
        <f t="shared" ca="1" si="124"/>
        <v>0</v>
      </c>
      <c r="Z72" s="46">
        <f t="shared" ca="1" si="124"/>
        <v>0</v>
      </c>
      <c r="AA72" s="46">
        <f t="shared" ca="1" si="124"/>
        <v>0</v>
      </c>
      <c r="AB72" s="46">
        <f t="shared" ca="1" si="124"/>
        <v>0</v>
      </c>
      <c r="AC72" s="46">
        <f t="shared" ca="1" si="124"/>
        <v>0</v>
      </c>
      <c r="AD72" s="46">
        <f t="shared" ca="1" si="124"/>
        <v>0</v>
      </c>
      <c r="AE72" s="46">
        <f t="shared" ca="1" si="124"/>
        <v>0</v>
      </c>
      <c r="AF72" s="90">
        <f t="shared" ca="1" si="124"/>
        <v>0</v>
      </c>
      <c r="AG72" s="46">
        <f t="shared" ca="1" si="124"/>
        <v>0</v>
      </c>
      <c r="AH72" s="46">
        <f t="shared" ca="1" si="124"/>
        <v>0</v>
      </c>
      <c r="AI72" s="46">
        <f t="shared" ca="1" si="124"/>
        <v>0</v>
      </c>
      <c r="AJ72" s="46">
        <f t="shared" ca="1" si="124"/>
        <v>0</v>
      </c>
      <c r="AK72" s="46">
        <f t="shared" ca="1" si="124"/>
        <v>0</v>
      </c>
      <c r="AL72" s="46">
        <f t="shared" ca="1" si="124"/>
        <v>0</v>
      </c>
      <c r="AM72" s="46">
        <f t="shared" ca="1" si="124"/>
        <v>0</v>
      </c>
      <c r="AN72" s="83"/>
    </row>
    <row r="73" spans="1:40" customFormat="1" ht="14.25" x14ac:dyDescent="0.2">
      <c r="A73" s="75"/>
      <c r="B73" s="75"/>
      <c r="C73" s="75"/>
      <c r="D73" s="75"/>
      <c r="E73" s="75"/>
      <c r="F73" s="75"/>
      <c r="G73" s="75"/>
      <c r="H73" s="75"/>
      <c r="I73" s="75"/>
      <c r="J73" s="75"/>
      <c r="K73" s="75"/>
      <c r="L73" s="236"/>
      <c r="M73" s="238"/>
      <c r="N73" s="240"/>
      <c r="O73" s="64" t="s">
        <v>35</v>
      </c>
      <c r="P73" s="85">
        <f t="shared" ref="P73:AM73" ca="1" si="125">MIN(IF($B74,P72+IF(ISNUMBER(O73),O73,0),P74/$N72),1)</f>
        <v>0</v>
      </c>
      <c r="Q73" s="62">
        <f t="shared" ca="1" si="125"/>
        <v>0</v>
      </c>
      <c r="R73" s="62">
        <f t="shared" ca="1" si="125"/>
        <v>0</v>
      </c>
      <c r="S73" s="62">
        <f t="shared" ca="1" si="125"/>
        <v>0</v>
      </c>
      <c r="T73" s="62">
        <f t="shared" ca="1" si="125"/>
        <v>0</v>
      </c>
      <c r="U73" s="62">
        <f t="shared" ca="1" si="125"/>
        <v>0</v>
      </c>
      <c r="V73" s="62">
        <f t="shared" ca="1" si="125"/>
        <v>1</v>
      </c>
      <c r="W73" s="62">
        <f t="shared" ca="1" si="125"/>
        <v>1</v>
      </c>
      <c r="X73" s="85">
        <f t="shared" ca="1" si="125"/>
        <v>1</v>
      </c>
      <c r="Y73" s="62">
        <f t="shared" ca="1" si="125"/>
        <v>1</v>
      </c>
      <c r="Z73" s="62">
        <f t="shared" ca="1" si="125"/>
        <v>1</v>
      </c>
      <c r="AA73" s="62">
        <f t="shared" ca="1" si="125"/>
        <v>1</v>
      </c>
      <c r="AB73" s="62">
        <f t="shared" ca="1" si="125"/>
        <v>1</v>
      </c>
      <c r="AC73" s="62">
        <f t="shared" ca="1" si="125"/>
        <v>1</v>
      </c>
      <c r="AD73" s="62">
        <f t="shared" ca="1" si="125"/>
        <v>1</v>
      </c>
      <c r="AE73" s="62">
        <f t="shared" ca="1" si="125"/>
        <v>1</v>
      </c>
      <c r="AF73" s="85">
        <f t="shared" ca="1" si="125"/>
        <v>1</v>
      </c>
      <c r="AG73" s="62">
        <f t="shared" ca="1" si="125"/>
        <v>1</v>
      </c>
      <c r="AH73" s="62">
        <f t="shared" ca="1" si="125"/>
        <v>1</v>
      </c>
      <c r="AI73" s="62">
        <f t="shared" ca="1" si="125"/>
        <v>1</v>
      </c>
      <c r="AJ73" s="62">
        <f t="shared" ca="1" si="125"/>
        <v>1</v>
      </c>
      <c r="AK73" s="62">
        <f t="shared" ca="1" si="125"/>
        <v>1</v>
      </c>
      <c r="AL73" s="62">
        <f t="shared" ca="1" si="125"/>
        <v>1</v>
      </c>
      <c r="AM73" s="62">
        <f t="shared" ca="1" si="125"/>
        <v>1</v>
      </c>
      <c r="AN73" s="83"/>
    </row>
    <row r="74" spans="1:40" customFormat="1" ht="14.25" x14ac:dyDescent="0.2">
      <c r="A74" s="75">
        <f ca="1">OFFSET(A74,-CFF.NumLinha,0)+1</f>
        <v>19</v>
      </c>
      <c r="B74" s="75" t="b">
        <f ca="1">$C74&gt;=OFFSET($C74,CFF.NumLinha,0)</f>
        <v>1</v>
      </c>
      <c r="C74" s="75">
        <f ca="1">INDEX(PO!A$11:A$367,MATCH($A74,PO!$W$11:$W$367,0))</f>
        <v>2</v>
      </c>
      <c r="D74" s="75">
        <f ca="1">IF(ISERROR(J74),I74,SMALL(I74:J74,1))-1</f>
        <v>2</v>
      </c>
      <c r="E74" s="75">
        <f ca="1">IF($C74=1,OFFSET(E74,-CFF.NumLinha,0)+1,OFFSET(E74,-CFF.NumLinha,0))</f>
        <v>7</v>
      </c>
      <c r="F74" s="75">
        <f ca="1">IF($C74=1,0,IF($C74=2,OFFSET(F74,-CFF.NumLinha,0)+1,OFFSET(F74,-CFF.NumLinha,0)))</f>
        <v>1</v>
      </c>
      <c r="G74" s="75">
        <f ca="1">IF(AND($C74&lt;=2,$C74&lt;&gt;0),0,IF($C74=3,OFFSET(G74,-CFF.NumLinha,0)+1,OFFSET(G74,-CFF.NumLinha,0)))</f>
        <v>0</v>
      </c>
      <c r="H74" s="75">
        <f ca="1">IF(AND($C74&lt;=3,$C74&lt;&gt;0),0,IF($C74=4,OFFSET(H74,-CFF.NumLinha,0)+1,OFFSET(H74,-CFF.NumLinha,0)))</f>
        <v>0</v>
      </c>
      <c r="I74" s="75">
        <f ca="1">MATCH(0,OFFSET($D74,1,$C74,ROW($A$114)-ROW($A74)),0)</f>
        <v>6</v>
      </c>
      <c r="J74" s="75">
        <f ca="1">MATCH(OFFSET($D74,0,$C74)+1,OFFSET($D74,1,$C74,ROW($A$114)-ROW($A74)),0)</f>
        <v>3</v>
      </c>
      <c r="K74" s="76">
        <f ca="1">ROUND(INDEX(PO!U$11:U$367,MATCH($A74,PO!$W$11:$W$367,0)),2)+10^-12</f>
        <v>9313.4300000000021</v>
      </c>
      <c r="L74" s="236"/>
      <c r="M74" s="238"/>
      <c r="N74" s="240"/>
      <c r="O74" s="93" t="s">
        <v>7</v>
      </c>
      <c r="P74" s="86">
        <f t="shared" ref="P74:W74" ca="1" si="126">IF($B74,ROUND(P73*$N72,2),ROUND(SUMIF(OFFSET($B74,1,0,$D74),TRUE,OFFSET(P74,1,0,$D74))/SUMIF(OFFSET($B74,1,0,$D74),TRUE,OFFSET($K74,1,0,$D74))*$N72,2))</f>
        <v>0</v>
      </c>
      <c r="Q74" s="63">
        <f t="shared" ca="1" si="126"/>
        <v>0</v>
      </c>
      <c r="R74" s="63">
        <f t="shared" ca="1" si="126"/>
        <v>0</v>
      </c>
      <c r="S74" s="63">
        <f t="shared" ca="1" si="126"/>
        <v>0</v>
      </c>
      <c r="T74" s="63">
        <f t="shared" ca="1" si="126"/>
        <v>0</v>
      </c>
      <c r="U74" s="63">
        <f t="shared" ca="1" si="126"/>
        <v>0</v>
      </c>
      <c r="V74" s="63">
        <f t="shared" ca="1" si="126"/>
        <v>9313.43</v>
      </c>
      <c r="W74" s="96">
        <f t="shared" ca="1" si="126"/>
        <v>9313.43</v>
      </c>
      <c r="X74" s="86">
        <f t="shared" ref="X74:AE74" ca="1" si="127">IF($B74,ROUND(X73*$N72,2),ROUND(SUMIF(OFFSET($B74,1,0,$D74),TRUE,OFFSET(X74,1,0,$D74))/SUMIF(OFFSET($B74,1,0,$D74),TRUE,OFFSET($K74,1,0,$D74))*$N72,2))</f>
        <v>9313.43</v>
      </c>
      <c r="Y74" s="63">
        <f t="shared" ca="1" si="127"/>
        <v>9313.43</v>
      </c>
      <c r="Z74" s="63">
        <f t="shared" ca="1" si="127"/>
        <v>9313.43</v>
      </c>
      <c r="AA74" s="63">
        <f t="shared" ca="1" si="127"/>
        <v>9313.43</v>
      </c>
      <c r="AB74" s="63">
        <f t="shared" ca="1" si="127"/>
        <v>9313.43</v>
      </c>
      <c r="AC74" s="63">
        <f t="shared" ca="1" si="127"/>
        <v>9313.43</v>
      </c>
      <c r="AD74" s="63">
        <f t="shared" ca="1" si="127"/>
        <v>9313.43</v>
      </c>
      <c r="AE74" s="96">
        <f t="shared" ca="1" si="127"/>
        <v>9313.43</v>
      </c>
      <c r="AF74" s="86">
        <f t="shared" ref="AF74:AM74" ca="1" si="128">IF($B74,ROUND(AF73*$N72,2),ROUND(SUMIF(OFFSET($B74,1,0,$D74),TRUE,OFFSET(AF74,1,0,$D74))/SUMIF(OFFSET($B74,1,0,$D74),TRUE,OFFSET($K74,1,0,$D74))*$N72,2))</f>
        <v>9313.43</v>
      </c>
      <c r="AG74" s="63">
        <f t="shared" ca="1" si="128"/>
        <v>9313.43</v>
      </c>
      <c r="AH74" s="63">
        <f t="shared" ca="1" si="128"/>
        <v>9313.43</v>
      </c>
      <c r="AI74" s="63">
        <f t="shared" ca="1" si="128"/>
        <v>9313.43</v>
      </c>
      <c r="AJ74" s="63">
        <f t="shared" ca="1" si="128"/>
        <v>9313.43</v>
      </c>
      <c r="AK74" s="63">
        <f t="shared" ca="1" si="128"/>
        <v>9313.43</v>
      </c>
      <c r="AL74" s="63">
        <f t="shared" ca="1" si="128"/>
        <v>9313.43</v>
      </c>
      <c r="AM74" s="96">
        <f t="shared" ca="1" si="128"/>
        <v>9313.43</v>
      </c>
      <c r="AN74" s="83"/>
    </row>
    <row r="75" spans="1:40" customFormat="1" ht="14.25" customHeight="1" x14ac:dyDescent="0.2">
      <c r="A75" s="1"/>
      <c r="B75" s="1"/>
      <c r="C75" s="1"/>
      <c r="D75" s="1"/>
      <c r="E75" s="1"/>
      <c r="F75" s="1"/>
      <c r="G75" s="1"/>
      <c r="H75" s="1"/>
      <c r="I75" s="1"/>
      <c r="J75" s="1"/>
      <c r="K75" s="1"/>
      <c r="L75" s="235" t="str">
        <f ca="1">INDEX(PO!K$11:K$367,MATCH($A77,PO!$W$11:$W$367,0))</f>
        <v>7.2.</v>
      </c>
      <c r="M75" s="237" t="str">
        <f ca="1">INDEX(PO!O$11:O$367,MATCH($A77,PO!$W$11:$W$367,0))</f>
        <v>ATIVIDADE 13 - REUNIÃO COMUNITÁRIA - VITORIA REGIA</v>
      </c>
      <c r="N75" s="239">
        <f ca="1">IF(ROUND(K77,2)=0,K77,ROUND(K77,2))</f>
        <v>18091.990000000002</v>
      </c>
      <c r="O75" s="91" t="s">
        <v>33</v>
      </c>
      <c r="P75" s="90">
        <f t="shared" ref="P75:U75" ca="1" si="129">IF($B77,0,P76-IF(ISNUMBER(O76),O76,0))</f>
        <v>0</v>
      </c>
      <c r="Q75" s="46">
        <f t="shared" ca="1" si="129"/>
        <v>0</v>
      </c>
      <c r="R75" s="46">
        <f t="shared" ca="1" si="129"/>
        <v>0</v>
      </c>
      <c r="S75" s="46">
        <f t="shared" ca="1" si="129"/>
        <v>0</v>
      </c>
      <c r="T75" s="46">
        <f t="shared" ca="1" si="129"/>
        <v>0</v>
      </c>
      <c r="U75" s="46">
        <f t="shared" ca="1" si="129"/>
        <v>0</v>
      </c>
      <c r="V75" s="46">
        <v>1</v>
      </c>
      <c r="W75" s="46">
        <f t="shared" ref="W75:AC75" ca="1" si="130">IF($B77,0,W76-IF(ISNUMBER(V76),V76,0))</f>
        <v>0</v>
      </c>
      <c r="X75" s="90">
        <f t="shared" ca="1" si="130"/>
        <v>0</v>
      </c>
      <c r="Y75" s="46">
        <f t="shared" ca="1" si="130"/>
        <v>0</v>
      </c>
      <c r="Z75" s="46">
        <f t="shared" ca="1" si="130"/>
        <v>0</v>
      </c>
      <c r="AA75" s="46">
        <f t="shared" ca="1" si="130"/>
        <v>0</v>
      </c>
      <c r="AB75" s="46">
        <f t="shared" ca="1" si="130"/>
        <v>0</v>
      </c>
      <c r="AC75" s="46">
        <f t="shared" ca="1" si="130"/>
        <v>0</v>
      </c>
      <c r="AD75" s="46">
        <v>1</v>
      </c>
      <c r="AE75" s="46">
        <f t="shared" ref="AE75:AK75" ca="1" si="131">IF($B77,0,AE76-IF(ISNUMBER(AD76),AD76,0))</f>
        <v>0</v>
      </c>
      <c r="AF75" s="90">
        <f t="shared" ca="1" si="131"/>
        <v>0</v>
      </c>
      <c r="AG75" s="46">
        <f t="shared" ca="1" si="131"/>
        <v>0</v>
      </c>
      <c r="AH75" s="46">
        <f t="shared" ca="1" si="131"/>
        <v>0</v>
      </c>
      <c r="AI75" s="46">
        <f t="shared" ca="1" si="131"/>
        <v>0</v>
      </c>
      <c r="AJ75" s="46">
        <f t="shared" ca="1" si="131"/>
        <v>0</v>
      </c>
      <c r="AK75" s="46">
        <f t="shared" ca="1" si="131"/>
        <v>0</v>
      </c>
      <c r="AL75" s="46">
        <v>1</v>
      </c>
      <c r="AM75" s="46">
        <f ca="1">IF($B77,0,AM76-IF(ISNUMBER(AL76),AL76,0))</f>
        <v>0</v>
      </c>
      <c r="AN75" s="83"/>
    </row>
    <row r="76" spans="1:40" customFormat="1" ht="14.25" x14ac:dyDescent="0.2">
      <c r="A76" s="75"/>
      <c r="B76" s="75"/>
      <c r="C76" s="75"/>
      <c r="D76" s="75"/>
      <c r="E76" s="75"/>
      <c r="F76" s="75"/>
      <c r="G76" s="75"/>
      <c r="H76" s="75"/>
      <c r="I76" s="75"/>
      <c r="J76" s="75"/>
      <c r="K76" s="75"/>
      <c r="L76" s="236"/>
      <c r="M76" s="238"/>
      <c r="N76" s="240"/>
      <c r="O76" s="64" t="s">
        <v>35</v>
      </c>
      <c r="P76" s="85">
        <f t="shared" ref="P76:AM76" ca="1" si="132">MIN(IF($B77,P75+IF(ISNUMBER(O76),O76,0),P77/$N75),1)</f>
        <v>0</v>
      </c>
      <c r="Q76" s="62">
        <f t="shared" ca="1" si="132"/>
        <v>0</v>
      </c>
      <c r="R76" s="62">
        <f t="shared" ca="1" si="132"/>
        <v>0</v>
      </c>
      <c r="S76" s="62">
        <f t="shared" ca="1" si="132"/>
        <v>0</v>
      </c>
      <c r="T76" s="62">
        <f t="shared" ca="1" si="132"/>
        <v>0</v>
      </c>
      <c r="U76" s="62">
        <f t="shared" ca="1" si="132"/>
        <v>0</v>
      </c>
      <c r="V76" s="62">
        <f t="shared" ca="1" si="132"/>
        <v>1</v>
      </c>
      <c r="W76" s="62">
        <f t="shared" ca="1" si="132"/>
        <v>1</v>
      </c>
      <c r="X76" s="85">
        <f t="shared" ca="1" si="132"/>
        <v>1</v>
      </c>
      <c r="Y76" s="62">
        <f t="shared" ca="1" si="132"/>
        <v>1</v>
      </c>
      <c r="Z76" s="62">
        <f t="shared" ca="1" si="132"/>
        <v>1</v>
      </c>
      <c r="AA76" s="62">
        <f t="shared" ca="1" si="132"/>
        <v>1</v>
      </c>
      <c r="AB76" s="62">
        <f t="shared" ca="1" si="132"/>
        <v>1</v>
      </c>
      <c r="AC76" s="62">
        <f t="shared" ca="1" si="132"/>
        <v>1</v>
      </c>
      <c r="AD76" s="62">
        <f t="shared" ca="1" si="132"/>
        <v>1</v>
      </c>
      <c r="AE76" s="62">
        <f t="shared" ca="1" si="132"/>
        <v>1</v>
      </c>
      <c r="AF76" s="85">
        <f t="shared" ca="1" si="132"/>
        <v>1</v>
      </c>
      <c r="AG76" s="62">
        <f t="shared" ca="1" si="132"/>
        <v>1</v>
      </c>
      <c r="AH76" s="62">
        <f t="shared" ca="1" si="132"/>
        <v>1</v>
      </c>
      <c r="AI76" s="62">
        <f t="shared" ca="1" si="132"/>
        <v>1</v>
      </c>
      <c r="AJ76" s="62">
        <f t="shared" ca="1" si="132"/>
        <v>1</v>
      </c>
      <c r="AK76" s="62">
        <f t="shared" ca="1" si="132"/>
        <v>1</v>
      </c>
      <c r="AL76" s="62">
        <f t="shared" ca="1" si="132"/>
        <v>1</v>
      </c>
      <c r="AM76" s="62">
        <f t="shared" ca="1" si="132"/>
        <v>1</v>
      </c>
      <c r="AN76" s="83"/>
    </row>
    <row r="77" spans="1:40" customFormat="1" ht="14.25" x14ac:dyDescent="0.2">
      <c r="A77" s="75">
        <f ca="1">OFFSET(A77,-CFF.NumLinha,0)+1</f>
        <v>20</v>
      </c>
      <c r="B77" s="75" t="b">
        <f ca="1">$C77&gt;=OFFSET($C77,CFF.NumLinha,0)</f>
        <v>1</v>
      </c>
      <c r="C77" s="75">
        <f ca="1">INDEX(PO!A$11:A$367,MATCH($A77,PO!$W$11:$W$367,0))</f>
        <v>2</v>
      </c>
      <c r="D77" s="75">
        <f ca="1">IF(ISERROR(J77),I77,SMALL(I77:J77,1))-1</f>
        <v>2</v>
      </c>
      <c r="E77" s="75">
        <f ca="1">IF($C77=1,OFFSET(E77,-CFF.NumLinha,0)+1,OFFSET(E77,-CFF.NumLinha,0))</f>
        <v>7</v>
      </c>
      <c r="F77" s="75">
        <f ca="1">IF($C77=1,0,IF($C77=2,OFFSET(F77,-CFF.NumLinha,0)+1,OFFSET(F77,-CFF.NumLinha,0)))</f>
        <v>2</v>
      </c>
      <c r="G77" s="75">
        <f ca="1">IF(AND($C77&lt;=2,$C77&lt;&gt;0),0,IF($C77=3,OFFSET(G77,-CFF.NumLinha,0)+1,OFFSET(G77,-CFF.NumLinha,0)))</f>
        <v>0</v>
      </c>
      <c r="H77" s="75">
        <f ca="1">IF(AND($C77&lt;=3,$C77&lt;&gt;0),0,IF($C77=4,OFFSET(H77,-CFF.NumLinha,0)+1,OFFSET(H77,-CFF.NumLinha,0)))</f>
        <v>0</v>
      </c>
      <c r="I77" s="75">
        <f ca="1">MATCH(0,OFFSET($D77,1,$C77,ROW($A$114)-ROW($A77)),0)</f>
        <v>3</v>
      </c>
      <c r="J77" s="75" t="e">
        <f ca="1">MATCH(OFFSET($D77,0,$C77)+1,OFFSET($D77,1,$C77,ROW($A$114)-ROW($A77)),0)</f>
        <v>#N/A</v>
      </c>
      <c r="K77" s="76">
        <f ca="1">ROUND(INDEX(PO!U$11:U$367,MATCH($A77,PO!$W$11:$W$367,0)),2)+10^-12</f>
        <v>18091.990000000002</v>
      </c>
      <c r="L77" s="236"/>
      <c r="M77" s="238"/>
      <c r="N77" s="240"/>
      <c r="O77" s="93" t="s">
        <v>7</v>
      </c>
      <c r="P77" s="86">
        <f t="shared" ref="P77:W77" ca="1" si="133">IF($B77,ROUND(P76*$N75,2),ROUND(SUMIF(OFFSET($B77,1,0,$D77),TRUE,OFFSET(P77,1,0,$D77))/SUMIF(OFFSET($B77,1,0,$D77),TRUE,OFFSET($K77,1,0,$D77))*$N75,2))</f>
        <v>0</v>
      </c>
      <c r="Q77" s="63">
        <f t="shared" ca="1" si="133"/>
        <v>0</v>
      </c>
      <c r="R77" s="63">
        <f t="shared" ca="1" si="133"/>
        <v>0</v>
      </c>
      <c r="S77" s="63">
        <f t="shared" ca="1" si="133"/>
        <v>0</v>
      </c>
      <c r="T77" s="63">
        <f t="shared" ca="1" si="133"/>
        <v>0</v>
      </c>
      <c r="U77" s="63">
        <f t="shared" ca="1" si="133"/>
        <v>0</v>
      </c>
      <c r="V77" s="63">
        <f t="shared" ca="1" si="133"/>
        <v>18091.990000000002</v>
      </c>
      <c r="W77" s="96">
        <f t="shared" ca="1" si="133"/>
        <v>18091.990000000002</v>
      </c>
      <c r="X77" s="86">
        <f t="shared" ref="X77:AE77" ca="1" si="134">IF($B77,ROUND(X76*$N75,2),ROUND(SUMIF(OFFSET($B77,1,0,$D77),TRUE,OFFSET(X77,1,0,$D77))/SUMIF(OFFSET($B77,1,0,$D77),TRUE,OFFSET($K77,1,0,$D77))*$N75,2))</f>
        <v>18091.990000000002</v>
      </c>
      <c r="Y77" s="63">
        <f t="shared" ca="1" si="134"/>
        <v>18091.990000000002</v>
      </c>
      <c r="Z77" s="63">
        <f t="shared" ca="1" si="134"/>
        <v>18091.990000000002</v>
      </c>
      <c r="AA77" s="63">
        <f t="shared" ca="1" si="134"/>
        <v>18091.990000000002</v>
      </c>
      <c r="AB77" s="63">
        <f t="shared" ca="1" si="134"/>
        <v>18091.990000000002</v>
      </c>
      <c r="AC77" s="63">
        <f t="shared" ca="1" si="134"/>
        <v>18091.990000000002</v>
      </c>
      <c r="AD77" s="63">
        <f t="shared" ca="1" si="134"/>
        <v>18091.990000000002</v>
      </c>
      <c r="AE77" s="96">
        <f t="shared" ca="1" si="134"/>
        <v>18091.990000000002</v>
      </c>
      <c r="AF77" s="86">
        <f t="shared" ref="AF77:AM77" ca="1" si="135">IF($B77,ROUND(AF76*$N75,2),ROUND(SUMIF(OFFSET($B77,1,0,$D77),TRUE,OFFSET(AF77,1,0,$D77))/SUMIF(OFFSET($B77,1,0,$D77),TRUE,OFFSET($K77,1,0,$D77))*$N75,2))</f>
        <v>18091.990000000002</v>
      </c>
      <c r="AG77" s="63">
        <f t="shared" ca="1" si="135"/>
        <v>18091.990000000002</v>
      </c>
      <c r="AH77" s="63">
        <f t="shared" ca="1" si="135"/>
        <v>18091.990000000002</v>
      </c>
      <c r="AI77" s="63">
        <f t="shared" ca="1" si="135"/>
        <v>18091.990000000002</v>
      </c>
      <c r="AJ77" s="63">
        <f t="shared" ca="1" si="135"/>
        <v>18091.990000000002</v>
      </c>
      <c r="AK77" s="63">
        <f t="shared" ca="1" si="135"/>
        <v>18091.990000000002</v>
      </c>
      <c r="AL77" s="63">
        <f t="shared" ca="1" si="135"/>
        <v>18091.990000000002</v>
      </c>
      <c r="AM77" s="96">
        <f t="shared" ca="1" si="135"/>
        <v>18091.990000000002</v>
      </c>
      <c r="AN77" s="83"/>
    </row>
    <row r="78" spans="1:40" customFormat="1" ht="14.25" customHeight="1" x14ac:dyDescent="0.2">
      <c r="A78" s="1"/>
      <c r="B78" s="1"/>
      <c r="C78" s="1"/>
      <c r="D78" s="1"/>
      <c r="E78" s="1"/>
      <c r="F78" s="1"/>
      <c r="G78" s="1"/>
      <c r="H78" s="1"/>
      <c r="I78" s="1"/>
      <c r="J78" s="1"/>
      <c r="K78" s="1"/>
      <c r="L78" s="235" t="str">
        <f ca="1">INDEX(PO!K$11:K$367,MATCH($A80,PO!$W$11:$W$367,0))</f>
        <v>8.</v>
      </c>
      <c r="M78" s="237" t="str">
        <f ca="1">INDEX(PO!O$11:O$367,MATCH($A80,PO!$W$11:$W$367,0))</f>
        <v>8 MES - GESTÃO SOCIAL DA INTERVENÇÃO</v>
      </c>
      <c r="N78" s="239">
        <f ca="1">IF(ROUND(K80,2)=0,K80,ROUND(K80,2))</f>
        <v>13706.38</v>
      </c>
      <c r="O78" s="91" t="s">
        <v>33</v>
      </c>
      <c r="P78" s="90">
        <f t="shared" ref="P78:U78" ca="1" si="136">IF($B80,0,P79-IF(ISNUMBER(O79),O79,0))</f>
        <v>0</v>
      </c>
      <c r="Q78" s="46">
        <f t="shared" ca="1" si="136"/>
        <v>0</v>
      </c>
      <c r="R78" s="46">
        <f t="shared" ca="1" si="136"/>
        <v>0</v>
      </c>
      <c r="S78" s="46">
        <f t="shared" ca="1" si="136"/>
        <v>0</v>
      </c>
      <c r="T78" s="46">
        <f t="shared" ca="1" si="136"/>
        <v>0</v>
      </c>
      <c r="U78" s="46">
        <f t="shared" ca="1" si="136"/>
        <v>0</v>
      </c>
      <c r="V78" s="46">
        <v>1</v>
      </c>
      <c r="W78" s="46">
        <f t="shared" ref="W78:AC78" ca="1" si="137">IF($B80,0,W79-IF(ISNUMBER(V79),V79,0))</f>
        <v>1</v>
      </c>
      <c r="X78" s="90">
        <f t="shared" ca="1" si="137"/>
        <v>0</v>
      </c>
      <c r="Y78" s="46">
        <f t="shared" ca="1" si="137"/>
        <v>0</v>
      </c>
      <c r="Z78" s="46">
        <f t="shared" ca="1" si="137"/>
        <v>0</v>
      </c>
      <c r="AA78" s="46">
        <f t="shared" ca="1" si="137"/>
        <v>0</v>
      </c>
      <c r="AB78" s="46">
        <f t="shared" ca="1" si="137"/>
        <v>0</v>
      </c>
      <c r="AC78" s="46">
        <f t="shared" ca="1" si="137"/>
        <v>0</v>
      </c>
      <c r="AD78" s="46">
        <v>1</v>
      </c>
      <c r="AE78" s="46">
        <f t="shared" ref="AE78:AK78" ca="1" si="138">IF($B80,0,AE79-IF(ISNUMBER(AD79),AD79,0))</f>
        <v>0</v>
      </c>
      <c r="AF78" s="90">
        <f t="shared" ca="1" si="138"/>
        <v>0</v>
      </c>
      <c r="AG78" s="46">
        <f t="shared" ca="1" si="138"/>
        <v>0</v>
      </c>
      <c r="AH78" s="46">
        <f t="shared" ca="1" si="138"/>
        <v>0</v>
      </c>
      <c r="AI78" s="46">
        <f t="shared" ca="1" si="138"/>
        <v>0</v>
      </c>
      <c r="AJ78" s="46">
        <f t="shared" ca="1" si="138"/>
        <v>0</v>
      </c>
      <c r="AK78" s="46">
        <f t="shared" ca="1" si="138"/>
        <v>0</v>
      </c>
      <c r="AL78" s="46">
        <v>1</v>
      </c>
      <c r="AM78" s="46">
        <f ca="1">IF($B80,0,AM79-IF(ISNUMBER(AL79),AL79,0))</f>
        <v>0</v>
      </c>
      <c r="AN78" s="83"/>
    </row>
    <row r="79" spans="1:40" customFormat="1" ht="14.25" x14ac:dyDescent="0.2">
      <c r="A79" s="75"/>
      <c r="B79" s="75"/>
      <c r="C79" s="75"/>
      <c r="D79" s="75"/>
      <c r="E79" s="75"/>
      <c r="F79" s="75"/>
      <c r="G79" s="75"/>
      <c r="H79" s="75"/>
      <c r="I79" s="75"/>
      <c r="J79" s="75"/>
      <c r="K79" s="75"/>
      <c r="L79" s="236"/>
      <c r="M79" s="238"/>
      <c r="N79" s="240"/>
      <c r="O79" s="64" t="s">
        <v>35</v>
      </c>
      <c r="P79" s="85">
        <f t="shared" ref="P79:AM79" ca="1" si="139">MIN(IF($B80,P78+IF(ISNUMBER(O79),O79,0),P80/$N78),1)</f>
        <v>0</v>
      </c>
      <c r="Q79" s="62">
        <f t="shared" ca="1" si="139"/>
        <v>0</v>
      </c>
      <c r="R79" s="62">
        <f t="shared" ca="1" si="139"/>
        <v>0</v>
      </c>
      <c r="S79" s="62">
        <f t="shared" ca="1" si="139"/>
        <v>0</v>
      </c>
      <c r="T79" s="62">
        <f t="shared" ca="1" si="139"/>
        <v>0</v>
      </c>
      <c r="U79" s="62">
        <f t="shared" ca="1" si="139"/>
        <v>0</v>
      </c>
      <c r="V79" s="62">
        <f t="shared" ca="1" si="139"/>
        <v>0</v>
      </c>
      <c r="W79" s="62">
        <f t="shared" ca="1" si="139"/>
        <v>1</v>
      </c>
      <c r="X79" s="85">
        <f t="shared" ca="1" si="139"/>
        <v>1</v>
      </c>
      <c r="Y79" s="62">
        <f t="shared" ca="1" si="139"/>
        <v>1</v>
      </c>
      <c r="Z79" s="62">
        <f t="shared" ca="1" si="139"/>
        <v>1</v>
      </c>
      <c r="AA79" s="62">
        <f t="shared" ca="1" si="139"/>
        <v>1</v>
      </c>
      <c r="AB79" s="62">
        <f t="shared" ca="1" si="139"/>
        <v>1</v>
      </c>
      <c r="AC79" s="62">
        <f t="shared" ca="1" si="139"/>
        <v>1</v>
      </c>
      <c r="AD79" s="62">
        <f t="shared" ca="1" si="139"/>
        <v>1</v>
      </c>
      <c r="AE79" s="62">
        <f t="shared" ca="1" si="139"/>
        <v>1</v>
      </c>
      <c r="AF79" s="85">
        <f t="shared" ca="1" si="139"/>
        <v>1</v>
      </c>
      <c r="AG79" s="62">
        <f t="shared" ca="1" si="139"/>
        <v>1</v>
      </c>
      <c r="AH79" s="62">
        <f t="shared" ca="1" si="139"/>
        <v>1</v>
      </c>
      <c r="AI79" s="62">
        <f t="shared" ca="1" si="139"/>
        <v>1</v>
      </c>
      <c r="AJ79" s="62">
        <f t="shared" ca="1" si="139"/>
        <v>1</v>
      </c>
      <c r="AK79" s="62">
        <f t="shared" ca="1" si="139"/>
        <v>1</v>
      </c>
      <c r="AL79" s="62">
        <f t="shared" ca="1" si="139"/>
        <v>1</v>
      </c>
      <c r="AM79" s="62">
        <f t="shared" ca="1" si="139"/>
        <v>1</v>
      </c>
      <c r="AN79" s="83"/>
    </row>
    <row r="80" spans="1:40" customFormat="1" ht="14.25" x14ac:dyDescent="0.2">
      <c r="A80" s="75">
        <f ca="1">OFFSET(A80,-CFF.NumLinha,0)+1</f>
        <v>21</v>
      </c>
      <c r="B80" s="75" t="b">
        <f ca="1">$C80&gt;=OFFSET($C80,CFF.NumLinha,0)</f>
        <v>0</v>
      </c>
      <c r="C80" s="75">
        <f ca="1">INDEX(PO!A$11:A$367,MATCH($A80,PO!$W$11:$W$367,0))</f>
        <v>1</v>
      </c>
      <c r="D80" s="75">
        <f ca="1">IF(ISERROR(J80),I80,SMALL(I80:J80,1))-1</f>
        <v>5</v>
      </c>
      <c r="E80" s="75">
        <f ca="1">IF($C80=1,OFFSET(E80,-CFF.NumLinha,0)+1,OFFSET(E80,-CFF.NumLinha,0))</f>
        <v>8</v>
      </c>
      <c r="F80" s="75">
        <f ca="1">IF($C80=1,0,IF($C80=2,OFFSET(F80,-CFF.NumLinha,0)+1,OFFSET(F80,-CFF.NumLinha,0)))</f>
        <v>0</v>
      </c>
      <c r="G80" s="75">
        <f ca="1">IF(AND($C80&lt;=2,$C80&lt;&gt;0),0,IF($C80=3,OFFSET(G80,-CFF.NumLinha,0)+1,OFFSET(G80,-CFF.NumLinha,0)))</f>
        <v>0</v>
      </c>
      <c r="H80" s="75">
        <f ca="1">IF(AND($C80&lt;=3,$C80&lt;&gt;0),0,IF($C80=4,OFFSET(H80,-CFF.NumLinha,0)+1,OFFSET(H80,-CFF.NumLinha,0)))</f>
        <v>0</v>
      </c>
      <c r="I80" s="75">
        <f ca="1">MATCH(0,OFFSET($D80,1,$C80,ROW($A$114)-ROW($A80)),0)</f>
        <v>34</v>
      </c>
      <c r="J80" s="75">
        <f ca="1">MATCH(OFFSET($D80,0,$C80)+1,OFFSET($D80,1,$C80,ROW($A$114)-ROW($A80)),0)</f>
        <v>6</v>
      </c>
      <c r="K80" s="76">
        <f ca="1">ROUND(INDEX(PO!U$11:U$367,MATCH($A80,PO!$W$11:$W$367,0)),2)+10^-12</f>
        <v>13706.380000000001</v>
      </c>
      <c r="L80" s="236"/>
      <c r="M80" s="238"/>
      <c r="N80" s="240"/>
      <c r="O80" s="93" t="s">
        <v>7</v>
      </c>
      <c r="P80" s="86">
        <f t="shared" ref="P80:W80" ca="1" si="140">IF($B80,ROUND(P79*$N78,2),ROUND(SUMIF(OFFSET($B80,1,0,$D80),TRUE,OFFSET(P80,1,0,$D80))/SUMIF(OFFSET($B80,1,0,$D80),TRUE,OFFSET($K80,1,0,$D80))*$N78,2))</f>
        <v>0</v>
      </c>
      <c r="Q80" s="63">
        <f t="shared" ca="1" si="140"/>
        <v>0</v>
      </c>
      <c r="R80" s="63">
        <f t="shared" ca="1" si="140"/>
        <v>0</v>
      </c>
      <c r="S80" s="63">
        <f t="shared" ca="1" si="140"/>
        <v>0</v>
      </c>
      <c r="T80" s="63">
        <f t="shared" ca="1" si="140"/>
        <v>0</v>
      </c>
      <c r="U80" s="63">
        <f t="shared" ca="1" si="140"/>
        <v>0</v>
      </c>
      <c r="V80" s="63">
        <f t="shared" ca="1" si="140"/>
        <v>0</v>
      </c>
      <c r="W80" s="96">
        <f t="shared" ca="1" si="140"/>
        <v>13706.38</v>
      </c>
      <c r="X80" s="86">
        <f t="shared" ref="X80:AE80" ca="1" si="141">IF($B80,ROUND(X79*$N78,2),ROUND(SUMIF(OFFSET($B80,1,0,$D80),TRUE,OFFSET(X80,1,0,$D80))/SUMIF(OFFSET($B80,1,0,$D80),TRUE,OFFSET($K80,1,0,$D80))*$N78,2))</f>
        <v>13706.38</v>
      </c>
      <c r="Y80" s="63">
        <f t="shared" ca="1" si="141"/>
        <v>13706.38</v>
      </c>
      <c r="Z80" s="63">
        <f t="shared" ca="1" si="141"/>
        <v>13706.38</v>
      </c>
      <c r="AA80" s="63">
        <f t="shared" ca="1" si="141"/>
        <v>13706.38</v>
      </c>
      <c r="AB80" s="63">
        <f t="shared" ca="1" si="141"/>
        <v>13706.38</v>
      </c>
      <c r="AC80" s="63">
        <f t="shared" ca="1" si="141"/>
        <v>13706.38</v>
      </c>
      <c r="AD80" s="63">
        <f t="shared" ca="1" si="141"/>
        <v>13706.38</v>
      </c>
      <c r="AE80" s="96">
        <f t="shared" ca="1" si="141"/>
        <v>13706.38</v>
      </c>
      <c r="AF80" s="86">
        <f t="shared" ref="AF80:AM80" ca="1" si="142">IF($B80,ROUND(AF79*$N78,2),ROUND(SUMIF(OFFSET($B80,1,0,$D80),TRUE,OFFSET(AF80,1,0,$D80))/SUMIF(OFFSET($B80,1,0,$D80),TRUE,OFFSET($K80,1,0,$D80))*$N78,2))</f>
        <v>13706.38</v>
      </c>
      <c r="AG80" s="63">
        <f t="shared" ca="1" si="142"/>
        <v>13706.38</v>
      </c>
      <c r="AH80" s="63">
        <f t="shared" ca="1" si="142"/>
        <v>13706.38</v>
      </c>
      <c r="AI80" s="63">
        <f t="shared" ca="1" si="142"/>
        <v>13706.38</v>
      </c>
      <c r="AJ80" s="63">
        <f t="shared" ca="1" si="142"/>
        <v>13706.38</v>
      </c>
      <c r="AK80" s="63">
        <f t="shared" ca="1" si="142"/>
        <v>13706.38</v>
      </c>
      <c r="AL80" s="63">
        <f t="shared" ca="1" si="142"/>
        <v>13706.38</v>
      </c>
      <c r="AM80" s="96">
        <f t="shared" ca="1" si="142"/>
        <v>13706.38</v>
      </c>
      <c r="AN80" s="83"/>
    </row>
    <row r="81" spans="1:40" customFormat="1" ht="14.25" customHeight="1" x14ac:dyDescent="0.2">
      <c r="A81" s="1"/>
      <c r="B81" s="1"/>
      <c r="C81" s="1"/>
      <c r="D81" s="1"/>
      <c r="E81" s="1"/>
      <c r="F81" s="1"/>
      <c r="G81" s="1"/>
      <c r="H81" s="1"/>
      <c r="I81" s="1"/>
      <c r="J81" s="1"/>
      <c r="K81" s="1"/>
      <c r="L81" s="235" t="str">
        <f ca="1">INDEX(PO!K$11:K$367,MATCH($A83,PO!$W$11:$W$367,0))</f>
        <v>8.1.</v>
      </c>
      <c r="M81" s="237" t="str">
        <f ca="1">INDEX(PO!O$11:O$367,MATCH($A83,PO!$W$11:$W$367,0))</f>
        <v>ATIVIDADE 14 - VISITAS INFORMATIVAS - VITORIA REGIA</v>
      </c>
      <c r="N81" s="239">
        <f ca="1">IF(ROUND(K83,2)=0,K83,ROUND(K83,2))</f>
        <v>13706.38</v>
      </c>
      <c r="O81" s="91" t="s">
        <v>33</v>
      </c>
      <c r="P81" s="90">
        <f t="shared" ref="P81:V81" ca="1" si="143">IF($B83,0,P82-IF(ISNUMBER(O82),O82,0))</f>
        <v>0</v>
      </c>
      <c r="Q81" s="46">
        <f t="shared" ca="1" si="143"/>
        <v>0</v>
      </c>
      <c r="R81" s="46">
        <f t="shared" ca="1" si="143"/>
        <v>0</v>
      </c>
      <c r="S81" s="46">
        <f t="shared" ca="1" si="143"/>
        <v>0</v>
      </c>
      <c r="T81" s="46">
        <f t="shared" ca="1" si="143"/>
        <v>0</v>
      </c>
      <c r="U81" s="46">
        <f t="shared" ca="1" si="143"/>
        <v>0</v>
      </c>
      <c r="V81" s="46">
        <f t="shared" ca="1" si="143"/>
        <v>0</v>
      </c>
      <c r="W81" s="46">
        <v>1</v>
      </c>
      <c r="X81" s="90">
        <f t="shared" ref="X81:AM81" ca="1" si="144">IF($B83,0,X82-IF(ISNUMBER(W82),W82,0))</f>
        <v>0</v>
      </c>
      <c r="Y81" s="46">
        <f t="shared" ca="1" si="144"/>
        <v>0</v>
      </c>
      <c r="Z81" s="46">
        <f t="shared" ca="1" si="144"/>
        <v>0</v>
      </c>
      <c r="AA81" s="46">
        <f t="shared" ca="1" si="144"/>
        <v>0</v>
      </c>
      <c r="AB81" s="46">
        <f t="shared" ca="1" si="144"/>
        <v>0</v>
      </c>
      <c r="AC81" s="46">
        <f t="shared" ca="1" si="144"/>
        <v>0</v>
      </c>
      <c r="AD81" s="46">
        <f t="shared" ca="1" si="144"/>
        <v>0</v>
      </c>
      <c r="AE81" s="46">
        <f t="shared" ca="1" si="144"/>
        <v>0</v>
      </c>
      <c r="AF81" s="90">
        <f t="shared" ca="1" si="144"/>
        <v>0</v>
      </c>
      <c r="AG81" s="46">
        <f t="shared" ca="1" si="144"/>
        <v>0</v>
      </c>
      <c r="AH81" s="46">
        <f t="shared" ca="1" si="144"/>
        <v>0</v>
      </c>
      <c r="AI81" s="46">
        <f t="shared" ca="1" si="144"/>
        <v>0</v>
      </c>
      <c r="AJ81" s="46">
        <f t="shared" ca="1" si="144"/>
        <v>0</v>
      </c>
      <c r="AK81" s="46">
        <f t="shared" ca="1" si="144"/>
        <v>0</v>
      </c>
      <c r="AL81" s="46">
        <f t="shared" ca="1" si="144"/>
        <v>0</v>
      </c>
      <c r="AM81" s="46">
        <f t="shared" ca="1" si="144"/>
        <v>0</v>
      </c>
      <c r="AN81" s="83"/>
    </row>
    <row r="82" spans="1:40" customFormat="1" ht="14.25" x14ac:dyDescent="0.2">
      <c r="A82" s="75"/>
      <c r="B82" s="75"/>
      <c r="C82" s="75"/>
      <c r="D82" s="75"/>
      <c r="E82" s="75"/>
      <c r="F82" s="75"/>
      <c r="G82" s="75"/>
      <c r="H82" s="75"/>
      <c r="I82" s="75"/>
      <c r="J82" s="75"/>
      <c r="K82" s="75"/>
      <c r="L82" s="236"/>
      <c r="M82" s="238"/>
      <c r="N82" s="240"/>
      <c r="O82" s="64" t="s">
        <v>35</v>
      </c>
      <c r="P82" s="85">
        <f t="shared" ref="P82:AM82" ca="1" si="145">MIN(IF($B83,P81+IF(ISNUMBER(O82),O82,0),P83/$N81),1)</f>
        <v>0</v>
      </c>
      <c r="Q82" s="62">
        <f t="shared" ca="1" si="145"/>
        <v>0</v>
      </c>
      <c r="R82" s="62">
        <f t="shared" ca="1" si="145"/>
        <v>0</v>
      </c>
      <c r="S82" s="62">
        <f t="shared" ca="1" si="145"/>
        <v>0</v>
      </c>
      <c r="T82" s="62">
        <f t="shared" ca="1" si="145"/>
        <v>0</v>
      </c>
      <c r="U82" s="62">
        <f t="shared" ca="1" si="145"/>
        <v>0</v>
      </c>
      <c r="V82" s="62">
        <f t="shared" ca="1" si="145"/>
        <v>0</v>
      </c>
      <c r="W82" s="62">
        <f t="shared" ca="1" si="145"/>
        <v>1</v>
      </c>
      <c r="X82" s="85">
        <f t="shared" ca="1" si="145"/>
        <v>1</v>
      </c>
      <c r="Y82" s="62">
        <f t="shared" ca="1" si="145"/>
        <v>1</v>
      </c>
      <c r="Z82" s="62">
        <f t="shared" ca="1" si="145"/>
        <v>1</v>
      </c>
      <c r="AA82" s="62">
        <f t="shared" ca="1" si="145"/>
        <v>1</v>
      </c>
      <c r="AB82" s="62">
        <f t="shared" ca="1" si="145"/>
        <v>1</v>
      </c>
      <c r="AC82" s="62">
        <f t="shared" ca="1" si="145"/>
        <v>1</v>
      </c>
      <c r="AD82" s="62">
        <f t="shared" ca="1" si="145"/>
        <v>1</v>
      </c>
      <c r="AE82" s="62">
        <f t="shared" ca="1" si="145"/>
        <v>1</v>
      </c>
      <c r="AF82" s="85">
        <f t="shared" ca="1" si="145"/>
        <v>1</v>
      </c>
      <c r="AG82" s="62">
        <f t="shared" ca="1" si="145"/>
        <v>1</v>
      </c>
      <c r="AH82" s="62">
        <f t="shared" ca="1" si="145"/>
        <v>1</v>
      </c>
      <c r="AI82" s="62">
        <f t="shared" ca="1" si="145"/>
        <v>1</v>
      </c>
      <c r="AJ82" s="62">
        <f t="shared" ca="1" si="145"/>
        <v>1</v>
      </c>
      <c r="AK82" s="62">
        <f t="shared" ca="1" si="145"/>
        <v>1</v>
      </c>
      <c r="AL82" s="62">
        <f t="shared" ca="1" si="145"/>
        <v>1</v>
      </c>
      <c r="AM82" s="62">
        <f t="shared" ca="1" si="145"/>
        <v>1</v>
      </c>
      <c r="AN82" s="83"/>
    </row>
    <row r="83" spans="1:40" customFormat="1" ht="14.25" x14ac:dyDescent="0.2">
      <c r="A83" s="75">
        <f ca="1">OFFSET(A83,-CFF.NumLinha,0)+1</f>
        <v>22</v>
      </c>
      <c r="B83" s="75" t="b">
        <f ca="1">$C83&gt;=OFFSET($C83,CFF.NumLinha,0)</f>
        <v>1</v>
      </c>
      <c r="C83" s="75">
        <f ca="1">INDEX(PO!A$11:A$367,MATCH($A83,PO!$W$11:$W$367,0))</f>
        <v>2</v>
      </c>
      <c r="D83" s="75">
        <f ca="1">IF(ISERROR(J83),I83,SMALL(I83:J83,1))-1</f>
        <v>2</v>
      </c>
      <c r="E83" s="75">
        <f ca="1">IF($C83=1,OFFSET(E83,-CFF.NumLinha,0)+1,OFFSET(E83,-CFF.NumLinha,0))</f>
        <v>8</v>
      </c>
      <c r="F83" s="75">
        <f ca="1">IF($C83=1,0,IF($C83=2,OFFSET(F83,-CFF.NumLinha,0)+1,OFFSET(F83,-CFF.NumLinha,0)))</f>
        <v>1</v>
      </c>
      <c r="G83" s="75">
        <f ca="1">IF(AND($C83&lt;=2,$C83&lt;&gt;0),0,IF($C83=3,OFFSET(G83,-CFF.NumLinha,0)+1,OFFSET(G83,-CFF.NumLinha,0)))</f>
        <v>0</v>
      </c>
      <c r="H83" s="75">
        <f ca="1">IF(AND($C83&lt;=3,$C83&lt;&gt;0),0,IF($C83=4,OFFSET(H83,-CFF.NumLinha,0)+1,OFFSET(H83,-CFF.NumLinha,0)))</f>
        <v>0</v>
      </c>
      <c r="I83" s="75">
        <f ca="1">MATCH(0,OFFSET($D83,1,$C83,ROW($A$114)-ROW($A83)),0)</f>
        <v>3</v>
      </c>
      <c r="J83" s="75">
        <f ca="1">MATCH(OFFSET($D83,0,$C83)+1,OFFSET($D83,1,$C83,ROW($A$114)-ROW($A83)),0)</f>
        <v>9</v>
      </c>
      <c r="K83" s="76">
        <f ca="1">ROUND(INDEX(PO!U$11:U$367,MATCH($A83,PO!$W$11:$W$367,0)),2)+10^-12</f>
        <v>13706.380000000001</v>
      </c>
      <c r="L83" s="236"/>
      <c r="M83" s="238"/>
      <c r="N83" s="240"/>
      <c r="O83" s="93" t="s">
        <v>7</v>
      </c>
      <c r="P83" s="86">
        <f t="shared" ref="P83:W83" ca="1" si="146">IF($B83,ROUND(P82*$N81,2),ROUND(SUMIF(OFFSET($B83,1,0,$D83),TRUE,OFFSET(P83,1,0,$D83))/SUMIF(OFFSET($B83,1,0,$D83),TRUE,OFFSET($K83,1,0,$D83))*$N81,2))</f>
        <v>0</v>
      </c>
      <c r="Q83" s="63">
        <f t="shared" ca="1" si="146"/>
        <v>0</v>
      </c>
      <c r="R83" s="63">
        <f t="shared" ca="1" si="146"/>
        <v>0</v>
      </c>
      <c r="S83" s="63">
        <f t="shared" ca="1" si="146"/>
        <v>0</v>
      </c>
      <c r="T83" s="63">
        <f t="shared" ca="1" si="146"/>
        <v>0</v>
      </c>
      <c r="U83" s="63">
        <f t="shared" ca="1" si="146"/>
        <v>0</v>
      </c>
      <c r="V83" s="63">
        <f t="shared" ca="1" si="146"/>
        <v>0</v>
      </c>
      <c r="W83" s="96">
        <f t="shared" ca="1" si="146"/>
        <v>13706.38</v>
      </c>
      <c r="X83" s="86">
        <f t="shared" ref="X83:AE83" ca="1" si="147">IF($B83,ROUND(X82*$N81,2),ROUND(SUMIF(OFFSET($B83,1,0,$D83),TRUE,OFFSET(X83,1,0,$D83))/SUMIF(OFFSET($B83,1,0,$D83),TRUE,OFFSET($K83,1,0,$D83))*$N81,2))</f>
        <v>13706.38</v>
      </c>
      <c r="Y83" s="63">
        <f t="shared" ca="1" si="147"/>
        <v>13706.38</v>
      </c>
      <c r="Z83" s="63">
        <f t="shared" ca="1" si="147"/>
        <v>13706.38</v>
      </c>
      <c r="AA83" s="63">
        <f t="shared" ca="1" si="147"/>
        <v>13706.38</v>
      </c>
      <c r="AB83" s="63">
        <f t="shared" ca="1" si="147"/>
        <v>13706.38</v>
      </c>
      <c r="AC83" s="63">
        <f t="shared" ca="1" si="147"/>
        <v>13706.38</v>
      </c>
      <c r="AD83" s="63">
        <f t="shared" ca="1" si="147"/>
        <v>13706.38</v>
      </c>
      <c r="AE83" s="96">
        <f t="shared" ca="1" si="147"/>
        <v>13706.38</v>
      </c>
      <c r="AF83" s="86">
        <f t="shared" ref="AF83:AM83" ca="1" si="148">IF($B83,ROUND(AF82*$N81,2),ROUND(SUMIF(OFFSET($B83,1,0,$D83),TRUE,OFFSET(AF83,1,0,$D83))/SUMIF(OFFSET($B83,1,0,$D83),TRUE,OFFSET($K83,1,0,$D83))*$N81,2))</f>
        <v>13706.38</v>
      </c>
      <c r="AG83" s="63">
        <f t="shared" ca="1" si="148"/>
        <v>13706.38</v>
      </c>
      <c r="AH83" s="63">
        <f t="shared" ca="1" si="148"/>
        <v>13706.38</v>
      </c>
      <c r="AI83" s="63">
        <f t="shared" ca="1" si="148"/>
        <v>13706.38</v>
      </c>
      <c r="AJ83" s="63">
        <f t="shared" ca="1" si="148"/>
        <v>13706.38</v>
      </c>
      <c r="AK83" s="63">
        <f t="shared" ca="1" si="148"/>
        <v>13706.38</v>
      </c>
      <c r="AL83" s="63">
        <f t="shared" ca="1" si="148"/>
        <v>13706.38</v>
      </c>
      <c r="AM83" s="96">
        <f t="shared" ca="1" si="148"/>
        <v>13706.38</v>
      </c>
      <c r="AN83" s="83"/>
    </row>
    <row r="84" spans="1:40" customFormat="1" ht="14.25" customHeight="1" x14ac:dyDescent="0.2">
      <c r="A84" s="1"/>
      <c r="B84" s="1"/>
      <c r="C84" s="1"/>
      <c r="D84" s="1"/>
      <c r="E84" s="1"/>
      <c r="F84" s="1"/>
      <c r="G84" s="1"/>
      <c r="H84" s="1"/>
      <c r="I84" s="1"/>
      <c r="J84" s="1"/>
      <c r="K84" s="1"/>
      <c r="L84" s="235" t="str">
        <f ca="1">INDEX(PO!K$11:K$367,MATCH($A86,PO!$W$11:$W$367,0))</f>
        <v>9.</v>
      </c>
      <c r="M84" s="237" t="str">
        <f ca="1">INDEX(PO!O$11:O$367,MATCH($A86,PO!$W$11:$W$367,0))</f>
        <v>9 MÊS - GESTÃO SOCIAL DA INTERVENÇÃO</v>
      </c>
      <c r="N84" s="239">
        <f ca="1">IF(ROUND(K86,2)=0,K86,ROUND(K86,2))</f>
        <v>17608.5</v>
      </c>
      <c r="O84" s="91" t="s">
        <v>33</v>
      </c>
      <c r="P84" s="90">
        <f t="shared" ref="P84:V84" ca="1" si="149">IF($B86,0,P85-IF(ISNUMBER(O85),O85,0))</f>
        <v>0</v>
      </c>
      <c r="Q84" s="46">
        <f t="shared" ca="1" si="149"/>
        <v>0</v>
      </c>
      <c r="R84" s="46">
        <f t="shared" ca="1" si="149"/>
        <v>0</v>
      </c>
      <c r="S84" s="46">
        <f t="shared" ca="1" si="149"/>
        <v>0</v>
      </c>
      <c r="T84" s="46">
        <f t="shared" ca="1" si="149"/>
        <v>0</v>
      </c>
      <c r="U84" s="46">
        <f t="shared" ca="1" si="149"/>
        <v>0</v>
      </c>
      <c r="V84" s="46">
        <f t="shared" ca="1" si="149"/>
        <v>0</v>
      </c>
      <c r="W84" s="46">
        <v>1</v>
      </c>
      <c r="X84" s="90">
        <f t="shared" ref="X84:AD84" ca="1" si="150">IF($B86,0,X85-IF(ISNUMBER(W85),W85,0))</f>
        <v>1</v>
      </c>
      <c r="Y84" s="46">
        <f t="shared" ca="1" si="150"/>
        <v>0</v>
      </c>
      <c r="Z84" s="46">
        <f t="shared" ca="1" si="150"/>
        <v>0</v>
      </c>
      <c r="AA84" s="46">
        <f t="shared" ca="1" si="150"/>
        <v>0</v>
      </c>
      <c r="AB84" s="46">
        <f t="shared" ca="1" si="150"/>
        <v>0</v>
      </c>
      <c r="AC84" s="46">
        <f t="shared" ca="1" si="150"/>
        <v>0</v>
      </c>
      <c r="AD84" s="46">
        <f t="shared" ca="1" si="150"/>
        <v>0</v>
      </c>
      <c r="AE84" s="46">
        <v>1</v>
      </c>
      <c r="AF84" s="90">
        <f t="shared" ref="AF84:AL84" ca="1" si="151">IF($B86,0,AF85-IF(ISNUMBER(AE85),AE85,0))</f>
        <v>0</v>
      </c>
      <c r="AG84" s="46">
        <f t="shared" ca="1" si="151"/>
        <v>0</v>
      </c>
      <c r="AH84" s="46">
        <f t="shared" ca="1" si="151"/>
        <v>0</v>
      </c>
      <c r="AI84" s="46">
        <f t="shared" ca="1" si="151"/>
        <v>0</v>
      </c>
      <c r="AJ84" s="46">
        <f t="shared" ca="1" si="151"/>
        <v>0</v>
      </c>
      <c r="AK84" s="46">
        <f t="shared" ca="1" si="151"/>
        <v>0</v>
      </c>
      <c r="AL84" s="46">
        <f t="shared" ca="1" si="151"/>
        <v>0</v>
      </c>
      <c r="AM84" s="46">
        <v>1</v>
      </c>
      <c r="AN84" s="83"/>
    </row>
    <row r="85" spans="1:40" customFormat="1" ht="14.25" x14ac:dyDescent="0.2">
      <c r="A85" s="75"/>
      <c r="B85" s="75"/>
      <c r="C85" s="75"/>
      <c r="D85" s="75"/>
      <c r="E85" s="75"/>
      <c r="F85" s="75"/>
      <c r="G85" s="75"/>
      <c r="H85" s="75"/>
      <c r="I85" s="75"/>
      <c r="J85" s="75"/>
      <c r="K85" s="75"/>
      <c r="L85" s="236"/>
      <c r="M85" s="238"/>
      <c r="N85" s="240"/>
      <c r="O85" s="64" t="s">
        <v>35</v>
      </c>
      <c r="P85" s="85">
        <f t="shared" ref="P85:AM85" ca="1" si="152">MIN(IF($B86,P84+IF(ISNUMBER(O85),O85,0),P86/$N84),1)</f>
        <v>0</v>
      </c>
      <c r="Q85" s="62">
        <f t="shared" ca="1" si="152"/>
        <v>0</v>
      </c>
      <c r="R85" s="62">
        <f t="shared" ca="1" si="152"/>
        <v>0</v>
      </c>
      <c r="S85" s="62">
        <f t="shared" ca="1" si="152"/>
        <v>0</v>
      </c>
      <c r="T85" s="62">
        <f t="shared" ca="1" si="152"/>
        <v>0</v>
      </c>
      <c r="U85" s="62">
        <f t="shared" ca="1" si="152"/>
        <v>0</v>
      </c>
      <c r="V85" s="62">
        <f t="shared" ca="1" si="152"/>
        <v>0</v>
      </c>
      <c r="W85" s="62">
        <f t="shared" ca="1" si="152"/>
        <v>0</v>
      </c>
      <c r="X85" s="85">
        <f t="shared" ca="1" si="152"/>
        <v>1</v>
      </c>
      <c r="Y85" s="62">
        <f t="shared" ca="1" si="152"/>
        <v>1</v>
      </c>
      <c r="Z85" s="62">
        <f t="shared" ca="1" si="152"/>
        <v>1</v>
      </c>
      <c r="AA85" s="62">
        <f t="shared" ca="1" si="152"/>
        <v>1</v>
      </c>
      <c r="AB85" s="62">
        <f t="shared" ca="1" si="152"/>
        <v>1</v>
      </c>
      <c r="AC85" s="62">
        <f t="shared" ca="1" si="152"/>
        <v>1</v>
      </c>
      <c r="AD85" s="62">
        <f t="shared" ca="1" si="152"/>
        <v>1</v>
      </c>
      <c r="AE85" s="62">
        <f t="shared" ca="1" si="152"/>
        <v>1</v>
      </c>
      <c r="AF85" s="85">
        <f t="shared" ca="1" si="152"/>
        <v>1</v>
      </c>
      <c r="AG85" s="62">
        <f t="shared" ca="1" si="152"/>
        <v>1</v>
      </c>
      <c r="AH85" s="62">
        <f t="shared" ca="1" si="152"/>
        <v>1</v>
      </c>
      <c r="AI85" s="62">
        <f t="shared" ca="1" si="152"/>
        <v>1</v>
      </c>
      <c r="AJ85" s="62">
        <f t="shared" ca="1" si="152"/>
        <v>1</v>
      </c>
      <c r="AK85" s="62">
        <f t="shared" ca="1" si="152"/>
        <v>1</v>
      </c>
      <c r="AL85" s="62">
        <f t="shared" ca="1" si="152"/>
        <v>1</v>
      </c>
      <c r="AM85" s="62">
        <f t="shared" ca="1" si="152"/>
        <v>1</v>
      </c>
      <c r="AN85" s="83"/>
    </row>
    <row r="86" spans="1:40" customFormat="1" ht="14.25" x14ac:dyDescent="0.2">
      <c r="A86" s="75">
        <f ca="1">OFFSET(A86,-CFF.NumLinha,0)+1</f>
        <v>23</v>
      </c>
      <c r="B86" s="75" t="b">
        <f ca="1">$C86&gt;=OFFSET($C86,CFF.NumLinha,0)</f>
        <v>0</v>
      </c>
      <c r="C86" s="75">
        <f ca="1">INDEX(PO!A$11:A$367,MATCH($A86,PO!$W$11:$W$367,0))</f>
        <v>1</v>
      </c>
      <c r="D86" s="75">
        <f ca="1">IF(ISERROR(J86),I86,SMALL(I86:J86,1))-1</f>
        <v>8</v>
      </c>
      <c r="E86" s="75">
        <f ca="1">IF($C86=1,OFFSET(E86,-CFF.NumLinha,0)+1,OFFSET(E86,-CFF.NumLinha,0))</f>
        <v>9</v>
      </c>
      <c r="F86" s="75">
        <f ca="1">IF($C86=1,0,IF($C86=2,OFFSET(F86,-CFF.NumLinha,0)+1,OFFSET(F86,-CFF.NumLinha,0)))</f>
        <v>0</v>
      </c>
      <c r="G86" s="75">
        <f ca="1">IF(AND($C86&lt;=2,$C86&lt;&gt;0),0,IF($C86=3,OFFSET(G86,-CFF.NumLinha,0)+1,OFFSET(G86,-CFF.NumLinha,0)))</f>
        <v>0</v>
      </c>
      <c r="H86" s="75">
        <f ca="1">IF(AND($C86&lt;=3,$C86&lt;&gt;0),0,IF($C86=4,OFFSET(H86,-CFF.NumLinha,0)+1,OFFSET(H86,-CFF.NumLinha,0)))</f>
        <v>0</v>
      </c>
      <c r="I86" s="75">
        <f ca="1">MATCH(0,OFFSET($D86,1,$C86,ROW($A$114)-ROW($A86)),0)</f>
        <v>28</v>
      </c>
      <c r="J86" s="75">
        <f ca="1">MATCH(OFFSET($D86,0,$C86)+1,OFFSET($D86,1,$C86,ROW($A$114)-ROW($A86)),0)</f>
        <v>9</v>
      </c>
      <c r="K86" s="76">
        <f ca="1">ROUND(INDEX(PO!U$11:U$367,MATCH($A86,PO!$W$11:$W$367,0)),2)+10^-12</f>
        <v>17608.5</v>
      </c>
      <c r="L86" s="236"/>
      <c r="M86" s="238"/>
      <c r="N86" s="240"/>
      <c r="O86" s="93" t="s">
        <v>7</v>
      </c>
      <c r="P86" s="86">
        <f t="shared" ref="P86:W86" ca="1" si="153">IF($B86,ROUND(P85*$N84,2),ROUND(SUMIF(OFFSET($B86,1,0,$D86),TRUE,OFFSET(P86,1,0,$D86))/SUMIF(OFFSET($B86,1,0,$D86),TRUE,OFFSET($K86,1,0,$D86))*$N84,2))</f>
        <v>0</v>
      </c>
      <c r="Q86" s="63">
        <f t="shared" ca="1" si="153"/>
        <v>0</v>
      </c>
      <c r="R86" s="63">
        <f t="shared" ca="1" si="153"/>
        <v>0</v>
      </c>
      <c r="S86" s="63">
        <f t="shared" ca="1" si="153"/>
        <v>0</v>
      </c>
      <c r="T86" s="63">
        <f t="shared" ca="1" si="153"/>
        <v>0</v>
      </c>
      <c r="U86" s="63">
        <f t="shared" ca="1" si="153"/>
        <v>0</v>
      </c>
      <c r="V86" s="63">
        <f t="shared" ca="1" si="153"/>
        <v>0</v>
      </c>
      <c r="W86" s="96">
        <f t="shared" ca="1" si="153"/>
        <v>0</v>
      </c>
      <c r="X86" s="86">
        <f t="shared" ref="X86:AE86" ca="1" si="154">IF($B86,ROUND(X85*$N84,2),ROUND(SUMIF(OFFSET($B86,1,0,$D86),TRUE,OFFSET(X86,1,0,$D86))/SUMIF(OFFSET($B86,1,0,$D86),TRUE,OFFSET($K86,1,0,$D86))*$N84,2))</f>
        <v>17608.5</v>
      </c>
      <c r="Y86" s="63">
        <f t="shared" ca="1" si="154"/>
        <v>17608.5</v>
      </c>
      <c r="Z86" s="63">
        <f t="shared" ca="1" si="154"/>
        <v>17608.5</v>
      </c>
      <c r="AA86" s="63">
        <f t="shared" ca="1" si="154"/>
        <v>17608.5</v>
      </c>
      <c r="AB86" s="63">
        <f t="shared" ca="1" si="154"/>
        <v>17608.5</v>
      </c>
      <c r="AC86" s="63">
        <f t="shared" ca="1" si="154"/>
        <v>17608.5</v>
      </c>
      <c r="AD86" s="63">
        <f t="shared" ca="1" si="154"/>
        <v>17608.5</v>
      </c>
      <c r="AE86" s="96">
        <f t="shared" ca="1" si="154"/>
        <v>17608.5</v>
      </c>
      <c r="AF86" s="86">
        <f t="shared" ref="AF86:AM86" ca="1" si="155">IF($B86,ROUND(AF85*$N84,2),ROUND(SUMIF(OFFSET($B86,1,0,$D86),TRUE,OFFSET(AF86,1,0,$D86))/SUMIF(OFFSET($B86,1,0,$D86),TRUE,OFFSET($K86,1,0,$D86))*$N84,2))</f>
        <v>17608.5</v>
      </c>
      <c r="AG86" s="63">
        <f t="shared" ca="1" si="155"/>
        <v>17608.5</v>
      </c>
      <c r="AH86" s="63">
        <f t="shared" ca="1" si="155"/>
        <v>17608.5</v>
      </c>
      <c r="AI86" s="63">
        <f t="shared" ca="1" si="155"/>
        <v>17608.5</v>
      </c>
      <c r="AJ86" s="63">
        <f t="shared" ca="1" si="155"/>
        <v>17608.5</v>
      </c>
      <c r="AK86" s="63">
        <f t="shared" ca="1" si="155"/>
        <v>17608.5</v>
      </c>
      <c r="AL86" s="63">
        <f t="shared" ca="1" si="155"/>
        <v>17608.5</v>
      </c>
      <c r="AM86" s="96">
        <f t="shared" ca="1" si="155"/>
        <v>17608.5</v>
      </c>
      <c r="AN86" s="83"/>
    </row>
    <row r="87" spans="1:40" customFormat="1" ht="14.25" customHeight="1" x14ac:dyDescent="0.2">
      <c r="A87" s="1"/>
      <c r="B87" s="1"/>
      <c r="C87" s="1"/>
      <c r="D87" s="1"/>
      <c r="E87" s="1"/>
      <c r="F87" s="1"/>
      <c r="G87" s="1"/>
      <c r="H87" s="1"/>
      <c r="I87" s="1"/>
      <c r="J87" s="1"/>
      <c r="K87" s="1"/>
      <c r="L87" s="235" t="str">
        <f ca="1">INDEX(PO!K$11:K$367,MATCH($A89,PO!$W$11:$W$367,0))</f>
        <v>9.1.</v>
      </c>
      <c r="M87" s="237" t="str">
        <f ca="1">INDEX(PO!O$11:O$367,MATCH($A89,PO!$W$11:$W$367,0))</f>
        <v>ATIVIDADE 15 - VISITAS INFORMATIVAS - SÃO JORGE</v>
      </c>
      <c r="N87" s="239">
        <f ca="1">IF(ROUND(K89,2)=0,K89,ROUND(K89,2))</f>
        <v>9700.16</v>
      </c>
      <c r="O87" s="91" t="s">
        <v>33</v>
      </c>
      <c r="P87" s="90">
        <f t="shared" ref="P87:V87" ca="1" si="156">IF($B89,0,P88-IF(ISNUMBER(O88),O88,0))</f>
        <v>0</v>
      </c>
      <c r="Q87" s="46">
        <f t="shared" ca="1" si="156"/>
        <v>0</v>
      </c>
      <c r="R87" s="46">
        <f t="shared" ca="1" si="156"/>
        <v>0</v>
      </c>
      <c r="S87" s="46">
        <f t="shared" ca="1" si="156"/>
        <v>0</v>
      </c>
      <c r="T87" s="46">
        <f t="shared" ca="1" si="156"/>
        <v>0</v>
      </c>
      <c r="U87" s="46">
        <f t="shared" ca="1" si="156"/>
        <v>0</v>
      </c>
      <c r="V87" s="46">
        <f t="shared" ca="1" si="156"/>
        <v>0</v>
      </c>
      <c r="W87" s="46">
        <v>0</v>
      </c>
      <c r="X87" s="90">
        <v>1</v>
      </c>
      <c r="Y87" s="46">
        <f t="shared" ref="Y87:AD87" ca="1" si="157">IF($B89,0,Y88-IF(ISNUMBER(X88),X88,0))</f>
        <v>0</v>
      </c>
      <c r="Z87" s="46">
        <f t="shared" ca="1" si="157"/>
        <v>0</v>
      </c>
      <c r="AA87" s="46">
        <f t="shared" ca="1" si="157"/>
        <v>0</v>
      </c>
      <c r="AB87" s="46">
        <f t="shared" ca="1" si="157"/>
        <v>0</v>
      </c>
      <c r="AC87" s="46">
        <f t="shared" ca="1" si="157"/>
        <v>0</v>
      </c>
      <c r="AD87" s="46">
        <f t="shared" ca="1" si="157"/>
        <v>0</v>
      </c>
      <c r="AE87" s="46">
        <v>1</v>
      </c>
      <c r="AF87" s="90">
        <f t="shared" ref="AF87:AL87" ca="1" si="158">IF($B89,0,AF88-IF(ISNUMBER(AE88),AE88,0))</f>
        <v>0</v>
      </c>
      <c r="AG87" s="46">
        <f t="shared" ca="1" si="158"/>
        <v>0</v>
      </c>
      <c r="AH87" s="46">
        <f t="shared" ca="1" si="158"/>
        <v>0</v>
      </c>
      <c r="AI87" s="46">
        <f t="shared" ca="1" si="158"/>
        <v>0</v>
      </c>
      <c r="AJ87" s="46">
        <f t="shared" ca="1" si="158"/>
        <v>0</v>
      </c>
      <c r="AK87" s="46">
        <f t="shared" ca="1" si="158"/>
        <v>0</v>
      </c>
      <c r="AL87" s="46">
        <f t="shared" ca="1" si="158"/>
        <v>0</v>
      </c>
      <c r="AM87" s="46">
        <v>1</v>
      </c>
      <c r="AN87" s="83"/>
    </row>
    <row r="88" spans="1:40" customFormat="1" ht="14.25" x14ac:dyDescent="0.2">
      <c r="A88" s="75"/>
      <c r="B88" s="75"/>
      <c r="C88" s="75"/>
      <c r="D88" s="75"/>
      <c r="E88" s="75"/>
      <c r="F88" s="75"/>
      <c r="G88" s="75"/>
      <c r="H88" s="75"/>
      <c r="I88" s="75"/>
      <c r="J88" s="75"/>
      <c r="K88" s="75"/>
      <c r="L88" s="236"/>
      <c r="M88" s="238"/>
      <c r="N88" s="240"/>
      <c r="O88" s="64" t="s">
        <v>35</v>
      </c>
      <c r="P88" s="85">
        <f t="shared" ref="P88:AM88" ca="1" si="159">MIN(IF($B89,P87+IF(ISNUMBER(O88),O88,0),P89/$N87),1)</f>
        <v>0</v>
      </c>
      <c r="Q88" s="62">
        <f t="shared" ca="1" si="159"/>
        <v>0</v>
      </c>
      <c r="R88" s="62">
        <f t="shared" ca="1" si="159"/>
        <v>0</v>
      </c>
      <c r="S88" s="62">
        <f t="shared" ca="1" si="159"/>
        <v>0</v>
      </c>
      <c r="T88" s="62">
        <f t="shared" ca="1" si="159"/>
        <v>0</v>
      </c>
      <c r="U88" s="62">
        <f t="shared" ca="1" si="159"/>
        <v>0</v>
      </c>
      <c r="V88" s="62">
        <f t="shared" ca="1" si="159"/>
        <v>0</v>
      </c>
      <c r="W88" s="62">
        <f t="shared" ca="1" si="159"/>
        <v>0</v>
      </c>
      <c r="X88" s="85">
        <f t="shared" ca="1" si="159"/>
        <v>1</v>
      </c>
      <c r="Y88" s="62">
        <f t="shared" ca="1" si="159"/>
        <v>1</v>
      </c>
      <c r="Z88" s="62">
        <f t="shared" ca="1" si="159"/>
        <v>1</v>
      </c>
      <c r="AA88" s="62">
        <f t="shared" ca="1" si="159"/>
        <v>1</v>
      </c>
      <c r="AB88" s="62">
        <f t="shared" ca="1" si="159"/>
        <v>1</v>
      </c>
      <c r="AC88" s="62">
        <f t="shared" ca="1" si="159"/>
        <v>1</v>
      </c>
      <c r="AD88" s="62">
        <f t="shared" ca="1" si="159"/>
        <v>1</v>
      </c>
      <c r="AE88" s="62">
        <f t="shared" ca="1" si="159"/>
        <v>1</v>
      </c>
      <c r="AF88" s="85">
        <f t="shared" ca="1" si="159"/>
        <v>1</v>
      </c>
      <c r="AG88" s="62">
        <f t="shared" ca="1" si="159"/>
        <v>1</v>
      </c>
      <c r="AH88" s="62">
        <f t="shared" ca="1" si="159"/>
        <v>1</v>
      </c>
      <c r="AI88" s="62">
        <f t="shared" ca="1" si="159"/>
        <v>1</v>
      </c>
      <c r="AJ88" s="62">
        <f t="shared" ca="1" si="159"/>
        <v>1</v>
      </c>
      <c r="AK88" s="62">
        <f t="shared" ca="1" si="159"/>
        <v>1</v>
      </c>
      <c r="AL88" s="62">
        <f t="shared" ca="1" si="159"/>
        <v>1</v>
      </c>
      <c r="AM88" s="62">
        <f t="shared" ca="1" si="159"/>
        <v>1</v>
      </c>
      <c r="AN88" s="83"/>
    </row>
    <row r="89" spans="1:40" customFormat="1" ht="14.25" x14ac:dyDescent="0.2">
      <c r="A89" s="75">
        <f ca="1">OFFSET(A89,-CFF.NumLinha,0)+1</f>
        <v>24</v>
      </c>
      <c r="B89" s="75" t="b">
        <f ca="1">$C89&gt;=OFFSET($C89,CFF.NumLinha,0)</f>
        <v>1</v>
      </c>
      <c r="C89" s="75">
        <f ca="1">INDEX(PO!A$11:A$367,MATCH($A89,PO!$W$11:$W$367,0))</f>
        <v>2</v>
      </c>
      <c r="D89" s="75">
        <f ca="1">IF(ISERROR(J89),I89,SMALL(I89:J89,1))-1</f>
        <v>2</v>
      </c>
      <c r="E89" s="75">
        <f ca="1">IF($C89=1,OFFSET(E89,-CFF.NumLinha,0)+1,OFFSET(E89,-CFF.NumLinha,0))</f>
        <v>9</v>
      </c>
      <c r="F89" s="75">
        <f ca="1">IF($C89=1,0,IF($C89=2,OFFSET(F89,-CFF.NumLinha,0)+1,OFFSET(F89,-CFF.NumLinha,0)))</f>
        <v>1</v>
      </c>
      <c r="G89" s="75">
        <f ca="1">IF(AND($C89&lt;=2,$C89&lt;&gt;0),0,IF($C89=3,OFFSET(G89,-CFF.NumLinha,0)+1,OFFSET(G89,-CFF.NumLinha,0)))</f>
        <v>0</v>
      </c>
      <c r="H89" s="75">
        <f ca="1">IF(AND($C89&lt;=3,$C89&lt;&gt;0),0,IF($C89=4,OFFSET(H89,-CFF.NumLinha,0)+1,OFFSET(H89,-CFF.NumLinha,0)))</f>
        <v>0</v>
      </c>
      <c r="I89" s="75">
        <f ca="1">MATCH(0,OFFSET($D89,1,$C89,ROW($A$114)-ROW($A89)),0)</f>
        <v>6</v>
      </c>
      <c r="J89" s="75">
        <f ca="1">MATCH(OFFSET($D89,0,$C89)+1,OFFSET($D89,1,$C89,ROW($A$114)-ROW($A89)),0)</f>
        <v>3</v>
      </c>
      <c r="K89" s="76">
        <f ca="1">ROUND(INDEX(PO!U$11:U$367,MATCH($A89,PO!$W$11:$W$367,0)),2)+10^-12</f>
        <v>9700.1600000000017</v>
      </c>
      <c r="L89" s="236"/>
      <c r="M89" s="238"/>
      <c r="N89" s="240"/>
      <c r="O89" s="93" t="s">
        <v>7</v>
      </c>
      <c r="P89" s="86">
        <f t="shared" ref="P89:W89" ca="1" si="160">IF($B89,ROUND(P88*$N87,2),ROUND(SUMIF(OFFSET($B89,1,0,$D89),TRUE,OFFSET(P89,1,0,$D89))/SUMIF(OFFSET($B89,1,0,$D89),TRUE,OFFSET($K89,1,0,$D89))*$N87,2))</f>
        <v>0</v>
      </c>
      <c r="Q89" s="63">
        <f t="shared" ca="1" si="160"/>
        <v>0</v>
      </c>
      <c r="R89" s="63">
        <f t="shared" ca="1" si="160"/>
        <v>0</v>
      </c>
      <c r="S89" s="63">
        <f t="shared" ca="1" si="160"/>
        <v>0</v>
      </c>
      <c r="T89" s="63">
        <f t="shared" ca="1" si="160"/>
        <v>0</v>
      </c>
      <c r="U89" s="63">
        <f t="shared" ca="1" si="160"/>
        <v>0</v>
      </c>
      <c r="V89" s="63">
        <f t="shared" ca="1" si="160"/>
        <v>0</v>
      </c>
      <c r="W89" s="96">
        <f t="shared" ca="1" si="160"/>
        <v>0</v>
      </c>
      <c r="X89" s="86">
        <f t="shared" ref="X89:AE89" ca="1" si="161">IF($B89,ROUND(X88*$N87,2),ROUND(SUMIF(OFFSET($B89,1,0,$D89),TRUE,OFFSET(X89,1,0,$D89))/SUMIF(OFFSET($B89,1,0,$D89),TRUE,OFFSET($K89,1,0,$D89))*$N87,2))</f>
        <v>9700.16</v>
      </c>
      <c r="Y89" s="63">
        <f t="shared" ca="1" si="161"/>
        <v>9700.16</v>
      </c>
      <c r="Z89" s="63">
        <f t="shared" ca="1" si="161"/>
        <v>9700.16</v>
      </c>
      <c r="AA89" s="63">
        <f t="shared" ca="1" si="161"/>
        <v>9700.16</v>
      </c>
      <c r="AB89" s="63">
        <f t="shared" ca="1" si="161"/>
        <v>9700.16</v>
      </c>
      <c r="AC89" s="63">
        <f t="shared" ca="1" si="161"/>
        <v>9700.16</v>
      </c>
      <c r="AD89" s="63">
        <f t="shared" ca="1" si="161"/>
        <v>9700.16</v>
      </c>
      <c r="AE89" s="96">
        <f t="shared" ca="1" si="161"/>
        <v>9700.16</v>
      </c>
      <c r="AF89" s="86">
        <f t="shared" ref="AF89:AM89" ca="1" si="162">IF($B89,ROUND(AF88*$N87,2),ROUND(SUMIF(OFFSET($B89,1,0,$D89),TRUE,OFFSET(AF89,1,0,$D89))/SUMIF(OFFSET($B89,1,0,$D89),TRUE,OFFSET($K89,1,0,$D89))*$N87,2))</f>
        <v>9700.16</v>
      </c>
      <c r="AG89" s="63">
        <f t="shared" ca="1" si="162"/>
        <v>9700.16</v>
      </c>
      <c r="AH89" s="63">
        <f t="shared" ca="1" si="162"/>
        <v>9700.16</v>
      </c>
      <c r="AI89" s="63">
        <f t="shared" ca="1" si="162"/>
        <v>9700.16</v>
      </c>
      <c r="AJ89" s="63">
        <f t="shared" ca="1" si="162"/>
        <v>9700.16</v>
      </c>
      <c r="AK89" s="63">
        <f t="shared" ca="1" si="162"/>
        <v>9700.16</v>
      </c>
      <c r="AL89" s="63">
        <f t="shared" ca="1" si="162"/>
        <v>9700.16</v>
      </c>
      <c r="AM89" s="96">
        <f t="shared" ca="1" si="162"/>
        <v>9700.16</v>
      </c>
      <c r="AN89" s="83"/>
    </row>
    <row r="90" spans="1:40" customFormat="1" ht="14.25" customHeight="1" x14ac:dyDescent="0.2">
      <c r="A90" s="1"/>
      <c r="B90" s="1"/>
      <c r="C90" s="1"/>
      <c r="D90" s="1"/>
      <c r="E90" s="1"/>
      <c r="F90" s="1"/>
      <c r="G90" s="1"/>
      <c r="H90" s="1"/>
      <c r="I90" s="1"/>
      <c r="J90" s="1"/>
      <c r="K90" s="1"/>
      <c r="L90" s="235" t="str">
        <f ca="1">INDEX(PO!K$11:K$367,MATCH($A92,PO!$W$11:$W$367,0))</f>
        <v>9.2.</v>
      </c>
      <c r="M90" s="237" t="str">
        <f ca="1">INDEX(PO!O$11:O$367,MATCH($A92,PO!$W$11:$W$367,0))</f>
        <v>ATIVIDADE 16 - VISITAS INFORMATIVAS - SÃO JOSÉ</v>
      </c>
      <c r="N90" s="239">
        <f ca="1">IF(ROUND(K92,2)=0,K92,ROUND(K92,2))</f>
        <v>7908.34</v>
      </c>
      <c r="O90" s="91" t="s">
        <v>33</v>
      </c>
      <c r="P90" s="90">
        <f t="shared" ref="P90:W90" ca="1" si="163">IF($B92,0,P91-IF(ISNUMBER(O91),O91,0))</f>
        <v>0</v>
      </c>
      <c r="Q90" s="46">
        <f t="shared" ca="1" si="163"/>
        <v>0</v>
      </c>
      <c r="R90" s="46">
        <f t="shared" ca="1" si="163"/>
        <v>0</v>
      </c>
      <c r="S90" s="46">
        <f t="shared" ca="1" si="163"/>
        <v>0</v>
      </c>
      <c r="T90" s="46">
        <f t="shared" ca="1" si="163"/>
        <v>0</v>
      </c>
      <c r="U90" s="46">
        <f t="shared" ca="1" si="163"/>
        <v>0</v>
      </c>
      <c r="V90" s="46">
        <f t="shared" ca="1" si="163"/>
        <v>0</v>
      </c>
      <c r="W90" s="46">
        <f t="shared" ca="1" si="163"/>
        <v>0</v>
      </c>
      <c r="X90" s="90">
        <v>1</v>
      </c>
      <c r="Y90" s="46">
        <f t="shared" ref="Y90:AM90" ca="1" si="164">IF($B92,0,Y91-IF(ISNUMBER(X91),X91,0))</f>
        <v>0</v>
      </c>
      <c r="Z90" s="46">
        <f t="shared" ca="1" si="164"/>
        <v>0</v>
      </c>
      <c r="AA90" s="46">
        <f t="shared" ca="1" si="164"/>
        <v>0</v>
      </c>
      <c r="AB90" s="46">
        <f t="shared" ca="1" si="164"/>
        <v>0</v>
      </c>
      <c r="AC90" s="46">
        <f t="shared" ca="1" si="164"/>
        <v>0</v>
      </c>
      <c r="AD90" s="46">
        <f t="shared" ca="1" si="164"/>
        <v>0</v>
      </c>
      <c r="AE90" s="46">
        <f t="shared" ca="1" si="164"/>
        <v>0</v>
      </c>
      <c r="AF90" s="90">
        <f t="shared" ca="1" si="164"/>
        <v>0</v>
      </c>
      <c r="AG90" s="46">
        <f t="shared" ca="1" si="164"/>
        <v>0</v>
      </c>
      <c r="AH90" s="46">
        <f t="shared" ca="1" si="164"/>
        <v>0</v>
      </c>
      <c r="AI90" s="46">
        <f t="shared" ca="1" si="164"/>
        <v>0</v>
      </c>
      <c r="AJ90" s="46">
        <f t="shared" ca="1" si="164"/>
        <v>0</v>
      </c>
      <c r="AK90" s="46">
        <f t="shared" ca="1" si="164"/>
        <v>0</v>
      </c>
      <c r="AL90" s="46">
        <f t="shared" ca="1" si="164"/>
        <v>0</v>
      </c>
      <c r="AM90" s="46">
        <f t="shared" ca="1" si="164"/>
        <v>0</v>
      </c>
      <c r="AN90" s="83"/>
    </row>
    <row r="91" spans="1:40" customFormat="1" ht="14.25" x14ac:dyDescent="0.2">
      <c r="A91" s="75"/>
      <c r="B91" s="75"/>
      <c r="C91" s="75"/>
      <c r="D91" s="75"/>
      <c r="E91" s="75"/>
      <c r="F91" s="75"/>
      <c r="G91" s="75"/>
      <c r="H91" s="75"/>
      <c r="I91" s="75"/>
      <c r="J91" s="75"/>
      <c r="K91" s="75"/>
      <c r="L91" s="236"/>
      <c r="M91" s="238"/>
      <c r="N91" s="240"/>
      <c r="O91" s="64" t="s">
        <v>35</v>
      </c>
      <c r="P91" s="85">
        <f t="shared" ref="P91:AM91" ca="1" si="165">MIN(IF($B92,P90+IF(ISNUMBER(O91),O91,0),P92/$N90),1)</f>
        <v>0</v>
      </c>
      <c r="Q91" s="62">
        <f t="shared" ca="1" si="165"/>
        <v>0</v>
      </c>
      <c r="R91" s="62">
        <f t="shared" ca="1" si="165"/>
        <v>0</v>
      </c>
      <c r="S91" s="62">
        <f t="shared" ca="1" si="165"/>
        <v>0</v>
      </c>
      <c r="T91" s="62">
        <f t="shared" ca="1" si="165"/>
        <v>0</v>
      </c>
      <c r="U91" s="62">
        <f t="shared" ca="1" si="165"/>
        <v>0</v>
      </c>
      <c r="V91" s="62">
        <f t="shared" ca="1" si="165"/>
        <v>0</v>
      </c>
      <c r="W91" s="62">
        <f t="shared" ca="1" si="165"/>
        <v>0</v>
      </c>
      <c r="X91" s="85">
        <f t="shared" ca="1" si="165"/>
        <v>1</v>
      </c>
      <c r="Y91" s="62">
        <f t="shared" ca="1" si="165"/>
        <v>1</v>
      </c>
      <c r="Z91" s="62">
        <f t="shared" ca="1" si="165"/>
        <v>1</v>
      </c>
      <c r="AA91" s="62">
        <f t="shared" ca="1" si="165"/>
        <v>1</v>
      </c>
      <c r="AB91" s="62">
        <f t="shared" ca="1" si="165"/>
        <v>1</v>
      </c>
      <c r="AC91" s="62">
        <f t="shared" ca="1" si="165"/>
        <v>1</v>
      </c>
      <c r="AD91" s="62">
        <f t="shared" ca="1" si="165"/>
        <v>1</v>
      </c>
      <c r="AE91" s="62">
        <f t="shared" ca="1" si="165"/>
        <v>1</v>
      </c>
      <c r="AF91" s="85">
        <f t="shared" ca="1" si="165"/>
        <v>1</v>
      </c>
      <c r="AG91" s="62">
        <f t="shared" ca="1" si="165"/>
        <v>1</v>
      </c>
      <c r="AH91" s="62">
        <f t="shared" ca="1" si="165"/>
        <v>1</v>
      </c>
      <c r="AI91" s="62">
        <f t="shared" ca="1" si="165"/>
        <v>1</v>
      </c>
      <c r="AJ91" s="62">
        <f t="shared" ca="1" si="165"/>
        <v>1</v>
      </c>
      <c r="AK91" s="62">
        <f t="shared" ca="1" si="165"/>
        <v>1</v>
      </c>
      <c r="AL91" s="62">
        <f t="shared" ca="1" si="165"/>
        <v>1</v>
      </c>
      <c r="AM91" s="62">
        <f t="shared" ca="1" si="165"/>
        <v>1</v>
      </c>
      <c r="AN91" s="83"/>
    </row>
    <row r="92" spans="1:40" customFormat="1" ht="14.25" x14ac:dyDescent="0.2">
      <c r="A92" s="75">
        <f ca="1">OFFSET(A92,-CFF.NumLinha,0)+1</f>
        <v>25</v>
      </c>
      <c r="B92" s="75" t="b">
        <f ca="1">$C92&gt;=OFFSET($C92,CFF.NumLinha,0)</f>
        <v>1</v>
      </c>
      <c r="C92" s="75">
        <f ca="1">INDEX(PO!A$11:A$367,MATCH($A92,PO!$W$11:$W$367,0))</f>
        <v>2</v>
      </c>
      <c r="D92" s="75">
        <f ca="1">IF(ISERROR(J92),I92,SMALL(I92:J92,1))-1</f>
        <v>2</v>
      </c>
      <c r="E92" s="75">
        <f ca="1">IF($C92=1,OFFSET(E92,-CFF.NumLinha,0)+1,OFFSET(E92,-CFF.NumLinha,0))</f>
        <v>9</v>
      </c>
      <c r="F92" s="75">
        <f ca="1">IF($C92=1,0,IF($C92=2,OFFSET(F92,-CFF.NumLinha,0)+1,OFFSET(F92,-CFF.NumLinha,0)))</f>
        <v>2</v>
      </c>
      <c r="G92" s="75">
        <f ca="1">IF(AND($C92&lt;=2,$C92&lt;&gt;0),0,IF($C92=3,OFFSET(G92,-CFF.NumLinha,0)+1,OFFSET(G92,-CFF.NumLinha,0)))</f>
        <v>0</v>
      </c>
      <c r="H92" s="75">
        <f ca="1">IF(AND($C92&lt;=3,$C92&lt;&gt;0),0,IF($C92=4,OFFSET(H92,-CFF.NumLinha,0)+1,OFFSET(H92,-CFF.NumLinha,0)))</f>
        <v>0</v>
      </c>
      <c r="I92" s="75">
        <f ca="1">MATCH(0,OFFSET($D92,1,$C92,ROW($A$114)-ROW($A92)),0)</f>
        <v>3</v>
      </c>
      <c r="J92" s="75" t="e">
        <f ca="1">MATCH(OFFSET($D92,0,$C92)+1,OFFSET($D92,1,$C92,ROW($A$114)-ROW($A92)),0)</f>
        <v>#N/A</v>
      </c>
      <c r="K92" s="76">
        <f ca="1">ROUND(INDEX(PO!U$11:U$367,MATCH($A92,PO!$W$11:$W$367,0)),2)+10^-12</f>
        <v>7908.3400000000011</v>
      </c>
      <c r="L92" s="236"/>
      <c r="M92" s="238"/>
      <c r="N92" s="240"/>
      <c r="O92" s="93" t="s">
        <v>7</v>
      </c>
      <c r="P92" s="86">
        <f t="shared" ref="P92:W92" ca="1" si="166">IF($B92,ROUND(P91*$N90,2),ROUND(SUMIF(OFFSET($B92,1,0,$D92),TRUE,OFFSET(P92,1,0,$D92))/SUMIF(OFFSET($B92,1,0,$D92),TRUE,OFFSET($K92,1,0,$D92))*$N90,2))</f>
        <v>0</v>
      </c>
      <c r="Q92" s="63">
        <f t="shared" ca="1" si="166"/>
        <v>0</v>
      </c>
      <c r="R92" s="63">
        <f t="shared" ca="1" si="166"/>
        <v>0</v>
      </c>
      <c r="S92" s="63">
        <f t="shared" ca="1" si="166"/>
        <v>0</v>
      </c>
      <c r="T92" s="63">
        <f t="shared" ca="1" si="166"/>
        <v>0</v>
      </c>
      <c r="U92" s="63">
        <f t="shared" ca="1" si="166"/>
        <v>0</v>
      </c>
      <c r="V92" s="63">
        <f t="shared" ca="1" si="166"/>
        <v>0</v>
      </c>
      <c r="W92" s="96">
        <f t="shared" ca="1" si="166"/>
        <v>0</v>
      </c>
      <c r="X92" s="86">
        <f t="shared" ref="X92:AE92" ca="1" si="167">IF($B92,ROUND(X91*$N90,2),ROUND(SUMIF(OFFSET($B92,1,0,$D92),TRUE,OFFSET(X92,1,0,$D92))/SUMIF(OFFSET($B92,1,0,$D92),TRUE,OFFSET($K92,1,0,$D92))*$N90,2))</f>
        <v>7908.34</v>
      </c>
      <c r="Y92" s="63">
        <f t="shared" ca="1" si="167"/>
        <v>7908.34</v>
      </c>
      <c r="Z92" s="63">
        <f t="shared" ca="1" si="167"/>
        <v>7908.34</v>
      </c>
      <c r="AA92" s="63">
        <f t="shared" ca="1" si="167"/>
        <v>7908.34</v>
      </c>
      <c r="AB92" s="63">
        <f t="shared" ca="1" si="167"/>
        <v>7908.34</v>
      </c>
      <c r="AC92" s="63">
        <f t="shared" ca="1" si="167"/>
        <v>7908.34</v>
      </c>
      <c r="AD92" s="63">
        <f t="shared" ca="1" si="167"/>
        <v>7908.34</v>
      </c>
      <c r="AE92" s="96">
        <f t="shared" ca="1" si="167"/>
        <v>7908.34</v>
      </c>
      <c r="AF92" s="86">
        <f t="shared" ref="AF92:AM92" ca="1" si="168">IF($B92,ROUND(AF91*$N90,2),ROUND(SUMIF(OFFSET($B92,1,0,$D92),TRUE,OFFSET(AF92,1,0,$D92))/SUMIF(OFFSET($B92,1,0,$D92),TRUE,OFFSET($K92,1,0,$D92))*$N90,2))</f>
        <v>7908.34</v>
      </c>
      <c r="AG92" s="63">
        <f t="shared" ca="1" si="168"/>
        <v>7908.34</v>
      </c>
      <c r="AH92" s="63">
        <f t="shared" ca="1" si="168"/>
        <v>7908.34</v>
      </c>
      <c r="AI92" s="63">
        <f t="shared" ca="1" si="168"/>
        <v>7908.34</v>
      </c>
      <c r="AJ92" s="63">
        <f t="shared" ca="1" si="168"/>
        <v>7908.34</v>
      </c>
      <c r="AK92" s="63">
        <f t="shared" ca="1" si="168"/>
        <v>7908.34</v>
      </c>
      <c r="AL92" s="63">
        <f t="shared" ca="1" si="168"/>
        <v>7908.34</v>
      </c>
      <c r="AM92" s="96">
        <f t="shared" ca="1" si="168"/>
        <v>7908.34</v>
      </c>
      <c r="AN92" s="83"/>
    </row>
    <row r="93" spans="1:40" customFormat="1" ht="14.25" customHeight="1" x14ac:dyDescent="0.2">
      <c r="A93" s="1"/>
      <c r="B93" s="1"/>
      <c r="C93" s="1"/>
      <c r="D93" s="1"/>
      <c r="E93" s="1"/>
      <c r="F93" s="1"/>
      <c r="G93" s="1"/>
      <c r="H93" s="1"/>
      <c r="I93" s="1"/>
      <c r="J93" s="1"/>
      <c r="K93" s="1"/>
      <c r="L93" s="235" t="str">
        <f ca="1">INDEX(PO!K$11:K$367,MATCH($A95,PO!$W$11:$W$367,0))</f>
        <v>10.</v>
      </c>
      <c r="M93" s="237" t="str">
        <f ca="1">INDEX(PO!O$11:O$367,MATCH($A95,PO!$W$11:$W$367,0))</f>
        <v>10 MÊS - MOBILIZAÇÃO, ORGANIZAÇÃO E FORTALECIMENTO SOCIAL E GESTÃO SOCIAL DA INTERVENÇÃO</v>
      </c>
      <c r="N93" s="239">
        <f ca="1">IF(ROUND(K95,2)=0,K95,ROUND(K95,2))</f>
        <v>25490.68</v>
      </c>
      <c r="O93" s="91" t="s">
        <v>33</v>
      </c>
      <c r="P93" s="90">
        <f t="shared" ref="P93:W93" ca="1" si="169">IF($B95,0,P94-IF(ISNUMBER(O94),O94,0))</f>
        <v>0</v>
      </c>
      <c r="Q93" s="46">
        <f t="shared" ca="1" si="169"/>
        <v>0</v>
      </c>
      <c r="R93" s="46">
        <f t="shared" ca="1" si="169"/>
        <v>0</v>
      </c>
      <c r="S93" s="46">
        <f t="shared" ca="1" si="169"/>
        <v>0</v>
      </c>
      <c r="T93" s="46">
        <f t="shared" ca="1" si="169"/>
        <v>0</v>
      </c>
      <c r="U93" s="46">
        <f t="shared" ca="1" si="169"/>
        <v>0</v>
      </c>
      <c r="V93" s="46">
        <f t="shared" ca="1" si="169"/>
        <v>0</v>
      </c>
      <c r="W93" s="46">
        <f t="shared" ca="1" si="169"/>
        <v>0</v>
      </c>
      <c r="X93" s="90">
        <v>1</v>
      </c>
      <c r="Y93" s="46">
        <f t="shared" ref="Y93:AM93" ca="1" si="170">IF($B95,0,Y94-IF(ISNUMBER(X94),X94,0))</f>
        <v>1</v>
      </c>
      <c r="Z93" s="46">
        <f t="shared" ca="1" si="170"/>
        <v>0</v>
      </c>
      <c r="AA93" s="46">
        <f t="shared" ca="1" si="170"/>
        <v>0</v>
      </c>
      <c r="AB93" s="46">
        <f t="shared" ca="1" si="170"/>
        <v>0</v>
      </c>
      <c r="AC93" s="46">
        <f t="shared" ca="1" si="170"/>
        <v>0</v>
      </c>
      <c r="AD93" s="46">
        <f t="shared" ca="1" si="170"/>
        <v>0</v>
      </c>
      <c r="AE93" s="46">
        <f t="shared" ca="1" si="170"/>
        <v>0</v>
      </c>
      <c r="AF93" s="90">
        <f t="shared" ca="1" si="170"/>
        <v>0</v>
      </c>
      <c r="AG93" s="46">
        <f t="shared" ca="1" si="170"/>
        <v>0</v>
      </c>
      <c r="AH93" s="46">
        <f t="shared" ca="1" si="170"/>
        <v>0</v>
      </c>
      <c r="AI93" s="46">
        <f t="shared" ca="1" si="170"/>
        <v>0</v>
      </c>
      <c r="AJ93" s="46">
        <f t="shared" ca="1" si="170"/>
        <v>0</v>
      </c>
      <c r="AK93" s="46">
        <f t="shared" ca="1" si="170"/>
        <v>0</v>
      </c>
      <c r="AL93" s="46">
        <f t="shared" ca="1" si="170"/>
        <v>0</v>
      </c>
      <c r="AM93" s="46">
        <f t="shared" ca="1" si="170"/>
        <v>0</v>
      </c>
      <c r="AN93" s="83"/>
    </row>
    <row r="94" spans="1:40" customFormat="1" ht="14.25" x14ac:dyDescent="0.2">
      <c r="A94" s="75"/>
      <c r="B94" s="75"/>
      <c r="C94" s="75"/>
      <c r="D94" s="75"/>
      <c r="E94" s="75"/>
      <c r="F94" s="75"/>
      <c r="G94" s="75"/>
      <c r="H94" s="75"/>
      <c r="I94" s="75"/>
      <c r="J94" s="75"/>
      <c r="K94" s="75"/>
      <c r="L94" s="236"/>
      <c r="M94" s="238"/>
      <c r="N94" s="240"/>
      <c r="O94" s="64" t="s">
        <v>35</v>
      </c>
      <c r="P94" s="85">
        <f t="shared" ref="P94:AM94" ca="1" si="171">MIN(IF($B95,P93+IF(ISNUMBER(O94),O94,0),P95/$N93),1)</f>
        <v>0</v>
      </c>
      <c r="Q94" s="62">
        <f t="shared" ca="1" si="171"/>
        <v>0</v>
      </c>
      <c r="R94" s="62">
        <f t="shared" ca="1" si="171"/>
        <v>0</v>
      </c>
      <c r="S94" s="62">
        <f t="shared" ca="1" si="171"/>
        <v>0</v>
      </c>
      <c r="T94" s="62">
        <f t="shared" ca="1" si="171"/>
        <v>0</v>
      </c>
      <c r="U94" s="62">
        <f t="shared" ca="1" si="171"/>
        <v>0</v>
      </c>
      <c r="V94" s="62">
        <f t="shared" ca="1" si="171"/>
        <v>0</v>
      </c>
      <c r="W94" s="62">
        <f t="shared" ca="1" si="171"/>
        <v>0</v>
      </c>
      <c r="X94" s="85">
        <f t="shared" ca="1" si="171"/>
        <v>0</v>
      </c>
      <c r="Y94" s="62">
        <f t="shared" ca="1" si="171"/>
        <v>1</v>
      </c>
      <c r="Z94" s="62">
        <f t="shared" ca="1" si="171"/>
        <v>1</v>
      </c>
      <c r="AA94" s="62">
        <f t="shared" ca="1" si="171"/>
        <v>1</v>
      </c>
      <c r="AB94" s="62">
        <f t="shared" ca="1" si="171"/>
        <v>1</v>
      </c>
      <c r="AC94" s="62">
        <f t="shared" ca="1" si="171"/>
        <v>1</v>
      </c>
      <c r="AD94" s="62">
        <f t="shared" ca="1" si="171"/>
        <v>1</v>
      </c>
      <c r="AE94" s="62">
        <f t="shared" ca="1" si="171"/>
        <v>1</v>
      </c>
      <c r="AF94" s="85">
        <f t="shared" ca="1" si="171"/>
        <v>1</v>
      </c>
      <c r="AG94" s="62">
        <f t="shared" ca="1" si="171"/>
        <v>1</v>
      </c>
      <c r="AH94" s="62">
        <f t="shared" ca="1" si="171"/>
        <v>1</v>
      </c>
      <c r="AI94" s="62">
        <f t="shared" ca="1" si="171"/>
        <v>1</v>
      </c>
      <c r="AJ94" s="62">
        <f t="shared" ca="1" si="171"/>
        <v>1</v>
      </c>
      <c r="AK94" s="62">
        <f t="shared" ca="1" si="171"/>
        <v>1</v>
      </c>
      <c r="AL94" s="62">
        <f t="shared" ca="1" si="171"/>
        <v>1</v>
      </c>
      <c r="AM94" s="62">
        <f t="shared" ca="1" si="171"/>
        <v>1</v>
      </c>
      <c r="AN94" s="83"/>
    </row>
    <row r="95" spans="1:40" customFormat="1" ht="14.25" x14ac:dyDescent="0.2">
      <c r="A95" s="75">
        <f ca="1">OFFSET(A95,-CFF.NumLinha,0)+1</f>
        <v>26</v>
      </c>
      <c r="B95" s="75" t="b">
        <f ca="1">$C95&gt;=OFFSET($C95,CFF.NumLinha,0)</f>
        <v>0</v>
      </c>
      <c r="C95" s="75">
        <f ca="1">INDEX(PO!A$11:A$367,MATCH($A95,PO!$W$11:$W$367,0))</f>
        <v>1</v>
      </c>
      <c r="D95" s="75">
        <f ca="1">IF(ISERROR(J95),I95,SMALL(I95:J95,1))-1</f>
        <v>8</v>
      </c>
      <c r="E95" s="75">
        <f ca="1">IF($C95=1,OFFSET(E95,-CFF.NumLinha,0)+1,OFFSET(E95,-CFF.NumLinha,0))</f>
        <v>10</v>
      </c>
      <c r="F95" s="75">
        <f ca="1">IF($C95=1,0,IF($C95=2,OFFSET(F95,-CFF.NumLinha,0)+1,OFFSET(F95,-CFF.NumLinha,0)))</f>
        <v>0</v>
      </c>
      <c r="G95" s="75">
        <f ca="1">IF(AND($C95&lt;=2,$C95&lt;&gt;0),0,IF($C95=3,OFFSET(G95,-CFF.NumLinha,0)+1,OFFSET(G95,-CFF.NumLinha,0)))</f>
        <v>0</v>
      </c>
      <c r="H95" s="75">
        <f ca="1">IF(AND($C95&lt;=3,$C95&lt;&gt;0),0,IF($C95=4,OFFSET(H95,-CFF.NumLinha,0)+1,OFFSET(H95,-CFF.NumLinha,0)))</f>
        <v>0</v>
      </c>
      <c r="I95" s="75">
        <f ca="1">MATCH(0,OFFSET($D95,1,$C95,ROW($A$114)-ROW($A95)),0)</f>
        <v>19</v>
      </c>
      <c r="J95" s="75">
        <f ca="1">MATCH(OFFSET($D95,0,$C95)+1,OFFSET($D95,1,$C95,ROW($A$114)-ROW($A95)),0)</f>
        <v>9</v>
      </c>
      <c r="K95" s="76">
        <f ca="1">ROUND(INDEX(PO!U$11:U$367,MATCH($A95,PO!$W$11:$W$367,0)),2)+10^-12</f>
        <v>25490.68</v>
      </c>
      <c r="L95" s="236"/>
      <c r="M95" s="238"/>
      <c r="N95" s="240"/>
      <c r="O95" s="93" t="s">
        <v>7</v>
      </c>
      <c r="P95" s="86">
        <f t="shared" ref="P95:W95" ca="1" si="172">IF($B95,ROUND(P94*$N93,2),ROUND(SUMIF(OFFSET($B95,1,0,$D95),TRUE,OFFSET(P95,1,0,$D95))/SUMIF(OFFSET($B95,1,0,$D95),TRUE,OFFSET($K95,1,0,$D95))*$N93,2))</f>
        <v>0</v>
      </c>
      <c r="Q95" s="63">
        <f t="shared" ca="1" si="172"/>
        <v>0</v>
      </c>
      <c r="R95" s="63">
        <f t="shared" ca="1" si="172"/>
        <v>0</v>
      </c>
      <c r="S95" s="63">
        <f t="shared" ca="1" si="172"/>
        <v>0</v>
      </c>
      <c r="T95" s="63">
        <f t="shared" ca="1" si="172"/>
        <v>0</v>
      </c>
      <c r="U95" s="63">
        <f t="shared" ca="1" si="172"/>
        <v>0</v>
      </c>
      <c r="V95" s="63">
        <f t="shared" ca="1" si="172"/>
        <v>0</v>
      </c>
      <c r="W95" s="96">
        <f t="shared" ca="1" si="172"/>
        <v>0</v>
      </c>
      <c r="X95" s="86">
        <f t="shared" ref="X95:AE95" ca="1" si="173">IF($B95,ROUND(X94*$N93,2),ROUND(SUMIF(OFFSET($B95,1,0,$D95),TRUE,OFFSET(X95,1,0,$D95))/SUMIF(OFFSET($B95,1,0,$D95),TRUE,OFFSET($K95,1,0,$D95))*$N93,2))</f>
        <v>0</v>
      </c>
      <c r="Y95" s="63">
        <f t="shared" ca="1" si="173"/>
        <v>25490.68</v>
      </c>
      <c r="Z95" s="63">
        <f t="shared" ca="1" si="173"/>
        <v>25490.68</v>
      </c>
      <c r="AA95" s="63">
        <f t="shared" ca="1" si="173"/>
        <v>25490.68</v>
      </c>
      <c r="AB95" s="63">
        <f t="shared" ca="1" si="173"/>
        <v>25490.68</v>
      </c>
      <c r="AC95" s="63">
        <f t="shared" ca="1" si="173"/>
        <v>25490.68</v>
      </c>
      <c r="AD95" s="63">
        <f t="shared" ca="1" si="173"/>
        <v>25490.68</v>
      </c>
      <c r="AE95" s="96">
        <f t="shared" ca="1" si="173"/>
        <v>25490.68</v>
      </c>
      <c r="AF95" s="86">
        <f t="shared" ref="AF95:AM95" ca="1" si="174">IF($B95,ROUND(AF94*$N93,2),ROUND(SUMIF(OFFSET($B95,1,0,$D95),TRUE,OFFSET(AF95,1,0,$D95))/SUMIF(OFFSET($B95,1,0,$D95),TRUE,OFFSET($K95,1,0,$D95))*$N93,2))</f>
        <v>25490.68</v>
      </c>
      <c r="AG95" s="63">
        <f t="shared" ca="1" si="174"/>
        <v>25490.68</v>
      </c>
      <c r="AH95" s="63">
        <f t="shared" ca="1" si="174"/>
        <v>25490.68</v>
      </c>
      <c r="AI95" s="63">
        <f t="shared" ca="1" si="174"/>
        <v>25490.68</v>
      </c>
      <c r="AJ95" s="63">
        <f t="shared" ca="1" si="174"/>
        <v>25490.68</v>
      </c>
      <c r="AK95" s="63">
        <f t="shared" ca="1" si="174"/>
        <v>25490.68</v>
      </c>
      <c r="AL95" s="63">
        <f t="shared" ca="1" si="174"/>
        <v>25490.68</v>
      </c>
      <c r="AM95" s="96">
        <f t="shared" ca="1" si="174"/>
        <v>25490.68</v>
      </c>
      <c r="AN95" s="83"/>
    </row>
    <row r="96" spans="1:40" customFormat="1" ht="14.25" customHeight="1" x14ac:dyDescent="0.2">
      <c r="A96" s="1"/>
      <c r="B96" s="1"/>
      <c r="C96" s="1"/>
      <c r="D96" s="1"/>
      <c r="E96" s="1"/>
      <c r="F96" s="1"/>
      <c r="G96" s="1"/>
      <c r="H96" s="1"/>
      <c r="I96" s="1"/>
      <c r="J96" s="1"/>
      <c r="K96" s="1"/>
      <c r="L96" s="235" t="str">
        <f ca="1">INDEX(PO!K$11:K$367,MATCH($A98,PO!$W$11:$W$367,0))</f>
        <v>10.1.</v>
      </c>
      <c r="M96" s="237" t="str">
        <f ca="1">INDEX(PO!O$11:O$367,MATCH($A98,PO!$W$11:$W$367,0))</f>
        <v>ATIVIDADE 17 - REUNIÃO COMUNITÁRIA - MONTE CASTELO</v>
      </c>
      <c r="N96" s="239">
        <f ca="1">IF(ROUND(K98,2)=0,K98,ROUND(K98,2))</f>
        <v>17995.78</v>
      </c>
      <c r="O96" s="91" t="s">
        <v>33</v>
      </c>
      <c r="P96" s="90">
        <f t="shared" ref="P96:W96" ca="1" si="175">IF($B98,0,P97-IF(ISNUMBER(O97),O97,0))</f>
        <v>0</v>
      </c>
      <c r="Q96" s="46">
        <f t="shared" ca="1" si="175"/>
        <v>0</v>
      </c>
      <c r="R96" s="46">
        <f t="shared" ca="1" si="175"/>
        <v>0</v>
      </c>
      <c r="S96" s="46">
        <f t="shared" ca="1" si="175"/>
        <v>0</v>
      </c>
      <c r="T96" s="46">
        <f t="shared" ca="1" si="175"/>
        <v>0</v>
      </c>
      <c r="U96" s="46">
        <f t="shared" ca="1" si="175"/>
        <v>0</v>
      </c>
      <c r="V96" s="46">
        <f t="shared" ca="1" si="175"/>
        <v>0</v>
      </c>
      <c r="W96" s="46">
        <f t="shared" ca="1" si="175"/>
        <v>0</v>
      </c>
      <c r="X96" s="90">
        <v>0</v>
      </c>
      <c r="Y96" s="46">
        <v>1</v>
      </c>
      <c r="Z96" s="46">
        <f t="shared" ref="Z96:AM96" ca="1" si="176">IF($B98,0,Z97-IF(ISNUMBER(Y97),Y97,0))</f>
        <v>0</v>
      </c>
      <c r="AA96" s="46">
        <f t="shared" ca="1" si="176"/>
        <v>0</v>
      </c>
      <c r="AB96" s="46">
        <f t="shared" ca="1" si="176"/>
        <v>0</v>
      </c>
      <c r="AC96" s="46">
        <f t="shared" ca="1" si="176"/>
        <v>0</v>
      </c>
      <c r="AD96" s="46">
        <f t="shared" ca="1" si="176"/>
        <v>0</v>
      </c>
      <c r="AE96" s="46">
        <f t="shared" ca="1" si="176"/>
        <v>0</v>
      </c>
      <c r="AF96" s="90">
        <f t="shared" ca="1" si="176"/>
        <v>0</v>
      </c>
      <c r="AG96" s="46">
        <f t="shared" ca="1" si="176"/>
        <v>0</v>
      </c>
      <c r="AH96" s="46">
        <f t="shared" ca="1" si="176"/>
        <v>0</v>
      </c>
      <c r="AI96" s="46">
        <f t="shared" ca="1" si="176"/>
        <v>0</v>
      </c>
      <c r="AJ96" s="46">
        <f t="shared" ca="1" si="176"/>
        <v>0</v>
      </c>
      <c r="AK96" s="46">
        <f t="shared" ca="1" si="176"/>
        <v>0</v>
      </c>
      <c r="AL96" s="46">
        <f t="shared" ca="1" si="176"/>
        <v>0</v>
      </c>
      <c r="AM96" s="46">
        <f t="shared" ca="1" si="176"/>
        <v>0</v>
      </c>
      <c r="AN96" s="83"/>
    </row>
    <row r="97" spans="1:40" customFormat="1" ht="14.25" x14ac:dyDescent="0.2">
      <c r="A97" s="75"/>
      <c r="B97" s="75"/>
      <c r="C97" s="75"/>
      <c r="D97" s="75"/>
      <c r="E97" s="75"/>
      <c r="F97" s="75"/>
      <c r="G97" s="75"/>
      <c r="H97" s="75"/>
      <c r="I97" s="75"/>
      <c r="J97" s="75"/>
      <c r="K97" s="75"/>
      <c r="L97" s="236"/>
      <c r="M97" s="238"/>
      <c r="N97" s="240"/>
      <c r="O97" s="64" t="s">
        <v>35</v>
      </c>
      <c r="P97" s="85">
        <f t="shared" ref="P97:AM97" ca="1" si="177">MIN(IF($B98,P96+IF(ISNUMBER(O97),O97,0),P98/$N96),1)</f>
        <v>0</v>
      </c>
      <c r="Q97" s="62">
        <f t="shared" ca="1" si="177"/>
        <v>0</v>
      </c>
      <c r="R97" s="62">
        <f t="shared" ca="1" si="177"/>
        <v>0</v>
      </c>
      <c r="S97" s="62">
        <f t="shared" ca="1" si="177"/>
        <v>0</v>
      </c>
      <c r="T97" s="62">
        <f t="shared" ca="1" si="177"/>
        <v>0</v>
      </c>
      <c r="U97" s="62">
        <f t="shared" ca="1" si="177"/>
        <v>0</v>
      </c>
      <c r="V97" s="62">
        <f t="shared" ca="1" si="177"/>
        <v>0</v>
      </c>
      <c r="W97" s="62">
        <f t="shared" ca="1" si="177"/>
        <v>0</v>
      </c>
      <c r="X97" s="85">
        <f t="shared" ca="1" si="177"/>
        <v>0</v>
      </c>
      <c r="Y97" s="62">
        <f t="shared" ca="1" si="177"/>
        <v>1</v>
      </c>
      <c r="Z97" s="62">
        <f t="shared" ca="1" si="177"/>
        <v>1</v>
      </c>
      <c r="AA97" s="62">
        <f t="shared" ca="1" si="177"/>
        <v>1</v>
      </c>
      <c r="AB97" s="62">
        <f t="shared" ca="1" si="177"/>
        <v>1</v>
      </c>
      <c r="AC97" s="62">
        <f t="shared" ca="1" si="177"/>
        <v>1</v>
      </c>
      <c r="AD97" s="62">
        <f t="shared" ca="1" si="177"/>
        <v>1</v>
      </c>
      <c r="AE97" s="62">
        <f t="shared" ca="1" si="177"/>
        <v>1</v>
      </c>
      <c r="AF97" s="85">
        <f t="shared" ca="1" si="177"/>
        <v>1</v>
      </c>
      <c r="AG97" s="62">
        <f t="shared" ca="1" si="177"/>
        <v>1</v>
      </c>
      <c r="AH97" s="62">
        <f t="shared" ca="1" si="177"/>
        <v>1</v>
      </c>
      <c r="AI97" s="62">
        <f t="shared" ca="1" si="177"/>
        <v>1</v>
      </c>
      <c r="AJ97" s="62">
        <f t="shared" ca="1" si="177"/>
        <v>1</v>
      </c>
      <c r="AK97" s="62">
        <f t="shared" ca="1" si="177"/>
        <v>1</v>
      </c>
      <c r="AL97" s="62">
        <f t="shared" ca="1" si="177"/>
        <v>1</v>
      </c>
      <c r="AM97" s="62">
        <f t="shared" ca="1" si="177"/>
        <v>1</v>
      </c>
      <c r="AN97" s="83"/>
    </row>
    <row r="98" spans="1:40" customFormat="1" ht="14.25" x14ac:dyDescent="0.2">
      <c r="A98" s="75">
        <f ca="1">OFFSET(A98,-CFF.NumLinha,0)+1</f>
        <v>27</v>
      </c>
      <c r="B98" s="75" t="b">
        <f ca="1">$C98&gt;=OFFSET($C98,CFF.NumLinha,0)</f>
        <v>1</v>
      </c>
      <c r="C98" s="75">
        <f ca="1">INDEX(PO!A$11:A$367,MATCH($A98,PO!$W$11:$W$367,0))</f>
        <v>2</v>
      </c>
      <c r="D98" s="75">
        <f ca="1">IF(ISERROR(J98),I98,SMALL(I98:J98,1))-1</f>
        <v>2</v>
      </c>
      <c r="E98" s="75">
        <f ca="1">IF($C98=1,OFFSET(E98,-CFF.NumLinha,0)+1,OFFSET(E98,-CFF.NumLinha,0))</f>
        <v>10</v>
      </c>
      <c r="F98" s="75">
        <f ca="1">IF($C98=1,0,IF($C98=2,OFFSET(F98,-CFF.NumLinha,0)+1,OFFSET(F98,-CFF.NumLinha,0)))</f>
        <v>1</v>
      </c>
      <c r="G98" s="75">
        <f ca="1">IF(AND($C98&lt;=2,$C98&lt;&gt;0),0,IF($C98=3,OFFSET(G98,-CFF.NumLinha,0)+1,OFFSET(G98,-CFF.NumLinha,0)))</f>
        <v>0</v>
      </c>
      <c r="H98" s="75">
        <f ca="1">IF(AND($C98&lt;=3,$C98&lt;&gt;0),0,IF($C98=4,OFFSET(H98,-CFF.NumLinha,0)+1,OFFSET(H98,-CFF.NumLinha,0)))</f>
        <v>0</v>
      </c>
      <c r="I98" s="75">
        <f ca="1">MATCH(0,OFFSET($D98,1,$C98,ROW($A$114)-ROW($A98)),0)</f>
        <v>6</v>
      </c>
      <c r="J98" s="75">
        <f ca="1">MATCH(OFFSET($D98,0,$C98)+1,OFFSET($D98,1,$C98,ROW($A$114)-ROW($A98)),0)</f>
        <v>3</v>
      </c>
      <c r="K98" s="76">
        <f ca="1">ROUND(INDEX(PO!U$11:U$367,MATCH($A98,PO!$W$11:$W$367,0)),2)+10^-12</f>
        <v>17995.78</v>
      </c>
      <c r="L98" s="236"/>
      <c r="M98" s="238"/>
      <c r="N98" s="240"/>
      <c r="O98" s="93" t="s">
        <v>7</v>
      </c>
      <c r="P98" s="86">
        <f t="shared" ref="P98:W98" ca="1" si="178">IF($B98,ROUND(P97*$N96,2),ROUND(SUMIF(OFFSET($B98,1,0,$D98),TRUE,OFFSET(P98,1,0,$D98))/SUMIF(OFFSET($B98,1,0,$D98),TRUE,OFFSET($K98,1,0,$D98))*$N96,2))</f>
        <v>0</v>
      </c>
      <c r="Q98" s="63">
        <f t="shared" ca="1" si="178"/>
        <v>0</v>
      </c>
      <c r="R98" s="63">
        <f t="shared" ca="1" si="178"/>
        <v>0</v>
      </c>
      <c r="S98" s="63">
        <f t="shared" ca="1" si="178"/>
        <v>0</v>
      </c>
      <c r="T98" s="63">
        <f t="shared" ca="1" si="178"/>
        <v>0</v>
      </c>
      <c r="U98" s="63">
        <f t="shared" ca="1" si="178"/>
        <v>0</v>
      </c>
      <c r="V98" s="63">
        <f t="shared" ca="1" si="178"/>
        <v>0</v>
      </c>
      <c r="W98" s="96">
        <f t="shared" ca="1" si="178"/>
        <v>0</v>
      </c>
      <c r="X98" s="86">
        <f t="shared" ref="X98:AE98" ca="1" si="179">IF($B98,ROUND(X97*$N96,2),ROUND(SUMIF(OFFSET($B98,1,0,$D98),TRUE,OFFSET(X98,1,0,$D98))/SUMIF(OFFSET($B98,1,0,$D98),TRUE,OFFSET($K98,1,0,$D98))*$N96,2))</f>
        <v>0</v>
      </c>
      <c r="Y98" s="63">
        <f t="shared" ca="1" si="179"/>
        <v>17995.78</v>
      </c>
      <c r="Z98" s="63">
        <f t="shared" ca="1" si="179"/>
        <v>17995.78</v>
      </c>
      <c r="AA98" s="63">
        <f t="shared" ca="1" si="179"/>
        <v>17995.78</v>
      </c>
      <c r="AB98" s="63">
        <f t="shared" ca="1" si="179"/>
        <v>17995.78</v>
      </c>
      <c r="AC98" s="63">
        <f t="shared" ca="1" si="179"/>
        <v>17995.78</v>
      </c>
      <c r="AD98" s="63">
        <f t="shared" ca="1" si="179"/>
        <v>17995.78</v>
      </c>
      <c r="AE98" s="96">
        <f t="shared" ca="1" si="179"/>
        <v>17995.78</v>
      </c>
      <c r="AF98" s="86">
        <f t="shared" ref="AF98:AM98" ca="1" si="180">IF($B98,ROUND(AF97*$N96,2),ROUND(SUMIF(OFFSET($B98,1,0,$D98),TRUE,OFFSET(AF98,1,0,$D98))/SUMIF(OFFSET($B98,1,0,$D98),TRUE,OFFSET($K98,1,0,$D98))*$N96,2))</f>
        <v>17995.78</v>
      </c>
      <c r="AG98" s="63">
        <f t="shared" ca="1" si="180"/>
        <v>17995.78</v>
      </c>
      <c r="AH98" s="63">
        <f t="shared" ca="1" si="180"/>
        <v>17995.78</v>
      </c>
      <c r="AI98" s="63">
        <f t="shared" ca="1" si="180"/>
        <v>17995.78</v>
      </c>
      <c r="AJ98" s="63">
        <f t="shared" ca="1" si="180"/>
        <v>17995.78</v>
      </c>
      <c r="AK98" s="63">
        <f t="shared" ca="1" si="180"/>
        <v>17995.78</v>
      </c>
      <c r="AL98" s="63">
        <f t="shared" ca="1" si="180"/>
        <v>17995.78</v>
      </c>
      <c r="AM98" s="96">
        <f t="shared" ca="1" si="180"/>
        <v>17995.78</v>
      </c>
      <c r="AN98" s="83"/>
    </row>
    <row r="99" spans="1:40" customFormat="1" ht="14.25" customHeight="1" x14ac:dyDescent="0.2">
      <c r="A99" s="1"/>
      <c r="B99" s="1"/>
      <c r="C99" s="1"/>
      <c r="D99" s="1"/>
      <c r="E99" s="1"/>
      <c r="F99" s="1"/>
      <c r="G99" s="1"/>
      <c r="H99" s="1"/>
      <c r="I99" s="1"/>
      <c r="J99" s="1"/>
      <c r="K99" s="1"/>
      <c r="L99" s="235" t="str">
        <f ca="1">INDEX(PO!K$11:K$367,MATCH($A101,PO!$W$11:$W$367,0))</f>
        <v>10.2.</v>
      </c>
      <c r="M99" s="237" t="str">
        <f ca="1">INDEX(PO!O$11:O$367,MATCH($A101,PO!$W$11:$W$367,0))</f>
        <v>ATIVIDADE 18 - CONFECÇÃO DE SABAO DE OLEO USADO</v>
      </c>
      <c r="N99" s="239">
        <f ca="1">IF(ROUND(K101,2)=0,K101,ROUND(K101,2))</f>
        <v>7494.9</v>
      </c>
      <c r="O99" s="91" t="s">
        <v>33</v>
      </c>
      <c r="P99" s="90">
        <f t="shared" ref="P99:X99" ca="1" si="181">IF($B101,0,P100-IF(ISNUMBER(O100),O100,0))</f>
        <v>0</v>
      </c>
      <c r="Q99" s="46">
        <f t="shared" ca="1" si="181"/>
        <v>0</v>
      </c>
      <c r="R99" s="46">
        <f t="shared" ca="1" si="181"/>
        <v>0</v>
      </c>
      <c r="S99" s="46">
        <f t="shared" ca="1" si="181"/>
        <v>0</v>
      </c>
      <c r="T99" s="46">
        <f t="shared" ca="1" si="181"/>
        <v>0</v>
      </c>
      <c r="U99" s="46">
        <f t="shared" ca="1" si="181"/>
        <v>0</v>
      </c>
      <c r="V99" s="46">
        <f t="shared" ca="1" si="181"/>
        <v>0</v>
      </c>
      <c r="W99" s="46">
        <f t="shared" ca="1" si="181"/>
        <v>0</v>
      </c>
      <c r="X99" s="90">
        <f t="shared" ca="1" si="181"/>
        <v>0</v>
      </c>
      <c r="Y99" s="46">
        <v>1</v>
      </c>
      <c r="Z99" s="46">
        <f t="shared" ref="Z99:AM99" ca="1" si="182">IF($B101,0,Z100-IF(ISNUMBER(Y100),Y100,0))</f>
        <v>0</v>
      </c>
      <c r="AA99" s="46">
        <f t="shared" ca="1" si="182"/>
        <v>0</v>
      </c>
      <c r="AB99" s="46">
        <f t="shared" ca="1" si="182"/>
        <v>0</v>
      </c>
      <c r="AC99" s="46">
        <f t="shared" ca="1" si="182"/>
        <v>0</v>
      </c>
      <c r="AD99" s="46">
        <f t="shared" ca="1" si="182"/>
        <v>0</v>
      </c>
      <c r="AE99" s="46">
        <f t="shared" ca="1" si="182"/>
        <v>0</v>
      </c>
      <c r="AF99" s="90">
        <f t="shared" ca="1" si="182"/>
        <v>0</v>
      </c>
      <c r="AG99" s="46">
        <f t="shared" ca="1" si="182"/>
        <v>0</v>
      </c>
      <c r="AH99" s="46">
        <f t="shared" ca="1" si="182"/>
        <v>0</v>
      </c>
      <c r="AI99" s="46">
        <f t="shared" ca="1" si="182"/>
        <v>0</v>
      </c>
      <c r="AJ99" s="46">
        <f t="shared" ca="1" si="182"/>
        <v>0</v>
      </c>
      <c r="AK99" s="46">
        <f t="shared" ca="1" si="182"/>
        <v>0</v>
      </c>
      <c r="AL99" s="46">
        <f t="shared" ca="1" si="182"/>
        <v>0</v>
      </c>
      <c r="AM99" s="46">
        <f t="shared" ca="1" si="182"/>
        <v>0</v>
      </c>
      <c r="AN99" s="83"/>
    </row>
    <row r="100" spans="1:40" customFormat="1" ht="14.25" x14ac:dyDescent="0.2">
      <c r="A100" s="75"/>
      <c r="B100" s="75"/>
      <c r="C100" s="75"/>
      <c r="D100" s="75"/>
      <c r="E100" s="75"/>
      <c r="F100" s="75"/>
      <c r="G100" s="75"/>
      <c r="H100" s="75"/>
      <c r="I100" s="75"/>
      <c r="J100" s="75"/>
      <c r="K100" s="75"/>
      <c r="L100" s="236"/>
      <c r="M100" s="238"/>
      <c r="N100" s="240"/>
      <c r="O100" s="64" t="s">
        <v>35</v>
      </c>
      <c r="P100" s="85">
        <f t="shared" ref="P100:AM100" ca="1" si="183">MIN(IF($B101,P99+IF(ISNUMBER(O100),O100,0),P101/$N99),1)</f>
        <v>0</v>
      </c>
      <c r="Q100" s="62">
        <f t="shared" ca="1" si="183"/>
        <v>0</v>
      </c>
      <c r="R100" s="62">
        <f t="shared" ca="1" si="183"/>
        <v>0</v>
      </c>
      <c r="S100" s="62">
        <f t="shared" ca="1" si="183"/>
        <v>0</v>
      </c>
      <c r="T100" s="62">
        <f t="shared" ca="1" si="183"/>
        <v>0</v>
      </c>
      <c r="U100" s="62">
        <f t="shared" ca="1" si="183"/>
        <v>0</v>
      </c>
      <c r="V100" s="62">
        <f t="shared" ca="1" si="183"/>
        <v>0</v>
      </c>
      <c r="W100" s="62">
        <f t="shared" ca="1" si="183"/>
        <v>0</v>
      </c>
      <c r="X100" s="85">
        <f t="shared" ca="1" si="183"/>
        <v>0</v>
      </c>
      <c r="Y100" s="62">
        <f t="shared" ca="1" si="183"/>
        <v>1</v>
      </c>
      <c r="Z100" s="62">
        <f t="shared" ca="1" si="183"/>
        <v>1</v>
      </c>
      <c r="AA100" s="62">
        <f t="shared" ca="1" si="183"/>
        <v>1</v>
      </c>
      <c r="AB100" s="62">
        <f t="shared" ca="1" si="183"/>
        <v>1</v>
      </c>
      <c r="AC100" s="62">
        <f t="shared" ca="1" si="183"/>
        <v>1</v>
      </c>
      <c r="AD100" s="62">
        <f t="shared" ca="1" si="183"/>
        <v>1</v>
      </c>
      <c r="AE100" s="62">
        <f t="shared" ca="1" si="183"/>
        <v>1</v>
      </c>
      <c r="AF100" s="85">
        <f t="shared" ca="1" si="183"/>
        <v>1</v>
      </c>
      <c r="AG100" s="62">
        <f t="shared" ca="1" si="183"/>
        <v>1</v>
      </c>
      <c r="AH100" s="62">
        <f t="shared" ca="1" si="183"/>
        <v>1</v>
      </c>
      <c r="AI100" s="62">
        <f t="shared" ca="1" si="183"/>
        <v>1</v>
      </c>
      <c r="AJ100" s="62">
        <f t="shared" ca="1" si="183"/>
        <v>1</v>
      </c>
      <c r="AK100" s="62">
        <f t="shared" ca="1" si="183"/>
        <v>1</v>
      </c>
      <c r="AL100" s="62">
        <f t="shared" ca="1" si="183"/>
        <v>1</v>
      </c>
      <c r="AM100" s="62">
        <f t="shared" ca="1" si="183"/>
        <v>1</v>
      </c>
      <c r="AN100" s="83"/>
    </row>
    <row r="101" spans="1:40" customFormat="1" ht="14.25" x14ac:dyDescent="0.2">
      <c r="A101" s="75">
        <f ca="1">OFFSET(A101,-CFF.NumLinha,0)+1</f>
        <v>28</v>
      </c>
      <c r="B101" s="75" t="b">
        <f ca="1">$C101&gt;=OFFSET($C101,CFF.NumLinha,0)</f>
        <v>1</v>
      </c>
      <c r="C101" s="75">
        <f ca="1">INDEX(PO!A$11:A$367,MATCH($A101,PO!$W$11:$W$367,0))</f>
        <v>2</v>
      </c>
      <c r="D101" s="75">
        <f ca="1">IF(ISERROR(J101),I101,SMALL(I101:J101,1))-1</f>
        <v>2</v>
      </c>
      <c r="E101" s="75">
        <f ca="1">IF($C101=1,OFFSET(E101,-CFF.NumLinha,0)+1,OFFSET(E101,-CFF.NumLinha,0))</f>
        <v>10</v>
      </c>
      <c r="F101" s="75">
        <f ca="1">IF($C101=1,0,IF($C101=2,OFFSET(F101,-CFF.NumLinha,0)+1,OFFSET(F101,-CFF.NumLinha,0)))</f>
        <v>2</v>
      </c>
      <c r="G101" s="75">
        <f ca="1">IF(AND($C101&lt;=2,$C101&lt;&gt;0),0,IF($C101=3,OFFSET(G101,-CFF.NumLinha,0)+1,OFFSET(G101,-CFF.NumLinha,0)))</f>
        <v>0</v>
      </c>
      <c r="H101" s="75">
        <f ca="1">IF(AND($C101&lt;=3,$C101&lt;&gt;0),0,IF($C101=4,OFFSET(H101,-CFF.NumLinha,0)+1,OFFSET(H101,-CFF.NumLinha,0)))</f>
        <v>0</v>
      </c>
      <c r="I101" s="75">
        <f ca="1">MATCH(0,OFFSET($D101,1,$C101,ROW($A$114)-ROW($A101)),0)</f>
        <v>3</v>
      </c>
      <c r="J101" s="75" t="e">
        <f ca="1">MATCH(OFFSET($D101,0,$C101)+1,OFFSET($D101,1,$C101,ROW($A$114)-ROW($A101)),0)</f>
        <v>#N/A</v>
      </c>
      <c r="K101" s="76">
        <f ca="1">ROUND(INDEX(PO!U$11:U$367,MATCH($A101,PO!$W$11:$W$367,0)),2)+10^-12</f>
        <v>7494.9000000000005</v>
      </c>
      <c r="L101" s="236"/>
      <c r="M101" s="238"/>
      <c r="N101" s="240"/>
      <c r="O101" s="93" t="s">
        <v>7</v>
      </c>
      <c r="P101" s="86">
        <f t="shared" ref="P101:W101" ca="1" si="184">IF($B101,ROUND(P100*$N99,2),ROUND(SUMIF(OFFSET($B101,1,0,$D101),TRUE,OFFSET(P101,1,0,$D101))/SUMIF(OFFSET($B101,1,0,$D101),TRUE,OFFSET($K101,1,0,$D101))*$N99,2))</f>
        <v>0</v>
      </c>
      <c r="Q101" s="63">
        <f t="shared" ca="1" si="184"/>
        <v>0</v>
      </c>
      <c r="R101" s="63">
        <f t="shared" ca="1" si="184"/>
        <v>0</v>
      </c>
      <c r="S101" s="63">
        <f t="shared" ca="1" si="184"/>
        <v>0</v>
      </c>
      <c r="T101" s="63">
        <f t="shared" ca="1" si="184"/>
        <v>0</v>
      </c>
      <c r="U101" s="63">
        <f t="shared" ca="1" si="184"/>
        <v>0</v>
      </c>
      <c r="V101" s="63">
        <f t="shared" ca="1" si="184"/>
        <v>0</v>
      </c>
      <c r="W101" s="96">
        <f t="shared" ca="1" si="184"/>
        <v>0</v>
      </c>
      <c r="X101" s="86">
        <f t="shared" ref="X101:AE101" ca="1" si="185">IF($B101,ROUND(X100*$N99,2),ROUND(SUMIF(OFFSET($B101,1,0,$D101),TRUE,OFFSET(X101,1,0,$D101))/SUMIF(OFFSET($B101,1,0,$D101),TRUE,OFFSET($K101,1,0,$D101))*$N99,2))</f>
        <v>0</v>
      </c>
      <c r="Y101" s="63">
        <f t="shared" ca="1" si="185"/>
        <v>7494.9</v>
      </c>
      <c r="Z101" s="63">
        <f t="shared" ca="1" si="185"/>
        <v>7494.9</v>
      </c>
      <c r="AA101" s="63">
        <f t="shared" ca="1" si="185"/>
        <v>7494.9</v>
      </c>
      <c r="AB101" s="63">
        <f t="shared" ca="1" si="185"/>
        <v>7494.9</v>
      </c>
      <c r="AC101" s="63">
        <f t="shared" ca="1" si="185"/>
        <v>7494.9</v>
      </c>
      <c r="AD101" s="63">
        <f t="shared" ca="1" si="185"/>
        <v>7494.9</v>
      </c>
      <c r="AE101" s="96">
        <f t="shared" ca="1" si="185"/>
        <v>7494.9</v>
      </c>
      <c r="AF101" s="86">
        <f t="shared" ref="AF101:AM101" ca="1" si="186">IF($B101,ROUND(AF100*$N99,2),ROUND(SUMIF(OFFSET($B101,1,0,$D101),TRUE,OFFSET(AF101,1,0,$D101))/SUMIF(OFFSET($B101,1,0,$D101),TRUE,OFFSET($K101,1,0,$D101))*$N99,2))</f>
        <v>7494.9</v>
      </c>
      <c r="AG101" s="63">
        <f t="shared" ca="1" si="186"/>
        <v>7494.9</v>
      </c>
      <c r="AH101" s="63">
        <f t="shared" ca="1" si="186"/>
        <v>7494.9</v>
      </c>
      <c r="AI101" s="63">
        <f t="shared" ca="1" si="186"/>
        <v>7494.9</v>
      </c>
      <c r="AJ101" s="63">
        <f t="shared" ca="1" si="186"/>
        <v>7494.9</v>
      </c>
      <c r="AK101" s="63">
        <f t="shared" ca="1" si="186"/>
        <v>7494.9</v>
      </c>
      <c r="AL101" s="63">
        <f t="shared" ca="1" si="186"/>
        <v>7494.9</v>
      </c>
      <c r="AM101" s="96">
        <f t="shared" ca="1" si="186"/>
        <v>7494.9</v>
      </c>
      <c r="AN101" s="83"/>
    </row>
    <row r="102" spans="1:40" customFormat="1" ht="14.25" customHeight="1" x14ac:dyDescent="0.2">
      <c r="A102" s="1"/>
      <c r="B102" s="1"/>
      <c r="C102" s="1"/>
      <c r="D102" s="1"/>
      <c r="E102" s="1"/>
      <c r="F102" s="1"/>
      <c r="G102" s="1"/>
      <c r="H102" s="1"/>
      <c r="I102" s="1"/>
      <c r="J102" s="1"/>
      <c r="K102" s="1"/>
      <c r="L102" s="235" t="str">
        <f ca="1">INDEX(PO!K$11:K$367,MATCH($A104,PO!$W$11:$W$367,0))</f>
        <v>11.</v>
      </c>
      <c r="M102" s="237" t="str">
        <f ca="1">INDEX(PO!O$11:O$367,MATCH($A104,PO!$W$11:$W$367,0))</f>
        <v>11 MÊS - GESTÃO SOCIAL DA INTERVENÇÃO</v>
      </c>
      <c r="N102" s="239">
        <f ca="1">IF(ROUND(K104,2)=0,K104,ROUND(K104,2))</f>
        <v>16045.65</v>
      </c>
      <c r="O102" s="91" t="s">
        <v>33</v>
      </c>
      <c r="P102" s="90">
        <f t="shared" ref="P102:X102" ca="1" si="187">IF($B104,0,P103-IF(ISNUMBER(O103),O103,0))</f>
        <v>0</v>
      </c>
      <c r="Q102" s="46">
        <f t="shared" ca="1" si="187"/>
        <v>0</v>
      </c>
      <c r="R102" s="46">
        <f t="shared" ca="1" si="187"/>
        <v>0</v>
      </c>
      <c r="S102" s="46">
        <f t="shared" ca="1" si="187"/>
        <v>0</v>
      </c>
      <c r="T102" s="46">
        <f t="shared" ca="1" si="187"/>
        <v>0</v>
      </c>
      <c r="U102" s="46">
        <f t="shared" ca="1" si="187"/>
        <v>0</v>
      </c>
      <c r="V102" s="46">
        <f t="shared" ca="1" si="187"/>
        <v>0</v>
      </c>
      <c r="W102" s="46">
        <f t="shared" ca="1" si="187"/>
        <v>0</v>
      </c>
      <c r="X102" s="90">
        <f t="shared" ca="1" si="187"/>
        <v>0</v>
      </c>
      <c r="Y102" s="46">
        <v>1</v>
      </c>
      <c r="Z102" s="46">
        <f t="shared" ref="Z102:AM102" ca="1" si="188">IF($B104,0,Z103-IF(ISNUMBER(Y103),Y103,0))</f>
        <v>1</v>
      </c>
      <c r="AA102" s="46">
        <f t="shared" ca="1" si="188"/>
        <v>0</v>
      </c>
      <c r="AB102" s="46">
        <f t="shared" ca="1" si="188"/>
        <v>0</v>
      </c>
      <c r="AC102" s="46">
        <f t="shared" ca="1" si="188"/>
        <v>0</v>
      </c>
      <c r="AD102" s="46">
        <f t="shared" ca="1" si="188"/>
        <v>0</v>
      </c>
      <c r="AE102" s="46">
        <f t="shared" ca="1" si="188"/>
        <v>0</v>
      </c>
      <c r="AF102" s="90">
        <f t="shared" ca="1" si="188"/>
        <v>0</v>
      </c>
      <c r="AG102" s="46">
        <f t="shared" ca="1" si="188"/>
        <v>0</v>
      </c>
      <c r="AH102" s="46">
        <f t="shared" ca="1" si="188"/>
        <v>0</v>
      </c>
      <c r="AI102" s="46">
        <f t="shared" ca="1" si="188"/>
        <v>0</v>
      </c>
      <c r="AJ102" s="46">
        <f t="shared" ca="1" si="188"/>
        <v>0</v>
      </c>
      <c r="AK102" s="46">
        <f t="shared" ca="1" si="188"/>
        <v>0</v>
      </c>
      <c r="AL102" s="46">
        <f t="shared" ca="1" si="188"/>
        <v>0</v>
      </c>
      <c r="AM102" s="46">
        <f t="shared" ca="1" si="188"/>
        <v>0</v>
      </c>
      <c r="AN102" s="83"/>
    </row>
    <row r="103" spans="1:40" customFormat="1" ht="14.25" x14ac:dyDescent="0.2">
      <c r="A103" s="75"/>
      <c r="B103" s="75"/>
      <c r="C103" s="75"/>
      <c r="D103" s="75"/>
      <c r="E103" s="75"/>
      <c r="F103" s="75"/>
      <c r="G103" s="75"/>
      <c r="H103" s="75"/>
      <c r="I103" s="75"/>
      <c r="J103" s="75"/>
      <c r="K103" s="75"/>
      <c r="L103" s="236"/>
      <c r="M103" s="238"/>
      <c r="N103" s="240"/>
      <c r="O103" s="64" t="s">
        <v>35</v>
      </c>
      <c r="P103" s="85">
        <f t="shared" ref="P103:AM103" ca="1" si="189">MIN(IF($B104,P102+IF(ISNUMBER(O103),O103,0),P104/$N102),1)</f>
        <v>0</v>
      </c>
      <c r="Q103" s="62">
        <f t="shared" ca="1" si="189"/>
        <v>0</v>
      </c>
      <c r="R103" s="62">
        <f t="shared" ca="1" si="189"/>
        <v>0</v>
      </c>
      <c r="S103" s="62">
        <f t="shared" ca="1" si="189"/>
        <v>0</v>
      </c>
      <c r="T103" s="62">
        <f t="shared" ca="1" si="189"/>
        <v>0</v>
      </c>
      <c r="U103" s="62">
        <f t="shared" ca="1" si="189"/>
        <v>0</v>
      </c>
      <c r="V103" s="62">
        <f t="shared" ca="1" si="189"/>
        <v>0</v>
      </c>
      <c r="W103" s="62">
        <f t="shared" ca="1" si="189"/>
        <v>0</v>
      </c>
      <c r="X103" s="85">
        <f t="shared" ca="1" si="189"/>
        <v>0</v>
      </c>
      <c r="Y103" s="62">
        <f t="shared" ca="1" si="189"/>
        <v>0</v>
      </c>
      <c r="Z103" s="62">
        <f t="shared" ca="1" si="189"/>
        <v>1</v>
      </c>
      <c r="AA103" s="62">
        <f t="shared" ca="1" si="189"/>
        <v>1</v>
      </c>
      <c r="AB103" s="62">
        <f t="shared" ca="1" si="189"/>
        <v>1</v>
      </c>
      <c r="AC103" s="62">
        <f t="shared" ca="1" si="189"/>
        <v>1</v>
      </c>
      <c r="AD103" s="62">
        <f t="shared" ca="1" si="189"/>
        <v>1</v>
      </c>
      <c r="AE103" s="62">
        <f t="shared" ca="1" si="189"/>
        <v>1</v>
      </c>
      <c r="AF103" s="85">
        <f t="shared" ca="1" si="189"/>
        <v>1</v>
      </c>
      <c r="AG103" s="62">
        <f t="shared" ca="1" si="189"/>
        <v>1</v>
      </c>
      <c r="AH103" s="62">
        <f t="shared" ca="1" si="189"/>
        <v>1</v>
      </c>
      <c r="AI103" s="62">
        <f t="shared" ca="1" si="189"/>
        <v>1</v>
      </c>
      <c r="AJ103" s="62">
        <f t="shared" ca="1" si="189"/>
        <v>1</v>
      </c>
      <c r="AK103" s="62">
        <f t="shared" ca="1" si="189"/>
        <v>1</v>
      </c>
      <c r="AL103" s="62">
        <f t="shared" ca="1" si="189"/>
        <v>1</v>
      </c>
      <c r="AM103" s="62">
        <f t="shared" ca="1" si="189"/>
        <v>1</v>
      </c>
      <c r="AN103" s="83"/>
    </row>
    <row r="104" spans="1:40" customFormat="1" ht="14.25" x14ac:dyDescent="0.2">
      <c r="A104" s="75">
        <f ca="1">OFFSET(A104,-CFF.NumLinha,0)+1</f>
        <v>29</v>
      </c>
      <c r="B104" s="75" t="b">
        <f ca="1">$C104&gt;=OFFSET($C104,CFF.NumLinha,0)</f>
        <v>0</v>
      </c>
      <c r="C104" s="75">
        <f ca="1">INDEX(PO!A$11:A$367,MATCH($A104,PO!$W$11:$W$367,0))</f>
        <v>1</v>
      </c>
      <c r="D104" s="75">
        <f ca="1">IF(ISERROR(J104),I104,SMALL(I104:J104,1))-1</f>
        <v>5</v>
      </c>
      <c r="E104" s="75">
        <f ca="1">IF($C104=1,OFFSET(E104,-CFF.NumLinha,0)+1,OFFSET(E104,-CFF.NumLinha,0))</f>
        <v>11</v>
      </c>
      <c r="F104" s="75">
        <f ca="1">IF($C104=1,0,IF($C104=2,OFFSET(F104,-CFF.NumLinha,0)+1,OFFSET(F104,-CFF.NumLinha,0)))</f>
        <v>0</v>
      </c>
      <c r="G104" s="75">
        <f ca="1">IF(AND($C104&lt;=2,$C104&lt;&gt;0),0,IF($C104=3,OFFSET(G104,-CFF.NumLinha,0)+1,OFFSET(G104,-CFF.NumLinha,0)))</f>
        <v>0</v>
      </c>
      <c r="H104" s="75">
        <f ca="1">IF(AND($C104&lt;=3,$C104&lt;&gt;0),0,IF($C104=4,OFFSET(H104,-CFF.NumLinha,0)+1,OFFSET(H104,-CFF.NumLinha,0)))</f>
        <v>0</v>
      </c>
      <c r="I104" s="75">
        <f ca="1">MATCH(0,OFFSET($D104,1,$C104,ROW($A$114)-ROW($A104)),0)</f>
        <v>10</v>
      </c>
      <c r="J104" s="75">
        <f ca="1">MATCH(OFFSET($D104,0,$C104)+1,OFFSET($D104,1,$C104,ROW($A$114)-ROW($A104)),0)</f>
        <v>6</v>
      </c>
      <c r="K104" s="76">
        <f ca="1">ROUND(INDEX(PO!U$11:U$367,MATCH($A104,PO!$W$11:$W$367,0)),2)+10^-12</f>
        <v>16045.650000000001</v>
      </c>
      <c r="L104" s="236"/>
      <c r="M104" s="238"/>
      <c r="N104" s="240"/>
      <c r="O104" s="93" t="s">
        <v>7</v>
      </c>
      <c r="P104" s="86">
        <f t="shared" ref="P104:W104" ca="1" si="190">IF($B104,ROUND(P103*$N102,2),ROUND(SUMIF(OFFSET($B104,1,0,$D104),TRUE,OFFSET(P104,1,0,$D104))/SUMIF(OFFSET($B104,1,0,$D104),TRUE,OFFSET($K104,1,0,$D104))*$N102,2))</f>
        <v>0</v>
      </c>
      <c r="Q104" s="63">
        <f t="shared" ca="1" si="190"/>
        <v>0</v>
      </c>
      <c r="R104" s="63">
        <f t="shared" ca="1" si="190"/>
        <v>0</v>
      </c>
      <c r="S104" s="63">
        <f t="shared" ca="1" si="190"/>
        <v>0</v>
      </c>
      <c r="T104" s="63">
        <f t="shared" ca="1" si="190"/>
        <v>0</v>
      </c>
      <c r="U104" s="63">
        <f t="shared" ca="1" si="190"/>
        <v>0</v>
      </c>
      <c r="V104" s="63">
        <f t="shared" ca="1" si="190"/>
        <v>0</v>
      </c>
      <c r="W104" s="96">
        <f t="shared" ca="1" si="190"/>
        <v>0</v>
      </c>
      <c r="X104" s="86">
        <f t="shared" ref="X104:AE104" ca="1" si="191">IF($B104,ROUND(X103*$N102,2),ROUND(SUMIF(OFFSET($B104,1,0,$D104),TRUE,OFFSET(X104,1,0,$D104))/SUMIF(OFFSET($B104,1,0,$D104),TRUE,OFFSET($K104,1,0,$D104))*$N102,2))</f>
        <v>0</v>
      </c>
      <c r="Y104" s="63">
        <f t="shared" ca="1" si="191"/>
        <v>0</v>
      </c>
      <c r="Z104" s="63">
        <f t="shared" ca="1" si="191"/>
        <v>16045.65</v>
      </c>
      <c r="AA104" s="63">
        <f t="shared" ca="1" si="191"/>
        <v>16045.65</v>
      </c>
      <c r="AB104" s="63">
        <f t="shared" ca="1" si="191"/>
        <v>16045.65</v>
      </c>
      <c r="AC104" s="63">
        <f t="shared" ca="1" si="191"/>
        <v>16045.65</v>
      </c>
      <c r="AD104" s="63">
        <f t="shared" ca="1" si="191"/>
        <v>16045.65</v>
      </c>
      <c r="AE104" s="96">
        <f t="shared" ca="1" si="191"/>
        <v>16045.65</v>
      </c>
      <c r="AF104" s="86">
        <f t="shared" ref="AF104:AM104" ca="1" si="192">IF($B104,ROUND(AF103*$N102,2),ROUND(SUMIF(OFFSET($B104,1,0,$D104),TRUE,OFFSET(AF104,1,0,$D104))/SUMIF(OFFSET($B104,1,0,$D104),TRUE,OFFSET($K104,1,0,$D104))*$N102,2))</f>
        <v>16045.65</v>
      </c>
      <c r="AG104" s="63">
        <f t="shared" ca="1" si="192"/>
        <v>16045.65</v>
      </c>
      <c r="AH104" s="63">
        <f t="shared" ca="1" si="192"/>
        <v>16045.65</v>
      </c>
      <c r="AI104" s="63">
        <f t="shared" ca="1" si="192"/>
        <v>16045.65</v>
      </c>
      <c r="AJ104" s="63">
        <f t="shared" ca="1" si="192"/>
        <v>16045.65</v>
      </c>
      <c r="AK104" s="63">
        <f t="shared" ca="1" si="192"/>
        <v>16045.65</v>
      </c>
      <c r="AL104" s="63">
        <f t="shared" ca="1" si="192"/>
        <v>16045.65</v>
      </c>
      <c r="AM104" s="96">
        <f t="shared" ca="1" si="192"/>
        <v>16045.65</v>
      </c>
      <c r="AN104" s="83"/>
    </row>
    <row r="105" spans="1:40" customFormat="1" ht="14.25" customHeight="1" x14ac:dyDescent="0.2">
      <c r="A105" s="1"/>
      <c r="B105" s="1"/>
      <c r="C105" s="1"/>
      <c r="D105" s="1"/>
      <c r="E105" s="1"/>
      <c r="F105" s="1"/>
      <c r="G105" s="1"/>
      <c r="H105" s="1"/>
      <c r="I105" s="1"/>
      <c r="J105" s="1"/>
      <c r="K105" s="1"/>
      <c r="L105" s="235" t="str">
        <f ca="1">INDEX(PO!K$11:K$367,MATCH($A107,PO!$W$11:$W$367,0))</f>
        <v>11.1.</v>
      </c>
      <c r="M105" s="237" t="str">
        <f ca="1">INDEX(PO!O$11:O$367,MATCH($A107,PO!$W$11:$W$367,0))</f>
        <v>ATIVIDADE 19 - VISITAS INFORMATIVAS - MONTE CASTELO</v>
      </c>
      <c r="N105" s="239">
        <f ca="1">IF(ROUND(K107,2)=0,K107,ROUND(K107,2))</f>
        <v>16045.65</v>
      </c>
      <c r="O105" s="91" t="s">
        <v>33</v>
      </c>
      <c r="P105" s="90">
        <f t="shared" ref="P105:X105" ca="1" si="193">IF($B107,0,P106-IF(ISNUMBER(O106),O106,0))</f>
        <v>0</v>
      </c>
      <c r="Q105" s="46">
        <f t="shared" ca="1" si="193"/>
        <v>0</v>
      </c>
      <c r="R105" s="46">
        <f t="shared" ca="1" si="193"/>
        <v>0</v>
      </c>
      <c r="S105" s="46">
        <f t="shared" ca="1" si="193"/>
        <v>0</v>
      </c>
      <c r="T105" s="46">
        <f t="shared" ca="1" si="193"/>
        <v>0</v>
      </c>
      <c r="U105" s="46">
        <f t="shared" ca="1" si="193"/>
        <v>0</v>
      </c>
      <c r="V105" s="46">
        <f t="shared" ca="1" si="193"/>
        <v>0</v>
      </c>
      <c r="W105" s="46">
        <f t="shared" ca="1" si="193"/>
        <v>0</v>
      </c>
      <c r="X105" s="90">
        <f t="shared" ca="1" si="193"/>
        <v>0</v>
      </c>
      <c r="Y105" s="46">
        <v>0</v>
      </c>
      <c r="Z105" s="46">
        <v>1</v>
      </c>
      <c r="AA105" s="46">
        <f t="shared" ref="AA105:AM105" ca="1" si="194">IF($B107,0,AA106-IF(ISNUMBER(Z106),Z106,0))</f>
        <v>0</v>
      </c>
      <c r="AB105" s="46">
        <f t="shared" ca="1" si="194"/>
        <v>0</v>
      </c>
      <c r="AC105" s="46">
        <f t="shared" ca="1" si="194"/>
        <v>0</v>
      </c>
      <c r="AD105" s="46">
        <f t="shared" ca="1" si="194"/>
        <v>0</v>
      </c>
      <c r="AE105" s="46">
        <f t="shared" ca="1" si="194"/>
        <v>0</v>
      </c>
      <c r="AF105" s="90">
        <f t="shared" ca="1" si="194"/>
        <v>0</v>
      </c>
      <c r="AG105" s="46">
        <f t="shared" ca="1" si="194"/>
        <v>0</v>
      </c>
      <c r="AH105" s="46">
        <f t="shared" ca="1" si="194"/>
        <v>0</v>
      </c>
      <c r="AI105" s="46">
        <f t="shared" ca="1" si="194"/>
        <v>0</v>
      </c>
      <c r="AJ105" s="46">
        <f t="shared" ca="1" si="194"/>
        <v>0</v>
      </c>
      <c r="AK105" s="46">
        <f t="shared" ca="1" si="194"/>
        <v>0</v>
      </c>
      <c r="AL105" s="46">
        <f t="shared" ca="1" si="194"/>
        <v>0</v>
      </c>
      <c r="AM105" s="46">
        <f t="shared" ca="1" si="194"/>
        <v>0</v>
      </c>
      <c r="AN105" s="83"/>
    </row>
    <row r="106" spans="1:40" customFormat="1" ht="14.25" x14ac:dyDescent="0.2">
      <c r="A106" s="75"/>
      <c r="B106" s="75"/>
      <c r="C106" s="75"/>
      <c r="D106" s="75"/>
      <c r="E106" s="75"/>
      <c r="F106" s="75"/>
      <c r="G106" s="75"/>
      <c r="H106" s="75"/>
      <c r="I106" s="75"/>
      <c r="J106" s="75"/>
      <c r="K106" s="75"/>
      <c r="L106" s="236"/>
      <c r="M106" s="238"/>
      <c r="N106" s="240"/>
      <c r="O106" s="64" t="s">
        <v>35</v>
      </c>
      <c r="P106" s="85">
        <f t="shared" ref="P106:AM106" ca="1" si="195">MIN(IF($B107,P105+IF(ISNUMBER(O106),O106,0),P107/$N105),1)</f>
        <v>0</v>
      </c>
      <c r="Q106" s="62">
        <f t="shared" ca="1" si="195"/>
        <v>0</v>
      </c>
      <c r="R106" s="62">
        <f t="shared" ca="1" si="195"/>
        <v>0</v>
      </c>
      <c r="S106" s="62">
        <f t="shared" ca="1" si="195"/>
        <v>0</v>
      </c>
      <c r="T106" s="62">
        <f t="shared" ca="1" si="195"/>
        <v>0</v>
      </c>
      <c r="U106" s="62">
        <f t="shared" ca="1" si="195"/>
        <v>0</v>
      </c>
      <c r="V106" s="62">
        <f t="shared" ca="1" si="195"/>
        <v>0</v>
      </c>
      <c r="W106" s="62">
        <f t="shared" ca="1" si="195"/>
        <v>0</v>
      </c>
      <c r="X106" s="85">
        <f t="shared" ca="1" si="195"/>
        <v>0</v>
      </c>
      <c r="Y106" s="62">
        <f t="shared" ca="1" si="195"/>
        <v>0</v>
      </c>
      <c r="Z106" s="62">
        <f t="shared" ca="1" si="195"/>
        <v>1</v>
      </c>
      <c r="AA106" s="62">
        <f t="shared" ca="1" si="195"/>
        <v>1</v>
      </c>
      <c r="AB106" s="62">
        <f t="shared" ca="1" si="195"/>
        <v>1</v>
      </c>
      <c r="AC106" s="62">
        <f t="shared" ca="1" si="195"/>
        <v>1</v>
      </c>
      <c r="AD106" s="62">
        <f t="shared" ca="1" si="195"/>
        <v>1</v>
      </c>
      <c r="AE106" s="62">
        <f t="shared" ca="1" si="195"/>
        <v>1</v>
      </c>
      <c r="AF106" s="85">
        <f t="shared" ca="1" si="195"/>
        <v>1</v>
      </c>
      <c r="AG106" s="62">
        <f t="shared" ca="1" si="195"/>
        <v>1</v>
      </c>
      <c r="AH106" s="62">
        <f t="shared" ca="1" si="195"/>
        <v>1</v>
      </c>
      <c r="AI106" s="62">
        <f t="shared" ca="1" si="195"/>
        <v>1</v>
      </c>
      <c r="AJ106" s="62">
        <f t="shared" ca="1" si="195"/>
        <v>1</v>
      </c>
      <c r="AK106" s="62">
        <f t="shared" ca="1" si="195"/>
        <v>1</v>
      </c>
      <c r="AL106" s="62">
        <f t="shared" ca="1" si="195"/>
        <v>1</v>
      </c>
      <c r="AM106" s="62">
        <f t="shared" ca="1" si="195"/>
        <v>1</v>
      </c>
      <c r="AN106" s="83"/>
    </row>
    <row r="107" spans="1:40" customFormat="1" ht="14.25" x14ac:dyDescent="0.2">
      <c r="A107" s="75">
        <f ca="1">OFFSET(A107,-CFF.NumLinha,0)+1</f>
        <v>30</v>
      </c>
      <c r="B107" s="75" t="b">
        <f ca="1">$C107&gt;=OFFSET($C107,CFF.NumLinha,0)</f>
        <v>1</v>
      </c>
      <c r="C107" s="75">
        <f ca="1">INDEX(PO!A$11:A$367,MATCH($A107,PO!$W$11:$W$367,0))</f>
        <v>2</v>
      </c>
      <c r="D107" s="75">
        <f ca="1">IF(ISERROR(J107),I107,SMALL(I107:J107,1))-1</f>
        <v>2</v>
      </c>
      <c r="E107" s="75">
        <f ca="1">IF($C107=1,OFFSET(E107,-CFF.NumLinha,0)+1,OFFSET(E107,-CFF.NumLinha,0))</f>
        <v>11</v>
      </c>
      <c r="F107" s="75">
        <f ca="1">IF($C107=1,0,IF($C107=2,OFFSET(F107,-CFF.NumLinha,0)+1,OFFSET(F107,-CFF.NumLinha,0)))</f>
        <v>1</v>
      </c>
      <c r="G107" s="75">
        <f ca="1">IF(AND($C107&lt;=2,$C107&lt;&gt;0),0,IF($C107=3,OFFSET(G107,-CFF.NumLinha,0)+1,OFFSET(G107,-CFF.NumLinha,0)))</f>
        <v>0</v>
      </c>
      <c r="H107" s="75">
        <f ca="1">IF(AND($C107&lt;=3,$C107&lt;&gt;0),0,IF($C107=4,OFFSET(H107,-CFF.NumLinha,0)+1,OFFSET(H107,-CFF.NumLinha,0)))</f>
        <v>0</v>
      </c>
      <c r="I107" s="75">
        <f ca="1">MATCH(0,OFFSET($D107,1,$C107,ROW($A$114)-ROW($A107)),0)</f>
        <v>3</v>
      </c>
      <c r="J107" s="75" t="e">
        <f ca="1">MATCH(OFFSET($D107,0,$C107)+1,OFFSET($D107,1,$C107,ROW($A$114)-ROW($A107)),0)</f>
        <v>#N/A</v>
      </c>
      <c r="K107" s="76">
        <f ca="1">ROUND(INDEX(PO!U$11:U$367,MATCH($A107,PO!$W$11:$W$367,0)),2)+10^-12</f>
        <v>16045.650000000001</v>
      </c>
      <c r="L107" s="236"/>
      <c r="M107" s="238"/>
      <c r="N107" s="240"/>
      <c r="O107" s="93" t="s">
        <v>7</v>
      </c>
      <c r="P107" s="86">
        <f t="shared" ref="P107:W107" ca="1" si="196">IF($B107,ROUND(P106*$N105,2),ROUND(SUMIF(OFFSET($B107,1,0,$D107),TRUE,OFFSET(P107,1,0,$D107))/SUMIF(OFFSET($B107,1,0,$D107),TRUE,OFFSET($K107,1,0,$D107))*$N105,2))</f>
        <v>0</v>
      </c>
      <c r="Q107" s="63">
        <f t="shared" ca="1" si="196"/>
        <v>0</v>
      </c>
      <c r="R107" s="63">
        <f t="shared" ca="1" si="196"/>
        <v>0</v>
      </c>
      <c r="S107" s="63">
        <f t="shared" ca="1" si="196"/>
        <v>0</v>
      </c>
      <c r="T107" s="63">
        <f t="shared" ca="1" si="196"/>
        <v>0</v>
      </c>
      <c r="U107" s="63">
        <f t="shared" ca="1" si="196"/>
        <v>0</v>
      </c>
      <c r="V107" s="63">
        <f t="shared" ca="1" si="196"/>
        <v>0</v>
      </c>
      <c r="W107" s="96">
        <f t="shared" ca="1" si="196"/>
        <v>0</v>
      </c>
      <c r="X107" s="86">
        <f t="shared" ref="X107:AE107" ca="1" si="197">IF($B107,ROUND(X106*$N105,2),ROUND(SUMIF(OFFSET($B107,1,0,$D107),TRUE,OFFSET(X107,1,0,$D107))/SUMIF(OFFSET($B107,1,0,$D107),TRUE,OFFSET($K107,1,0,$D107))*$N105,2))</f>
        <v>0</v>
      </c>
      <c r="Y107" s="63">
        <f t="shared" ca="1" si="197"/>
        <v>0</v>
      </c>
      <c r="Z107" s="63">
        <f t="shared" ca="1" si="197"/>
        <v>16045.65</v>
      </c>
      <c r="AA107" s="63">
        <f t="shared" ca="1" si="197"/>
        <v>16045.65</v>
      </c>
      <c r="AB107" s="63">
        <f t="shared" ca="1" si="197"/>
        <v>16045.65</v>
      </c>
      <c r="AC107" s="63">
        <f t="shared" ca="1" si="197"/>
        <v>16045.65</v>
      </c>
      <c r="AD107" s="63">
        <f t="shared" ca="1" si="197"/>
        <v>16045.65</v>
      </c>
      <c r="AE107" s="96">
        <f t="shared" ca="1" si="197"/>
        <v>16045.65</v>
      </c>
      <c r="AF107" s="86">
        <f t="shared" ref="AF107:AM107" ca="1" si="198">IF($B107,ROUND(AF106*$N105,2),ROUND(SUMIF(OFFSET($B107,1,0,$D107),TRUE,OFFSET(AF107,1,0,$D107))/SUMIF(OFFSET($B107,1,0,$D107),TRUE,OFFSET($K107,1,0,$D107))*$N105,2))</f>
        <v>16045.65</v>
      </c>
      <c r="AG107" s="63">
        <f t="shared" ca="1" si="198"/>
        <v>16045.65</v>
      </c>
      <c r="AH107" s="63">
        <f t="shared" ca="1" si="198"/>
        <v>16045.65</v>
      </c>
      <c r="AI107" s="63">
        <f t="shared" ca="1" si="198"/>
        <v>16045.65</v>
      </c>
      <c r="AJ107" s="63">
        <f t="shared" ca="1" si="198"/>
        <v>16045.65</v>
      </c>
      <c r="AK107" s="63">
        <f t="shared" ca="1" si="198"/>
        <v>16045.65</v>
      </c>
      <c r="AL107" s="63">
        <f t="shared" ca="1" si="198"/>
        <v>16045.65</v>
      </c>
      <c r="AM107" s="96">
        <f t="shared" ca="1" si="198"/>
        <v>16045.65</v>
      </c>
      <c r="AN107" s="83"/>
    </row>
    <row r="108" spans="1:40" customFormat="1" ht="14.25" customHeight="1" x14ac:dyDescent="0.2">
      <c r="A108" s="1"/>
      <c r="B108" s="1"/>
      <c r="C108" s="1"/>
      <c r="D108" s="1"/>
      <c r="E108" s="1"/>
      <c r="F108" s="1"/>
      <c r="G108" s="1"/>
      <c r="H108" s="1"/>
      <c r="I108" s="1"/>
      <c r="J108" s="1"/>
      <c r="K108" s="1"/>
      <c r="L108" s="235" t="str">
        <f ca="1">INDEX(PO!K$11:K$367,MATCH($A110,PO!$W$11:$W$367,0))</f>
        <v>12.</v>
      </c>
      <c r="M108" s="237" t="str">
        <f ca="1">INDEX(PO!O$11:O$367,MATCH($A110,PO!$W$11:$W$367,0))</f>
        <v>12 MÊS - ACOMPANHAMENTO</v>
      </c>
      <c r="N108" s="239">
        <f ca="1">IF(ROUND(K110,2)=0,K110,ROUND(K110,2))</f>
        <v>7473.59</v>
      </c>
      <c r="O108" s="91" t="s">
        <v>33</v>
      </c>
      <c r="P108" s="90">
        <f t="shared" ref="P108:AM108" ca="1" si="199">IF($B110,0,P109-IF(ISNUMBER(O109),O109,0))</f>
        <v>0</v>
      </c>
      <c r="Q108" s="46">
        <f t="shared" ca="1" si="199"/>
        <v>0</v>
      </c>
      <c r="R108" s="46">
        <f t="shared" ca="1" si="199"/>
        <v>0</v>
      </c>
      <c r="S108" s="46">
        <f t="shared" ca="1" si="199"/>
        <v>0</v>
      </c>
      <c r="T108" s="46">
        <f t="shared" ca="1" si="199"/>
        <v>0</v>
      </c>
      <c r="U108" s="46">
        <f t="shared" ca="1" si="199"/>
        <v>0</v>
      </c>
      <c r="V108" s="46">
        <f t="shared" ca="1" si="199"/>
        <v>0</v>
      </c>
      <c r="W108" s="46">
        <f t="shared" ca="1" si="199"/>
        <v>0</v>
      </c>
      <c r="X108" s="90">
        <f t="shared" ca="1" si="199"/>
        <v>0</v>
      </c>
      <c r="Y108" s="46">
        <f t="shared" ca="1" si="199"/>
        <v>0</v>
      </c>
      <c r="Z108" s="46">
        <f t="shared" ca="1" si="199"/>
        <v>0</v>
      </c>
      <c r="AA108" s="46">
        <f t="shared" ca="1" si="199"/>
        <v>1</v>
      </c>
      <c r="AB108" s="46">
        <f t="shared" ca="1" si="199"/>
        <v>0</v>
      </c>
      <c r="AC108" s="46">
        <f t="shared" ca="1" si="199"/>
        <v>0</v>
      </c>
      <c r="AD108" s="46">
        <f t="shared" ca="1" si="199"/>
        <v>0</v>
      </c>
      <c r="AE108" s="46">
        <f t="shared" ca="1" si="199"/>
        <v>0</v>
      </c>
      <c r="AF108" s="90">
        <f t="shared" ca="1" si="199"/>
        <v>0</v>
      </c>
      <c r="AG108" s="46">
        <f t="shared" ca="1" si="199"/>
        <v>0</v>
      </c>
      <c r="AH108" s="46">
        <f t="shared" ca="1" si="199"/>
        <v>0</v>
      </c>
      <c r="AI108" s="46">
        <f t="shared" ca="1" si="199"/>
        <v>0</v>
      </c>
      <c r="AJ108" s="46">
        <f t="shared" ca="1" si="199"/>
        <v>0</v>
      </c>
      <c r="AK108" s="46">
        <f t="shared" ca="1" si="199"/>
        <v>0</v>
      </c>
      <c r="AL108" s="46">
        <f t="shared" ca="1" si="199"/>
        <v>0</v>
      </c>
      <c r="AM108" s="46">
        <f t="shared" ca="1" si="199"/>
        <v>0</v>
      </c>
      <c r="AN108" s="83"/>
    </row>
    <row r="109" spans="1:40" customFormat="1" ht="14.25" x14ac:dyDescent="0.2">
      <c r="A109" s="75"/>
      <c r="B109" s="75"/>
      <c r="C109" s="75"/>
      <c r="D109" s="75"/>
      <c r="E109" s="75"/>
      <c r="F109" s="75"/>
      <c r="G109" s="75"/>
      <c r="H109" s="75"/>
      <c r="I109" s="75"/>
      <c r="J109" s="75"/>
      <c r="K109" s="75"/>
      <c r="L109" s="236"/>
      <c r="M109" s="238"/>
      <c r="N109" s="240"/>
      <c r="O109" s="64" t="s">
        <v>35</v>
      </c>
      <c r="P109" s="85">
        <f t="shared" ref="P109:AM109" ca="1" si="200">MIN(IF($B110,P108+IF(ISNUMBER(O109),O109,0),P110/$N108),1)</f>
        <v>0</v>
      </c>
      <c r="Q109" s="62">
        <f t="shared" ca="1" si="200"/>
        <v>0</v>
      </c>
      <c r="R109" s="62">
        <f t="shared" ca="1" si="200"/>
        <v>0</v>
      </c>
      <c r="S109" s="62">
        <f t="shared" ca="1" si="200"/>
        <v>0</v>
      </c>
      <c r="T109" s="62">
        <f t="shared" ca="1" si="200"/>
        <v>0</v>
      </c>
      <c r="U109" s="62">
        <f t="shared" ca="1" si="200"/>
        <v>0</v>
      </c>
      <c r="V109" s="62">
        <f t="shared" ca="1" si="200"/>
        <v>0</v>
      </c>
      <c r="W109" s="62">
        <f t="shared" ca="1" si="200"/>
        <v>0</v>
      </c>
      <c r="X109" s="85">
        <f t="shared" ca="1" si="200"/>
        <v>0</v>
      </c>
      <c r="Y109" s="62">
        <f t="shared" ca="1" si="200"/>
        <v>0</v>
      </c>
      <c r="Z109" s="62">
        <f t="shared" ca="1" si="200"/>
        <v>0</v>
      </c>
      <c r="AA109" s="62">
        <f t="shared" ca="1" si="200"/>
        <v>1</v>
      </c>
      <c r="AB109" s="62">
        <f t="shared" ca="1" si="200"/>
        <v>1</v>
      </c>
      <c r="AC109" s="62">
        <f t="shared" ca="1" si="200"/>
        <v>1</v>
      </c>
      <c r="AD109" s="62">
        <f t="shared" ca="1" si="200"/>
        <v>1</v>
      </c>
      <c r="AE109" s="62">
        <f t="shared" ca="1" si="200"/>
        <v>1</v>
      </c>
      <c r="AF109" s="85">
        <f t="shared" ca="1" si="200"/>
        <v>1</v>
      </c>
      <c r="AG109" s="62">
        <f t="shared" ca="1" si="200"/>
        <v>1</v>
      </c>
      <c r="AH109" s="62">
        <f t="shared" ca="1" si="200"/>
        <v>1</v>
      </c>
      <c r="AI109" s="62">
        <f t="shared" ca="1" si="200"/>
        <v>1</v>
      </c>
      <c r="AJ109" s="62">
        <f t="shared" ca="1" si="200"/>
        <v>1</v>
      </c>
      <c r="AK109" s="62">
        <f t="shared" ca="1" si="200"/>
        <v>1</v>
      </c>
      <c r="AL109" s="62">
        <f t="shared" ca="1" si="200"/>
        <v>1</v>
      </c>
      <c r="AM109" s="62">
        <f t="shared" ca="1" si="200"/>
        <v>1</v>
      </c>
      <c r="AN109" s="83"/>
    </row>
    <row r="110" spans="1:40" customFormat="1" ht="14.25" x14ac:dyDescent="0.2">
      <c r="A110" s="75">
        <f ca="1">OFFSET(A110,-CFF.NumLinha,0)+1</f>
        <v>31</v>
      </c>
      <c r="B110" s="75" t="b">
        <f ca="1">$C110&gt;=OFFSET($C110,CFF.NumLinha,0)</f>
        <v>0</v>
      </c>
      <c r="C110" s="75">
        <f ca="1">INDEX(PO!A$11:A$367,MATCH($A110,PO!$W$11:$W$367,0))</f>
        <v>1</v>
      </c>
      <c r="D110" s="75">
        <f ca="1">IF(ISERROR(J110),I110,SMALL(I110:J110,1))-1</f>
        <v>3</v>
      </c>
      <c r="E110" s="75">
        <f ca="1">IF($C110=1,OFFSET(E110,-CFF.NumLinha,0)+1,OFFSET(E110,-CFF.NumLinha,0))</f>
        <v>12</v>
      </c>
      <c r="F110" s="75">
        <f ca="1">IF($C110=1,0,IF($C110=2,OFFSET(F110,-CFF.NumLinha,0)+1,OFFSET(F110,-CFF.NumLinha,0)))</f>
        <v>0</v>
      </c>
      <c r="G110" s="75">
        <f ca="1">IF(AND($C110&lt;=2,$C110&lt;&gt;0),0,IF($C110=3,OFFSET(G110,-CFF.NumLinha,0)+1,OFFSET(G110,-CFF.NumLinha,0)))</f>
        <v>0</v>
      </c>
      <c r="H110" s="75">
        <f ca="1">IF(AND($C110&lt;=3,$C110&lt;&gt;0),0,IF($C110=4,OFFSET(H110,-CFF.NumLinha,0)+1,OFFSET(H110,-CFF.NumLinha,0)))</f>
        <v>0</v>
      </c>
      <c r="I110" s="75">
        <f ca="1">MATCH(0,OFFSET($D110,1,$C110,ROW($A$114)-ROW($A110)),0)</f>
        <v>4</v>
      </c>
      <c r="J110" s="75" t="e">
        <f ca="1">MATCH(OFFSET($D110,0,$C110)+1,OFFSET($D110,1,$C110,ROW($A$114)-ROW($A110)),0)</f>
        <v>#N/A</v>
      </c>
      <c r="K110" s="76">
        <f ca="1">ROUND(INDEX(PO!U$11:U$367,MATCH($A110,PO!$W$11:$W$367,0)),2)+10^-12</f>
        <v>7473.5900000000011</v>
      </c>
      <c r="L110" s="236"/>
      <c r="M110" s="238"/>
      <c r="N110" s="240"/>
      <c r="O110" s="93" t="s">
        <v>7</v>
      </c>
      <c r="P110" s="86">
        <f t="shared" ref="P110:W110" ca="1" si="201">IF($B110,ROUND(P109*$N108,2),ROUND(SUMIF(OFFSET($B110,1,0,$D110),TRUE,OFFSET(P110,1,0,$D110))/SUMIF(OFFSET($B110,1,0,$D110),TRUE,OFFSET($K110,1,0,$D110))*$N108,2))</f>
        <v>0</v>
      </c>
      <c r="Q110" s="63">
        <f t="shared" ca="1" si="201"/>
        <v>0</v>
      </c>
      <c r="R110" s="63">
        <f t="shared" ca="1" si="201"/>
        <v>0</v>
      </c>
      <c r="S110" s="63">
        <f t="shared" ca="1" si="201"/>
        <v>0</v>
      </c>
      <c r="T110" s="63">
        <f t="shared" ca="1" si="201"/>
        <v>0</v>
      </c>
      <c r="U110" s="63">
        <f t="shared" ca="1" si="201"/>
        <v>0</v>
      </c>
      <c r="V110" s="63">
        <f t="shared" ca="1" si="201"/>
        <v>0</v>
      </c>
      <c r="W110" s="96">
        <f t="shared" ca="1" si="201"/>
        <v>0</v>
      </c>
      <c r="X110" s="86">
        <f t="shared" ref="X110:AE110" ca="1" si="202">IF($B110,ROUND(X109*$N108,2),ROUND(SUMIF(OFFSET($B110,1,0,$D110),TRUE,OFFSET(X110,1,0,$D110))/SUMIF(OFFSET($B110,1,0,$D110),TRUE,OFFSET($K110,1,0,$D110))*$N108,2))</f>
        <v>0</v>
      </c>
      <c r="Y110" s="63">
        <f t="shared" ca="1" si="202"/>
        <v>0</v>
      </c>
      <c r="Z110" s="63">
        <f t="shared" ca="1" si="202"/>
        <v>0</v>
      </c>
      <c r="AA110" s="63">
        <f t="shared" ca="1" si="202"/>
        <v>7473.59</v>
      </c>
      <c r="AB110" s="63">
        <f t="shared" ca="1" si="202"/>
        <v>7473.59</v>
      </c>
      <c r="AC110" s="63">
        <f t="shared" ca="1" si="202"/>
        <v>7473.59</v>
      </c>
      <c r="AD110" s="63">
        <f t="shared" ca="1" si="202"/>
        <v>7473.59</v>
      </c>
      <c r="AE110" s="96">
        <f t="shared" ca="1" si="202"/>
        <v>7473.59</v>
      </c>
      <c r="AF110" s="86">
        <f t="shared" ref="AF110:AM110" ca="1" si="203">IF($B110,ROUND(AF109*$N108,2),ROUND(SUMIF(OFFSET($B110,1,0,$D110),TRUE,OFFSET(AF110,1,0,$D110))/SUMIF(OFFSET($B110,1,0,$D110),TRUE,OFFSET($K110,1,0,$D110))*$N108,2))</f>
        <v>7473.59</v>
      </c>
      <c r="AG110" s="63">
        <f t="shared" ca="1" si="203"/>
        <v>7473.59</v>
      </c>
      <c r="AH110" s="63">
        <f t="shared" ca="1" si="203"/>
        <v>7473.59</v>
      </c>
      <c r="AI110" s="63">
        <f t="shared" ca="1" si="203"/>
        <v>7473.59</v>
      </c>
      <c r="AJ110" s="63">
        <f t="shared" ca="1" si="203"/>
        <v>7473.59</v>
      </c>
      <c r="AK110" s="63">
        <f t="shared" ca="1" si="203"/>
        <v>7473.59</v>
      </c>
      <c r="AL110" s="63">
        <f t="shared" ca="1" si="203"/>
        <v>7473.59</v>
      </c>
      <c r="AM110" s="96">
        <f t="shared" ca="1" si="203"/>
        <v>7473.59</v>
      </c>
      <c r="AN110" s="83"/>
    </row>
    <row r="111" spans="1:40" customFormat="1" ht="14.25" customHeight="1" x14ac:dyDescent="0.2">
      <c r="A111" s="1"/>
      <c r="B111" s="1"/>
      <c r="C111" s="1"/>
      <c r="D111" s="1"/>
      <c r="E111" s="1"/>
      <c r="F111" s="1"/>
      <c r="G111" s="1"/>
      <c r="H111" s="1"/>
      <c r="I111" s="1"/>
      <c r="J111" s="1"/>
      <c r="K111" s="1"/>
      <c r="L111" s="235" t="str">
        <f ca="1">INDEX(PO!K$11:K$367,MATCH($A113,PO!$W$11:$W$367,0))</f>
        <v>12.1.</v>
      </c>
      <c r="M111" s="237" t="str">
        <f ca="1">INDEX(PO!O$11:O$367,MATCH($A113,PO!$W$11:$W$367,0))</f>
        <v>ATIVIDADE 20 - RELATORIO FINAL</v>
      </c>
      <c r="N111" s="239">
        <f ca="1">IF(ROUND(K113,2)=0,K113,ROUND(K113,2))</f>
        <v>7473.59</v>
      </c>
      <c r="O111" s="91" t="s">
        <v>33</v>
      </c>
      <c r="P111" s="90">
        <f t="shared" ref="P111:Y111" ca="1" si="204">IF($B113,0,P112-IF(ISNUMBER(O112),O112,0))</f>
        <v>0</v>
      </c>
      <c r="Q111" s="46">
        <f t="shared" ca="1" si="204"/>
        <v>0</v>
      </c>
      <c r="R111" s="46">
        <f t="shared" ca="1" si="204"/>
        <v>0</v>
      </c>
      <c r="S111" s="46">
        <f t="shared" ca="1" si="204"/>
        <v>0</v>
      </c>
      <c r="T111" s="46">
        <f t="shared" ca="1" si="204"/>
        <v>0</v>
      </c>
      <c r="U111" s="46">
        <f t="shared" ca="1" si="204"/>
        <v>0</v>
      </c>
      <c r="V111" s="46">
        <f t="shared" ca="1" si="204"/>
        <v>0</v>
      </c>
      <c r="W111" s="46">
        <f t="shared" ca="1" si="204"/>
        <v>0</v>
      </c>
      <c r="X111" s="90">
        <f t="shared" ca="1" si="204"/>
        <v>0</v>
      </c>
      <c r="Y111" s="46">
        <f t="shared" ca="1" si="204"/>
        <v>0</v>
      </c>
      <c r="Z111" s="46">
        <v>0</v>
      </c>
      <c r="AA111" s="46">
        <v>1</v>
      </c>
      <c r="AB111" s="46">
        <f t="shared" ref="AB111:AM111" ca="1" si="205">IF($B113,0,AB112-IF(ISNUMBER(AA112),AA112,0))</f>
        <v>0</v>
      </c>
      <c r="AC111" s="46">
        <f t="shared" ca="1" si="205"/>
        <v>0</v>
      </c>
      <c r="AD111" s="46">
        <f t="shared" ca="1" si="205"/>
        <v>0</v>
      </c>
      <c r="AE111" s="46">
        <f t="shared" ca="1" si="205"/>
        <v>0</v>
      </c>
      <c r="AF111" s="90">
        <f t="shared" ca="1" si="205"/>
        <v>0</v>
      </c>
      <c r="AG111" s="46">
        <f t="shared" ca="1" si="205"/>
        <v>0</v>
      </c>
      <c r="AH111" s="46">
        <f t="shared" ca="1" si="205"/>
        <v>0</v>
      </c>
      <c r="AI111" s="46">
        <f t="shared" ca="1" si="205"/>
        <v>0</v>
      </c>
      <c r="AJ111" s="46">
        <f t="shared" ca="1" si="205"/>
        <v>0</v>
      </c>
      <c r="AK111" s="46">
        <f t="shared" ca="1" si="205"/>
        <v>0</v>
      </c>
      <c r="AL111" s="46">
        <f t="shared" ca="1" si="205"/>
        <v>0</v>
      </c>
      <c r="AM111" s="46">
        <f t="shared" ca="1" si="205"/>
        <v>0</v>
      </c>
      <c r="AN111" s="83"/>
    </row>
    <row r="112" spans="1:40" customFormat="1" ht="14.25" x14ac:dyDescent="0.2">
      <c r="A112" s="75"/>
      <c r="B112" s="75"/>
      <c r="C112" s="75"/>
      <c r="D112" s="75"/>
      <c r="E112" s="75"/>
      <c r="F112" s="75"/>
      <c r="G112" s="75"/>
      <c r="H112" s="75"/>
      <c r="I112" s="75"/>
      <c r="J112" s="75"/>
      <c r="K112" s="75"/>
      <c r="L112" s="236"/>
      <c r="M112" s="238"/>
      <c r="N112" s="240"/>
      <c r="O112" s="64" t="s">
        <v>35</v>
      </c>
      <c r="P112" s="85">
        <f t="shared" ref="P112:AM112" ca="1" si="206">MIN(IF($B113,P111+IF(ISNUMBER(O112),O112,0),P113/$N111),1)</f>
        <v>0</v>
      </c>
      <c r="Q112" s="62">
        <f t="shared" ca="1" si="206"/>
        <v>0</v>
      </c>
      <c r="R112" s="62">
        <f t="shared" ca="1" si="206"/>
        <v>0</v>
      </c>
      <c r="S112" s="62">
        <f t="shared" ca="1" si="206"/>
        <v>0</v>
      </c>
      <c r="T112" s="62">
        <f t="shared" ca="1" si="206"/>
        <v>0</v>
      </c>
      <c r="U112" s="62">
        <f t="shared" ca="1" si="206"/>
        <v>0</v>
      </c>
      <c r="V112" s="62">
        <f t="shared" ca="1" si="206"/>
        <v>0</v>
      </c>
      <c r="W112" s="62">
        <f t="shared" ca="1" si="206"/>
        <v>0</v>
      </c>
      <c r="X112" s="85">
        <f t="shared" ca="1" si="206"/>
        <v>0</v>
      </c>
      <c r="Y112" s="62">
        <f t="shared" ca="1" si="206"/>
        <v>0</v>
      </c>
      <c r="Z112" s="62">
        <f t="shared" ca="1" si="206"/>
        <v>0</v>
      </c>
      <c r="AA112" s="62">
        <f t="shared" ca="1" si="206"/>
        <v>1</v>
      </c>
      <c r="AB112" s="62">
        <f t="shared" ca="1" si="206"/>
        <v>1</v>
      </c>
      <c r="AC112" s="62">
        <f t="shared" ca="1" si="206"/>
        <v>1</v>
      </c>
      <c r="AD112" s="62">
        <f t="shared" ca="1" si="206"/>
        <v>1</v>
      </c>
      <c r="AE112" s="62">
        <f t="shared" ca="1" si="206"/>
        <v>1</v>
      </c>
      <c r="AF112" s="85">
        <f t="shared" ca="1" si="206"/>
        <v>1</v>
      </c>
      <c r="AG112" s="62">
        <f t="shared" ca="1" si="206"/>
        <v>1</v>
      </c>
      <c r="AH112" s="62">
        <f t="shared" ca="1" si="206"/>
        <v>1</v>
      </c>
      <c r="AI112" s="62">
        <f t="shared" ca="1" si="206"/>
        <v>1</v>
      </c>
      <c r="AJ112" s="62">
        <f t="shared" ca="1" si="206"/>
        <v>1</v>
      </c>
      <c r="AK112" s="62">
        <f t="shared" ca="1" si="206"/>
        <v>1</v>
      </c>
      <c r="AL112" s="62">
        <f t="shared" ca="1" si="206"/>
        <v>1</v>
      </c>
      <c r="AM112" s="62">
        <f t="shared" ca="1" si="206"/>
        <v>1</v>
      </c>
      <c r="AN112" s="83"/>
    </row>
    <row r="113" spans="1:40" customFormat="1" ht="14.25" x14ac:dyDescent="0.2">
      <c r="A113" s="75">
        <f ca="1">OFFSET(A113,-CFF.NumLinha,0)+1</f>
        <v>32</v>
      </c>
      <c r="B113" s="75" t="b">
        <f ca="1">$C113&gt;=OFFSET($C113,CFF.NumLinha,0)</f>
        <v>1</v>
      </c>
      <c r="C113" s="75">
        <f ca="1">INDEX(PO!A$11:A$367,MATCH($A113,PO!$W$11:$W$367,0))</f>
        <v>2</v>
      </c>
      <c r="D113" s="75">
        <f ca="1">IF(ISERROR(J113),I113,SMALL(I113:J113,1))-1</f>
        <v>0</v>
      </c>
      <c r="E113" s="75">
        <f ca="1">IF($C113=1,OFFSET(E113,-CFF.NumLinha,0)+1,OFFSET(E113,-CFF.NumLinha,0))</f>
        <v>12</v>
      </c>
      <c r="F113" s="75">
        <f ca="1">IF($C113=1,0,IF($C113=2,OFFSET(F113,-CFF.NumLinha,0)+1,OFFSET(F113,-CFF.NumLinha,0)))</f>
        <v>1</v>
      </c>
      <c r="G113" s="75">
        <f ca="1">IF(AND($C113&lt;=2,$C113&lt;&gt;0),0,IF($C113=3,OFFSET(G113,-CFF.NumLinha,0)+1,OFFSET(G113,-CFF.NumLinha,0)))</f>
        <v>0</v>
      </c>
      <c r="H113" s="75">
        <f ca="1">IF(AND($C113&lt;=3,$C113&lt;&gt;0),0,IF($C113=4,OFFSET(H113,-CFF.NumLinha,0)+1,OFFSET(H113,-CFF.NumLinha,0)))</f>
        <v>0</v>
      </c>
      <c r="I113" s="75">
        <f ca="1">MATCH(0,OFFSET($D113,1,$C113,ROW($A$114)-ROW($A113)),0)</f>
        <v>1</v>
      </c>
      <c r="J113" s="75" t="e">
        <f ca="1">MATCH(OFFSET($D113,0,$C113)+1,OFFSET($D113,1,$C113,ROW($A$114)-ROW($A113)),0)</f>
        <v>#N/A</v>
      </c>
      <c r="K113" s="76">
        <f ca="1">ROUND(INDEX(PO!U$11:U$367,MATCH($A113,PO!$W$11:$W$367,0)),2)+10^-12</f>
        <v>7473.5900000000011</v>
      </c>
      <c r="L113" s="236"/>
      <c r="M113" s="238"/>
      <c r="N113" s="240"/>
      <c r="O113" s="93" t="s">
        <v>7</v>
      </c>
      <c r="P113" s="86">
        <f t="shared" ref="P113:W113" ca="1" si="207">IF($B113,ROUND(P112*$N111,2),ROUND(SUMIF(OFFSET($B113,1,0,$D113),TRUE,OFFSET(P113,1,0,$D113))/SUMIF(OFFSET($B113,1,0,$D113),TRUE,OFFSET($K113,1,0,$D113))*$N111,2))</f>
        <v>0</v>
      </c>
      <c r="Q113" s="63">
        <f t="shared" ca="1" si="207"/>
        <v>0</v>
      </c>
      <c r="R113" s="63">
        <f t="shared" ca="1" si="207"/>
        <v>0</v>
      </c>
      <c r="S113" s="63">
        <f t="shared" ca="1" si="207"/>
        <v>0</v>
      </c>
      <c r="T113" s="63">
        <f t="shared" ca="1" si="207"/>
        <v>0</v>
      </c>
      <c r="U113" s="63">
        <f t="shared" ca="1" si="207"/>
        <v>0</v>
      </c>
      <c r="V113" s="63">
        <f t="shared" ca="1" si="207"/>
        <v>0</v>
      </c>
      <c r="W113" s="96">
        <f t="shared" ca="1" si="207"/>
        <v>0</v>
      </c>
      <c r="X113" s="86">
        <f t="shared" ref="X113:AE113" ca="1" si="208">IF($B113,ROUND(X112*$N111,2),ROUND(SUMIF(OFFSET($B113,1,0,$D113),TRUE,OFFSET(X113,1,0,$D113))/SUMIF(OFFSET($B113,1,0,$D113),TRUE,OFFSET($K113,1,0,$D113))*$N111,2))</f>
        <v>0</v>
      </c>
      <c r="Y113" s="63">
        <f t="shared" ca="1" si="208"/>
        <v>0</v>
      </c>
      <c r="Z113" s="63">
        <f t="shared" ca="1" si="208"/>
        <v>0</v>
      </c>
      <c r="AA113" s="63">
        <f t="shared" ca="1" si="208"/>
        <v>7473.59</v>
      </c>
      <c r="AB113" s="63">
        <f t="shared" ca="1" si="208"/>
        <v>7473.59</v>
      </c>
      <c r="AC113" s="63">
        <f t="shared" ca="1" si="208"/>
        <v>7473.59</v>
      </c>
      <c r="AD113" s="63">
        <f t="shared" ca="1" si="208"/>
        <v>7473.59</v>
      </c>
      <c r="AE113" s="96">
        <f t="shared" ca="1" si="208"/>
        <v>7473.59</v>
      </c>
      <c r="AF113" s="86">
        <f t="shared" ref="AF113:AM113" ca="1" si="209">IF($B113,ROUND(AF112*$N111,2),ROUND(SUMIF(OFFSET($B113,1,0,$D113),TRUE,OFFSET(AF113,1,0,$D113))/SUMIF(OFFSET($B113,1,0,$D113),TRUE,OFFSET($K113,1,0,$D113))*$N111,2))</f>
        <v>7473.59</v>
      </c>
      <c r="AG113" s="63">
        <f t="shared" ca="1" si="209"/>
        <v>7473.59</v>
      </c>
      <c r="AH113" s="63">
        <f t="shared" ca="1" si="209"/>
        <v>7473.59</v>
      </c>
      <c r="AI113" s="63">
        <f t="shared" ca="1" si="209"/>
        <v>7473.59</v>
      </c>
      <c r="AJ113" s="63">
        <f t="shared" ca="1" si="209"/>
        <v>7473.59</v>
      </c>
      <c r="AK113" s="63">
        <f t="shared" ca="1" si="209"/>
        <v>7473.59</v>
      </c>
      <c r="AL113" s="63">
        <f t="shared" ca="1" si="209"/>
        <v>7473.59</v>
      </c>
      <c r="AM113" s="96">
        <f t="shared" ca="1" si="209"/>
        <v>7473.59</v>
      </c>
      <c r="AN113" s="83"/>
    </row>
    <row r="114" spans="1:40" ht="12.75" customHeight="1" x14ac:dyDescent="0.2">
      <c r="A114"/>
      <c r="B114"/>
      <c r="C114" s="75">
        <v>-1</v>
      </c>
      <c r="D114" s="75"/>
      <c r="E114" s="75">
        <v>0</v>
      </c>
      <c r="F114" s="75">
        <v>0</v>
      </c>
      <c r="G114" s="75">
        <v>0</v>
      </c>
      <c r="H114" s="75">
        <v>0</v>
      </c>
      <c r="I114"/>
      <c r="J114"/>
      <c r="K114"/>
      <c r="L114" s="31"/>
      <c r="M114" s="31"/>
      <c r="N114" s="52"/>
      <c r="O114" s="31"/>
      <c r="P114" s="31"/>
      <c r="Q114" s="52"/>
      <c r="R114" s="31"/>
      <c r="S114" s="31"/>
      <c r="T114" s="31"/>
      <c r="U114" s="31"/>
      <c r="V114" s="31"/>
      <c r="W114" s="31"/>
      <c r="X114" s="31"/>
      <c r="Y114" s="52"/>
      <c r="Z114" s="31"/>
      <c r="AA114" s="31"/>
      <c r="AB114" s="31"/>
      <c r="AC114" s="31"/>
      <c r="AD114" s="31"/>
      <c r="AE114" s="31"/>
      <c r="AF114" s="31"/>
      <c r="AG114" s="52"/>
      <c r="AH114" s="31"/>
      <c r="AI114" s="31"/>
      <c r="AJ114" s="31"/>
      <c r="AK114" s="31"/>
      <c r="AL114" s="31"/>
      <c r="AM114" s="31"/>
      <c r="AN114" s="77"/>
    </row>
    <row r="115" spans="1:40" ht="12" customHeight="1" x14ac:dyDescent="0.2">
      <c r="A115"/>
      <c r="B115"/>
      <c r="C115"/>
      <c r="D115"/>
      <c r="E115"/>
      <c r="F115"/>
      <c r="G115"/>
      <c r="H115"/>
      <c r="I115"/>
      <c r="J115"/>
      <c r="K11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77"/>
    </row>
    <row r="116" spans="1:40" x14ac:dyDescent="0.2">
      <c r="A116"/>
      <c r="B116"/>
      <c r="C116"/>
      <c r="D116"/>
      <c r="E116"/>
      <c r="F116"/>
      <c r="G116"/>
      <c r="H116"/>
      <c r="I116"/>
      <c r="J116"/>
      <c r="K116"/>
      <c r="L116" s="253" t="str">
        <f>Import.Município</f>
        <v>MT</v>
      </c>
      <c r="M116" s="253"/>
      <c r="N116" s="253"/>
      <c r="O116" s="1"/>
      <c r="P116" s="78"/>
      <c r="Q116" s="233"/>
      <c r="R116" s="233"/>
      <c r="S116" s="233"/>
      <c r="T116" s="1"/>
      <c r="U116" s="1"/>
      <c r="V116" s="1"/>
      <c r="W116" s="1"/>
      <c r="X116" s="78"/>
      <c r="Y116" s="233"/>
      <c r="Z116" s="233"/>
      <c r="AA116" s="233"/>
      <c r="AB116" s="1"/>
      <c r="AC116" s="1"/>
      <c r="AD116" s="1"/>
      <c r="AE116" s="1"/>
      <c r="AF116" s="78"/>
      <c r="AG116" s="233"/>
      <c r="AH116" s="233"/>
      <c r="AI116" s="233"/>
      <c r="AJ116" s="1"/>
      <c r="AK116" s="1"/>
      <c r="AL116" s="1"/>
      <c r="AM116" s="1"/>
      <c r="AN116" s="77"/>
    </row>
    <row r="117" spans="1:40" x14ac:dyDescent="0.2">
      <c r="A117"/>
      <c r="B117"/>
      <c r="C117"/>
      <c r="D117"/>
      <c r="E117"/>
      <c r="F117"/>
      <c r="G117"/>
      <c r="H117"/>
      <c r="I117"/>
      <c r="J117"/>
      <c r="K117"/>
      <c r="L117" s="79" t="s">
        <v>18</v>
      </c>
      <c r="M117" s="234"/>
      <c r="N117" s="234"/>
      <c r="O117" s="1"/>
      <c r="P117" s="78"/>
      <c r="Q117" s="233"/>
      <c r="R117" s="233"/>
      <c r="S117" s="233"/>
      <c r="T117" s="1"/>
      <c r="U117" s="1"/>
      <c r="V117" s="1"/>
      <c r="W117" s="1"/>
      <c r="X117" s="78"/>
      <c r="Y117" s="233"/>
      <c r="Z117" s="233"/>
      <c r="AA117" s="233"/>
      <c r="AB117" s="1"/>
      <c r="AC117" s="1"/>
      <c r="AD117" s="1"/>
      <c r="AE117" s="1"/>
      <c r="AF117" s="78"/>
      <c r="AG117" s="233"/>
      <c r="AH117" s="233"/>
      <c r="AI117" s="233"/>
      <c r="AJ117" s="1"/>
      <c r="AK117" s="1"/>
      <c r="AL117" s="1"/>
      <c r="AM117" s="1"/>
      <c r="AN117" s="77"/>
    </row>
    <row r="118" spans="1:40" x14ac:dyDescent="0.2">
      <c r="A118"/>
      <c r="B118"/>
      <c r="C118"/>
      <c r="D118"/>
      <c r="E118"/>
      <c r="F118"/>
      <c r="G118"/>
      <c r="H118"/>
      <c r="I118"/>
      <c r="J118"/>
      <c r="K118"/>
      <c r="L118" s="78"/>
      <c r="M118" s="252"/>
      <c r="N118" s="234"/>
      <c r="O118" s="1"/>
      <c r="P118" s="78"/>
      <c r="Q118" s="233"/>
      <c r="R118" s="233"/>
      <c r="S118" s="233"/>
      <c r="T118" s="1"/>
      <c r="U118" s="1"/>
      <c r="V118" s="1"/>
      <c r="W118" s="1"/>
      <c r="X118" s="78"/>
      <c r="Y118" s="233"/>
      <c r="Z118" s="233"/>
      <c r="AA118" s="233"/>
      <c r="AB118" s="1"/>
      <c r="AC118" s="1"/>
      <c r="AD118" s="1"/>
      <c r="AE118" s="1"/>
      <c r="AF118" s="78"/>
      <c r="AG118" s="233"/>
      <c r="AH118" s="233"/>
      <c r="AI118" s="233"/>
      <c r="AJ118" s="1"/>
      <c r="AK118" s="1"/>
      <c r="AL118" s="1"/>
      <c r="AM118" s="1"/>
      <c r="AN118" s="77"/>
    </row>
    <row r="119" spans="1:40" x14ac:dyDescent="0.2">
      <c r="A119"/>
      <c r="B119"/>
      <c r="C119"/>
      <c r="D119"/>
      <c r="E119"/>
      <c r="F119"/>
      <c r="G119"/>
      <c r="H119"/>
      <c r="I119"/>
      <c r="J119"/>
      <c r="K119"/>
      <c r="L119" s="241">
        <f ca="1">PO!K377</f>
        <v>44851</v>
      </c>
      <c r="M119" s="241"/>
      <c r="N119" s="24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80"/>
    </row>
    <row r="120" spans="1:40" x14ac:dyDescent="0.2">
      <c r="A120"/>
      <c r="B120"/>
      <c r="C120"/>
      <c r="D120"/>
      <c r="E120"/>
      <c r="F120"/>
      <c r="G120"/>
      <c r="H120"/>
      <c r="I120"/>
      <c r="J120"/>
      <c r="K120"/>
      <c r="L120" s="81" t="s">
        <v>19</v>
      </c>
      <c r="M120" s="31"/>
      <c r="N120" s="3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80"/>
    </row>
    <row r="121" spans="1:40" x14ac:dyDescent="0.2">
      <c r="A121"/>
      <c r="B121"/>
      <c r="C121"/>
      <c r="D121"/>
      <c r="E121"/>
      <c r="F121"/>
      <c r="G121"/>
      <c r="H121"/>
      <c r="I121"/>
      <c r="J121"/>
      <c r="K12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80"/>
    </row>
    <row r="122" spans="1:40" x14ac:dyDescent="0.2">
      <c r="A122"/>
      <c r="B122"/>
      <c r="C122"/>
      <c r="D122"/>
      <c r="E122"/>
      <c r="F122"/>
      <c r="G122"/>
      <c r="H122"/>
      <c r="I122"/>
      <c r="J122"/>
      <c r="K122"/>
      <c r="L122" s="1"/>
      <c r="M122" s="1"/>
      <c r="N122" s="3"/>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77"/>
    </row>
    <row r="123" spans="1:40" x14ac:dyDescent="0.2">
      <c r="A123"/>
      <c r="B123"/>
      <c r="C123"/>
      <c r="D123"/>
      <c r="E123"/>
      <c r="F123"/>
      <c r="G123"/>
      <c r="H123"/>
      <c r="I123"/>
      <c r="J123"/>
      <c r="K123"/>
      <c r="L123" s="1"/>
      <c r="M123" s="1"/>
      <c r="N123" s="3"/>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77"/>
    </row>
    <row r="124" spans="1:40" x14ac:dyDescent="0.2">
      <c r="A124"/>
      <c r="B124"/>
      <c r="C124"/>
      <c r="D124"/>
      <c r="E124"/>
      <c r="F124"/>
      <c r="G124"/>
      <c r="H124"/>
      <c r="I124"/>
      <c r="J124"/>
      <c r="K124"/>
      <c r="L124" s="1"/>
      <c r="M124" s="1"/>
      <c r="N124" s="3"/>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77"/>
    </row>
  </sheetData>
  <sheetProtection sheet="1" objects="1" scenarios="1" formatRows="0"/>
  <mergeCells count="115">
    <mergeCell ref="L42:L44"/>
    <mergeCell ref="L36:L38"/>
    <mergeCell ref="M36:M38"/>
    <mergeCell ref="N36:N38"/>
    <mergeCell ref="L39:L41"/>
    <mergeCell ref="M39:M41"/>
    <mergeCell ref="N39:N41"/>
    <mergeCell ref="AG117:AI117"/>
    <mergeCell ref="AG118:AI118"/>
    <mergeCell ref="AG116:AI116"/>
    <mergeCell ref="L72:L74"/>
    <mergeCell ref="M72:M74"/>
    <mergeCell ref="N72:N74"/>
    <mergeCell ref="M63:M65"/>
    <mergeCell ref="N63:N65"/>
    <mergeCell ref="N54:N56"/>
    <mergeCell ref="L57:L59"/>
    <mergeCell ref="M57:M59"/>
    <mergeCell ref="N57:N59"/>
    <mergeCell ref="N60:N62"/>
    <mergeCell ref="L63:L65"/>
    <mergeCell ref="L81:L83"/>
    <mergeCell ref="M81:M83"/>
    <mergeCell ref="N81:N83"/>
    <mergeCell ref="L27:L29"/>
    <mergeCell ref="M27:M29"/>
    <mergeCell ref="N27:N29"/>
    <mergeCell ref="L30:L32"/>
    <mergeCell ref="M30:M32"/>
    <mergeCell ref="N30:N32"/>
    <mergeCell ref="L33:L35"/>
    <mergeCell ref="M118:N118"/>
    <mergeCell ref="L51:L53"/>
    <mergeCell ref="M51:M53"/>
    <mergeCell ref="N51:N53"/>
    <mergeCell ref="L45:L47"/>
    <mergeCell ref="M45:M47"/>
    <mergeCell ref="M33:M35"/>
    <mergeCell ref="N33:N35"/>
    <mergeCell ref="L116:N116"/>
    <mergeCell ref="L66:L68"/>
    <mergeCell ref="M66:M68"/>
    <mergeCell ref="N66:N68"/>
    <mergeCell ref="N45:N47"/>
    <mergeCell ref="L60:L62"/>
    <mergeCell ref="L69:L71"/>
    <mergeCell ref="M69:M71"/>
    <mergeCell ref="N69:N71"/>
    <mergeCell ref="M11:M13"/>
    <mergeCell ref="L119:N119"/>
    <mergeCell ref="L8:M8"/>
    <mergeCell ref="N11:N13"/>
    <mergeCell ref="L11:L13"/>
    <mergeCell ref="L14:M17"/>
    <mergeCell ref="N14:N17"/>
    <mergeCell ref="L48:L50"/>
    <mergeCell ref="M48:M50"/>
    <mergeCell ref="N48:N50"/>
    <mergeCell ref="L18:L20"/>
    <mergeCell ref="M18:M20"/>
    <mergeCell ref="N18:N20"/>
    <mergeCell ref="M42:M44"/>
    <mergeCell ref="N42:N44"/>
    <mergeCell ref="L54:L56"/>
    <mergeCell ref="M54:M56"/>
    <mergeCell ref="L21:L23"/>
    <mergeCell ref="M21:M23"/>
    <mergeCell ref="N21:N23"/>
    <mergeCell ref="L24:L26"/>
    <mergeCell ref="M24:M26"/>
    <mergeCell ref="N24:N26"/>
    <mergeCell ref="M60:M62"/>
    <mergeCell ref="L84:L86"/>
    <mergeCell ref="M84:M86"/>
    <mergeCell ref="N84:N86"/>
    <mergeCell ref="L75:L77"/>
    <mergeCell ref="M75:M77"/>
    <mergeCell ref="N75:N77"/>
    <mergeCell ref="L78:L80"/>
    <mergeCell ref="M78:M80"/>
    <mergeCell ref="N78:N80"/>
    <mergeCell ref="L93:L95"/>
    <mergeCell ref="M93:M95"/>
    <mergeCell ref="N93:N95"/>
    <mergeCell ref="L96:L98"/>
    <mergeCell ref="M96:M98"/>
    <mergeCell ref="N96:N98"/>
    <mergeCell ref="L87:L89"/>
    <mergeCell ref="M87:M89"/>
    <mergeCell ref="N87:N89"/>
    <mergeCell ref="L90:L92"/>
    <mergeCell ref="M90:M92"/>
    <mergeCell ref="N90:N92"/>
    <mergeCell ref="L105:L107"/>
    <mergeCell ref="M105:M107"/>
    <mergeCell ref="N105:N107"/>
    <mergeCell ref="L108:L110"/>
    <mergeCell ref="M108:M110"/>
    <mergeCell ref="N108:N110"/>
    <mergeCell ref="L99:L101"/>
    <mergeCell ref="M99:M101"/>
    <mergeCell ref="N99:N101"/>
    <mergeCell ref="L102:L104"/>
    <mergeCell ref="M102:M104"/>
    <mergeCell ref="N102:N104"/>
    <mergeCell ref="Y118:AA118"/>
    <mergeCell ref="Y116:AA116"/>
    <mergeCell ref="Y117:AA117"/>
    <mergeCell ref="Q118:S118"/>
    <mergeCell ref="Q117:S117"/>
    <mergeCell ref="Q116:S116"/>
    <mergeCell ref="M117:N117"/>
    <mergeCell ref="L111:L113"/>
    <mergeCell ref="M111:M113"/>
    <mergeCell ref="N111:N113"/>
  </mergeCells>
  <phoneticPr fontId="20" type="noConversion"/>
  <conditionalFormatting sqref="L11:N11 L12:M13 L18:N18">
    <cfRule type="expression" dxfId="75" priority="973" stopIfTrue="1">
      <formula>$C13=1</formula>
    </cfRule>
  </conditionalFormatting>
  <conditionalFormatting sqref="O11 O18">
    <cfRule type="expression" dxfId="74" priority="1045" stopIfTrue="1">
      <formula>$B13=FALSE</formula>
    </cfRule>
    <cfRule type="expression" dxfId="73" priority="1046" stopIfTrue="1">
      <formula>$C13=1</formula>
    </cfRule>
  </conditionalFormatting>
  <conditionalFormatting sqref="P11:W11 P18:W18">
    <cfRule type="expression" dxfId="72" priority="1032" stopIfTrue="1">
      <formula>AND(ISNUMBER(O13),O13&gt;=$N11)</formula>
    </cfRule>
    <cfRule type="expression" dxfId="71" priority="1033" stopIfTrue="1">
      <formula>$B13=FALSE</formula>
    </cfRule>
    <cfRule type="expression" dxfId="70" priority="1034" stopIfTrue="1">
      <formula>$C13=1</formula>
    </cfRule>
  </conditionalFormatting>
  <conditionalFormatting sqref="P12:W12 P19:W19">
    <cfRule type="expression" dxfId="69" priority="1035" stopIfTrue="1">
      <formula>AND(ISNUMBER(O13),O13&gt;=$N11)</formula>
    </cfRule>
    <cfRule type="cellIs" dxfId="68" priority="1036" stopIfTrue="1" operator="notBetween">
      <formula>0</formula>
      <formula>1</formula>
    </cfRule>
  </conditionalFormatting>
  <conditionalFormatting sqref="P13:W13 P20:W20">
    <cfRule type="expression" dxfId="67" priority="1037" stopIfTrue="1">
      <formula>AND(ISNUMBER(O13),O13&gt;=$N11)</formula>
    </cfRule>
    <cfRule type="cellIs" dxfId="66" priority="1038" stopIfTrue="1" operator="notBetween">
      <formula>0</formula>
      <formula>$N11</formula>
    </cfRule>
  </conditionalFormatting>
  <conditionalFormatting sqref="P14:W14">
    <cfRule type="expression" dxfId="65" priority="1039" stopIfTrue="1">
      <formula>AND(ISNUMBER(O17),O17&gt;=$N14)</formula>
    </cfRule>
  </conditionalFormatting>
  <conditionalFormatting sqref="P15:W15">
    <cfRule type="expression" dxfId="64" priority="1040" stopIfTrue="1">
      <formula>AND(ISNUMBER(O17),O17&gt;=$N14)</formula>
    </cfRule>
  </conditionalFormatting>
  <conditionalFormatting sqref="P16:W16">
    <cfRule type="expression" dxfId="63" priority="1041" stopIfTrue="1">
      <formula>AND(ISNUMBER(O17),O17&gt;=$N14)</formula>
    </cfRule>
    <cfRule type="cellIs" dxfId="62" priority="1042" stopIfTrue="1" operator="notBetween">
      <formula>0</formula>
      <formula>1</formula>
    </cfRule>
  </conditionalFormatting>
  <conditionalFormatting sqref="P17:W17">
    <cfRule type="expression" dxfId="61" priority="1043" stopIfTrue="1">
      <formula>AND(ISNUMBER(O17),O17&gt;=$N14)</formula>
    </cfRule>
    <cfRule type="cellIs" dxfId="60" priority="1044" stopIfTrue="1" operator="notBetween">
      <formula>0</formula>
      <formula>$N14</formula>
    </cfRule>
  </conditionalFormatting>
  <conditionalFormatting sqref="L8">
    <cfRule type="cellIs" dxfId="59" priority="1030" stopIfTrue="1" operator="notEqual">
      <formula>""</formula>
    </cfRule>
  </conditionalFormatting>
  <conditionalFormatting sqref="N9">
    <cfRule type="expression" dxfId="58" priority="1029" stopIfTrue="1">
      <formula>TipoOrçamento&lt;&gt;"REPROGRAMADOAC"</formula>
    </cfRule>
  </conditionalFormatting>
  <conditionalFormatting sqref="L19:M20">
    <cfRule type="expression" dxfId="57" priority="1864" stopIfTrue="1">
      <formula>#REF!=1</formula>
    </cfRule>
  </conditionalFormatting>
  <conditionalFormatting sqref="L21:N21 L24:N24 L27:N27 L30:N30 L33:N33 L36:N36 L39:N39 L42:N42 L45:N45 L48:N48 L51:N51 L54:N54 L57:N57 L60:N60 L63:N63 L66:N66 L69:N69 L72:N72 L75:N75 L78:N78 L81:N81 L84:N84 L87:N87 L90:N90 L93:N93 L96:N96 L99:N99 L102:N102 L105:N105 L108:N108 L111:N111 L22:M23 L25:M26 L28:M29 L31:M32 L34:M35 L37:M38 L40:M41 L43:M44 L46:M47 L49:M50 L52:M53 L55:M56 L58:M59 L61:M62 L64:M65 L67:M68 L70:M71 L73:M74 L76:M77 L79:M80 L82:M83 L85:M86 L88:M89 L91:M92 L94:M95 L97:M98 L100:M101 L103:M104 L106:M107 L109:M110">
    <cfRule type="expression" dxfId="56" priority="81" stopIfTrue="1">
      <formula>$C23=1</formula>
    </cfRule>
  </conditionalFormatting>
  <conditionalFormatting sqref="O21 O24 O27 O30 O33 O36 O39 O42 O45 O48 O51 O54 O57 O60 O63 O66 O69 O72 O75 O78 O81 O84 O87 O90 O93 O96 O99 O102 O105 O108 O111">
    <cfRule type="expression" dxfId="55" priority="89" stopIfTrue="1">
      <formula>$B23=FALSE</formula>
    </cfRule>
    <cfRule type="expression" dxfId="54" priority="90" stopIfTrue="1">
      <formula>$C23=1</formula>
    </cfRule>
  </conditionalFormatting>
  <conditionalFormatting sqref="P21:W21 P24:W24 P27:W27 P30:W30 P33:W33 P36:W36 P39:W39 P42:W42 P45:W45 P48:W48 P51:W51 P54:W54 P57:W57 P60:W60 P63:W63 P66:W66 P69:W69 P72:W72 P75:W75 P78:W78 P81:W81 P84:W84 P87:W87 P90:W90 P93:W93 P96:W96 P99:W99 P102:W102 P105:W105 P108:W108 P111:W111">
    <cfRule type="expression" dxfId="53" priority="82" stopIfTrue="1">
      <formula>AND(ISNUMBER(O23),O23&gt;=$N21)</formula>
    </cfRule>
    <cfRule type="expression" dxfId="52" priority="83" stopIfTrue="1">
      <formula>$B23=FALSE</formula>
    </cfRule>
    <cfRule type="expression" dxfId="51" priority="84" stopIfTrue="1">
      <formula>$C23=1</formula>
    </cfRule>
  </conditionalFormatting>
  <conditionalFormatting sqref="P22:W22 P25:W25 P28:W28 P31:W31 P34:W34 P37:W37 P40:W40 P43:W43 P46:W46 P49:W49 P52:W52 P55:W55 P58:W58 P61:W61 P64:W64 P67:W67 P70:W70 P73:W73 P76:W76 P79:W79 P82:W82 P85:W85 P88:W88 P91:W91 P94:W94 P97:W97 P100:W100 P103:W103 P106:W106 P109:W109 P112:W112">
    <cfRule type="expression" dxfId="50" priority="85" stopIfTrue="1">
      <formula>AND(ISNUMBER(O23),O23&gt;=$N21)</formula>
    </cfRule>
    <cfRule type="cellIs" dxfId="49" priority="86" stopIfTrue="1" operator="notBetween">
      <formula>0</formula>
      <formula>1</formula>
    </cfRule>
  </conditionalFormatting>
  <conditionalFormatting sqref="P23:W23 P26:W26 P29:W29 P32:W32 P35:W35 P38:W38 P41:W41 P44:W44 P47:W47 P50:W50 P53:W53 P56:W56 P59:W59 P62:W62 P65:W65 P68:W68 P71:W71 P74:W74 P77:W77 P80:W80 P83:W83 P86:W86 P89:W89 P92:W92 P95:W95 P98:W98 P101:W101 P104:W104 P107:W107 P110:W110 P113:W113">
    <cfRule type="expression" dxfId="48" priority="87" stopIfTrue="1">
      <formula>AND(ISNUMBER(O23),O23&gt;=$N21)</formula>
    </cfRule>
    <cfRule type="cellIs" dxfId="47" priority="88" stopIfTrue="1" operator="notBetween">
      <formula>0</formula>
      <formula>$N21</formula>
    </cfRule>
  </conditionalFormatting>
  <conditionalFormatting sqref="X11:AE11 X18:AE18">
    <cfRule type="expression" dxfId="46" priority="28" stopIfTrue="1">
      <formula>AND(ISNUMBER(W13),W13&gt;=$N11)</formula>
    </cfRule>
    <cfRule type="expression" dxfId="45" priority="29" stopIfTrue="1">
      <formula>$B13=FALSE</formula>
    </cfRule>
    <cfRule type="expression" dxfId="44" priority="30" stopIfTrue="1">
      <formula>$C13=1</formula>
    </cfRule>
  </conditionalFormatting>
  <conditionalFormatting sqref="X12:AE12 X19:AE19">
    <cfRule type="expression" dxfId="43" priority="31" stopIfTrue="1">
      <formula>AND(ISNUMBER(W13),W13&gt;=$N11)</formula>
    </cfRule>
    <cfRule type="cellIs" dxfId="42" priority="32" stopIfTrue="1" operator="notBetween">
      <formula>0</formula>
      <formula>1</formula>
    </cfRule>
  </conditionalFormatting>
  <conditionalFormatting sqref="X13:AE13 X20:AE20">
    <cfRule type="expression" dxfId="41" priority="33" stopIfTrue="1">
      <formula>AND(ISNUMBER(W13),W13&gt;=$N11)</formula>
    </cfRule>
    <cfRule type="cellIs" dxfId="40" priority="34" stopIfTrue="1" operator="notBetween">
      <formula>0</formula>
      <formula>$N11</formula>
    </cfRule>
  </conditionalFormatting>
  <conditionalFormatting sqref="X14:AE14">
    <cfRule type="expression" dxfId="39" priority="35" stopIfTrue="1">
      <formula>AND(ISNUMBER(W17),W17&gt;=$N14)</formula>
    </cfRule>
  </conditionalFormatting>
  <conditionalFormatting sqref="X15:AE15">
    <cfRule type="expression" dxfId="38" priority="36" stopIfTrue="1">
      <formula>AND(ISNUMBER(W17),W17&gt;=$N14)</formula>
    </cfRule>
  </conditionalFormatting>
  <conditionalFormatting sqref="X16:AE16">
    <cfRule type="expression" dxfId="37" priority="37" stopIfTrue="1">
      <formula>AND(ISNUMBER(W17),W17&gt;=$N14)</formula>
    </cfRule>
    <cfRule type="cellIs" dxfId="36" priority="38" stopIfTrue="1" operator="notBetween">
      <formula>0</formula>
      <formula>1</formula>
    </cfRule>
  </conditionalFormatting>
  <conditionalFormatting sqref="X17:AE17">
    <cfRule type="expression" dxfId="35" priority="39" stopIfTrue="1">
      <formula>AND(ISNUMBER(W17),W17&gt;=$N14)</formula>
    </cfRule>
    <cfRule type="cellIs" dxfId="34" priority="40" stopIfTrue="1" operator="notBetween">
      <formula>0</formula>
      <formula>$N14</formula>
    </cfRule>
  </conditionalFormatting>
  <conditionalFormatting sqref="X21:AE21 X24:AE24 X27:AE27 X30:AE30 X33:AE33 X36:AE36 X39:AE39 X42:AE42 X45:AE45 X48:AE48 X51:AE51 X54:AE54 X57:AE57 X60:AE60 X63:AE63 X66:AE66 X69:AE69 X72:AE72 X75:AE75 X78:AE78 X81:AE81 X84:AE84 X87:AE87 X90:AE90 X93:AE93 X96:AE96 X99:AE99 X102:AE102 X105:AE105 X108:AE108 X111:AE111">
    <cfRule type="expression" dxfId="33" priority="21" stopIfTrue="1">
      <formula>AND(ISNUMBER(W23),W23&gt;=$N21)</formula>
    </cfRule>
    <cfRule type="expression" dxfId="32" priority="22" stopIfTrue="1">
      <formula>$B23=FALSE</formula>
    </cfRule>
    <cfRule type="expression" dxfId="31" priority="23" stopIfTrue="1">
      <formula>$C23=1</formula>
    </cfRule>
  </conditionalFormatting>
  <conditionalFormatting sqref="X22:AE22 X25:AE25 X28:AE28 X31:AE31 X34:AE34 X37:AE37 X40:AE40 X43:AE43 X46:AE46 X49:AE49 X52:AE52 X55:AE55 X58:AE58 X61:AE61 X64:AE64 X67:AE67 X70:AE70 X73:AE73 X76:AE76 X79:AE79 X82:AE82 X85:AE85 X88:AE88 X91:AE91 X94:AE94 X97:AE97 X100:AE100 X103:AE103 X106:AE106 X109:AE109 X112:AE112">
    <cfRule type="expression" dxfId="30" priority="24" stopIfTrue="1">
      <formula>AND(ISNUMBER(W23),W23&gt;=$N21)</formula>
    </cfRule>
    <cfRule type="cellIs" dxfId="29" priority="25" stopIfTrue="1" operator="notBetween">
      <formula>0</formula>
      <formula>1</formula>
    </cfRule>
  </conditionalFormatting>
  <conditionalFormatting sqref="X23:AE23 X26:AE26 X29:AE29 X32:AE32 X35:AE35 X38:AE38 X41:AE41 X44:AE44 X47:AE47 X50:AE50 X53:AE53 X56:AE56 X59:AE59 X62:AE62 X65:AE65 X68:AE68 X71:AE71 X74:AE74 X77:AE77 X80:AE80 X83:AE83 X86:AE86 X89:AE89 X92:AE92 X95:AE95 X98:AE98 X101:AE101 X104:AE104 X107:AE107 X110:AE110 X113:AE113">
    <cfRule type="expression" dxfId="28" priority="26" stopIfTrue="1">
      <formula>AND(ISNUMBER(W23),W23&gt;=$N21)</formula>
    </cfRule>
    <cfRule type="cellIs" dxfId="27" priority="27" stopIfTrue="1" operator="notBetween">
      <formula>0</formula>
      <formula>$N21</formula>
    </cfRule>
  </conditionalFormatting>
  <conditionalFormatting sqref="AF11:AM11 AF18:AM18">
    <cfRule type="expression" dxfId="26" priority="8" stopIfTrue="1">
      <formula>AND(ISNUMBER(AE13),AE13&gt;=$N11)</formula>
    </cfRule>
    <cfRule type="expression" dxfId="25" priority="9" stopIfTrue="1">
      <formula>$B13=FALSE</formula>
    </cfRule>
    <cfRule type="expression" dxfId="24" priority="10" stopIfTrue="1">
      <formula>$C13=1</formula>
    </cfRule>
  </conditionalFormatting>
  <conditionalFormatting sqref="AF12:AM12 AF19:AM19">
    <cfRule type="expression" dxfId="23" priority="11" stopIfTrue="1">
      <formula>AND(ISNUMBER(AE13),AE13&gt;=$N11)</formula>
    </cfRule>
    <cfRule type="cellIs" dxfId="22" priority="12" stopIfTrue="1" operator="notBetween">
      <formula>0</formula>
      <formula>1</formula>
    </cfRule>
  </conditionalFormatting>
  <conditionalFormatting sqref="AF13:AM13 AF20:AM20">
    <cfRule type="expression" dxfId="21" priority="13" stopIfTrue="1">
      <formula>AND(ISNUMBER(AE13),AE13&gt;=$N11)</formula>
    </cfRule>
    <cfRule type="cellIs" dxfId="20" priority="14" stopIfTrue="1" operator="notBetween">
      <formula>0</formula>
      <formula>$N11</formula>
    </cfRule>
  </conditionalFormatting>
  <conditionalFormatting sqref="AF14:AM14">
    <cfRule type="expression" dxfId="19" priority="15" stopIfTrue="1">
      <formula>AND(ISNUMBER(AE17),AE17&gt;=$N14)</formula>
    </cfRule>
  </conditionalFormatting>
  <conditionalFormatting sqref="AF15:AM15">
    <cfRule type="expression" dxfId="18" priority="16" stopIfTrue="1">
      <formula>AND(ISNUMBER(AE17),AE17&gt;=$N14)</formula>
    </cfRule>
  </conditionalFormatting>
  <conditionalFormatting sqref="AF16:AM16">
    <cfRule type="expression" dxfId="17" priority="17" stopIfTrue="1">
      <formula>AND(ISNUMBER(AE17),AE17&gt;=$N14)</formula>
    </cfRule>
    <cfRule type="cellIs" dxfId="16" priority="18" stopIfTrue="1" operator="notBetween">
      <formula>0</formula>
      <formula>1</formula>
    </cfRule>
  </conditionalFormatting>
  <conditionalFormatting sqref="AF17:AM17">
    <cfRule type="expression" dxfId="15" priority="19" stopIfTrue="1">
      <formula>AND(ISNUMBER(AE17),AE17&gt;=$N14)</formula>
    </cfRule>
    <cfRule type="cellIs" dxfId="14" priority="20" stopIfTrue="1" operator="notBetween">
      <formula>0</formula>
      <formula>$N14</formula>
    </cfRule>
  </conditionalFormatting>
  <conditionalFormatting sqref="AF21:AM21 AF24:AM24 AF27:AM27 AF30:AM30 AF33:AM33 AF36:AM36 AF39:AM39 AF42:AM42 AF45:AM45 AF48:AM48 AF51:AM51 AF54:AM54 AF57:AM57 AF60:AM60 AF63:AM63 AF66:AM66 AF69:AM69 AF72:AM72 AF75:AM75 AF78:AM78 AF81:AM81 AF84:AM84 AF87:AM87 AF90:AM90 AF93:AM93 AF96:AM96 AF99:AM99 AF102:AM102 AF105:AM105 AF108:AM108 AF111:AM111">
    <cfRule type="expression" dxfId="13" priority="1" stopIfTrue="1">
      <formula>AND(ISNUMBER(AE23),AE23&gt;=$N21)</formula>
    </cfRule>
    <cfRule type="expression" dxfId="12" priority="2" stopIfTrue="1">
      <formula>$B23=FALSE</formula>
    </cfRule>
    <cfRule type="expression" dxfId="11" priority="3" stopIfTrue="1">
      <formula>$C23=1</formula>
    </cfRule>
  </conditionalFormatting>
  <conditionalFormatting sqref="AF22:AM22 AF25:AM25 AF28:AM28 AF31:AM31 AF34:AM34 AF37:AM37 AF40:AM40 AF43:AM43 AF46:AM46 AF49:AM49 AF52:AM52 AF55:AM55 AF58:AM58 AF61:AM61 AF64:AM64 AF67:AM67 AF70:AM70 AF73:AM73 AF76:AM76 AF79:AM79 AF82:AM82 AF85:AM85 AF88:AM88 AF91:AM91 AF94:AM94 AF97:AM97 AF100:AM100 AF103:AM103 AF106:AM106 AF109:AM109 AF112:AM112">
    <cfRule type="expression" dxfId="10" priority="4" stopIfTrue="1">
      <formula>AND(ISNUMBER(AE23),AE23&gt;=$N21)</formula>
    </cfRule>
    <cfRule type="cellIs" dxfId="9" priority="5" stopIfTrue="1" operator="notBetween">
      <formula>0</formula>
      <formula>1</formula>
    </cfRule>
  </conditionalFormatting>
  <conditionalFormatting sqref="AF23:AM23 AF26:AM26 AF29:AM29 AF32:AM32 AF35:AM35 AF38:AM38 AF41:AM41 AF44:AM44 AF47:AM47 AF50:AM50 AF53:AM53 AF56:AM56 AF59:AM59 AF62:AM62 AF65:AM65 AF68:AM68 AF71:AM71 AF74:AM74 AF77:AM77 AF80:AM80 AF83:AM83 AF86:AM86 AF89:AM89 AF92:AM92 AF95:AM95 AF98:AM98 AF101:AM101 AF104:AM104 AF107:AM107 AF110:AM110 AF113:AM113">
    <cfRule type="expression" dxfId="8" priority="6" stopIfTrue="1">
      <formula>AND(ISNUMBER(AE23),AE23&gt;=$N21)</formula>
    </cfRule>
    <cfRule type="cellIs" dxfId="7" priority="7" stopIfTrue="1" operator="notBetween">
      <formula>0</formula>
      <formula>$N21</formula>
    </cfRule>
  </conditionalFormatting>
  <conditionalFormatting sqref="L112:M113">
    <cfRule type="expression" dxfId="6" priority="5404" stopIfTrue="1">
      <formula>#REF!=1</formula>
    </cfRule>
  </conditionalFormatting>
  <dataValidations count="2">
    <dataValidation type="whole" operator="greaterThanOrEqual" allowBlank="1" showInputMessage="1" showErrorMessage="1" errorTitle="Erro de Valor" error="Digite somente números inteiros positivos." promptTitle="Qtde de Medições já realizadas:" prompt="Digite a quantidade de medições já realizadas para o CTEF antes da Reprogramação." sqref="N9" xr:uid="{00000000-0002-0000-0300-000000000000}">
      <formula1>0</formula1>
    </dataValidation>
    <dataValidation type="decimal" allowBlank="1" showInputMessage="1" showErrorMessage="1" errorTitle="Erro de Dados" error="Digite valores maiores ou iguais à 0%. O % acumulado não deve ultrapassar 100%." sqref="P27:AM27 P30:AM30 P33:AM33 P36:AM36 P39:AM39 P42:AM42 P45:AM45 P48:AM48 P51:AM51 P54:AM54 P57:AM57 P60:AM60 P63:AM63 P66:AM66 P69:AM69 P72:AM72 P75:AM75 P78:AM78 P81:AM81 P84:AM84 P87:AM87 P90:AM90 P93:AM93 P96:AM96 P99:AM99 P102:AM102 P105:AM105 P108:AM108 P111:AM111 P18:AM18 P11:AM11 P21:AM21 P24:AM24" xr:uid="{00000000-0002-0000-0300-000001000000}">
      <formula1>0</formula1>
      <formula2>1-SUM($P11:P11)+P11</formula2>
    </dataValidation>
  </dataValidations>
  <pageMargins left="0.39370078740157483" right="0.39370078740157483" top="0.78740157480314965" bottom="0.78740157480314965" header="0" footer="0"/>
  <pageSetup paperSize="9" scale="66" fitToWidth="0" fitToHeight="0" pageOrder="overThenDown" orientation="landscape" errors="dash" horizontalDpi="1200" verticalDpi="1200" r:id="rId1"/>
  <headerFooter>
    <oddFooter>&amp;L27.486 v002  micro&amp;R&amp;P</oddFooter>
  </headerFooter>
  <drawing r:id="rId2"/>
  <legacyDrawing r:id="rId3"/>
  <oleObjects>
    <mc:AlternateContent xmlns:mc="http://schemas.openxmlformats.org/markup-compatibility/2006">
      <mc:Choice Requires="x14">
        <oleObject shapeId="193474" r:id="rId4">
          <objectPr defaultSize="0" autoPict="0" r:id="rId5">
            <anchor moveWithCells="1">
              <from>
                <xdr:col>11</xdr:col>
                <xdr:colOff>57150</xdr:colOff>
                <xdr:row>0</xdr:row>
                <xdr:rowOff>38100</xdr:rowOff>
              </from>
              <to>
                <xdr:col>12</xdr:col>
                <xdr:colOff>1133475</xdr:colOff>
                <xdr:row>2</xdr:row>
                <xdr:rowOff>95250</xdr:rowOff>
              </to>
            </anchor>
          </objectPr>
        </oleObject>
      </mc:Choice>
      <mc:Fallback>
        <oleObject shapeId="193474"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A1:Y21"/>
  <sheetViews>
    <sheetView showGridLines="0" workbookViewId="0">
      <pane ySplit="10" topLeftCell="A11" activePane="bottomLeft" state="frozen"/>
      <selection activeCell="B1" sqref="B1"/>
      <selection pane="bottomLeft"/>
    </sheetView>
  </sheetViews>
  <sheetFormatPr defaultRowHeight="12.75" x14ac:dyDescent="0.2"/>
  <cols>
    <col min="1" max="1" width="11.7109375" hidden="1" customWidth="1"/>
    <col min="2" max="2" width="8.28515625" customWidth="1"/>
    <col min="3" max="4" width="14.28515625" customWidth="1"/>
    <col min="5" max="5" width="9.28515625" style="11" customWidth="1"/>
    <col min="6" max="6" width="40.7109375" customWidth="1"/>
    <col min="7" max="7" width="10" style="11" customWidth="1"/>
    <col min="8" max="8" width="12.85546875" customWidth="1"/>
    <col min="9" max="9" width="12.85546875" hidden="1" customWidth="1"/>
    <col min="10" max="10" width="12.85546875" customWidth="1"/>
    <col min="11" max="11" width="10" style="11" customWidth="1"/>
    <col min="12" max="12" width="12.140625" customWidth="1"/>
    <col min="13" max="13" width="14.28515625" customWidth="1"/>
    <col min="14" max="14" width="14.28515625" hidden="1" customWidth="1"/>
    <col min="15" max="15" width="18.42578125" hidden="1" customWidth="1"/>
    <col min="16" max="16" width="12.140625" hidden="1" customWidth="1"/>
    <col min="17" max="18" width="10.7109375" style="11" customWidth="1"/>
    <col min="19" max="19" width="13.85546875" hidden="1" customWidth="1"/>
    <col min="20" max="20" width="13.28515625" hidden="1" customWidth="1"/>
    <col min="21" max="21" width="26.42578125" style="11" customWidth="1"/>
    <col min="22" max="22" width="9.140625" hidden="1" customWidth="1"/>
    <col min="25" max="25" width="18.28515625" bestFit="1" customWidth="1"/>
  </cols>
  <sheetData>
    <row r="1" spans="1:25" s="145" customFormat="1" ht="13.5" customHeight="1" x14ac:dyDescent="0.25">
      <c r="A1" s="1" t="s">
        <v>94</v>
      </c>
      <c r="E1" s="146" t="s">
        <v>116</v>
      </c>
      <c r="G1" s="147"/>
      <c r="I1"/>
      <c r="K1" s="147"/>
      <c r="N1"/>
      <c r="O1"/>
      <c r="P1"/>
      <c r="Q1" s="147"/>
      <c r="R1" s="147"/>
      <c r="S1"/>
      <c r="T1"/>
      <c r="U1" s="147"/>
      <c r="V1"/>
      <c r="Y1" s="27" t="s">
        <v>49</v>
      </c>
    </row>
    <row r="2" spans="1:25" s="145" customFormat="1" ht="13.5" customHeight="1" x14ac:dyDescent="0.2">
      <c r="A2" s="1" t="s">
        <v>95</v>
      </c>
      <c r="E2" s="148" t="s">
        <v>117</v>
      </c>
      <c r="G2" s="147"/>
      <c r="I2"/>
      <c r="K2" s="147"/>
      <c r="N2"/>
      <c r="O2"/>
      <c r="P2"/>
      <c r="Q2" s="147"/>
      <c r="R2" s="147"/>
      <c r="S2"/>
      <c r="T2"/>
      <c r="U2" s="147"/>
      <c r="V2"/>
      <c r="Y2" s="28" t="s">
        <v>119</v>
      </c>
    </row>
    <row r="3" spans="1:25" x14ac:dyDescent="0.2">
      <c r="A3" s="113">
        <v>1</v>
      </c>
    </row>
    <row r="4" spans="1:25" x14ac:dyDescent="0.2">
      <c r="A4" s="1" t="s">
        <v>96</v>
      </c>
      <c r="C4" s="1"/>
      <c r="G4" s="3"/>
      <c r="H4" s="1"/>
    </row>
    <row r="5" spans="1:25" ht="82.5" customHeight="1" x14ac:dyDescent="0.2">
      <c r="A5" s="1" t="s">
        <v>97</v>
      </c>
      <c r="G5" s="3"/>
      <c r="H5" s="1"/>
    </row>
    <row r="6" spans="1:25" x14ac:dyDescent="0.2">
      <c r="A6" s="113">
        <v>1</v>
      </c>
      <c r="G6" s="3"/>
      <c r="H6" s="1"/>
    </row>
    <row r="7" spans="1:25" ht="17.25" customHeight="1" x14ac:dyDescent="0.2">
      <c r="A7" s="114">
        <v>1</v>
      </c>
      <c r="C7" s="1"/>
      <c r="L7" s="75" t="s">
        <v>100</v>
      </c>
      <c r="M7" s="120">
        <f ca="1">SUMIF(OFFSET($S$10,1,0,$A$7),TRUE,OFFSET($M$10,1,0,$A$7))</f>
        <v>0</v>
      </c>
      <c r="N7" s="120">
        <f ca="1">M7</f>
        <v>0</v>
      </c>
      <c r="Q7" s="75" t="s">
        <v>99</v>
      </c>
      <c r="R7" s="121">
        <v>0.8</v>
      </c>
    </row>
    <row r="8" spans="1:25" hidden="1" x14ac:dyDescent="0.2">
      <c r="A8" s="114">
        <v>0</v>
      </c>
      <c r="B8">
        <f t="shared" ref="B8:M8" ca="1" si="0">MATCH(B10,OFFSET(Import.PO,-3,0,1),0)</f>
        <v>1</v>
      </c>
      <c r="C8">
        <f t="shared" ca="1" si="0"/>
        <v>2</v>
      </c>
      <c r="D8">
        <f t="shared" ca="1" si="0"/>
        <v>3</v>
      </c>
      <c r="E8" s="11">
        <f t="shared" ca="1" si="0"/>
        <v>4</v>
      </c>
      <c r="F8">
        <f t="shared" ca="1" si="0"/>
        <v>5</v>
      </c>
      <c r="G8" s="11">
        <f t="shared" ca="1" si="0"/>
        <v>6</v>
      </c>
      <c r="H8">
        <f t="shared" ca="1" si="0"/>
        <v>7</v>
      </c>
      <c r="J8">
        <f t="shared" ca="1" si="0"/>
        <v>8</v>
      </c>
      <c r="K8" s="11">
        <f t="shared" ca="1" si="0"/>
        <v>17</v>
      </c>
      <c r="L8">
        <f t="shared" ca="1" si="0"/>
        <v>10</v>
      </c>
      <c r="M8">
        <f t="shared" ca="1" si="0"/>
        <v>11</v>
      </c>
      <c r="Q8" s="115" t="e">
        <f ca="1">SMALL(OFFSET($R$10,1,0,$A$7),1+COUNTIF(OFFSET($R$10,1,0,$A$7),"&lt;"&amp;PARETO))</f>
        <v>#NUM!</v>
      </c>
      <c r="U8"/>
    </row>
    <row r="9" spans="1:25" hidden="1" x14ac:dyDescent="0.2">
      <c r="A9" s="116">
        <f>ROW(A9)-ROW($A$10)</f>
        <v>-1</v>
      </c>
      <c r="B9" s="139" t="e">
        <f t="shared" ref="B9:H9" ca="1" si="1">IF($A9&lt;=$A$8,INDEX(Import.PO,$A9,B$8),0)</f>
        <v>#VALUE!</v>
      </c>
      <c r="C9" s="139" t="e">
        <f t="shared" ca="1" si="1"/>
        <v>#VALUE!</v>
      </c>
      <c r="D9" s="139" t="e">
        <f t="shared" ca="1" si="1"/>
        <v>#VALUE!</v>
      </c>
      <c r="E9" s="140" t="e">
        <f t="shared" ca="1" si="1"/>
        <v>#VALUE!</v>
      </c>
      <c r="F9" s="139" t="e">
        <f t="shared" ca="1" si="1"/>
        <v>#VALUE!</v>
      </c>
      <c r="G9" s="140" t="e">
        <f t="shared" ca="1" si="1"/>
        <v>#VALUE!</v>
      </c>
      <c r="H9" s="141" t="e">
        <f t="shared" ca="1" si="1"/>
        <v>#VALUE!</v>
      </c>
      <c r="I9" s="141" t="e">
        <f ca="1">IF($P9=ROW($P9)-ROW($P$10),SUMIF(OFFSET($P$10,1,0,$A$7),$P9,OFFSET($H$10,1,0,$A$7)),OFFSET($I$10,$P9,0))</f>
        <v>#VALUE!</v>
      </c>
      <c r="J9" s="141" t="e">
        <f ca="1">IF($A9&lt;=$A$8,INDEX(Import.PO,$A9,J$8),0)</f>
        <v>#VALUE!</v>
      </c>
      <c r="K9" s="142" t="e">
        <f ca="1">IF($A9&lt;=$A$8,INDEX(Import.PO,$A9,K$8),0)</f>
        <v>#VALUE!</v>
      </c>
      <c r="L9" s="141" t="e">
        <f ca="1">IF($A9&lt;=$A$8,INDEX(Import.PO,$A9,L$8),0)</f>
        <v>#VALUE!</v>
      </c>
      <c r="M9" s="141" t="e">
        <f ca="1">IF($A9&lt;=$A$8,INDEX(Import.PO,$A9,M$8),0)</f>
        <v>#VALUE!</v>
      </c>
      <c r="N9" s="141" t="e">
        <f ca="1">IF($P9=ROW($P9)-ROW($P$10),SUMIF(OFFSET($P$10,1,0,$A$7),$P9,OFFSET($M$10,1,0,$A$7)),OFFSET($N$10,$P9,0))</f>
        <v>#VALUE!</v>
      </c>
      <c r="O9" s="143" t="e">
        <f ca="1">IF($S9,D9&amp;"-"&amp;E9,"")</f>
        <v>#VALUE!</v>
      </c>
      <c r="P9" s="143" t="e">
        <f ca="1">IF($S9,MATCH(O9,OFFSET($O$10,1,0,$A$7),0),"")</f>
        <v>#VALUE!</v>
      </c>
      <c r="Q9" s="142" t="e">
        <f ca="1">IF($P9=ROW($P9)-ROW($P$10),$N9/$M$7,IF(ISNUMBER($P9),TEXT(OFFSET($Q$10,$P9,0)," 0,00% "),0))</f>
        <v>#VALUE!</v>
      </c>
      <c r="R9" s="142">
        <f ca="1">SUMIF(OFFSET($Q$10,1,0,$A$7),"&gt;="&amp;$N9/$M$7,OFFSET($Q$10,1,0,$A$7))</f>
        <v>0</v>
      </c>
      <c r="S9" s="143" t="e">
        <f ca="1">E9&lt;&gt;0</f>
        <v>#VALUE!</v>
      </c>
      <c r="T9" s="143" t="e">
        <f ca="1">IF($P9=ROW($P9)-ROW($P$10),R9&lt;=$Q$8,IF(ISNUMBER($P9),OFFSET($T$10,VALUE($P9),0),FALSE))</f>
        <v>#VALUE!</v>
      </c>
      <c r="U9" s="144"/>
    </row>
    <row r="10" spans="1:25" ht="25.5" x14ac:dyDescent="0.2">
      <c r="A10" s="117" t="s">
        <v>86</v>
      </c>
      <c r="B10" s="118" t="s">
        <v>37</v>
      </c>
      <c r="C10" s="118" t="s">
        <v>36</v>
      </c>
      <c r="D10" s="118" t="s">
        <v>47</v>
      </c>
      <c r="E10" s="118" t="s">
        <v>2</v>
      </c>
      <c r="F10" s="118" t="s">
        <v>32</v>
      </c>
      <c r="G10" s="118" t="s">
        <v>39</v>
      </c>
      <c r="H10" s="118" t="s">
        <v>38</v>
      </c>
      <c r="I10" s="118" t="s">
        <v>89</v>
      </c>
      <c r="J10" s="118" t="s">
        <v>90</v>
      </c>
      <c r="K10" s="118" t="s">
        <v>87</v>
      </c>
      <c r="L10" s="118" t="s">
        <v>40</v>
      </c>
      <c r="M10" s="118" t="s">
        <v>3</v>
      </c>
      <c r="N10" s="118" t="s">
        <v>98</v>
      </c>
      <c r="O10" s="118" t="s">
        <v>36</v>
      </c>
      <c r="P10" s="118" t="s">
        <v>88</v>
      </c>
      <c r="Q10" s="118" t="s">
        <v>91</v>
      </c>
      <c r="R10" s="118" t="s">
        <v>92</v>
      </c>
      <c r="S10" s="118" t="s">
        <v>37</v>
      </c>
      <c r="T10" s="118" t="s">
        <v>93</v>
      </c>
      <c r="U10" s="119" t="s">
        <v>115</v>
      </c>
    </row>
    <row r="11" spans="1:25" x14ac:dyDescent="0.2">
      <c r="A11" s="116">
        <v>1</v>
      </c>
      <c r="B11" s="139">
        <f t="shared" ref="B11:H11" si="2">IF($A11&lt;=$A$8,INDEX(Import.PO,$A11,B$8),0)</f>
        <v>0</v>
      </c>
      <c r="C11" s="139">
        <f t="shared" si="2"/>
        <v>0</v>
      </c>
      <c r="D11" s="139">
        <f t="shared" si="2"/>
        <v>0</v>
      </c>
      <c r="E11" s="140">
        <f t="shared" si="2"/>
        <v>0</v>
      </c>
      <c r="F11" s="139">
        <f t="shared" si="2"/>
        <v>0</v>
      </c>
      <c r="G11" s="140">
        <f t="shared" si="2"/>
        <v>0</v>
      </c>
      <c r="H11" s="141">
        <f t="shared" si="2"/>
        <v>0</v>
      </c>
      <c r="I11" s="141" t="e">
        <f ca="1">IF($P11=ROW($P11)-ROW($P$10),SUMIF(OFFSET($P$10,1,0,$A$7),$P11,OFFSET($H$10,1,0,$A$7)),OFFSET($I$10,$P11,0))</f>
        <v>#VALUE!</v>
      </c>
      <c r="J11" s="141">
        <f>IF($A11&lt;=$A$8,INDEX(Import.PO,$A11,J$8),0)</f>
        <v>0</v>
      </c>
      <c r="K11" s="142">
        <f>IF($A11&lt;=$A$8,INDEX(Import.PO,$A11,K$8),0)</f>
        <v>0</v>
      </c>
      <c r="L11" s="141">
        <f>IF($A11&lt;=$A$8,INDEX(Import.PO,$A11,L$8),0)</f>
        <v>0</v>
      </c>
      <c r="M11" s="141">
        <f>IF($A11&lt;=$A$8,INDEX(Import.PO,$A11,M$8),0)</f>
        <v>0</v>
      </c>
      <c r="N11" s="141" t="e">
        <f ca="1">IF($P11=ROW($P11)-ROW($P$10),SUMIF(OFFSET($P$10,1,0,$A$7),$P11,OFFSET($M$10,1,0,$A$7)),OFFSET($N$10,$P11,0))</f>
        <v>#VALUE!</v>
      </c>
      <c r="O11" s="143" t="str">
        <f>IF($S11,D11&amp;"-"&amp;E11,"")</f>
        <v/>
      </c>
      <c r="P11" s="143" t="str">
        <f ca="1">IF($S11,MATCH(O11,OFFSET($O$10,1,0,$A$7),0),"")</f>
        <v/>
      </c>
      <c r="Q11" s="142">
        <f ca="1">IF($P11=ROW($P11)-ROW($P$10),$N11/$M$7,IF(ISNUMBER($P11),TEXT(OFFSET($Q$10,$P11,0)," 0,00% "),0))</f>
        <v>0</v>
      </c>
      <c r="R11" s="142">
        <f ca="1">SUMIF(OFFSET($Q$10,1,0,$A$7),"&gt;="&amp;$N11/$M$7,OFFSET($Q$10,1,0,$A$7))</f>
        <v>0</v>
      </c>
      <c r="S11" s="143" t="b">
        <f>E11&lt;&gt;0</f>
        <v>0</v>
      </c>
      <c r="T11" s="143" t="b">
        <f ca="1">IF($P11=ROW($P11)-ROW($P$10),R11&lt;=$Q$8,IF(ISNUMBER($P11),OFFSET($T$10,VALUE($P11),0),FALSE))</f>
        <v>0</v>
      </c>
      <c r="U11" s="144"/>
    </row>
    <row r="12" spans="1:25" ht="12.75" customHeight="1" x14ac:dyDescent="0.2">
      <c r="A12" s="137"/>
      <c r="B12" s="137"/>
      <c r="C12" s="137"/>
      <c r="D12" s="137"/>
      <c r="E12" s="138"/>
      <c r="F12" s="137"/>
      <c r="G12" s="138"/>
      <c r="H12" s="137"/>
      <c r="I12" s="137"/>
      <c r="J12" s="137"/>
      <c r="K12" s="138"/>
      <c r="L12" s="137"/>
      <c r="M12" s="137"/>
      <c r="N12" s="137"/>
      <c r="O12" s="137"/>
      <c r="P12" s="137"/>
      <c r="Q12" s="138"/>
      <c r="R12" s="138"/>
      <c r="S12" s="137"/>
      <c r="T12" s="137"/>
      <c r="U12" s="138"/>
    </row>
    <row r="13" spans="1:25" ht="12.75" customHeight="1" x14ac:dyDescent="0.2">
      <c r="B13" s="254" t="s">
        <v>8</v>
      </c>
      <c r="C13" s="255"/>
      <c r="D13" s="255"/>
      <c r="E13" s="255"/>
      <c r="F13" s="255"/>
      <c r="G13" s="255"/>
      <c r="H13" s="255"/>
      <c r="I13" s="255"/>
      <c r="J13" s="255"/>
      <c r="K13" s="255"/>
      <c r="L13" s="255"/>
      <c r="M13" s="255"/>
      <c r="N13" s="255"/>
      <c r="O13" s="255"/>
      <c r="P13" s="255"/>
      <c r="Q13" s="255"/>
      <c r="R13" s="255"/>
      <c r="S13" s="255"/>
      <c r="T13" s="255"/>
      <c r="U13" s="256"/>
    </row>
    <row r="14" spans="1:25" ht="12.75" customHeight="1" x14ac:dyDescent="0.2">
      <c r="B14" s="225"/>
      <c r="C14" s="226"/>
      <c r="D14" s="226"/>
      <c r="E14" s="226"/>
      <c r="F14" s="226"/>
      <c r="G14" s="226"/>
      <c r="H14" s="226"/>
      <c r="I14" s="226"/>
      <c r="J14" s="226"/>
      <c r="K14" s="226"/>
      <c r="L14" s="226"/>
      <c r="M14" s="226"/>
      <c r="N14" s="226"/>
      <c r="O14" s="226"/>
      <c r="P14" s="226"/>
      <c r="Q14" s="226"/>
      <c r="R14" s="226"/>
      <c r="S14" s="226"/>
      <c r="T14" s="226"/>
      <c r="U14" s="227"/>
    </row>
    <row r="15" spans="1:25" ht="12.75" customHeight="1" x14ac:dyDescent="0.2">
      <c r="B15" s="225"/>
      <c r="C15" s="226"/>
      <c r="D15" s="226"/>
      <c r="E15" s="226"/>
      <c r="F15" s="226"/>
      <c r="G15" s="226"/>
      <c r="H15" s="226"/>
      <c r="I15" s="226"/>
      <c r="J15" s="226"/>
      <c r="K15" s="226"/>
      <c r="L15" s="226"/>
      <c r="M15" s="226"/>
      <c r="N15" s="226"/>
      <c r="O15" s="226"/>
      <c r="P15" s="226"/>
      <c r="Q15" s="226"/>
      <c r="R15" s="226"/>
      <c r="S15" s="226"/>
      <c r="T15" s="226"/>
      <c r="U15" s="227"/>
    </row>
    <row r="16" spans="1:25" ht="12.75" customHeight="1" x14ac:dyDescent="0.2">
      <c r="B16" s="228"/>
      <c r="C16" s="229"/>
      <c r="D16" s="229"/>
      <c r="E16" s="229"/>
      <c r="F16" s="229"/>
      <c r="G16" s="229"/>
      <c r="H16" s="229"/>
      <c r="I16" s="229"/>
      <c r="J16" s="229"/>
      <c r="K16" s="229"/>
      <c r="L16" s="229"/>
      <c r="M16" s="229"/>
      <c r="N16" s="229"/>
      <c r="O16" s="229"/>
      <c r="P16" s="229"/>
      <c r="Q16" s="229"/>
      <c r="R16" s="229"/>
      <c r="S16" s="229"/>
      <c r="T16" s="229"/>
      <c r="U16" s="230"/>
    </row>
    <row r="17" spans="2:21" ht="33.75" customHeight="1" x14ac:dyDescent="0.2"/>
    <row r="18" spans="2:21" ht="12.75" customHeight="1" x14ac:dyDescent="0.2">
      <c r="B18" s="257"/>
      <c r="C18" s="258"/>
      <c r="D18" s="258"/>
      <c r="E18" s="258"/>
      <c r="Q18" s="149"/>
      <c r="R18" s="149"/>
      <c r="S18" s="152"/>
      <c r="T18" s="152"/>
      <c r="U18" s="149"/>
    </row>
    <row r="19" spans="2:21" x14ac:dyDescent="0.2">
      <c r="B19" s="261" t="s">
        <v>121</v>
      </c>
      <c r="C19" s="261"/>
      <c r="D19" s="261"/>
      <c r="E19" s="261"/>
      <c r="Q19" s="259" t="s">
        <v>118</v>
      </c>
      <c r="R19" s="259"/>
      <c r="S19" s="259"/>
      <c r="T19" s="259"/>
      <c r="U19" s="259"/>
    </row>
    <row r="20" spans="2:21" x14ac:dyDescent="0.2">
      <c r="Q20" s="150" t="s">
        <v>31</v>
      </c>
      <c r="R20" s="260"/>
      <c r="S20" s="260"/>
      <c r="T20" s="260"/>
      <c r="U20" s="260"/>
    </row>
    <row r="21" spans="2:21" x14ac:dyDescent="0.2">
      <c r="Q21" s="151" t="str">
        <f>IF(Q19="Assistente de Projetos Sociais - Técnico Social / Caixa","Matrícula:","Empresa:")</f>
        <v>Matrícula:</v>
      </c>
      <c r="R21" s="260"/>
      <c r="S21" s="260"/>
      <c r="T21" s="260"/>
      <c r="U21" s="260"/>
    </row>
  </sheetData>
  <sheetProtection sheet="1" objects="1" scenarios="1" formatRows="0"/>
  <autoFilter ref="A10:U11" xr:uid="{00000000-0009-0000-00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mergeCells count="7">
    <mergeCell ref="B13:U13"/>
    <mergeCell ref="B18:E18"/>
    <mergeCell ref="Q19:U19"/>
    <mergeCell ref="R20:U20"/>
    <mergeCell ref="R21:U21"/>
    <mergeCell ref="B19:E19"/>
    <mergeCell ref="B14:U16"/>
  </mergeCells>
  <phoneticPr fontId="43" type="noConversion"/>
  <conditionalFormatting sqref="A9:U9 A11:U11">
    <cfRule type="expression" dxfId="5" priority="36" stopIfTrue="1">
      <formula>NOT($S9)</formula>
    </cfRule>
    <cfRule type="expression" dxfId="4" priority="39" stopIfTrue="1">
      <formula>AND(ISBLANK(A9),$T9)</formula>
    </cfRule>
    <cfRule type="expression" dxfId="3" priority="40" stopIfTrue="1">
      <formula>AND($T9,$A$6=1)</formula>
    </cfRule>
  </conditionalFormatting>
  <conditionalFormatting sqref="B14:U16">
    <cfRule type="notContainsBlanks" dxfId="2" priority="3" stopIfTrue="1">
      <formula>LEN(TRIM(B14))&gt;0</formula>
    </cfRule>
  </conditionalFormatting>
  <conditionalFormatting sqref="B18:E18">
    <cfRule type="notContainsBlanks" dxfId="1" priority="2" stopIfTrue="1">
      <formula>LEN(TRIM(B18))&gt;0</formula>
    </cfRule>
  </conditionalFormatting>
  <conditionalFormatting sqref="R20:U21">
    <cfRule type="notContainsBlanks" dxfId="0" priority="1" stopIfTrue="1">
      <formula>LEN(TRIM(R20))&gt;0</formula>
    </cfRule>
  </conditionalFormatting>
  <dataValidations count="3">
    <dataValidation type="list" allowBlank="1" showInputMessage="1" showErrorMessage="1" error="Escolha entre &quot;Aceito&quot; e &quot;Não Aceito&quot;._x000a_Para insumos não aceitos, detalhar motivo no campo observações." sqref="U11 U9" xr:uid="{00000000-0002-0000-0400-000000000000}">
      <formula1>"Aceito,Não Aceito"</formula1>
    </dataValidation>
    <dataValidation type="list" allowBlank="1" showInputMessage="1" showErrorMessage="1" promptTitle="Entrada:" prompt="Escolha aqui se APS ou Terceirizado" sqref="Q19:U19" xr:uid="{00000000-0002-0000-0400-000001000000}">
      <formula1>"Assistente de Projetos Sociais - Técnico Social / Caixa,Responsável Legal pela Empresa Credenciada"</formula1>
    </dataValidation>
    <dataValidation allowBlank="1" showInputMessage="1" showErrorMessage="1" prompt="Escolha entre &quot;Aceito&quot; e &quot;Não Aceito&quot;._x000a_Para insumos não aceitos, detalhar motivo no campo observações." sqref="U10" xr:uid="{00000000-0002-0000-0400-000002000000}"/>
  </dataValidations>
  <pageMargins left="0.51181102362204722" right="0.51181102362204722" top="0.78740157480314965" bottom="0.78740157480314965" header="0.31496062992125984" footer="0.31496062992125984"/>
  <pageSetup paperSize="9" scale="67" fitToHeight="0" orientation="landscape" horizontalDpi="300" verticalDpi="300" r:id="rId1"/>
  <headerFooter>
    <oddFooter>&amp;L27.486 v002  micro</oddFooter>
  </headerFooter>
  <drawing r:id="rId2"/>
  <legacyDrawing r:id="rId3"/>
  <oleObjects>
    <mc:AlternateContent xmlns:mc="http://schemas.openxmlformats.org/markup-compatibility/2006">
      <mc:Choice Requires="x14">
        <oleObject shapeId="203048" r:id="rId4">
          <objectPr defaultSize="0" autoPict="0" r:id="rId5">
            <anchor moveWithCells="1">
              <from>
                <xdr:col>0</xdr:col>
                <xdr:colOff>0</xdr:colOff>
                <xdr:row>0</xdr:row>
                <xdr:rowOff>0</xdr:rowOff>
              </from>
              <to>
                <xdr:col>3</xdr:col>
                <xdr:colOff>295275</xdr:colOff>
                <xdr:row>2</xdr:row>
                <xdr:rowOff>38100</xdr:rowOff>
              </to>
            </anchor>
          </objectPr>
        </oleObject>
      </mc:Choice>
      <mc:Fallback>
        <oleObject shapeId="203048" r:id="rId4"/>
      </mc:Fallback>
    </mc:AlternateContent>
  </oleObjects>
  <mc:AlternateContent xmlns:mc="http://schemas.openxmlformats.org/markup-compatibility/2006">
    <mc:Choice Requires="x14">
      <controls>
        <mc:AlternateContent xmlns:mc="http://schemas.openxmlformats.org/markup-compatibility/2006">
          <mc:Choice Requires="x14">
            <control shapeId="202754" r:id="rId6" name="Drop Down 2">
              <controlPr defaultSize="0" autoLine="0" autoPict="0" macro="[0]!ABCOrdem">
                <anchor moveWithCells="1">
                  <from>
                    <xdr:col>2</xdr:col>
                    <xdr:colOff>514350</xdr:colOff>
                    <xdr:row>5</xdr:row>
                    <xdr:rowOff>85725</xdr:rowOff>
                  </from>
                  <to>
                    <xdr:col>4</xdr:col>
                    <xdr:colOff>47625</xdr:colOff>
                    <xdr:row>6</xdr:row>
                    <xdr:rowOff>133350</xdr:rowOff>
                  </to>
                </anchor>
              </controlPr>
            </control>
          </mc:Choice>
        </mc:AlternateContent>
        <mc:AlternateContent xmlns:mc="http://schemas.openxmlformats.org/markup-compatibility/2006">
          <mc:Choice Requires="x14">
            <control shapeId="202780" r:id="rId7" name="Label 28">
              <controlPr defaultSize="0" autoFill="0" autoLine="0" autoPict="0">
                <anchor moveWithCells="1">
                  <from>
                    <xdr:col>2</xdr:col>
                    <xdr:colOff>123825</xdr:colOff>
                    <xdr:row>5</xdr:row>
                    <xdr:rowOff>85725</xdr:rowOff>
                  </from>
                  <to>
                    <xdr:col>2</xdr:col>
                    <xdr:colOff>514350</xdr:colOff>
                    <xdr:row>6</xdr:row>
                    <xdr:rowOff>85725</xdr:rowOff>
                  </to>
                </anchor>
              </controlPr>
            </control>
          </mc:Choice>
        </mc:AlternateContent>
        <mc:AlternateContent xmlns:mc="http://schemas.openxmlformats.org/markup-compatibility/2006">
          <mc:Choice Requires="x14">
            <control shapeId="202755" r:id="rId8" name="servicos">
              <controlPr defaultSize="0" autoLine="0" autoPict="0" macro="[0]!ABCOrdem">
                <anchor moveWithCells="1">
                  <from>
                    <xdr:col>5</xdr:col>
                    <xdr:colOff>0</xdr:colOff>
                    <xdr:row>5</xdr:row>
                    <xdr:rowOff>85725</xdr:rowOff>
                  </from>
                  <to>
                    <xdr:col>5</xdr:col>
                    <xdr:colOff>1438275</xdr:colOff>
                    <xdr:row>6</xdr:row>
                    <xdr:rowOff>133350</xdr:rowOff>
                  </to>
                </anchor>
              </controlPr>
            </control>
          </mc:Choice>
        </mc:AlternateContent>
        <mc:AlternateContent xmlns:mc="http://schemas.openxmlformats.org/markup-compatibility/2006">
          <mc:Choice Requires="x14">
            <control shapeId="202781" r:id="rId9" name="Label 29">
              <controlPr defaultSize="0" autoFill="0" autoLine="0" autoPict="0">
                <anchor moveWithCells="1">
                  <from>
                    <xdr:col>4</xdr:col>
                    <xdr:colOff>171450</xdr:colOff>
                    <xdr:row>5</xdr:row>
                    <xdr:rowOff>85725</xdr:rowOff>
                  </from>
                  <to>
                    <xdr:col>5</xdr:col>
                    <xdr:colOff>0</xdr:colOff>
                    <xdr:row>6</xdr:row>
                    <xdr:rowOff>85725</xdr:rowOff>
                  </to>
                </anchor>
              </controlPr>
            </control>
          </mc:Choice>
        </mc:AlternateContent>
        <mc:AlternateContent xmlns:mc="http://schemas.openxmlformats.org/markup-compatibility/2006">
          <mc:Choice Requires="x14">
            <control shapeId="202815" r:id="rId10" name="Button 63">
              <controlPr defaultSize="0" print="0" autoFill="0" autoPict="0" macro="[0]!fecharAnalise">
                <anchor moveWithCells="1">
                  <from>
                    <xdr:col>20</xdr:col>
                    <xdr:colOff>76200</xdr:colOff>
                    <xdr:row>5</xdr:row>
                    <xdr:rowOff>76200</xdr:rowOff>
                  </from>
                  <to>
                    <xdr:col>20</xdr:col>
                    <xdr:colOff>1685925</xdr:colOff>
                    <xdr:row>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33</vt:i4>
      </vt:variant>
    </vt:vector>
  </HeadingPairs>
  <TitlesOfParts>
    <vt:vector size="37" baseType="lpstr">
      <vt:lpstr>DADOS</vt:lpstr>
      <vt:lpstr>INSUMOS</vt:lpstr>
      <vt:lpstr>PO</vt:lpstr>
      <vt:lpstr>CFF</vt:lpstr>
      <vt:lpstr>ABC.LinhaPadrão</vt:lpstr>
      <vt:lpstr>ABC.LinhasExistentes</vt:lpstr>
      <vt:lpstr>ABC.LinhasNecessárias</vt:lpstr>
      <vt:lpstr>ABC.Ordem</vt:lpstr>
      <vt:lpstr>ABC.Serviços</vt:lpstr>
      <vt:lpstr>ABC!Area_de_impressao</vt:lpstr>
      <vt:lpstr>CFF!Area_de_impressao</vt:lpstr>
      <vt:lpstr>DADOS!Area_de_impressao</vt:lpstr>
      <vt:lpstr>PO!Area_de_impressao</vt:lpstr>
      <vt:lpstr>Banco.LP</vt:lpstr>
      <vt:lpstr>Banco.Opção</vt:lpstr>
      <vt:lpstr>Banco.UL</vt:lpstr>
      <vt:lpstr>CFF.Colunas</vt:lpstr>
      <vt:lpstr>CFF.LinhaPadrão</vt:lpstr>
      <vt:lpstr>Dados.Assinatura1</vt:lpstr>
      <vt:lpstr>Dados.Assinatura2</vt:lpstr>
      <vt:lpstr>Dados.Lista.BDI</vt:lpstr>
      <vt:lpstr>Import.Ação</vt:lpstr>
      <vt:lpstr>Import.CR</vt:lpstr>
      <vt:lpstr>Import.DataBase</vt:lpstr>
      <vt:lpstr>Import.DataBaseLicit</vt:lpstr>
      <vt:lpstr>Import.DataInícioObra</vt:lpstr>
      <vt:lpstr>Import.Empresa</vt:lpstr>
      <vt:lpstr>Import.Município</vt:lpstr>
      <vt:lpstr>Import.ObjetoCR</vt:lpstr>
      <vt:lpstr>Import.ObjetoCTEF</vt:lpstr>
      <vt:lpstr>Import.Programa</vt:lpstr>
      <vt:lpstr>Import.Proponente</vt:lpstr>
      <vt:lpstr>NMaxCrono</vt:lpstr>
      <vt:lpstr>PARETO</vt:lpstr>
      <vt:lpstr>PO.LinhaPadrão</vt:lpstr>
      <vt:lpstr>CFF!Titulos_de_impressao</vt:lpstr>
      <vt:lpstr>PO!Titulos_de_impressao</vt:lpstr>
    </vt:vector>
  </TitlesOfParts>
  <Company>caixa econômica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Liege Silva dos Santos</dc:creator>
  <cp:lastModifiedBy>Aline Arantes Correa</cp:lastModifiedBy>
  <cp:lastPrinted>2022-10-17T19:08:21Z</cp:lastPrinted>
  <dcterms:created xsi:type="dcterms:W3CDTF">1998-03-27T18:43:07Z</dcterms:created>
  <dcterms:modified xsi:type="dcterms:W3CDTF">2022-10-17T19:42:08Z</dcterms:modified>
</cp:coreProperties>
</file>